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945" windowWidth="15360" windowHeight="1170" tabRatio="811" activeTab="8"/>
  </bookViews>
  <sheets>
    <sheet name="RECAP" sheetId="1" r:id="rId1"/>
    <sheet name="MAR_REF" sheetId="2" r:id="rId2"/>
    <sheet name="SEC_REF" sheetId="3" r:id="rId3"/>
    <sheet name="STK_REF" sheetId="4" r:id="rId4"/>
    <sheet name="IDX_REF" sheetId="5" r:id="rId5"/>
    <sheet name="STK_FEED" sheetId="25" r:id="rId6"/>
    <sheet name="STK_PRICES" sheetId="6" r:id="rId7"/>
    <sheet name="CUR_RATES" sheetId="7" r:id="rId8"/>
    <sheet name="IDX_COMPO" sheetId="8" r:id="rId9"/>
    <sheet name="IDX_COMPOSITION" sheetId="9" r:id="rId10"/>
    <sheet name="IDX_SPECS" sheetId="10" r:id="rId11"/>
    <sheet name="NXT_COMPO" sheetId="11" r:id="rId12"/>
    <sheet name="NXT_SPECS" sheetId="12" r:id="rId13"/>
    <sheet name="IDX_CA" sheetId="13" r:id="rId14"/>
    <sheet name="STK_DIV" sheetId="14" r:id="rId15"/>
    <sheet name="IDX_CALENDAR" sheetId="15" r:id="rId16"/>
    <sheet name="SUMMARY" sheetId="16" r:id="rId17"/>
    <sheet name="IDX_INTRADAY" sheetId="17" r:id="rId18"/>
    <sheet name="IDX_DAY" sheetId="18" r:id="rId19"/>
    <sheet name="IDX_HISTODAY" sheetId="19" r:id="rId20"/>
    <sheet name="CMP_INTRADAY" sheetId="20" r:id="rId21"/>
    <sheet name="CMP_DAY" sheetId="21" r:id="rId22"/>
    <sheet name="STK_HISTODAY" sheetId="22" r:id="rId23"/>
    <sheet name="SYS_FORMAT" sheetId="23" r:id="rId24"/>
    <sheet name="IDX_FILES" sheetId="24" r:id="rId25"/>
    <sheet name="TESTS" sheetId="26" r:id="rId26"/>
    <sheet name="IMS" sheetId="27" r:id="rId27"/>
    <sheet name="TEST1" sheetId="28" r:id="rId28"/>
    <sheet name="IDX_GROUP" sheetId="29" r:id="rId29"/>
    <sheet name="IDX_BBS" sheetId="30" r:id="rId30"/>
  </sheets>
  <definedNames>
    <definedName name="_xlnm._FilterDatabase" localSheetId="9" hidden="1">IDX_COMPOSITION!$A$1:$AB$123</definedName>
    <definedName name="_xlnm._FilterDatabase" localSheetId="10" hidden="1">IDX_SPECS!$A$1:$X$1</definedName>
    <definedName name="_xlnm._FilterDatabase" localSheetId="11" hidden="1">NXT_COMPO!$D$1:$U$606</definedName>
    <definedName name="_xlnm._FilterDatabase" localSheetId="6" hidden="1">STK_PRICES!$A$1:$N$31</definedName>
    <definedName name="_xlnm._FilterDatabase" localSheetId="3" hidden="1">STK_REF!$A$1:$J$31</definedName>
    <definedName name="Z_8EF2C042_D97C_40EA_9E42_A17331664713_.wvu.Cols" localSheetId="11" hidden="1">NXT_COMPO!$A:$C</definedName>
    <definedName name="Z_8EF2C042_D97C_40EA_9E42_A17331664713_.wvu.FilterData" localSheetId="11" hidden="1">NXT_COMPO!$D$1:$U$606</definedName>
    <definedName name="Z_8EF2C042_D97C_40EA_9E42_A17331664713_.wvu.FilterData" localSheetId="6" hidden="1">STK_PRICES!$A$1:$N$31</definedName>
    <definedName name="Z_8EF2C042_D97C_40EA_9E42_A17331664713_.wvu.FilterData" localSheetId="3" hidden="1">STK_REF!$A$1:$J$31</definedName>
    <definedName name="Z_A93D23F5_27FE_48DF_A0DC_3D7A8C6F3CF5_.wvu.Cols" localSheetId="11" hidden="1">NXT_COMPO!$A:$C,NXT_COMPO!$M:$N</definedName>
    <definedName name="Z_A93D23F5_27FE_48DF_A0DC_3D7A8C6F3CF5_.wvu.FilterData" localSheetId="6" hidden="1">STK_PRICES!$A$1:$N$31</definedName>
    <definedName name="Z_A93D23F5_27FE_48DF_A0DC_3D7A8C6F3CF5_.wvu.FilterData" localSheetId="3" hidden="1">STK_REF!$A$1:$J$31</definedName>
    <definedName name="Z_AAB8C83D_EE7C_4F2D_A040_F04A230A06FD_.wvu.FilterData" localSheetId="6" hidden="1">STK_PRICES!$A$1:$N$31</definedName>
    <definedName name="Z_AAB8C83D_EE7C_4F2D_A040_F04A230A06FD_.wvu.FilterData" localSheetId="3" hidden="1">STK_REF!$A$1:$J$31</definedName>
    <definedName name="Z_E8497AD8_A45C_484D_A252_6E26647DB053_.wvu.FilterData" localSheetId="6" hidden="1">STK_PRICES!$A$1:$N$31</definedName>
    <definedName name="Z_E8497AD8_A45C_484D_A252_6E26647DB053_.wvu.FilterData" localSheetId="3" hidden="1">STK_REF!$A$1:$J$31</definedName>
  </definedNames>
  <calcPr calcId="145621"/>
  <customWorkbookViews>
    <customWorkbookView name="IFRCVN - Personal View" guid="{8EF2C042-D97C-40EA-9E42-A17331664713}" mergeInterval="0" personalView="1" maximized="1" windowWidth="1362" windowHeight="421" tabRatio="811" activeSheetId="11"/>
    <customWorkbookView name="IFRC - Personal View" guid="{E8497AD8-A45C-484D-A252-6E26647DB053}" mergeInterval="0" personalView="1" maximized="1" windowWidth="1916" windowHeight="833" tabRatio="919" activeSheetId="10"/>
    <customWorkbookView name="THIENHOA - Personal View" guid="{AAB8C83D-EE7C-4F2D-A040-F04A230A06FD}" mergeInterval="0" personalView="1" maximized="1" windowWidth="1600" windowHeight="674" tabRatio="821" activeSheetId="10"/>
    <customWorkbookView name="Jay Bui - Personal View" guid="{A93D23F5-27FE-48DF-A0DC-3D7A8C6F3CF5}" mergeInterval="0" personalView="1" maximized="1" windowWidth="1596" windowHeight="585" tabRatio="811" activeSheetId="11"/>
  </customWorkbookViews>
</workbook>
</file>

<file path=xl/calcChain.xml><?xml version="1.0" encoding="utf-8"?>
<calcChain xmlns="http://schemas.openxmlformats.org/spreadsheetml/2006/main">
  <c r="T1" i="26" l="1" a="1"/>
  <c r="H18" i="28" l="1"/>
  <c r="H17" i="28"/>
  <c r="H13" i="28"/>
  <c r="H14" i="28"/>
  <c r="H15" i="28"/>
  <c r="H16" i="28"/>
  <c r="H12" i="28"/>
  <c r="H20" i="28" l="1"/>
  <c r="B3" i="15" l="1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253" i="15"/>
  <c r="B254" i="15"/>
  <c r="B255" i="15"/>
  <c r="B256" i="15"/>
  <c r="B257" i="15"/>
  <c r="B258" i="15"/>
  <c r="B259" i="15"/>
  <c r="B260" i="15"/>
  <c r="B261" i="15"/>
  <c r="B262" i="15"/>
  <c r="B263" i="15"/>
  <c r="B264" i="15"/>
  <c r="B265" i="15"/>
  <c r="B266" i="15"/>
  <c r="B267" i="15"/>
  <c r="B268" i="15"/>
  <c r="B269" i="15"/>
  <c r="B270" i="15"/>
  <c r="B271" i="15"/>
  <c r="B272" i="15"/>
  <c r="B273" i="15"/>
  <c r="B274" i="15"/>
  <c r="B275" i="15"/>
  <c r="B276" i="15"/>
  <c r="B277" i="15"/>
  <c r="B278" i="15"/>
  <c r="B279" i="15"/>
  <c r="B280" i="15"/>
  <c r="B281" i="15"/>
  <c r="B282" i="15"/>
  <c r="B283" i="15"/>
  <c r="B284" i="15"/>
  <c r="B285" i="15"/>
  <c r="B286" i="15"/>
  <c r="B287" i="15"/>
  <c r="B288" i="15"/>
  <c r="B289" i="15"/>
  <c r="B290" i="15"/>
  <c r="B291" i="15"/>
  <c r="B292" i="15"/>
  <c r="B293" i="15"/>
  <c r="B294" i="15"/>
  <c r="B295" i="15"/>
  <c r="B296" i="15"/>
  <c r="B297" i="15"/>
  <c r="B298" i="15"/>
  <c r="B299" i="15"/>
  <c r="B300" i="15"/>
  <c r="B301" i="15"/>
  <c r="B302" i="15"/>
  <c r="B303" i="15"/>
  <c r="B304" i="15"/>
  <c r="B305" i="15"/>
  <c r="B306" i="15"/>
  <c r="B307" i="15"/>
  <c r="B308" i="15"/>
  <c r="B309" i="15"/>
  <c r="B310" i="15"/>
  <c r="B311" i="15"/>
  <c r="B312" i="15"/>
  <c r="B313" i="15"/>
  <c r="B314" i="15"/>
  <c r="B315" i="15"/>
  <c r="B316" i="15"/>
  <c r="B317" i="15"/>
  <c r="B318" i="15"/>
  <c r="B319" i="15"/>
  <c r="B320" i="15"/>
  <c r="B321" i="15"/>
  <c r="B322" i="15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341" i="15"/>
  <c r="B342" i="15"/>
  <c r="B343" i="15"/>
  <c r="B344" i="15"/>
  <c r="B2" i="15"/>
  <c r="A8" i="7" l="1"/>
  <c r="A9" i="7"/>
  <c r="A10" i="7"/>
  <c r="A11" i="7"/>
  <c r="A123" i="9" l="1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E123" i="9" l="1"/>
  <c r="C123" i="9"/>
  <c r="D123" i="9"/>
  <c r="AI23" i="11"/>
  <c r="AI24" i="11"/>
  <c r="AI25" i="11"/>
  <c r="AI26" i="11"/>
  <c r="AI27" i="11"/>
  <c r="AI28" i="11"/>
  <c r="AI29" i="11"/>
  <c r="AI30" i="11"/>
  <c r="AI31" i="11"/>
  <c r="AI32" i="11"/>
  <c r="AI33" i="11"/>
  <c r="AI34" i="11"/>
  <c r="AI35" i="11"/>
  <c r="AI36" i="11"/>
  <c r="AI37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1" i="11"/>
  <c r="AI52" i="11"/>
  <c r="AI53" i="11"/>
  <c r="AI54" i="11"/>
  <c r="G104" i="9"/>
  <c r="H93" i="9"/>
  <c r="G72" i="9"/>
  <c r="H61" i="9"/>
  <c r="G56" i="9"/>
  <c r="B56" i="9"/>
  <c r="H55" i="9"/>
  <c r="G53" i="9"/>
  <c r="B50" i="9"/>
  <c r="H32" i="9"/>
  <c r="B22" i="9"/>
  <c r="H16" i="9"/>
  <c r="H10" i="9"/>
  <c r="G10" i="9"/>
  <c r="B10" i="9"/>
  <c r="H8" i="9"/>
  <c r="G8" i="9"/>
  <c r="H3" i="9"/>
  <c r="G3" i="9"/>
  <c r="B3" i="9"/>
  <c r="R123" i="9"/>
  <c r="R122" i="9"/>
  <c r="D122" i="9" s="1"/>
  <c r="R121" i="9"/>
  <c r="C121" i="9" s="1"/>
  <c r="R120" i="9"/>
  <c r="E120" i="9" s="1"/>
  <c r="R119" i="9"/>
  <c r="E119" i="9" s="1"/>
  <c r="H119" i="9"/>
  <c r="R118" i="9"/>
  <c r="E118" i="9" s="1"/>
  <c r="R117" i="9"/>
  <c r="D117" i="9" s="1"/>
  <c r="R116" i="9"/>
  <c r="C116" i="9" s="1"/>
  <c r="R115" i="9"/>
  <c r="C115" i="9" s="1"/>
  <c r="B115" i="9"/>
  <c r="R114" i="9"/>
  <c r="E114" i="9" s="1"/>
  <c r="G114" i="9"/>
  <c r="R113" i="9"/>
  <c r="E113" i="9" s="1"/>
  <c r="R112" i="9"/>
  <c r="E112" i="9" s="1"/>
  <c r="R111" i="9"/>
  <c r="C111" i="9" s="1"/>
  <c r="R110" i="9"/>
  <c r="D110" i="9" s="1"/>
  <c r="R109" i="9"/>
  <c r="E109" i="9" s="1"/>
  <c r="B109" i="9"/>
  <c r="R108" i="9"/>
  <c r="C108" i="9" s="1"/>
  <c r="R107" i="9"/>
  <c r="E107" i="9" s="1"/>
  <c r="R106" i="9"/>
  <c r="E106" i="9" s="1"/>
  <c r="R105" i="9"/>
  <c r="D105" i="9" s="1"/>
  <c r="R104" i="9"/>
  <c r="E104" i="9" s="1"/>
  <c r="R103" i="9"/>
  <c r="D103" i="9" s="1"/>
  <c r="H103" i="9"/>
  <c r="R102" i="9"/>
  <c r="E102" i="9" s="1"/>
  <c r="R101" i="9"/>
  <c r="E101" i="9" s="1"/>
  <c r="R100" i="9"/>
  <c r="C100" i="9" s="1"/>
  <c r="R99" i="9"/>
  <c r="E99" i="9" s="1"/>
  <c r="R98" i="9"/>
  <c r="E98" i="9" s="1"/>
  <c r="G98" i="9"/>
  <c r="R97" i="9"/>
  <c r="D97" i="9" s="1"/>
  <c r="R96" i="9"/>
  <c r="D96" i="9" s="1"/>
  <c r="R95" i="9"/>
  <c r="C95" i="9" s="1"/>
  <c r="R94" i="9"/>
  <c r="D94" i="9" s="1"/>
  <c r="R93" i="9"/>
  <c r="D93" i="9" s="1"/>
  <c r="B93" i="9"/>
  <c r="R92" i="9"/>
  <c r="C92" i="9" s="1"/>
  <c r="R91" i="9"/>
  <c r="C91" i="9" s="1"/>
  <c r="R90" i="9"/>
  <c r="C90" i="9" s="1"/>
  <c r="R89" i="9"/>
  <c r="C89" i="9" s="1"/>
  <c r="R88" i="9"/>
  <c r="E88" i="9" s="1"/>
  <c r="R87" i="9"/>
  <c r="E87" i="9" s="1"/>
  <c r="H87" i="9"/>
  <c r="R86" i="9"/>
  <c r="D86" i="9" s="1"/>
  <c r="R85" i="9"/>
  <c r="E85" i="9" s="1"/>
  <c r="R84" i="9"/>
  <c r="C84" i="9" s="1"/>
  <c r="R83" i="9"/>
  <c r="E83" i="9" s="1"/>
  <c r="R82" i="9"/>
  <c r="E82" i="9" s="1"/>
  <c r="R81" i="9"/>
  <c r="C81" i="9" s="1"/>
  <c r="R80" i="9"/>
  <c r="E80" i="9" s="1"/>
  <c r="R79" i="9"/>
  <c r="D79" i="9" s="1"/>
  <c r="R78" i="9"/>
  <c r="C78" i="9" s="1"/>
  <c r="R77" i="9"/>
  <c r="E77" i="9" s="1"/>
  <c r="B77" i="9"/>
  <c r="R76" i="9"/>
  <c r="C76" i="9" s="1"/>
  <c r="R75" i="9"/>
  <c r="E75" i="9" s="1"/>
  <c r="R74" i="9"/>
  <c r="E74" i="9" s="1"/>
  <c r="R73" i="9"/>
  <c r="E73" i="9" s="1"/>
  <c r="R72" i="9"/>
  <c r="C72" i="9" s="1"/>
  <c r="R71" i="9"/>
  <c r="C71" i="9" s="1"/>
  <c r="H71" i="9"/>
  <c r="R70" i="9"/>
  <c r="D70" i="9" s="1"/>
  <c r="R69" i="9"/>
  <c r="E69" i="9" s="1"/>
  <c r="R68" i="9"/>
  <c r="D68" i="9" s="1"/>
  <c r="R67" i="9"/>
  <c r="E67" i="9" s="1"/>
  <c r="R66" i="9"/>
  <c r="D66" i="9" s="1"/>
  <c r="R65" i="9"/>
  <c r="E65" i="9" s="1"/>
  <c r="R64" i="9"/>
  <c r="E64" i="9" s="1"/>
  <c r="R63" i="9"/>
  <c r="C63" i="9" s="1"/>
  <c r="R62" i="9"/>
  <c r="D62" i="9" s="1"/>
  <c r="R61" i="9"/>
  <c r="D61" i="9" s="1"/>
  <c r="G61" i="9"/>
  <c r="R60" i="9"/>
  <c r="C60" i="9" s="1"/>
  <c r="R59" i="9"/>
  <c r="C59" i="9" s="1"/>
  <c r="R58" i="9"/>
  <c r="E58" i="9" s="1"/>
  <c r="R57" i="9"/>
  <c r="D57" i="9" s="1"/>
  <c r="R56" i="9"/>
  <c r="E56" i="9" s="1"/>
  <c r="R55" i="9"/>
  <c r="E55" i="9" s="1"/>
  <c r="G55" i="9"/>
  <c r="R54" i="9"/>
  <c r="D54" i="9" s="1"/>
  <c r="R53" i="9"/>
  <c r="C53" i="9" s="1"/>
  <c r="R52" i="9"/>
  <c r="C52" i="9" s="1"/>
  <c r="R51" i="9"/>
  <c r="D51" i="9" s="1"/>
  <c r="R50" i="9"/>
  <c r="E50" i="9" s="1"/>
  <c r="R49" i="9"/>
  <c r="C49" i="9" s="1"/>
  <c r="R48" i="9"/>
  <c r="E48" i="9" s="1"/>
  <c r="R47" i="9"/>
  <c r="C47" i="9" s="1"/>
  <c r="G47" i="9"/>
  <c r="R46" i="9"/>
  <c r="D46" i="9" s="1"/>
  <c r="R45" i="9"/>
  <c r="E45" i="9" s="1"/>
  <c r="R44" i="9"/>
  <c r="D44" i="9" s="1"/>
  <c r="R43" i="9"/>
  <c r="D43" i="9" s="1"/>
  <c r="R42" i="9"/>
  <c r="E42" i="9" s="1"/>
  <c r="R41" i="9"/>
  <c r="D41" i="9" s="1"/>
  <c r="R40" i="9"/>
  <c r="E40" i="9" s="1"/>
  <c r="G40" i="9"/>
  <c r="R39" i="9"/>
  <c r="E39" i="9" s="1"/>
  <c r="R38" i="9"/>
  <c r="D38" i="9" s="1"/>
  <c r="R37" i="9"/>
  <c r="E37" i="9" s="1"/>
  <c r="H37" i="9"/>
  <c r="R36" i="9"/>
  <c r="C36" i="9" s="1"/>
  <c r="R35" i="9"/>
  <c r="C35" i="9" s="1"/>
  <c r="R34" i="9"/>
  <c r="E34" i="9" s="1"/>
  <c r="R33" i="9"/>
  <c r="D33" i="9" s="1"/>
  <c r="R32" i="9"/>
  <c r="D32" i="9" s="1"/>
  <c r="G32" i="9"/>
  <c r="R31" i="9"/>
  <c r="D31" i="9" s="1"/>
  <c r="R30" i="9"/>
  <c r="E30" i="9" s="1"/>
  <c r="R29" i="9"/>
  <c r="D29" i="9" s="1"/>
  <c r="H29" i="9"/>
  <c r="R28" i="9"/>
  <c r="C28" i="9" s="1"/>
  <c r="R27" i="9"/>
  <c r="C27" i="9" s="1"/>
  <c r="G27" i="9"/>
  <c r="R26" i="9"/>
  <c r="D26" i="9" s="1"/>
  <c r="R25" i="9"/>
  <c r="C25" i="9" s="1"/>
  <c r="R24" i="9"/>
  <c r="E24" i="9" s="1"/>
  <c r="G24" i="9"/>
  <c r="R23" i="9"/>
  <c r="E23" i="9" s="1"/>
  <c r="R22" i="9"/>
  <c r="C22" i="9" s="1"/>
  <c r="R21" i="9"/>
  <c r="D21" i="9" s="1"/>
  <c r="H21" i="9"/>
  <c r="R20" i="9"/>
  <c r="C20" i="9" s="1"/>
  <c r="R19" i="9"/>
  <c r="D19" i="9" s="1"/>
  <c r="R18" i="9"/>
  <c r="E18" i="9" s="1"/>
  <c r="R17" i="9"/>
  <c r="C17" i="9" s="1"/>
  <c r="R16" i="9"/>
  <c r="E16" i="9" s="1"/>
  <c r="G16" i="9"/>
  <c r="R15" i="9"/>
  <c r="C15" i="9" s="1"/>
  <c r="R14" i="9"/>
  <c r="D14" i="9" s="1"/>
  <c r="R13" i="9"/>
  <c r="D13" i="9" s="1"/>
  <c r="H13" i="9"/>
  <c r="R12" i="9"/>
  <c r="C12" i="9" s="1"/>
  <c r="R11" i="9"/>
  <c r="C11" i="9" s="1"/>
  <c r="R10" i="9"/>
  <c r="E10" i="9" s="1"/>
  <c r="R9" i="9"/>
  <c r="D9" i="9" s="1"/>
  <c r="R8" i="9"/>
  <c r="C8" i="9" s="1"/>
  <c r="R7" i="9"/>
  <c r="C7" i="9" s="1"/>
  <c r="R6" i="9"/>
  <c r="D6" i="9" s="1"/>
  <c r="R5" i="9"/>
  <c r="D5" i="9" s="1"/>
  <c r="H5" i="9"/>
  <c r="R4" i="9"/>
  <c r="C4" i="9" s="1"/>
  <c r="R3" i="9"/>
  <c r="E3" i="9" s="1"/>
  <c r="R2" i="9"/>
  <c r="A2" i="9"/>
  <c r="B121" i="8"/>
  <c r="B122" i="8"/>
  <c r="B123" i="8"/>
  <c r="D107" i="9" l="1"/>
  <c r="D83" i="9"/>
  <c r="E115" i="9"/>
  <c r="E91" i="9"/>
  <c r="C67" i="9"/>
  <c r="D115" i="9"/>
  <c r="C83" i="9"/>
  <c r="C43" i="9"/>
  <c r="C107" i="9"/>
  <c r="E27" i="9"/>
  <c r="D99" i="9"/>
  <c r="C2" i="9"/>
  <c r="E2" i="9"/>
  <c r="D2" i="9"/>
  <c r="C99" i="9"/>
  <c r="E59" i="9"/>
  <c r="C75" i="9"/>
  <c r="E51" i="9"/>
  <c r="E35" i="9"/>
  <c r="E11" i="9"/>
  <c r="D106" i="9"/>
  <c r="E90" i="9"/>
  <c r="C66" i="9"/>
  <c r="C42" i="9"/>
  <c r="E26" i="9"/>
  <c r="D113" i="9"/>
  <c r="D89" i="9"/>
  <c r="D73" i="9"/>
  <c r="C122" i="9"/>
  <c r="C112" i="9"/>
  <c r="E96" i="9"/>
  <c r="D72" i="9"/>
  <c r="C48" i="9"/>
  <c r="E32" i="9"/>
  <c r="D8" i="9"/>
  <c r="E110" i="9"/>
  <c r="D78" i="9"/>
  <c r="C30" i="9"/>
  <c r="C93" i="9"/>
  <c r="D53" i="9"/>
  <c r="C5" i="9"/>
  <c r="D76" i="9"/>
  <c r="C44" i="9"/>
  <c r="C65" i="9"/>
  <c r="D119" i="9"/>
  <c r="C103" i="9"/>
  <c r="E79" i="9"/>
  <c r="C55" i="9"/>
  <c r="C39" i="9"/>
  <c r="C102" i="9"/>
  <c r="E54" i="9"/>
  <c r="D22" i="9"/>
  <c r="C85" i="9"/>
  <c r="C45" i="9"/>
  <c r="E13" i="9"/>
  <c r="E68" i="9"/>
  <c r="E20" i="9"/>
  <c r="C57" i="9"/>
  <c r="C118" i="9"/>
  <c r="D91" i="9"/>
  <c r="D75" i="9"/>
  <c r="C51" i="9"/>
  <c r="D27" i="9"/>
  <c r="D11" i="9"/>
  <c r="C106" i="9"/>
  <c r="D82" i="9"/>
  <c r="E66" i="9"/>
  <c r="D42" i="9"/>
  <c r="C18" i="9"/>
  <c r="C113" i="9"/>
  <c r="E89" i="9"/>
  <c r="D49" i="9"/>
  <c r="E122" i="9"/>
  <c r="D112" i="9"/>
  <c r="C88" i="9"/>
  <c r="E72" i="9"/>
  <c r="D48" i="9"/>
  <c r="C24" i="9"/>
  <c r="E8" i="9"/>
  <c r="C110" i="9"/>
  <c r="E62" i="9"/>
  <c r="D30" i="9"/>
  <c r="E93" i="9"/>
  <c r="D37" i="9"/>
  <c r="E5" i="9"/>
  <c r="E76" i="9"/>
  <c r="D28" i="9"/>
  <c r="D65" i="9"/>
  <c r="C119" i="9"/>
  <c r="D95" i="9"/>
  <c r="C79" i="9"/>
  <c r="D55" i="9"/>
  <c r="D23" i="9"/>
  <c r="D102" i="9"/>
  <c r="C54" i="9"/>
  <c r="E6" i="9"/>
  <c r="D85" i="9"/>
  <c r="D45" i="9"/>
  <c r="D108" i="9"/>
  <c r="C68" i="9"/>
  <c r="D20" i="9"/>
  <c r="E33" i="9"/>
  <c r="D118" i="9"/>
  <c r="D67" i="9"/>
  <c r="D3" i="9"/>
  <c r="C82" i="9"/>
  <c r="C58" i="9"/>
  <c r="D18" i="9"/>
  <c r="E105" i="9"/>
  <c r="E49" i="9"/>
  <c r="D121" i="9"/>
  <c r="D88" i="9"/>
  <c r="C64" i="9"/>
  <c r="D24" i="9"/>
  <c r="C31" i="9"/>
  <c r="C62" i="9"/>
  <c r="E14" i="9"/>
  <c r="C37" i="9"/>
  <c r="E100" i="9"/>
  <c r="E28" i="9"/>
  <c r="C41" i="9"/>
  <c r="E95" i="9"/>
  <c r="E71" i="9"/>
  <c r="C23" i="9"/>
  <c r="E86" i="9"/>
  <c r="C6" i="9"/>
  <c r="D77" i="9"/>
  <c r="E108" i="9"/>
  <c r="D52" i="9"/>
  <c r="C33" i="9"/>
  <c r="E117" i="9"/>
  <c r="C3" i="9"/>
  <c r="C98" i="9"/>
  <c r="D58" i="9"/>
  <c r="D34" i="9"/>
  <c r="C105" i="9"/>
  <c r="D81" i="9"/>
  <c r="E121" i="9"/>
  <c r="C104" i="9"/>
  <c r="D64" i="9"/>
  <c r="C40" i="9"/>
  <c r="E31" i="9"/>
  <c r="E94" i="9"/>
  <c r="C14" i="9"/>
  <c r="C69" i="9"/>
  <c r="D100" i="9"/>
  <c r="D60" i="9"/>
  <c r="E41" i="9"/>
  <c r="D111" i="9"/>
  <c r="D71" i="9"/>
  <c r="D47" i="9"/>
  <c r="C86" i="9"/>
  <c r="E38" i="9"/>
  <c r="C77" i="9"/>
  <c r="C29" i="9"/>
  <c r="E52" i="9"/>
  <c r="D4" i="9"/>
  <c r="C117" i="9"/>
  <c r="E43" i="9"/>
  <c r="E19" i="9"/>
  <c r="D98" i="9"/>
  <c r="C74" i="9"/>
  <c r="C34" i="9"/>
  <c r="D10" i="9"/>
  <c r="E81" i="9"/>
  <c r="D25" i="9"/>
  <c r="D104" i="9"/>
  <c r="C80" i="9"/>
  <c r="D40" i="9"/>
  <c r="C16" i="9"/>
  <c r="C94" i="9"/>
  <c r="E46" i="9"/>
  <c r="D69" i="9"/>
  <c r="C21" i="9"/>
  <c r="E60" i="9"/>
  <c r="D12" i="9"/>
  <c r="E111" i="9"/>
  <c r="C87" i="9"/>
  <c r="E47" i="9"/>
  <c r="D7" i="9"/>
  <c r="C38" i="9"/>
  <c r="C101" i="9"/>
  <c r="E29" i="9"/>
  <c r="E84" i="9"/>
  <c r="E4" i="9"/>
  <c r="C9" i="9"/>
  <c r="D59" i="9"/>
  <c r="C19" i="9"/>
  <c r="C114" i="9"/>
  <c r="D74" i="9"/>
  <c r="D50" i="9"/>
  <c r="C10" i="9"/>
  <c r="E97" i="9"/>
  <c r="E25" i="9"/>
  <c r="C120" i="9"/>
  <c r="D80" i="9"/>
  <c r="C56" i="9"/>
  <c r="D16" i="9"/>
  <c r="D15" i="9"/>
  <c r="C46" i="9"/>
  <c r="D109" i="9"/>
  <c r="E21" i="9"/>
  <c r="D92" i="9"/>
  <c r="E12" i="9"/>
  <c r="D17" i="9"/>
  <c r="D87" i="9"/>
  <c r="D63" i="9"/>
  <c r="E7" i="9"/>
  <c r="E70" i="9"/>
  <c r="D101" i="9"/>
  <c r="C61" i="9"/>
  <c r="D84" i="9"/>
  <c r="E36" i="9"/>
  <c r="E9" i="9"/>
  <c r="E116" i="9"/>
  <c r="D35" i="9"/>
  <c r="D114" i="9"/>
  <c r="D90" i="9"/>
  <c r="C50" i="9"/>
  <c r="C26" i="9"/>
  <c r="C97" i="9"/>
  <c r="C73" i="9"/>
  <c r="D120" i="9"/>
  <c r="C96" i="9"/>
  <c r="D56" i="9"/>
  <c r="C32" i="9"/>
  <c r="E15" i="9"/>
  <c r="E78" i="9"/>
  <c r="C109" i="9"/>
  <c r="E53" i="9"/>
  <c r="E92" i="9"/>
  <c r="E44" i="9"/>
  <c r="E17" i="9"/>
  <c r="E103" i="9"/>
  <c r="E63" i="9"/>
  <c r="D39" i="9"/>
  <c r="C70" i="9"/>
  <c r="E22" i="9"/>
  <c r="E61" i="9"/>
  <c r="C13" i="9"/>
  <c r="D36" i="9"/>
  <c r="E57" i="9"/>
  <c r="D116" i="9"/>
  <c r="B94" i="9"/>
  <c r="H94" i="9"/>
  <c r="G94" i="9"/>
  <c r="B110" i="9"/>
  <c r="G110" i="9"/>
  <c r="H110" i="9"/>
  <c r="B49" i="9"/>
  <c r="G49" i="9"/>
  <c r="H65" i="9"/>
  <c r="B65" i="9"/>
  <c r="G65" i="9"/>
  <c r="H81" i="9"/>
  <c r="B81" i="9"/>
  <c r="G81" i="9"/>
  <c r="H97" i="9"/>
  <c r="B97" i="9"/>
  <c r="G97" i="9"/>
  <c r="H9" i="9"/>
  <c r="G9" i="9"/>
  <c r="B9" i="9"/>
  <c r="G30" i="9"/>
  <c r="B30" i="9"/>
  <c r="H30" i="9"/>
  <c r="B62" i="9"/>
  <c r="H62" i="9"/>
  <c r="G62" i="9"/>
  <c r="B78" i="9"/>
  <c r="G78" i="9"/>
  <c r="H78" i="9"/>
  <c r="H11" i="9"/>
  <c r="B11" i="9"/>
  <c r="H17" i="9"/>
  <c r="G17" i="9"/>
  <c r="B17" i="9"/>
  <c r="H27" i="9"/>
  <c r="B27" i="9"/>
  <c r="H33" i="9"/>
  <c r="G33" i="9"/>
  <c r="B33" i="9"/>
  <c r="G43" i="9"/>
  <c r="B43" i="9"/>
  <c r="G59" i="9"/>
  <c r="B59" i="9"/>
  <c r="H59" i="9"/>
  <c r="G75" i="9"/>
  <c r="H75" i="9"/>
  <c r="B75" i="9"/>
  <c r="G91" i="9"/>
  <c r="H91" i="9"/>
  <c r="B91" i="9"/>
  <c r="G107" i="9"/>
  <c r="H107" i="9"/>
  <c r="B107" i="9"/>
  <c r="H113" i="9"/>
  <c r="B113" i="9"/>
  <c r="G113" i="9"/>
  <c r="B6" i="9"/>
  <c r="H6" i="9"/>
  <c r="G6" i="9"/>
  <c r="H12" i="9"/>
  <c r="G12" i="9"/>
  <c r="B12" i="9"/>
  <c r="H28" i="9"/>
  <c r="G28" i="9"/>
  <c r="B28" i="9"/>
  <c r="H44" i="9"/>
  <c r="G44" i="9"/>
  <c r="B44" i="9"/>
  <c r="H60" i="9"/>
  <c r="G60" i="9"/>
  <c r="B60" i="9"/>
  <c r="H76" i="9"/>
  <c r="G76" i="9"/>
  <c r="B76" i="9"/>
  <c r="H92" i="9"/>
  <c r="G92" i="9"/>
  <c r="B92" i="9"/>
  <c r="H108" i="9"/>
  <c r="G108" i="9"/>
  <c r="B108" i="9"/>
  <c r="H22" i="9"/>
  <c r="G22" i="9"/>
  <c r="H38" i="9"/>
  <c r="G38" i="9"/>
  <c r="B54" i="9"/>
  <c r="H54" i="9"/>
  <c r="G54" i="9"/>
  <c r="B70" i="9"/>
  <c r="G70" i="9"/>
  <c r="H70" i="9"/>
  <c r="B86" i="9"/>
  <c r="G86" i="9"/>
  <c r="H86" i="9"/>
  <c r="B102" i="9"/>
  <c r="G102" i="9"/>
  <c r="H102" i="9"/>
  <c r="B38" i="9"/>
  <c r="B46" i="9"/>
  <c r="H46" i="9"/>
  <c r="G46" i="9"/>
  <c r="H25" i="9"/>
  <c r="B25" i="9"/>
  <c r="G25" i="9"/>
  <c r="H35" i="9"/>
  <c r="G35" i="9"/>
  <c r="B35" i="9"/>
  <c r="H41" i="9"/>
  <c r="B41" i="9"/>
  <c r="G41" i="9"/>
  <c r="G51" i="9"/>
  <c r="H51" i="9"/>
  <c r="B51" i="9"/>
  <c r="H57" i="9"/>
  <c r="G57" i="9"/>
  <c r="B57" i="9"/>
  <c r="H73" i="9"/>
  <c r="G73" i="9"/>
  <c r="B73" i="9"/>
  <c r="G83" i="9"/>
  <c r="H83" i="9"/>
  <c r="H89" i="9"/>
  <c r="B89" i="9"/>
  <c r="G89" i="9"/>
  <c r="G99" i="9"/>
  <c r="H99" i="9"/>
  <c r="B99" i="9"/>
  <c r="H105" i="9"/>
  <c r="G105" i="9"/>
  <c r="B105" i="9"/>
  <c r="H49" i="9"/>
  <c r="B83" i="9"/>
  <c r="G14" i="9"/>
  <c r="B14" i="9"/>
  <c r="H14" i="9"/>
  <c r="H7" i="9"/>
  <c r="G7" i="9"/>
  <c r="B7" i="9"/>
  <c r="H19" i="9"/>
  <c r="G19" i="9"/>
  <c r="B19" i="9"/>
  <c r="G67" i="9"/>
  <c r="H67" i="9"/>
  <c r="B67" i="9"/>
  <c r="G115" i="9"/>
  <c r="H115" i="9"/>
  <c r="H121" i="9"/>
  <c r="B121" i="9"/>
  <c r="G121" i="9"/>
  <c r="H43" i="9"/>
  <c r="H4" i="9"/>
  <c r="G4" i="9"/>
  <c r="B4" i="9"/>
  <c r="H20" i="9"/>
  <c r="G20" i="9"/>
  <c r="B20" i="9"/>
  <c r="H36" i="9"/>
  <c r="G36" i="9"/>
  <c r="B36" i="9"/>
  <c r="B52" i="9"/>
  <c r="H52" i="9"/>
  <c r="G52" i="9"/>
  <c r="H68" i="9"/>
  <c r="G68" i="9"/>
  <c r="B68" i="9"/>
  <c r="H84" i="9"/>
  <c r="G84" i="9"/>
  <c r="B84" i="9"/>
  <c r="H100" i="9"/>
  <c r="G100" i="9"/>
  <c r="B100" i="9"/>
  <c r="H116" i="9"/>
  <c r="G116" i="9"/>
  <c r="B116" i="9"/>
  <c r="G11" i="9"/>
  <c r="B118" i="9"/>
  <c r="G118" i="9"/>
  <c r="H118" i="9"/>
  <c r="G123" i="9"/>
  <c r="H123" i="9"/>
  <c r="B123" i="9"/>
  <c r="G82" i="9"/>
  <c r="H23" i="9"/>
  <c r="G23" i="9"/>
  <c r="B23" i="9"/>
  <c r="H31" i="9"/>
  <c r="G31" i="9"/>
  <c r="B31" i="9"/>
  <c r="H47" i="9"/>
  <c r="B58" i="9"/>
  <c r="B66" i="9"/>
  <c r="H66" i="9"/>
  <c r="G79" i="9"/>
  <c r="B79" i="9"/>
  <c r="H79" i="9"/>
  <c r="B90" i="9"/>
  <c r="H90" i="9"/>
  <c r="G90" i="9"/>
  <c r="G103" i="9"/>
  <c r="B103" i="9"/>
  <c r="B114" i="9"/>
  <c r="H114" i="9"/>
  <c r="G50" i="9"/>
  <c r="G58" i="9"/>
  <c r="G66" i="9"/>
  <c r="G2" i="9"/>
  <c r="B2" i="9"/>
  <c r="H2" i="9"/>
  <c r="G18" i="9"/>
  <c r="B18" i="9"/>
  <c r="H18" i="9"/>
  <c r="G26" i="9"/>
  <c r="B26" i="9"/>
  <c r="H26" i="9"/>
  <c r="H39" i="9"/>
  <c r="G39" i="9"/>
  <c r="B39" i="9"/>
  <c r="H50" i="9"/>
  <c r="G63" i="9"/>
  <c r="B63" i="9"/>
  <c r="H63" i="9"/>
  <c r="B74" i="9"/>
  <c r="H74" i="9"/>
  <c r="G74" i="9"/>
  <c r="G87" i="9"/>
  <c r="B87" i="9"/>
  <c r="B98" i="9"/>
  <c r="H98" i="9"/>
  <c r="G111" i="9"/>
  <c r="B111" i="9"/>
  <c r="H111" i="9"/>
  <c r="B122" i="9"/>
  <c r="H122" i="9"/>
  <c r="G122" i="9"/>
  <c r="B8" i="9"/>
  <c r="B13" i="9"/>
  <c r="G13" i="9"/>
  <c r="B16" i="9"/>
  <c r="B21" i="9"/>
  <c r="G21" i="9"/>
  <c r="B24" i="9"/>
  <c r="B29" i="9"/>
  <c r="G29" i="9"/>
  <c r="B32" i="9"/>
  <c r="B37" i="9"/>
  <c r="G37" i="9"/>
  <c r="B40" i="9"/>
  <c r="G45" i="9"/>
  <c r="B45" i="9"/>
  <c r="H45" i="9"/>
  <c r="H48" i="9"/>
  <c r="G48" i="9"/>
  <c r="B48" i="9"/>
  <c r="H53" i="9"/>
  <c r="H56" i="9"/>
  <c r="B61" i="9"/>
  <c r="H64" i="9"/>
  <c r="B64" i="9"/>
  <c r="G64" i="9"/>
  <c r="G69" i="9"/>
  <c r="H69" i="9"/>
  <c r="B69" i="9"/>
  <c r="H72" i="9"/>
  <c r="B72" i="9"/>
  <c r="G77" i="9"/>
  <c r="H80" i="9"/>
  <c r="B80" i="9"/>
  <c r="G80" i="9"/>
  <c r="G85" i="9"/>
  <c r="H85" i="9"/>
  <c r="B85" i="9"/>
  <c r="H88" i="9"/>
  <c r="B88" i="9"/>
  <c r="G93" i="9"/>
  <c r="H96" i="9"/>
  <c r="B96" i="9"/>
  <c r="G96" i="9"/>
  <c r="G101" i="9"/>
  <c r="H101" i="9"/>
  <c r="B101" i="9"/>
  <c r="H104" i="9"/>
  <c r="B104" i="9"/>
  <c r="G109" i="9"/>
  <c r="H112" i="9"/>
  <c r="B112" i="9"/>
  <c r="G112" i="9"/>
  <c r="G117" i="9"/>
  <c r="H117" i="9"/>
  <c r="B117" i="9"/>
  <c r="H120" i="9"/>
  <c r="B120" i="9"/>
  <c r="H24" i="9"/>
  <c r="H40" i="9"/>
  <c r="H58" i="9"/>
  <c r="H77" i="9"/>
  <c r="G88" i="9"/>
  <c r="H109" i="9"/>
  <c r="G120" i="9"/>
  <c r="B5" i="9"/>
  <c r="G5" i="9"/>
  <c r="H15" i="9"/>
  <c r="G15" i="9"/>
  <c r="B15" i="9"/>
  <c r="G34" i="9"/>
  <c r="B34" i="9"/>
  <c r="H34" i="9"/>
  <c r="G42" i="9"/>
  <c r="B42" i="9"/>
  <c r="H42" i="9"/>
  <c r="B55" i="9"/>
  <c r="G71" i="9"/>
  <c r="B71" i="9"/>
  <c r="B82" i="9"/>
  <c r="H82" i="9"/>
  <c r="G95" i="9"/>
  <c r="B95" i="9"/>
  <c r="H95" i="9"/>
  <c r="B106" i="9"/>
  <c r="H106" i="9"/>
  <c r="G106" i="9"/>
  <c r="G119" i="9"/>
  <c r="B119" i="9"/>
  <c r="B47" i="9"/>
  <c r="B53" i="9"/>
  <c r="A7" i="7" l="1"/>
  <c r="A6" i="7"/>
  <c r="A5" i="7"/>
  <c r="P123" i="9" l="1"/>
  <c r="P122" i="9"/>
  <c r="P121" i="9"/>
  <c r="P120" i="9"/>
  <c r="P119" i="9"/>
  <c r="P118" i="9"/>
  <c r="P117" i="9"/>
  <c r="P116" i="9"/>
  <c r="P115" i="9"/>
  <c r="P114" i="9"/>
  <c r="P113" i="9"/>
  <c r="P112" i="9"/>
  <c r="P111" i="9"/>
  <c r="P110" i="9"/>
  <c r="P109" i="9"/>
  <c r="P108" i="9"/>
  <c r="P107" i="9"/>
  <c r="P106" i="9"/>
  <c r="P105" i="9"/>
  <c r="P104" i="9"/>
  <c r="P102" i="9"/>
  <c r="P101" i="9"/>
  <c r="P100" i="9"/>
  <c r="P99" i="9"/>
  <c r="P98" i="9"/>
  <c r="P97" i="9"/>
  <c r="P96" i="9"/>
  <c r="P95" i="9"/>
  <c r="P94" i="9"/>
  <c r="P93" i="9"/>
  <c r="P92" i="9"/>
  <c r="P90" i="9"/>
  <c r="P89" i="9"/>
  <c r="P88" i="9"/>
  <c r="P87" i="9"/>
  <c r="P86" i="9"/>
  <c r="P85" i="9"/>
  <c r="P84" i="9"/>
  <c r="P82" i="9"/>
  <c r="P81" i="9"/>
  <c r="P80" i="9"/>
  <c r="P79" i="9"/>
  <c r="P78" i="9"/>
  <c r="P77" i="9"/>
  <c r="P76" i="9"/>
  <c r="P75" i="9"/>
  <c r="P74" i="9"/>
  <c r="P73" i="9"/>
  <c r="P72" i="9"/>
  <c r="P71" i="9"/>
  <c r="P70" i="9"/>
  <c r="P69" i="9"/>
  <c r="P68" i="9"/>
  <c r="P67" i="9"/>
  <c r="P66" i="9"/>
  <c r="P65" i="9"/>
  <c r="P64" i="9"/>
  <c r="P63" i="9"/>
  <c r="P62" i="9"/>
  <c r="P61" i="9"/>
  <c r="P60" i="9"/>
  <c r="P59" i="9"/>
  <c r="P58" i="9"/>
  <c r="P57" i="9"/>
  <c r="P56" i="9"/>
  <c r="P55" i="9"/>
  <c r="P54" i="9"/>
  <c r="P53" i="9"/>
  <c r="P52" i="9"/>
  <c r="P51" i="9"/>
  <c r="P50" i="9"/>
  <c r="P49" i="9"/>
  <c r="P48" i="9"/>
  <c r="P46" i="9"/>
  <c r="P45" i="9"/>
  <c r="P44" i="9"/>
  <c r="P42" i="9"/>
  <c r="P41" i="9"/>
  <c r="P40" i="9"/>
  <c r="P39" i="9"/>
  <c r="P38" i="9"/>
  <c r="P37" i="9"/>
  <c r="P36" i="9"/>
  <c r="P34" i="9"/>
  <c r="P33" i="9"/>
  <c r="P32" i="9"/>
  <c r="P31" i="9"/>
  <c r="P30" i="9"/>
  <c r="P29" i="9"/>
  <c r="P28" i="9"/>
  <c r="P26" i="9"/>
  <c r="P25" i="9"/>
  <c r="P24" i="9"/>
  <c r="P23" i="9"/>
  <c r="P22" i="9"/>
  <c r="P21" i="9"/>
  <c r="P20" i="9"/>
  <c r="P18" i="9"/>
  <c r="P17" i="9"/>
  <c r="P16" i="9"/>
  <c r="P15" i="9"/>
  <c r="P14" i="9"/>
  <c r="P13" i="9"/>
  <c r="P12" i="9"/>
  <c r="P10" i="9"/>
  <c r="P9" i="9"/>
  <c r="P8" i="9"/>
  <c r="P7" i="9"/>
  <c r="P6" i="9"/>
  <c r="P5" i="9"/>
  <c r="P4" i="9"/>
  <c r="P3" i="9"/>
  <c r="P2" i="9"/>
  <c r="P43" i="9" l="1"/>
  <c r="P91" i="9"/>
  <c r="P47" i="9"/>
  <c r="O47" i="9" s="1"/>
  <c r="N47" i="9" s="1"/>
  <c r="P11" i="9"/>
  <c r="P19" i="9"/>
  <c r="O19" i="9" s="1"/>
  <c r="N19" i="9" s="1"/>
  <c r="P27" i="9"/>
  <c r="O27" i="9" s="1"/>
  <c r="N27" i="9" s="1"/>
  <c r="P35" i="9"/>
  <c r="O35" i="9" s="1"/>
  <c r="N35" i="9" s="1"/>
  <c r="P83" i="9"/>
  <c r="O83" i="9" s="1"/>
  <c r="N83" i="9" s="1"/>
  <c r="P103" i="9"/>
  <c r="O3" i="9"/>
  <c r="N3" i="9" s="1"/>
  <c r="O9" i="9"/>
  <c r="N9" i="9" s="1"/>
  <c r="O36" i="9"/>
  <c r="N36" i="9" s="1"/>
  <c r="O54" i="9"/>
  <c r="N54" i="9" s="1"/>
  <c r="O56" i="9"/>
  <c r="N56" i="9" s="1"/>
  <c r="O58" i="9"/>
  <c r="N58" i="9" s="1"/>
  <c r="O59" i="9"/>
  <c r="N59" i="9" s="1"/>
  <c r="O60" i="9"/>
  <c r="N60" i="9" s="1"/>
  <c r="O62" i="9"/>
  <c r="N62" i="9" s="1"/>
  <c r="O64" i="9"/>
  <c r="N64" i="9" s="1"/>
  <c r="O66" i="9"/>
  <c r="N66" i="9" s="1"/>
  <c r="O67" i="9"/>
  <c r="N67" i="9" s="1"/>
  <c r="O72" i="9"/>
  <c r="N72" i="9" s="1"/>
  <c r="O74" i="9"/>
  <c r="N74" i="9" s="1"/>
  <c r="O76" i="9"/>
  <c r="N76" i="9" s="1"/>
  <c r="O84" i="9"/>
  <c r="N84" i="9" s="1"/>
  <c r="O92" i="9"/>
  <c r="N92" i="9" s="1"/>
  <c r="O104" i="9"/>
  <c r="N104" i="9" s="1"/>
  <c r="O8" i="9"/>
  <c r="N8" i="9" s="1"/>
  <c r="O10" i="9"/>
  <c r="N10" i="9" s="1"/>
  <c r="O13" i="9"/>
  <c r="N13" i="9" s="1"/>
  <c r="O18" i="9"/>
  <c r="N18" i="9" s="1"/>
  <c r="O20" i="9"/>
  <c r="N20" i="9" s="1"/>
  <c r="O22" i="9"/>
  <c r="N22" i="9" s="1"/>
  <c r="O24" i="9"/>
  <c r="N24" i="9" s="1"/>
  <c r="O25" i="9"/>
  <c r="N25" i="9" s="1"/>
  <c r="O26" i="9"/>
  <c r="N26" i="9" s="1"/>
  <c r="O28" i="9"/>
  <c r="N28" i="9" s="1"/>
  <c r="O29" i="9"/>
  <c r="N29" i="9" s="1"/>
  <c r="O30" i="9"/>
  <c r="N30" i="9" s="1"/>
  <c r="O32" i="9"/>
  <c r="N32" i="9" s="1"/>
  <c r="O33" i="9"/>
  <c r="N33" i="9" s="1"/>
  <c r="O34" i="9"/>
  <c r="N34" i="9" s="1"/>
  <c r="O38" i="9"/>
  <c r="N38" i="9" s="1"/>
  <c r="O40" i="9"/>
  <c r="N40" i="9" s="1"/>
  <c r="O46" i="9"/>
  <c r="N46" i="9" s="1"/>
  <c r="O48" i="9"/>
  <c r="N48" i="9" s="1"/>
  <c r="O52" i="9"/>
  <c r="N52" i="9" s="1"/>
  <c r="O78" i="9"/>
  <c r="N78" i="9" s="1"/>
  <c r="O80" i="9"/>
  <c r="N80" i="9" s="1"/>
  <c r="O86" i="9"/>
  <c r="N86" i="9" s="1"/>
  <c r="O88" i="9"/>
  <c r="N88" i="9" s="1"/>
  <c r="O90" i="9"/>
  <c r="N90" i="9" s="1"/>
  <c r="O98" i="9"/>
  <c r="N98" i="9" s="1"/>
  <c r="O100" i="9"/>
  <c r="N100" i="9" s="1"/>
  <c r="O102" i="9"/>
  <c r="N102" i="9" s="1"/>
  <c r="O106" i="9"/>
  <c r="N106" i="9" s="1"/>
  <c r="O108" i="9"/>
  <c r="N108" i="9" s="1"/>
  <c r="O110" i="9"/>
  <c r="N110" i="9" s="1"/>
  <c r="O112" i="9"/>
  <c r="N112" i="9" s="1"/>
  <c r="O114" i="9"/>
  <c r="N114" i="9" s="1"/>
  <c r="O120" i="9"/>
  <c r="N120" i="9" s="1"/>
  <c r="O122" i="9"/>
  <c r="N122" i="9" s="1"/>
  <c r="O23" i="9"/>
  <c r="N23" i="9" s="1"/>
  <c r="O31" i="9"/>
  <c r="N31" i="9" s="1"/>
  <c r="O39" i="9"/>
  <c r="N39" i="9" s="1"/>
  <c r="O55" i="9"/>
  <c r="N55" i="9" s="1"/>
  <c r="O63" i="9"/>
  <c r="N63" i="9" s="1"/>
  <c r="O71" i="9"/>
  <c r="N71" i="9" s="1"/>
  <c r="O103" i="9"/>
  <c r="N103" i="9" s="1"/>
  <c r="O87" i="9"/>
  <c r="N87" i="9" s="1"/>
  <c r="O99" i="9"/>
  <c r="N99" i="9" s="1"/>
  <c r="O107" i="9"/>
  <c r="N107" i="9" s="1"/>
  <c r="O111" i="9"/>
  <c r="N111" i="9" s="1"/>
  <c r="O115" i="9"/>
  <c r="N115" i="9" s="1"/>
  <c r="O123" i="9"/>
  <c r="N123" i="9" s="1"/>
  <c r="O41" i="9"/>
  <c r="N41" i="9" s="1"/>
  <c r="O49" i="9"/>
  <c r="N49" i="9" s="1"/>
  <c r="O57" i="9"/>
  <c r="N57" i="9" s="1"/>
  <c r="O37" i="9"/>
  <c r="N37" i="9" s="1"/>
  <c r="O53" i="9"/>
  <c r="N53" i="9" s="1"/>
  <c r="O61" i="9"/>
  <c r="N61" i="9" s="1"/>
  <c r="O75" i="9"/>
  <c r="N75" i="9" s="1"/>
  <c r="O77" i="9"/>
  <c r="N77" i="9" s="1"/>
  <c r="O81" i="9"/>
  <c r="N81" i="9" s="1"/>
  <c r="O85" i="9"/>
  <c r="N85" i="9" s="1"/>
  <c r="O89" i="9"/>
  <c r="N89" i="9" s="1"/>
  <c r="O93" i="9"/>
  <c r="N93" i="9" s="1"/>
  <c r="O97" i="9"/>
  <c r="N97" i="9" s="1"/>
  <c r="O101" i="9"/>
  <c r="N101" i="9" s="1"/>
  <c r="O105" i="9"/>
  <c r="N105" i="9" s="1"/>
  <c r="O109" i="9"/>
  <c r="N109" i="9" s="1"/>
  <c r="O121" i="9"/>
  <c r="N121" i="9" s="1"/>
  <c r="Q2" i="9"/>
  <c r="I2" i="9" s="1"/>
  <c r="Q8" i="9"/>
  <c r="I8" i="9" s="1"/>
  <c r="Q10" i="9"/>
  <c r="I10" i="9" s="1"/>
  <c r="Q12" i="9"/>
  <c r="I12" i="9" s="1"/>
  <c r="Q16" i="9"/>
  <c r="I16" i="9" s="1"/>
  <c r="Q22" i="9"/>
  <c r="I22" i="9" s="1"/>
  <c r="Q24" i="9"/>
  <c r="I24" i="9" s="1"/>
  <c r="Q30" i="9"/>
  <c r="I30" i="9" s="1"/>
  <c r="Q38" i="9"/>
  <c r="I38" i="9" s="1"/>
  <c r="Q42" i="9"/>
  <c r="I42" i="9" s="1"/>
  <c r="Q50" i="9"/>
  <c r="I50" i="9" s="1"/>
  <c r="O50" i="9" s="1"/>
  <c r="N50" i="9" s="1"/>
  <c r="Q54" i="9"/>
  <c r="I54" i="9" s="1"/>
  <c r="Q56" i="9"/>
  <c r="I56" i="9" s="1"/>
  <c r="Q58" i="9"/>
  <c r="I58" i="9" s="1"/>
  <c r="Q60" i="9"/>
  <c r="I60" i="9" s="1"/>
  <c r="Q64" i="9"/>
  <c r="I64" i="9" s="1"/>
  <c r="Q66" i="9"/>
  <c r="I66" i="9" s="1"/>
  <c r="Q74" i="9"/>
  <c r="I74" i="9" s="1"/>
  <c r="Q78" i="9"/>
  <c r="I78" i="9" s="1"/>
  <c r="Q82" i="9"/>
  <c r="I82" i="9" s="1"/>
  <c r="O82" i="9" s="1"/>
  <c r="N82" i="9" s="1"/>
  <c r="Q84" i="9"/>
  <c r="I84" i="9" s="1"/>
  <c r="Q86" i="9"/>
  <c r="I86" i="9" s="1"/>
  <c r="Q88" i="9"/>
  <c r="I88" i="9" s="1"/>
  <c r="Q90" i="9"/>
  <c r="I90" i="9" s="1"/>
  <c r="Q92" i="9"/>
  <c r="I92" i="9" s="1"/>
  <c r="Q94" i="9"/>
  <c r="I94" i="9" s="1"/>
  <c r="Q96" i="9"/>
  <c r="I96" i="9" s="1"/>
  <c r="O96" i="9" s="1"/>
  <c r="N96" i="9" s="1"/>
  <c r="Q98" i="9"/>
  <c r="I98" i="9" s="1"/>
  <c r="Q100" i="9"/>
  <c r="I100" i="9" s="1"/>
  <c r="Q102" i="9"/>
  <c r="I102" i="9" s="1"/>
  <c r="Q104" i="9"/>
  <c r="I104" i="9" s="1"/>
  <c r="Q106" i="9"/>
  <c r="I106" i="9" s="1"/>
  <c r="Q108" i="9"/>
  <c r="I108" i="9" s="1"/>
  <c r="Q110" i="9"/>
  <c r="I110" i="9" s="1"/>
  <c r="Q112" i="9"/>
  <c r="I112" i="9" s="1"/>
  <c r="Q114" i="9"/>
  <c r="I114" i="9" s="1"/>
  <c r="Q116" i="9"/>
  <c r="I116" i="9" s="1"/>
  <c r="O116" i="9" s="1"/>
  <c r="N116" i="9" s="1"/>
  <c r="Q118" i="9"/>
  <c r="I118" i="9" s="1"/>
  <c r="O118" i="9" s="1"/>
  <c r="N118" i="9" s="1"/>
  <c r="Q120" i="9"/>
  <c r="I120" i="9" s="1"/>
  <c r="Q122" i="9"/>
  <c r="I122" i="9" s="1"/>
  <c r="Q4" i="9"/>
  <c r="I4" i="9" s="1"/>
  <c r="O4" i="9" s="1"/>
  <c r="N4" i="9" s="1"/>
  <c r="Q6" i="9"/>
  <c r="I6" i="9" s="1"/>
  <c r="Q14" i="9"/>
  <c r="I14" i="9" s="1"/>
  <c r="O14" i="9" s="1"/>
  <c r="N14" i="9" s="1"/>
  <c r="Q18" i="9"/>
  <c r="I18" i="9" s="1"/>
  <c r="Q20" i="9"/>
  <c r="I20" i="9" s="1"/>
  <c r="Q26" i="9"/>
  <c r="I26" i="9" s="1"/>
  <c r="Q28" i="9"/>
  <c r="I28" i="9" s="1"/>
  <c r="Q32" i="9"/>
  <c r="I32" i="9" s="1"/>
  <c r="Q34" i="9"/>
  <c r="I34" i="9" s="1"/>
  <c r="Q36" i="9"/>
  <c r="I36" i="9" s="1"/>
  <c r="Q40" i="9"/>
  <c r="I40" i="9" s="1"/>
  <c r="Q44" i="9"/>
  <c r="I44" i="9" s="1"/>
  <c r="O44" i="9" s="1"/>
  <c r="N44" i="9" s="1"/>
  <c r="Q46" i="9"/>
  <c r="I46" i="9" s="1"/>
  <c r="Q48" i="9"/>
  <c r="I48" i="9" s="1"/>
  <c r="Q52" i="9"/>
  <c r="I52" i="9" s="1"/>
  <c r="Q62" i="9"/>
  <c r="I62" i="9" s="1"/>
  <c r="Q68" i="9"/>
  <c r="I68" i="9" s="1"/>
  <c r="Q70" i="9"/>
  <c r="I70" i="9" s="1"/>
  <c r="O70" i="9" s="1"/>
  <c r="N70" i="9" s="1"/>
  <c r="Q72" i="9"/>
  <c r="I72" i="9" s="1"/>
  <c r="Q76" i="9"/>
  <c r="I76" i="9" s="1"/>
  <c r="Q80" i="9"/>
  <c r="I80" i="9" s="1"/>
  <c r="Q3" i="9"/>
  <c r="I3" i="9" s="1"/>
  <c r="Q5" i="9"/>
  <c r="I5" i="9" s="1"/>
  <c r="Q7" i="9"/>
  <c r="I7" i="9" s="1"/>
  <c r="O7" i="9" s="1"/>
  <c r="N7" i="9" s="1"/>
  <c r="Q9" i="9"/>
  <c r="I9" i="9" s="1"/>
  <c r="Q11" i="9"/>
  <c r="I11" i="9" s="1"/>
  <c r="Q13" i="9"/>
  <c r="I13" i="9" s="1"/>
  <c r="Q15" i="9"/>
  <c r="I15" i="9" s="1"/>
  <c r="Q17" i="9"/>
  <c r="I17" i="9" s="1"/>
  <c r="O17" i="9" s="1"/>
  <c r="N17" i="9" s="1"/>
  <c r="Q19" i="9"/>
  <c r="I19" i="9" s="1"/>
  <c r="Q21" i="9"/>
  <c r="I21" i="9" s="1"/>
  <c r="O21" i="9" s="1"/>
  <c r="N21" i="9" s="1"/>
  <c r="Q23" i="9"/>
  <c r="I23" i="9" s="1"/>
  <c r="Q25" i="9"/>
  <c r="I25" i="9" s="1"/>
  <c r="Q27" i="9"/>
  <c r="I27" i="9" s="1"/>
  <c r="Q29" i="9"/>
  <c r="I29" i="9" s="1"/>
  <c r="Q31" i="9"/>
  <c r="I31" i="9" s="1"/>
  <c r="Q33" i="9"/>
  <c r="I33" i="9" s="1"/>
  <c r="Q35" i="9"/>
  <c r="I35" i="9" s="1"/>
  <c r="Q37" i="9"/>
  <c r="I37" i="9" s="1"/>
  <c r="Q39" i="9"/>
  <c r="I39" i="9" s="1"/>
  <c r="Q41" i="9"/>
  <c r="I41" i="9" s="1"/>
  <c r="Q43" i="9"/>
  <c r="I43" i="9" s="1"/>
  <c r="O43" i="9" s="1"/>
  <c r="N43" i="9" s="1"/>
  <c r="Q45" i="9"/>
  <c r="I45" i="9" s="1"/>
  <c r="Q47" i="9"/>
  <c r="I47" i="9" s="1"/>
  <c r="Q49" i="9"/>
  <c r="I49" i="9" s="1"/>
  <c r="Q51" i="9"/>
  <c r="I51" i="9" s="1"/>
  <c r="O51" i="9" s="1"/>
  <c r="N51" i="9" s="1"/>
  <c r="Q53" i="9"/>
  <c r="I53" i="9" s="1"/>
  <c r="Q55" i="9"/>
  <c r="I55" i="9" s="1"/>
  <c r="Q57" i="9"/>
  <c r="I57" i="9" s="1"/>
  <c r="Q59" i="9"/>
  <c r="I59" i="9" s="1"/>
  <c r="Q61" i="9"/>
  <c r="I61" i="9" s="1"/>
  <c r="Q63" i="9"/>
  <c r="I63" i="9" s="1"/>
  <c r="Q65" i="9"/>
  <c r="I65" i="9" s="1"/>
  <c r="Q67" i="9"/>
  <c r="I67" i="9" s="1"/>
  <c r="Q69" i="9"/>
  <c r="I69" i="9" s="1"/>
  <c r="O69" i="9" s="1"/>
  <c r="N69" i="9" s="1"/>
  <c r="Q71" i="9"/>
  <c r="I71" i="9" s="1"/>
  <c r="Q73" i="9"/>
  <c r="I73" i="9" s="1"/>
  <c r="O73" i="9" s="1"/>
  <c r="N73" i="9" s="1"/>
  <c r="Q75" i="9"/>
  <c r="I75" i="9" s="1"/>
  <c r="Q77" i="9"/>
  <c r="I77" i="9" s="1"/>
  <c r="Q79" i="9"/>
  <c r="I79" i="9" s="1"/>
  <c r="Q81" i="9"/>
  <c r="I81" i="9" s="1"/>
  <c r="Q83" i="9"/>
  <c r="I83" i="9" s="1"/>
  <c r="Q85" i="9"/>
  <c r="I85" i="9" s="1"/>
  <c r="Q87" i="9"/>
  <c r="I87" i="9" s="1"/>
  <c r="Q89" i="9"/>
  <c r="I89" i="9" s="1"/>
  <c r="Q91" i="9"/>
  <c r="I91" i="9" s="1"/>
  <c r="Q93" i="9"/>
  <c r="I93" i="9" s="1"/>
  <c r="Q95" i="9"/>
  <c r="I95" i="9" s="1"/>
  <c r="O95" i="9" s="1"/>
  <c r="N95" i="9" s="1"/>
  <c r="Q97" i="9"/>
  <c r="I97" i="9" s="1"/>
  <c r="Q99" i="9"/>
  <c r="I99" i="9" s="1"/>
  <c r="Q101" i="9"/>
  <c r="I101" i="9" s="1"/>
  <c r="Q103" i="9"/>
  <c r="I103" i="9" s="1"/>
  <c r="Q105" i="9"/>
  <c r="I105" i="9" s="1"/>
  <c r="Q107" i="9"/>
  <c r="I107" i="9" s="1"/>
  <c r="Q109" i="9"/>
  <c r="I109" i="9" s="1"/>
  <c r="Q111" i="9"/>
  <c r="I111" i="9" s="1"/>
  <c r="Q113" i="9"/>
  <c r="I113" i="9" s="1"/>
  <c r="O113" i="9" s="1"/>
  <c r="N113" i="9" s="1"/>
  <c r="Q115" i="9"/>
  <c r="I115" i="9" s="1"/>
  <c r="Q117" i="9"/>
  <c r="I117" i="9" s="1"/>
  <c r="Q119" i="9"/>
  <c r="I119" i="9" s="1"/>
  <c r="Q121" i="9"/>
  <c r="I121" i="9" s="1"/>
  <c r="Q123" i="9"/>
  <c r="I123" i="9" s="1"/>
  <c r="O11" i="9" l="1"/>
  <c r="N11" i="9" s="1"/>
  <c r="O119" i="9"/>
  <c r="N119" i="9" s="1"/>
  <c r="O91" i="9"/>
  <c r="N91" i="9" s="1"/>
  <c r="O65" i="9"/>
  <c r="N65" i="9" s="1"/>
  <c r="O15" i="9"/>
  <c r="N15" i="9" s="1"/>
  <c r="O68" i="9"/>
  <c r="N68" i="9" s="1"/>
  <c r="O12" i="9"/>
  <c r="N12" i="9" s="1"/>
  <c r="O2" i="9"/>
  <c r="N2" i="9" s="1"/>
  <c r="O5" i="9"/>
  <c r="N5" i="9" s="1"/>
  <c r="O94" i="9"/>
  <c r="N94" i="9" s="1"/>
  <c r="O45" i="9" l="1"/>
  <c r="N45" i="9" s="1"/>
  <c r="O16" i="9"/>
  <c r="N16" i="9" s="1"/>
  <c r="O117" i="9"/>
  <c r="N117" i="9" s="1"/>
  <c r="O6" i="9"/>
  <c r="N6" i="9" s="1"/>
  <c r="O79" i="9"/>
  <c r="N79" i="9" s="1"/>
  <c r="O42" i="9"/>
  <c r="N42" i="9" s="1"/>
  <c r="B2" i="8" l="1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5" i="11" l="1"/>
  <c r="A5" i="16" l="1"/>
  <c r="AF3" i="11" l="1" a="1"/>
  <c r="AF3" i="11" s="1"/>
  <c r="AF4" i="11" a="1"/>
  <c r="AF4" i="11" s="1"/>
  <c r="AF5" i="11" a="1"/>
  <c r="AF5" i="11" s="1"/>
  <c r="AF6" i="11" a="1"/>
  <c r="AF6" i="11" s="1"/>
  <c r="AF7" i="11" a="1"/>
  <c r="AF7" i="11" s="1"/>
  <c r="AF8" i="11" a="1"/>
  <c r="AF8" i="11" s="1"/>
  <c r="AF9" i="11" a="1"/>
  <c r="AF9" i="11" s="1"/>
  <c r="AF2" i="11" a="1"/>
  <c r="AF2" i="11" s="1"/>
  <c r="AG3" i="11" a="1"/>
  <c r="AG3" i="11" s="1"/>
  <c r="AG4" i="11" a="1"/>
  <c r="AG4" i="11" s="1"/>
  <c r="AG5" i="11" a="1"/>
  <c r="AG5" i="11" s="1"/>
  <c r="AG6" i="11" a="1"/>
  <c r="AG6" i="11" s="1"/>
  <c r="AG7" i="11" a="1"/>
  <c r="AG7" i="11" s="1"/>
  <c r="AG8" i="11" a="1"/>
  <c r="AG8" i="11" s="1"/>
  <c r="AG9" i="11" a="1"/>
  <c r="AG9" i="11" s="1"/>
  <c r="AG10" i="11" a="1"/>
  <c r="AG10" i="11" s="1"/>
  <c r="AG11" i="11" a="1"/>
  <c r="AG11" i="11" s="1"/>
  <c r="AG12" i="11" a="1"/>
  <c r="AG12" i="11" s="1"/>
  <c r="AG13" i="11" a="1"/>
  <c r="AG13" i="11" s="1"/>
  <c r="AG2" i="11" a="1"/>
  <c r="AG2" i="11" s="1"/>
  <c r="AE18" i="11" a="1"/>
  <c r="AE18" i="11" s="1"/>
  <c r="AE19" i="11" a="1"/>
  <c r="AE19" i="11" s="1"/>
  <c r="AE20" i="11" a="1"/>
  <c r="AE20" i="11" s="1"/>
  <c r="AE21" i="11" a="1"/>
  <c r="AE21" i="11" s="1"/>
  <c r="AE22" i="11" a="1"/>
  <c r="AE22" i="11" s="1"/>
  <c r="AE23" i="11" a="1"/>
  <c r="AE23" i="11" s="1"/>
  <c r="AE24" i="11" a="1"/>
  <c r="AE24" i="11" s="1"/>
  <c r="AE3" i="11" a="1"/>
  <c r="AE3" i="11" s="1"/>
  <c r="AE4" i="11" a="1"/>
  <c r="AE4" i="11" s="1"/>
  <c r="AE5" i="11" a="1"/>
  <c r="AE5" i="11" s="1"/>
  <c r="AE6" i="11" a="1"/>
  <c r="AE6" i="11" s="1"/>
  <c r="AE7" i="11" a="1"/>
  <c r="AE7" i="11" s="1"/>
  <c r="AE8" i="11" a="1"/>
  <c r="AE8" i="11" s="1"/>
  <c r="AE9" i="11" a="1"/>
  <c r="AE9" i="11" s="1"/>
  <c r="AE10" i="11" a="1"/>
  <c r="AE10" i="11" s="1"/>
  <c r="AE11" i="11" a="1"/>
  <c r="AE11" i="11" s="1"/>
  <c r="AE12" i="11" a="1"/>
  <c r="AE12" i="11" s="1"/>
  <c r="AE13" i="11" a="1"/>
  <c r="AE13" i="11" s="1"/>
  <c r="AE14" i="11" a="1"/>
  <c r="AE14" i="11" s="1"/>
  <c r="AE15" i="11" a="1"/>
  <c r="AE15" i="11" s="1"/>
  <c r="AE16" i="11" a="1"/>
  <c r="AE16" i="11" s="1"/>
  <c r="AE17" i="11" a="1"/>
  <c r="AE17" i="11" s="1"/>
  <c r="AE2" i="11" a="1"/>
  <c r="AE2" i="11" s="1"/>
  <c r="AD19" i="11"/>
  <c r="AI19" i="11" s="1"/>
  <c r="AD20" i="11"/>
  <c r="AI20" i="11" s="1"/>
  <c r="AD21" i="11"/>
  <c r="AI21" i="11" s="1"/>
  <c r="AD22" i="11"/>
  <c r="AI22" i="11" s="1"/>
  <c r="AD3" i="11"/>
  <c r="AD4" i="11"/>
  <c r="AD5" i="11"/>
  <c r="AD6" i="11"/>
  <c r="AD7" i="11"/>
  <c r="AD8" i="11"/>
  <c r="AI8" i="11" s="1"/>
  <c r="AD9" i="11"/>
  <c r="AI9" i="11" s="1"/>
  <c r="AD10" i="11"/>
  <c r="AI10" i="11" s="1"/>
  <c r="AD11" i="11"/>
  <c r="AI11" i="11" s="1"/>
  <c r="AD12" i="11"/>
  <c r="AI12" i="11" s="1"/>
  <c r="AD13" i="11"/>
  <c r="AI13" i="11" s="1"/>
  <c r="AD14" i="11"/>
  <c r="AI14" i="11" s="1"/>
  <c r="AD15" i="11"/>
  <c r="AI15" i="11" s="1"/>
  <c r="AD16" i="11"/>
  <c r="AI16" i="11" s="1"/>
  <c r="AD17" i="11"/>
  <c r="AI17" i="11" s="1"/>
  <c r="AD18" i="11"/>
  <c r="AI18" i="11" s="1"/>
  <c r="AD2" i="11"/>
  <c r="B1" i="11" l="1"/>
  <c r="Z99" i="11" l="1"/>
  <c r="Z107" i="11"/>
  <c r="Z115" i="11"/>
  <c r="Z123" i="11"/>
  <c r="Z131" i="11"/>
  <c r="Z139" i="11"/>
  <c r="Z147" i="11"/>
  <c r="Z155" i="11"/>
  <c r="Z163" i="11"/>
  <c r="X96" i="11"/>
  <c r="X104" i="11"/>
  <c r="X112" i="11"/>
  <c r="X120" i="11"/>
  <c r="X128" i="11"/>
  <c r="AB128" i="11" s="1"/>
  <c r="X136" i="11"/>
  <c r="AB136" i="11" s="1"/>
  <c r="X144" i="11"/>
  <c r="AB144" i="11" s="1"/>
  <c r="X152" i="11"/>
  <c r="X160" i="11"/>
  <c r="AB160" i="11" s="1"/>
  <c r="X168" i="11"/>
  <c r="AA168" i="11" s="1" a="1"/>
  <c r="AA168" i="11" s="1"/>
  <c r="Z100" i="11"/>
  <c r="Z108" i="11"/>
  <c r="Z116" i="11"/>
  <c r="Z124" i="11"/>
  <c r="Z132" i="11"/>
  <c r="Z140" i="11"/>
  <c r="Z148" i="11"/>
  <c r="Z156" i="11"/>
  <c r="Z164" i="11"/>
  <c r="X97" i="11"/>
  <c r="X105" i="11"/>
  <c r="X113" i="11"/>
  <c r="X121" i="11"/>
  <c r="X129" i="11"/>
  <c r="X137" i="11"/>
  <c r="X145" i="11"/>
  <c r="AB145" i="11" s="1"/>
  <c r="X153" i="11"/>
  <c r="AB153" i="11" s="1"/>
  <c r="X161" i="11"/>
  <c r="AB161" i="11" s="1"/>
  <c r="X169" i="11"/>
  <c r="AA169" i="11" s="1" a="1"/>
  <c r="AA169" i="11" s="1"/>
  <c r="Z101" i="11"/>
  <c r="Z109" i="11"/>
  <c r="Z117" i="11"/>
  <c r="Z125" i="11"/>
  <c r="Z133" i="11"/>
  <c r="Z141" i="11"/>
  <c r="Z149" i="11"/>
  <c r="Z157" i="11"/>
  <c r="Z165" i="11"/>
  <c r="X98" i="11"/>
  <c r="X106" i="11"/>
  <c r="X114" i="11"/>
  <c r="X122" i="11"/>
  <c r="X130" i="11"/>
  <c r="AB130" i="11" s="1"/>
  <c r="X138" i="11"/>
  <c r="AB138" i="11" s="1"/>
  <c r="X146" i="11"/>
  <c r="AB146" i="11" s="1"/>
  <c r="X154" i="11"/>
  <c r="AB154" i="11" s="1"/>
  <c r="X162" i="11"/>
  <c r="AB162" i="11" s="1"/>
  <c r="Z104" i="11"/>
  <c r="Z118" i="11"/>
  <c r="Z129" i="11"/>
  <c r="Z143" i="11"/>
  <c r="Z154" i="11"/>
  <c r="Z168" i="11"/>
  <c r="X107" i="11"/>
  <c r="X118" i="11"/>
  <c r="X132" i="11"/>
  <c r="X143" i="11"/>
  <c r="X157" i="11"/>
  <c r="AB157" i="11" s="1"/>
  <c r="Z105" i="11"/>
  <c r="Z119" i="11"/>
  <c r="Z130" i="11"/>
  <c r="Z144" i="11"/>
  <c r="Z158" i="11"/>
  <c r="Z169" i="11"/>
  <c r="X108" i="11"/>
  <c r="X119" i="11"/>
  <c r="X133" i="11"/>
  <c r="AB133" i="11" s="1"/>
  <c r="X147" i="11"/>
  <c r="AB147" i="11" s="1"/>
  <c r="X158" i="11"/>
  <c r="AB158" i="11" s="1"/>
  <c r="Z95" i="11"/>
  <c r="Z106" i="11"/>
  <c r="Z120" i="11"/>
  <c r="Z134" i="11"/>
  <c r="Z145" i="11"/>
  <c r="Z159" i="11"/>
  <c r="X95" i="11"/>
  <c r="X109" i="11"/>
  <c r="X123" i="11"/>
  <c r="X134" i="11"/>
  <c r="AB134" i="11" s="1"/>
  <c r="X148" i="11"/>
  <c r="X159" i="11"/>
  <c r="AB159" i="11" s="1"/>
  <c r="Z103" i="11"/>
  <c r="Z114" i="11"/>
  <c r="Z128" i="11"/>
  <c r="Z142" i="11"/>
  <c r="Z153" i="11"/>
  <c r="Z167" i="11"/>
  <c r="X103" i="11"/>
  <c r="X117" i="11"/>
  <c r="X131" i="11"/>
  <c r="AB131" i="11" s="1"/>
  <c r="X142" i="11"/>
  <c r="AB142" i="11" s="1"/>
  <c r="X156" i="11"/>
  <c r="AB156" i="11" s="1"/>
  <c r="X167" i="11"/>
  <c r="AA167" i="11" s="1" a="1"/>
  <c r="AA167" i="11" s="1"/>
  <c r="Z96" i="11"/>
  <c r="Z121" i="11"/>
  <c r="Z146" i="11"/>
  <c r="X99" i="11"/>
  <c r="X124" i="11"/>
  <c r="AB124" i="11" s="1"/>
  <c r="X149" i="11"/>
  <c r="AB149" i="11" s="1"/>
  <c r="Z97" i="11"/>
  <c r="Z122" i="11"/>
  <c r="Z150" i="11"/>
  <c r="X100" i="11"/>
  <c r="X125" i="11"/>
  <c r="AB125" i="11" s="1"/>
  <c r="X150" i="11"/>
  <c r="AB150" i="11" s="1"/>
  <c r="Z98" i="11"/>
  <c r="Z126" i="11"/>
  <c r="Z151" i="11"/>
  <c r="X101" i="11"/>
  <c r="X126" i="11"/>
  <c r="X151" i="11"/>
  <c r="AB151" i="11" s="1"/>
  <c r="Z111" i="11"/>
  <c r="Z136" i="11"/>
  <c r="Z161" i="11"/>
  <c r="X111" i="11"/>
  <c r="X139" i="11"/>
  <c r="AB139" i="11" s="1"/>
  <c r="X164" i="11"/>
  <c r="AA164" i="11" s="1" a="1"/>
  <c r="AA164" i="11" s="1"/>
  <c r="Z113" i="11"/>
  <c r="Z138" i="11"/>
  <c r="Z166" i="11"/>
  <c r="X116" i="11"/>
  <c r="X141" i="11"/>
  <c r="AB141" i="11" s="1"/>
  <c r="X166" i="11"/>
  <c r="AA166" i="11" s="1" a="1"/>
  <c r="AA166" i="11" s="1"/>
  <c r="Z152" i="11"/>
  <c r="X140" i="11"/>
  <c r="AB140" i="11" s="1"/>
  <c r="Z160" i="11"/>
  <c r="X155" i="11"/>
  <c r="AB155" i="11" s="1"/>
  <c r="Z102" i="11"/>
  <c r="Z162" i="11"/>
  <c r="X163" i="11"/>
  <c r="AB163" i="11" s="1"/>
  <c r="Z127" i="11"/>
  <c r="X115" i="11"/>
  <c r="Z137" i="11"/>
  <c r="X135" i="11"/>
  <c r="AB135" i="11" s="1"/>
  <c r="Z112" i="11"/>
  <c r="Z135" i="11"/>
  <c r="X102" i="11"/>
  <c r="X165" i="11"/>
  <c r="AA165" i="11" s="1" a="1"/>
  <c r="AA165" i="11" s="1"/>
  <c r="Z110" i="11"/>
  <c r="X127" i="11"/>
  <c r="AB127" i="11" s="1"/>
  <c r="X110" i="11"/>
  <c r="Y124" i="11"/>
  <c r="Y126" i="11"/>
  <c r="Y128" i="11"/>
  <c r="Y130" i="11"/>
  <c r="Y132" i="11"/>
  <c r="Y134" i="11"/>
  <c r="Y136" i="11"/>
  <c r="Y138" i="11"/>
  <c r="Y140" i="11"/>
  <c r="Y142" i="11"/>
  <c r="Y144" i="11"/>
  <c r="Y146" i="11"/>
  <c r="Y148" i="11"/>
  <c r="Y150" i="11"/>
  <c r="Y152" i="11"/>
  <c r="Y154" i="11"/>
  <c r="Y156" i="11"/>
  <c r="Y158" i="11"/>
  <c r="Y160" i="11"/>
  <c r="Y162" i="11"/>
  <c r="Y164" i="11"/>
  <c r="Y166" i="11"/>
  <c r="Y168" i="11"/>
  <c r="Y125" i="11"/>
  <c r="Y127" i="11"/>
  <c r="Y129" i="11"/>
  <c r="Y131" i="11"/>
  <c r="Y133" i="11"/>
  <c r="Y135" i="11"/>
  <c r="Y137" i="11"/>
  <c r="Y139" i="11"/>
  <c r="Y141" i="11"/>
  <c r="Y143" i="11"/>
  <c r="Y145" i="11"/>
  <c r="Y147" i="11"/>
  <c r="Y149" i="11"/>
  <c r="Y151" i="11"/>
  <c r="Y153" i="11"/>
  <c r="Y155" i="11"/>
  <c r="Y157" i="11"/>
  <c r="Y159" i="11"/>
  <c r="Y161" i="11"/>
  <c r="Y163" i="11"/>
  <c r="Y165" i="11"/>
  <c r="Y167" i="11"/>
  <c r="Y169" i="11"/>
  <c r="Z4" i="11"/>
  <c r="Z6" i="11"/>
  <c r="Z8" i="11"/>
  <c r="Z10" i="11"/>
  <c r="Z12" i="11"/>
  <c r="Z14" i="11"/>
  <c r="Z16" i="11"/>
  <c r="Z18" i="11"/>
  <c r="Z20" i="11"/>
  <c r="Z22" i="11"/>
  <c r="Z24" i="11"/>
  <c r="Z26" i="11"/>
  <c r="Z28" i="11"/>
  <c r="Z30" i="11"/>
  <c r="Z32" i="11"/>
  <c r="Z34" i="11"/>
  <c r="Z36" i="11"/>
  <c r="Z38" i="11"/>
  <c r="Z40" i="11"/>
  <c r="Z42" i="11"/>
  <c r="Z44" i="11"/>
  <c r="Z46" i="11"/>
  <c r="Z48" i="11"/>
  <c r="Z50" i="11"/>
  <c r="Z52" i="11"/>
  <c r="Z54" i="11"/>
  <c r="Z56" i="11"/>
  <c r="Z58" i="11"/>
  <c r="Z60" i="11"/>
  <c r="Z62" i="11"/>
  <c r="Z64" i="11"/>
  <c r="Z66" i="11"/>
  <c r="Z68" i="11"/>
  <c r="Z70" i="11"/>
  <c r="Z72" i="11"/>
  <c r="Z74" i="11"/>
  <c r="Z76" i="11"/>
  <c r="Z78" i="11"/>
  <c r="Z80" i="11"/>
  <c r="Z82" i="11"/>
  <c r="Z84" i="11"/>
  <c r="Z86" i="11"/>
  <c r="Z88" i="11"/>
  <c r="Z90" i="11"/>
  <c r="Z92" i="11"/>
  <c r="Z94" i="11"/>
  <c r="Z2" i="11"/>
  <c r="Z3" i="11"/>
  <c r="Z5" i="11"/>
  <c r="Z7" i="11"/>
  <c r="Z9" i="11"/>
  <c r="Z11" i="11"/>
  <c r="Z13" i="11"/>
  <c r="Z15" i="11"/>
  <c r="Z17" i="11"/>
  <c r="Z19" i="11"/>
  <c r="Z21" i="11"/>
  <c r="Z23" i="11"/>
  <c r="Z25" i="11"/>
  <c r="Z27" i="11"/>
  <c r="Z29" i="11"/>
  <c r="Z31" i="11"/>
  <c r="Z33" i="11"/>
  <c r="Z35" i="11"/>
  <c r="Z37" i="11"/>
  <c r="Z39" i="11"/>
  <c r="Z41" i="11"/>
  <c r="Z43" i="11"/>
  <c r="Z45" i="11"/>
  <c r="Z47" i="11"/>
  <c r="Z49" i="11"/>
  <c r="Z51" i="11"/>
  <c r="Z53" i="11"/>
  <c r="Z55" i="11"/>
  <c r="Z57" i="11"/>
  <c r="Z59" i="11"/>
  <c r="Z61" i="11"/>
  <c r="Z63" i="11"/>
  <c r="Z65" i="11"/>
  <c r="Z67" i="11"/>
  <c r="Z69" i="11"/>
  <c r="Z71" i="11"/>
  <c r="Z73" i="11"/>
  <c r="Z75" i="11"/>
  <c r="Z77" i="11"/>
  <c r="Z79" i="11"/>
  <c r="Z81" i="11"/>
  <c r="Z83" i="11"/>
  <c r="Z85" i="11"/>
  <c r="Z87" i="11"/>
  <c r="Z89" i="11"/>
  <c r="Z91" i="11"/>
  <c r="Z93" i="11"/>
  <c r="W4" i="11"/>
  <c r="W6" i="11"/>
  <c r="W8" i="11"/>
  <c r="W10" i="11"/>
  <c r="W12" i="11"/>
  <c r="W14" i="11"/>
  <c r="W16" i="11"/>
  <c r="W18" i="11"/>
  <c r="W20" i="11"/>
  <c r="W22" i="11"/>
  <c r="W24" i="11"/>
  <c r="W26" i="11"/>
  <c r="W28" i="11"/>
  <c r="W30" i="11"/>
  <c r="W32" i="11"/>
  <c r="W34" i="11"/>
  <c r="W36" i="11"/>
  <c r="W38" i="11"/>
  <c r="W40" i="11"/>
  <c r="W42" i="11"/>
  <c r="W44" i="11"/>
  <c r="W46" i="11"/>
  <c r="W48" i="11"/>
  <c r="W50" i="11"/>
  <c r="W52" i="11"/>
  <c r="W54" i="11"/>
  <c r="W56" i="11"/>
  <c r="W58" i="11"/>
  <c r="W60" i="11"/>
  <c r="W62" i="11"/>
  <c r="W64" i="11"/>
  <c r="W66" i="11"/>
  <c r="W68" i="11"/>
  <c r="W70" i="11"/>
  <c r="W72" i="11"/>
  <c r="W74" i="11"/>
  <c r="W76" i="11"/>
  <c r="W78" i="11"/>
  <c r="W80" i="11"/>
  <c r="W82" i="11"/>
  <c r="W84" i="11"/>
  <c r="W86" i="11"/>
  <c r="W88" i="11"/>
  <c r="W90" i="11"/>
  <c r="W92" i="11"/>
  <c r="W94" i="11"/>
  <c r="W96" i="11"/>
  <c r="W98" i="11"/>
  <c r="W100" i="11"/>
  <c r="W102" i="11"/>
  <c r="W104" i="11"/>
  <c r="W106" i="11"/>
  <c r="W108" i="11"/>
  <c r="W110" i="11"/>
  <c r="W112" i="11"/>
  <c r="W114" i="11"/>
  <c r="W116" i="11"/>
  <c r="W118" i="11"/>
  <c r="W120" i="11"/>
  <c r="W122" i="11"/>
  <c r="W124" i="11"/>
  <c r="W126" i="11"/>
  <c r="W128" i="11"/>
  <c r="W130" i="11"/>
  <c r="W132" i="11"/>
  <c r="W134" i="11"/>
  <c r="W136" i="11"/>
  <c r="W138" i="11"/>
  <c r="W140" i="11"/>
  <c r="W142" i="11"/>
  <c r="W144" i="11"/>
  <c r="W146" i="11"/>
  <c r="W148" i="11"/>
  <c r="W150" i="11"/>
  <c r="W152" i="11"/>
  <c r="W154" i="11"/>
  <c r="W156" i="11"/>
  <c r="W158" i="11"/>
  <c r="W160" i="11"/>
  <c r="W162" i="11"/>
  <c r="W164" i="11"/>
  <c r="W166" i="11"/>
  <c r="W168" i="11"/>
  <c r="W2" i="11"/>
  <c r="X4" i="11"/>
  <c r="X6" i="11"/>
  <c r="X8" i="11"/>
  <c r="X10" i="11"/>
  <c r="W3" i="11"/>
  <c r="W5" i="11"/>
  <c r="W7" i="11"/>
  <c r="W9" i="11"/>
  <c r="W11" i="11"/>
  <c r="W13" i="11"/>
  <c r="W15" i="11"/>
  <c r="W17" i="11"/>
  <c r="W19" i="11"/>
  <c r="W21" i="11"/>
  <c r="W23" i="11"/>
  <c r="W25" i="11"/>
  <c r="W27" i="11"/>
  <c r="W29" i="11"/>
  <c r="W31" i="11"/>
  <c r="W33" i="11"/>
  <c r="W35" i="11"/>
  <c r="W37" i="11"/>
  <c r="W39" i="11"/>
  <c r="W41" i="11"/>
  <c r="W43" i="11"/>
  <c r="W45" i="11"/>
  <c r="W47" i="11"/>
  <c r="W49" i="11"/>
  <c r="W51" i="11"/>
  <c r="W53" i="11"/>
  <c r="W55" i="11"/>
  <c r="W57" i="11"/>
  <c r="W59" i="11"/>
  <c r="W61" i="11"/>
  <c r="W63" i="11"/>
  <c r="W65" i="11"/>
  <c r="W67" i="11"/>
  <c r="W69" i="11"/>
  <c r="W71" i="11"/>
  <c r="W73" i="11"/>
  <c r="W75" i="11"/>
  <c r="W77" i="11"/>
  <c r="W79" i="11"/>
  <c r="W81" i="11"/>
  <c r="W83" i="11"/>
  <c r="W85" i="11"/>
  <c r="W87" i="11"/>
  <c r="W89" i="11"/>
  <c r="W91" i="11"/>
  <c r="W93" i="11"/>
  <c r="W95" i="11"/>
  <c r="W97" i="11"/>
  <c r="W99" i="11"/>
  <c r="W101" i="11"/>
  <c r="W103" i="11"/>
  <c r="W105" i="11"/>
  <c r="W107" i="11"/>
  <c r="W109" i="11"/>
  <c r="W111" i="11"/>
  <c r="W113" i="11"/>
  <c r="W115" i="11"/>
  <c r="W117" i="11"/>
  <c r="W119" i="11"/>
  <c r="W121" i="11"/>
  <c r="W123" i="11"/>
  <c r="W125" i="11"/>
  <c r="W127" i="11"/>
  <c r="W129" i="11"/>
  <c r="W131" i="11"/>
  <c r="W133" i="11"/>
  <c r="W135" i="11"/>
  <c r="W137" i="11"/>
  <c r="W139" i="11"/>
  <c r="W141" i="11"/>
  <c r="W143" i="11"/>
  <c r="W145" i="11"/>
  <c r="W147" i="11"/>
  <c r="W149" i="11"/>
  <c r="W151" i="11"/>
  <c r="W153" i="11"/>
  <c r="W155" i="11"/>
  <c r="W157" i="11"/>
  <c r="W159" i="11"/>
  <c r="W161" i="11"/>
  <c r="W163" i="11"/>
  <c r="W165" i="11"/>
  <c r="W167" i="11"/>
  <c r="W169" i="11"/>
  <c r="X3" i="11"/>
  <c r="X5" i="11"/>
  <c r="X7" i="11"/>
  <c r="X9" i="11"/>
  <c r="X12" i="11"/>
  <c r="X14" i="11"/>
  <c r="X16" i="11"/>
  <c r="X18" i="11"/>
  <c r="X20" i="11"/>
  <c r="X22" i="11"/>
  <c r="X24" i="11"/>
  <c r="X26" i="11"/>
  <c r="X28" i="11"/>
  <c r="X30" i="11"/>
  <c r="X32" i="11"/>
  <c r="X34" i="11"/>
  <c r="X36" i="11"/>
  <c r="X38" i="11"/>
  <c r="X40" i="11"/>
  <c r="X42" i="11"/>
  <c r="X44" i="11"/>
  <c r="X46" i="11"/>
  <c r="X48" i="11"/>
  <c r="X50" i="11"/>
  <c r="X52" i="11"/>
  <c r="X54" i="11"/>
  <c r="X56" i="11"/>
  <c r="X58" i="11"/>
  <c r="X60" i="11"/>
  <c r="X62" i="11"/>
  <c r="X64" i="11"/>
  <c r="X66" i="11"/>
  <c r="X68" i="11"/>
  <c r="X70" i="11"/>
  <c r="X72" i="11"/>
  <c r="X74" i="11"/>
  <c r="X76" i="11"/>
  <c r="X78" i="11"/>
  <c r="X80" i="11"/>
  <c r="X82" i="11"/>
  <c r="X84" i="11"/>
  <c r="X86" i="11"/>
  <c r="X88" i="11"/>
  <c r="X90" i="11"/>
  <c r="X92" i="11"/>
  <c r="X94" i="11"/>
  <c r="AB126" i="11"/>
  <c r="AB132" i="11"/>
  <c r="AB148" i="11"/>
  <c r="AB152" i="11"/>
  <c r="X2" i="11"/>
  <c r="X11" i="11"/>
  <c r="X13" i="11"/>
  <c r="X15" i="11"/>
  <c r="X17" i="11"/>
  <c r="X19" i="11"/>
  <c r="X21" i="11"/>
  <c r="X23" i="11"/>
  <c r="X25" i="11"/>
  <c r="X27" i="11"/>
  <c r="X29" i="11"/>
  <c r="X31" i="11"/>
  <c r="X33" i="11"/>
  <c r="X35" i="11"/>
  <c r="X37" i="11"/>
  <c r="X39" i="11"/>
  <c r="X41" i="11"/>
  <c r="X43" i="11"/>
  <c r="X45" i="11"/>
  <c r="X47" i="11"/>
  <c r="X49" i="11"/>
  <c r="X51" i="11"/>
  <c r="X53" i="11"/>
  <c r="X55" i="11"/>
  <c r="X57" i="11"/>
  <c r="X59" i="11"/>
  <c r="X61" i="11"/>
  <c r="X63" i="11"/>
  <c r="X65" i="11"/>
  <c r="X67" i="11"/>
  <c r="X69" i="11"/>
  <c r="X71" i="11"/>
  <c r="X73" i="11"/>
  <c r="X75" i="11"/>
  <c r="X77" i="11"/>
  <c r="X79" i="11"/>
  <c r="X81" i="11"/>
  <c r="X83" i="11"/>
  <c r="X85" i="11"/>
  <c r="X87" i="11"/>
  <c r="X89" i="11"/>
  <c r="X91" i="11"/>
  <c r="X93" i="11"/>
  <c r="AB129" i="11"/>
  <c r="AB137" i="11"/>
  <c r="AB143" i="11"/>
  <c r="A31" i="22"/>
  <c r="A30" i="22"/>
  <c r="A29" i="22"/>
  <c r="A28" i="22"/>
  <c r="A27" i="22"/>
  <c r="A26" i="22"/>
  <c r="A25" i="22"/>
  <c r="A24" i="22"/>
  <c r="A23" i="22"/>
  <c r="A22" i="22"/>
  <c r="A21" i="22"/>
  <c r="A20" i="22"/>
  <c r="A19" i="22"/>
  <c r="A18" i="22"/>
  <c r="A17" i="22"/>
  <c r="A16" i="22"/>
  <c r="A15" i="22"/>
  <c r="A14" i="22"/>
  <c r="A13" i="22"/>
  <c r="A12" i="22"/>
  <c r="A11" i="22"/>
  <c r="A10" i="22"/>
  <c r="A9" i="22"/>
  <c r="A8" i="22"/>
  <c r="A7" i="22"/>
  <c r="A6" i="22"/>
  <c r="A5" i="22"/>
  <c r="A4" i="22"/>
  <c r="A3" i="22"/>
  <c r="A2" i="22"/>
  <c r="F3" i="19"/>
  <c r="F4" i="19" s="1"/>
  <c r="F5" i="19" s="1"/>
  <c r="F6" i="19" s="1"/>
  <c r="F7" i="19" s="1"/>
  <c r="F8" i="19" s="1"/>
  <c r="F9" i="19" s="1"/>
  <c r="F10" i="19" s="1"/>
  <c r="F11" i="19" s="1"/>
  <c r="F12" i="19" s="1"/>
  <c r="F13" i="19" s="1"/>
  <c r="F14" i="19" s="1"/>
  <c r="F15" i="19" s="1"/>
  <c r="F16" i="19" s="1"/>
  <c r="F17" i="19" s="1"/>
  <c r="F18" i="19" s="1"/>
  <c r="F19" i="19" s="1"/>
  <c r="F20" i="19" s="1"/>
  <c r="F21" i="19" s="1"/>
  <c r="F22" i="19" s="1"/>
  <c r="F23" i="19" s="1"/>
  <c r="F24" i="19" s="1"/>
  <c r="F25" i="19" s="1"/>
  <c r="F26" i="19" s="1"/>
  <c r="C2" i="19"/>
  <c r="C3" i="19" s="1"/>
  <c r="F3" i="18"/>
  <c r="A89" i="18"/>
  <c r="A88" i="18"/>
  <c r="A87" i="18"/>
  <c r="A86" i="18"/>
  <c r="A85" i="18"/>
  <c r="A84" i="18"/>
  <c r="A83" i="18"/>
  <c r="A82" i="18"/>
  <c r="A81" i="18"/>
  <c r="A80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A3" i="18"/>
  <c r="A2" i="18"/>
  <c r="C2" i="18"/>
  <c r="D2" i="18" s="1"/>
  <c r="F3" i="17"/>
  <c r="F4" i="17" s="1"/>
  <c r="F5" i="17" s="1"/>
  <c r="F6" i="17" s="1"/>
  <c r="F7" i="17" s="1"/>
  <c r="F8" i="17" s="1"/>
  <c r="E3" i="17"/>
  <c r="E4" i="17" s="1"/>
  <c r="E5" i="17" s="1"/>
  <c r="E6" i="17" s="1"/>
  <c r="E7" i="17" s="1"/>
  <c r="E8" i="17" s="1"/>
  <c r="AA161" i="11" l="1" a="1"/>
  <c r="AA161" i="11" s="1"/>
  <c r="AA157" i="11" a="1"/>
  <c r="AA157" i="11" s="1"/>
  <c r="AA153" i="11" a="1"/>
  <c r="AA153" i="11" s="1"/>
  <c r="AA149" i="11" a="1"/>
  <c r="AA149" i="11" s="1"/>
  <c r="AA145" i="11" a="1"/>
  <c r="AA145" i="11" s="1"/>
  <c r="AA141" i="11" a="1"/>
  <c r="AA141" i="11" s="1"/>
  <c r="AA137" i="11" a="1"/>
  <c r="AA137" i="11" s="1"/>
  <c r="AA133" i="11" a="1"/>
  <c r="AA133" i="11" s="1"/>
  <c r="AA129" i="11" a="1"/>
  <c r="AA129" i="11" s="1"/>
  <c r="AA125" i="11" a="1"/>
  <c r="AA125" i="11" s="1"/>
  <c r="AA162" i="11" a="1"/>
  <c r="AA162" i="11" s="1"/>
  <c r="AA158" i="11" a="1"/>
  <c r="AA158" i="11" s="1"/>
  <c r="AA154" i="11" a="1"/>
  <c r="AA154" i="11" s="1"/>
  <c r="AA150" i="11" a="1"/>
  <c r="AA150" i="11" s="1"/>
  <c r="AA146" i="11" a="1"/>
  <c r="AA146" i="11" s="1"/>
  <c r="AA142" i="11" a="1"/>
  <c r="AA142" i="11" s="1"/>
  <c r="AA138" i="11" a="1"/>
  <c r="AA138" i="11" s="1"/>
  <c r="AA134" i="11" a="1"/>
  <c r="AA134" i="11" s="1"/>
  <c r="AA130" i="11" a="1"/>
  <c r="AA130" i="11" s="1"/>
  <c r="AA126" i="11" a="1"/>
  <c r="AA126" i="11" s="1"/>
  <c r="AA163" i="11" a="1"/>
  <c r="AA163" i="11" s="1"/>
  <c r="AA159" i="11" a="1"/>
  <c r="AA159" i="11" s="1"/>
  <c r="AA155" i="11" a="1"/>
  <c r="AA155" i="11" s="1"/>
  <c r="AA151" i="11" a="1"/>
  <c r="AA151" i="11" s="1"/>
  <c r="AA147" i="11" a="1"/>
  <c r="AA147" i="11" s="1"/>
  <c r="AA143" i="11" a="1"/>
  <c r="AA143" i="11" s="1"/>
  <c r="AA139" i="11" a="1"/>
  <c r="AA139" i="11" s="1"/>
  <c r="AA135" i="11" a="1"/>
  <c r="AA135" i="11" s="1"/>
  <c r="AA131" i="11" a="1"/>
  <c r="AA131" i="11" s="1"/>
  <c r="AA127" i="11" a="1"/>
  <c r="AA127" i="11" s="1"/>
  <c r="AA160" i="11" a="1"/>
  <c r="AA160" i="11" s="1"/>
  <c r="AA156" i="11" a="1"/>
  <c r="AA156" i="11" s="1"/>
  <c r="AA152" i="11" a="1"/>
  <c r="AA152" i="11" s="1"/>
  <c r="AA148" i="11" a="1"/>
  <c r="AA148" i="11" s="1"/>
  <c r="AA144" i="11" a="1"/>
  <c r="AA144" i="11" s="1"/>
  <c r="AA140" i="11" a="1"/>
  <c r="AA140" i="11" s="1"/>
  <c r="AA136" i="11" a="1"/>
  <c r="AA136" i="11" s="1"/>
  <c r="AA132" i="11" a="1"/>
  <c r="AA132" i="11" s="1"/>
  <c r="AA128" i="11" a="1"/>
  <c r="AA128" i="11" s="1"/>
  <c r="AA124" i="11" a="1"/>
  <c r="AA124" i="11" s="1"/>
  <c r="D3" i="19"/>
  <c r="C4" i="19"/>
  <c r="E4" i="19" s="1"/>
  <c r="E3" i="19"/>
  <c r="D2" i="19"/>
  <c r="E2" i="19"/>
  <c r="F4" i="18"/>
  <c r="C3" i="18"/>
  <c r="C4" i="18" s="1"/>
  <c r="C5" i="18" s="1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34" i="18" s="1"/>
  <c r="C35" i="18" s="1"/>
  <c r="C36" i="18" s="1"/>
  <c r="C37" i="18" s="1"/>
  <c r="C38" i="18" s="1"/>
  <c r="C39" i="18" s="1"/>
  <c r="C40" i="18" s="1"/>
  <c r="C41" i="18" s="1"/>
  <c r="C42" i="18" s="1"/>
  <c r="C43" i="18" s="1"/>
  <c r="C44" i="18" s="1"/>
  <c r="C45" i="18" s="1"/>
  <c r="C46" i="18" s="1"/>
  <c r="C47" i="18" s="1"/>
  <c r="C48" i="18" s="1"/>
  <c r="C49" i="18" s="1"/>
  <c r="C50" i="18" s="1"/>
  <c r="C51" i="18" s="1"/>
  <c r="C52" i="18" s="1"/>
  <c r="C53" i="18" s="1"/>
  <c r="C54" i="18" s="1"/>
  <c r="C55" i="18" s="1"/>
  <c r="C56" i="18" s="1"/>
  <c r="C57" i="18" s="1"/>
  <c r="C58" i="18" s="1"/>
  <c r="C59" i="18" s="1"/>
  <c r="C60" i="18" s="1"/>
  <c r="C61" i="18" s="1"/>
  <c r="C62" i="18" s="1"/>
  <c r="C63" i="18" s="1"/>
  <c r="C64" i="18" s="1"/>
  <c r="C65" i="18" s="1"/>
  <c r="C66" i="18" s="1"/>
  <c r="C67" i="18" s="1"/>
  <c r="C68" i="18" s="1"/>
  <c r="C69" i="18" s="1"/>
  <c r="C70" i="18" s="1"/>
  <c r="C71" i="18" s="1"/>
  <c r="C72" i="18" s="1"/>
  <c r="C73" i="18" s="1"/>
  <c r="C74" i="18" s="1"/>
  <c r="C75" i="18" s="1"/>
  <c r="C76" i="18" s="1"/>
  <c r="C77" i="18" s="1"/>
  <c r="C78" i="18" s="1"/>
  <c r="C79" i="18" s="1"/>
  <c r="C80" i="18" s="1"/>
  <c r="C81" i="18" s="1"/>
  <c r="C82" i="18" s="1"/>
  <c r="C83" i="18" s="1"/>
  <c r="C84" i="18" s="1"/>
  <c r="C85" i="18" s="1"/>
  <c r="C86" i="18" s="1"/>
  <c r="C87" i="18" s="1"/>
  <c r="C88" i="18" s="1"/>
  <c r="C89" i="18" s="1"/>
  <c r="E2" i="18"/>
  <c r="E5" i="16"/>
  <c r="C5" i="19" l="1"/>
  <c r="D4" i="19"/>
  <c r="D3" i="18"/>
  <c r="E3" i="18"/>
  <c r="F5" i="18"/>
  <c r="D4" i="18"/>
  <c r="E4" i="18"/>
  <c r="C6" i="19" l="1"/>
  <c r="D5" i="19"/>
  <c r="E5" i="19"/>
  <c r="F6" i="18"/>
  <c r="D5" i="18"/>
  <c r="E5" i="18"/>
  <c r="D5" i="16"/>
  <c r="F5" i="16"/>
  <c r="D6" i="19" l="1"/>
  <c r="C7" i="19"/>
  <c r="E6" i="19"/>
  <c r="F7" i="18"/>
  <c r="D6" i="18"/>
  <c r="E6" i="18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2" i="10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2" i="6"/>
  <c r="A2" i="12" l="1"/>
  <c r="H2" i="6"/>
  <c r="O2" i="6"/>
  <c r="H31" i="6"/>
  <c r="L31" i="6" s="1"/>
  <c r="O31" i="6"/>
  <c r="H30" i="6"/>
  <c r="L30" i="6" s="1"/>
  <c r="O30" i="6"/>
  <c r="H29" i="6"/>
  <c r="L29" i="6" s="1"/>
  <c r="O29" i="6"/>
  <c r="L28" i="6"/>
  <c r="H28" i="6"/>
  <c r="O28" i="6"/>
  <c r="H27" i="6"/>
  <c r="L27" i="6" s="1"/>
  <c r="O27" i="6"/>
  <c r="H26" i="6"/>
  <c r="L26" i="6" s="1"/>
  <c r="O26" i="6"/>
  <c r="H25" i="6"/>
  <c r="L25" i="6" s="1"/>
  <c r="O25" i="6"/>
  <c r="L24" i="6"/>
  <c r="H24" i="6"/>
  <c r="O24" i="6"/>
  <c r="H23" i="6"/>
  <c r="L23" i="6" s="1"/>
  <c r="O23" i="6"/>
  <c r="H22" i="6"/>
  <c r="L22" i="6" s="1"/>
  <c r="O22" i="6"/>
  <c r="H21" i="6"/>
  <c r="L21" i="6" s="1"/>
  <c r="O21" i="6"/>
  <c r="L20" i="6"/>
  <c r="H20" i="6"/>
  <c r="O20" i="6"/>
  <c r="H19" i="6"/>
  <c r="L19" i="6" s="1"/>
  <c r="O19" i="6"/>
  <c r="H18" i="6"/>
  <c r="L18" i="6" s="1"/>
  <c r="O18" i="6"/>
  <c r="H17" i="6"/>
  <c r="L17" i="6" s="1"/>
  <c r="O17" i="6"/>
  <c r="L16" i="6"/>
  <c r="H16" i="6"/>
  <c r="O16" i="6"/>
  <c r="L15" i="6"/>
  <c r="H15" i="6"/>
  <c r="O15" i="6"/>
  <c r="H14" i="6"/>
  <c r="L14" i="6" s="1"/>
  <c r="O14" i="6"/>
  <c r="H13" i="6"/>
  <c r="L13" i="6" s="1"/>
  <c r="O13" i="6"/>
  <c r="L12" i="6"/>
  <c r="H12" i="6"/>
  <c r="O12" i="6"/>
  <c r="H11" i="6"/>
  <c r="L11" i="6" s="1"/>
  <c r="O11" i="6"/>
  <c r="H10" i="6"/>
  <c r="L10" i="6" s="1"/>
  <c r="O10" i="6"/>
  <c r="H9" i="6"/>
  <c r="L9" i="6" s="1"/>
  <c r="O9" i="6"/>
  <c r="L8" i="6"/>
  <c r="H8" i="6"/>
  <c r="O8" i="6"/>
  <c r="H7" i="6"/>
  <c r="L7" i="6" s="1"/>
  <c r="O7" i="6"/>
  <c r="H6" i="6"/>
  <c r="L6" i="6" s="1"/>
  <c r="O6" i="6"/>
  <c r="H5" i="6"/>
  <c r="L5" i="6" s="1"/>
  <c r="O5" i="6"/>
  <c r="L4" i="6"/>
  <c r="H4" i="6"/>
  <c r="O4" i="6"/>
  <c r="H3" i="6"/>
  <c r="L3" i="6" s="1"/>
  <c r="O3" i="6"/>
  <c r="A4" i="26"/>
  <c r="F17" i="28"/>
  <c r="F16" i="28"/>
  <c r="F13" i="28"/>
  <c r="A91" i="26"/>
  <c r="A89" i="26"/>
  <c r="A87" i="26"/>
  <c r="A85" i="26"/>
  <c r="A83" i="26"/>
  <c r="A81" i="26"/>
  <c r="A79" i="26"/>
  <c r="A77" i="26"/>
  <c r="J77" i="26" s="1"/>
  <c r="A75" i="26"/>
  <c r="A73" i="26"/>
  <c r="A71" i="26"/>
  <c r="A69" i="26"/>
  <c r="A67" i="26"/>
  <c r="A65" i="26"/>
  <c r="A63" i="26"/>
  <c r="A61" i="26"/>
  <c r="A59" i="26"/>
  <c r="A57" i="26"/>
  <c r="A55" i="26"/>
  <c r="A53" i="26"/>
  <c r="A51" i="26"/>
  <c r="A49" i="26"/>
  <c r="A47" i="26"/>
  <c r="A45" i="26"/>
  <c r="A43" i="26"/>
  <c r="A41" i="26"/>
  <c r="A39" i="26"/>
  <c r="A37" i="26"/>
  <c r="A35" i="26"/>
  <c r="A33" i="26"/>
  <c r="A31" i="26"/>
  <c r="A29" i="26"/>
  <c r="A27" i="26"/>
  <c r="A23" i="26"/>
  <c r="A21" i="26"/>
  <c r="D21" i="26" s="1"/>
  <c r="A19" i="26"/>
  <c r="A17" i="26"/>
  <c r="A15" i="26"/>
  <c r="A13" i="26"/>
  <c r="A11" i="26"/>
  <c r="A9" i="26"/>
  <c r="A7" i="26"/>
  <c r="A5" i="26"/>
  <c r="D77" i="26"/>
  <c r="D87" i="26"/>
  <c r="J87" i="26"/>
  <c r="D63" i="26"/>
  <c r="C88" i="10"/>
  <c r="A90" i="26"/>
  <c r="C84" i="10"/>
  <c r="A86" i="26"/>
  <c r="C80" i="10"/>
  <c r="A82" i="26"/>
  <c r="C76" i="10"/>
  <c r="A78" i="26"/>
  <c r="C72" i="10"/>
  <c r="A74" i="26"/>
  <c r="C68" i="10"/>
  <c r="A70" i="26"/>
  <c r="C64" i="10"/>
  <c r="A66" i="26"/>
  <c r="C60" i="10"/>
  <c r="A62" i="26"/>
  <c r="C56" i="10"/>
  <c r="A58" i="26"/>
  <c r="C52" i="10"/>
  <c r="A54" i="26"/>
  <c r="C48" i="10"/>
  <c r="A50" i="26"/>
  <c r="C44" i="10"/>
  <c r="A46" i="26"/>
  <c r="C40" i="10"/>
  <c r="A42" i="26"/>
  <c r="C36" i="10"/>
  <c r="A38" i="26"/>
  <c r="C32" i="10"/>
  <c r="A34" i="26"/>
  <c r="C28" i="10"/>
  <c r="A30" i="26"/>
  <c r="C24" i="10"/>
  <c r="A26" i="26"/>
  <c r="C20" i="10"/>
  <c r="A22" i="26"/>
  <c r="C16" i="10"/>
  <c r="A18" i="26"/>
  <c r="C12" i="10"/>
  <c r="A14" i="26"/>
  <c r="C8" i="10"/>
  <c r="A10" i="26"/>
  <c r="C4" i="10"/>
  <c r="A6" i="26"/>
  <c r="D81" i="26"/>
  <c r="P81" i="26"/>
  <c r="F81" i="26"/>
  <c r="G81" i="26"/>
  <c r="J81" i="26"/>
  <c r="D69" i="26"/>
  <c r="P69" i="26"/>
  <c r="F69" i="26"/>
  <c r="G69" i="26"/>
  <c r="J69" i="26"/>
  <c r="D65" i="26"/>
  <c r="P65" i="26"/>
  <c r="F65" i="26"/>
  <c r="G65" i="26"/>
  <c r="J65" i="26"/>
  <c r="D57" i="26"/>
  <c r="P57" i="26"/>
  <c r="F57" i="26"/>
  <c r="J57" i="26"/>
  <c r="G57" i="26"/>
  <c r="D49" i="26"/>
  <c r="P49" i="26"/>
  <c r="F49" i="26"/>
  <c r="J49" i="26"/>
  <c r="G49" i="26"/>
  <c r="D45" i="26"/>
  <c r="P45" i="26"/>
  <c r="F45" i="26"/>
  <c r="J45" i="26"/>
  <c r="G45" i="26"/>
  <c r="D41" i="26"/>
  <c r="P41" i="26"/>
  <c r="F41" i="26"/>
  <c r="G41" i="26"/>
  <c r="J41" i="26"/>
  <c r="D37" i="26"/>
  <c r="P37" i="26"/>
  <c r="F37" i="26"/>
  <c r="G37" i="26"/>
  <c r="J37" i="26"/>
  <c r="D33" i="26"/>
  <c r="P33" i="26"/>
  <c r="F33" i="26"/>
  <c r="G33" i="26"/>
  <c r="J33" i="26"/>
  <c r="D29" i="26"/>
  <c r="P29" i="26"/>
  <c r="F29" i="26"/>
  <c r="J29" i="26"/>
  <c r="G29" i="26"/>
  <c r="C23" i="10"/>
  <c r="A25" i="26"/>
  <c r="D17" i="26"/>
  <c r="D13" i="26"/>
  <c r="J13" i="26"/>
  <c r="F13" i="26"/>
  <c r="G9" i="26"/>
  <c r="D5" i="26"/>
  <c r="G5" i="26"/>
  <c r="F5" i="26"/>
  <c r="D85" i="26"/>
  <c r="P85" i="26"/>
  <c r="F85" i="26"/>
  <c r="G85" i="26"/>
  <c r="J85" i="26"/>
  <c r="D73" i="26"/>
  <c r="P73" i="26"/>
  <c r="F73" i="26"/>
  <c r="J73" i="26"/>
  <c r="G73" i="26"/>
  <c r="D61" i="26"/>
  <c r="P61" i="26"/>
  <c r="F61" i="26"/>
  <c r="J61" i="26"/>
  <c r="G61" i="26"/>
  <c r="D53" i="26"/>
  <c r="P53" i="26"/>
  <c r="F53" i="26"/>
  <c r="G53" i="26"/>
  <c r="J53" i="26"/>
  <c r="F4" i="26"/>
  <c r="D4" i="26"/>
  <c r="C86" i="10"/>
  <c r="A88" i="26"/>
  <c r="C82" i="10"/>
  <c r="O82" i="10" s="1"/>
  <c r="A84" i="26"/>
  <c r="C78" i="10"/>
  <c r="A80" i="26"/>
  <c r="C74" i="10"/>
  <c r="O74" i="10" s="1"/>
  <c r="A76" i="26"/>
  <c r="C70" i="10"/>
  <c r="A72" i="26"/>
  <c r="C66" i="10"/>
  <c r="O66" i="10" s="1"/>
  <c r="A68" i="26"/>
  <c r="C62" i="10"/>
  <c r="A64" i="26"/>
  <c r="C58" i="10"/>
  <c r="O58" i="10" s="1"/>
  <c r="A60" i="26"/>
  <c r="C54" i="10"/>
  <c r="A56" i="26"/>
  <c r="C50" i="10"/>
  <c r="O50" i="10" s="1"/>
  <c r="A52" i="26"/>
  <c r="C46" i="10"/>
  <c r="A48" i="26"/>
  <c r="C42" i="10"/>
  <c r="O42" i="10" s="1"/>
  <c r="A44" i="26"/>
  <c r="C38" i="10"/>
  <c r="A40" i="26"/>
  <c r="C34" i="10"/>
  <c r="O34" i="10" s="1"/>
  <c r="A36" i="26"/>
  <c r="C30" i="10"/>
  <c r="A32" i="26"/>
  <c r="C26" i="10"/>
  <c r="O26" i="10" s="1"/>
  <c r="A28" i="26"/>
  <c r="C22" i="10"/>
  <c r="A24" i="26"/>
  <c r="C18" i="10"/>
  <c r="O18" i="10" s="1"/>
  <c r="A20" i="26"/>
  <c r="C14" i="10"/>
  <c r="A16" i="26"/>
  <c r="C10" i="10"/>
  <c r="O10" i="10" s="1"/>
  <c r="A12" i="26"/>
  <c r="C6" i="10"/>
  <c r="A8" i="26"/>
  <c r="D89" i="26"/>
  <c r="P89" i="26"/>
  <c r="F89" i="26"/>
  <c r="J89" i="26"/>
  <c r="G89" i="26"/>
  <c r="D83" i="26"/>
  <c r="G83" i="26"/>
  <c r="D79" i="26"/>
  <c r="P79" i="26"/>
  <c r="F79" i="26"/>
  <c r="G79" i="26"/>
  <c r="J79" i="26"/>
  <c r="D71" i="26"/>
  <c r="P71" i="26"/>
  <c r="F71" i="26"/>
  <c r="J71" i="26"/>
  <c r="G71" i="26"/>
  <c r="D59" i="26"/>
  <c r="F59" i="26"/>
  <c r="D55" i="26"/>
  <c r="P55" i="26"/>
  <c r="F55" i="26"/>
  <c r="J55" i="26"/>
  <c r="G55" i="26"/>
  <c r="D51" i="26"/>
  <c r="G51" i="26"/>
  <c r="D47" i="26"/>
  <c r="P47" i="26"/>
  <c r="F47" i="26"/>
  <c r="G47" i="26"/>
  <c r="J47" i="26"/>
  <c r="D43" i="26"/>
  <c r="F43" i="26"/>
  <c r="D39" i="26"/>
  <c r="P39" i="26"/>
  <c r="F39" i="26"/>
  <c r="J39" i="26"/>
  <c r="G39" i="26"/>
  <c r="D35" i="26"/>
  <c r="G35" i="26"/>
  <c r="D31" i="26"/>
  <c r="P31" i="26"/>
  <c r="F31" i="26"/>
  <c r="G31" i="26"/>
  <c r="J31" i="26"/>
  <c r="D27" i="26"/>
  <c r="D23" i="26"/>
  <c r="P23" i="26"/>
  <c r="J23" i="26"/>
  <c r="F23" i="26"/>
  <c r="G23" i="26"/>
  <c r="D19" i="26"/>
  <c r="P19" i="26"/>
  <c r="J19" i="26"/>
  <c r="F19" i="26"/>
  <c r="G19" i="26"/>
  <c r="D15" i="26"/>
  <c r="P15" i="26"/>
  <c r="G15" i="26"/>
  <c r="F15" i="26"/>
  <c r="J15" i="26"/>
  <c r="D11" i="26"/>
  <c r="P11" i="26"/>
  <c r="G11" i="26"/>
  <c r="F11" i="26"/>
  <c r="J11" i="26"/>
  <c r="D7" i="26"/>
  <c r="P7" i="26"/>
  <c r="J7" i="26"/>
  <c r="F7" i="26"/>
  <c r="G7" i="26"/>
  <c r="A3" i="12"/>
  <c r="A5" i="12"/>
  <c r="B6" i="12"/>
  <c r="B12" i="12"/>
  <c r="A14" i="12"/>
  <c r="B15" i="12"/>
  <c r="A10" i="12"/>
  <c r="A13" i="12"/>
  <c r="B2" i="12"/>
  <c r="B3" i="12"/>
  <c r="B5" i="12"/>
  <c r="A8" i="12"/>
  <c r="A11" i="12"/>
  <c r="A16" i="12"/>
  <c r="A4" i="12"/>
  <c r="A7" i="12"/>
  <c r="B8" i="12"/>
  <c r="B9" i="12"/>
  <c r="B10" i="12"/>
  <c r="B11" i="12"/>
  <c r="B13" i="12"/>
  <c r="B4" i="12"/>
  <c r="A6" i="12"/>
  <c r="B7" i="12"/>
  <c r="A12" i="12"/>
  <c r="A15" i="12"/>
  <c r="B16" i="12"/>
  <c r="B17" i="12"/>
  <c r="A9" i="12"/>
  <c r="B14" i="12"/>
  <c r="A17" i="12"/>
  <c r="L2" i="6"/>
  <c r="F94" i="9" s="1"/>
  <c r="J94" i="9" s="1"/>
  <c r="K94" i="9" s="1"/>
  <c r="F43" i="9"/>
  <c r="J43" i="9" s="1"/>
  <c r="K43" i="9" s="1"/>
  <c r="F113" i="9"/>
  <c r="J113" i="9" s="1"/>
  <c r="K113" i="9" s="1"/>
  <c r="F41" i="9"/>
  <c r="J41" i="9" s="1"/>
  <c r="K41" i="9" s="1"/>
  <c r="F67" i="9"/>
  <c r="J67" i="9" s="1"/>
  <c r="K67" i="9" s="1"/>
  <c r="F3" i="9"/>
  <c r="J3" i="9" s="1"/>
  <c r="K3" i="9" s="1"/>
  <c r="F73" i="9"/>
  <c r="J73" i="9" s="1"/>
  <c r="K73" i="9" s="1"/>
  <c r="F2" i="9"/>
  <c r="J2" i="9" s="1"/>
  <c r="K2" i="9" s="1"/>
  <c r="F49" i="9"/>
  <c r="J49" i="9" s="1"/>
  <c r="K49" i="9" s="1"/>
  <c r="F11" i="9"/>
  <c r="J11" i="9" s="1"/>
  <c r="K11" i="9" s="1"/>
  <c r="F105" i="9"/>
  <c r="J105" i="9" s="1"/>
  <c r="K105" i="9" s="1"/>
  <c r="F23" i="9"/>
  <c r="J23" i="9" s="1"/>
  <c r="K23" i="9" s="1"/>
  <c r="F93" i="9"/>
  <c r="J93" i="9" s="1"/>
  <c r="K93" i="9" s="1"/>
  <c r="F28" i="9"/>
  <c r="J28" i="9" s="1"/>
  <c r="K28" i="9" s="1"/>
  <c r="F19" i="9"/>
  <c r="J19" i="9" s="1"/>
  <c r="K19" i="9" s="1"/>
  <c r="F4" i="9"/>
  <c r="J4" i="9" s="1"/>
  <c r="K4" i="9" s="1"/>
  <c r="F116" i="9"/>
  <c r="J116" i="9" s="1"/>
  <c r="K116" i="9" s="1"/>
  <c r="F104" i="9"/>
  <c r="J104" i="9" s="1"/>
  <c r="K104" i="9" s="1"/>
  <c r="F12" i="9"/>
  <c r="J12" i="9" s="1"/>
  <c r="K12" i="9" s="1"/>
  <c r="F46" i="9"/>
  <c r="J46" i="9" s="1"/>
  <c r="K46" i="9" s="1"/>
  <c r="F77" i="9"/>
  <c r="J77" i="9" s="1"/>
  <c r="K77" i="9" s="1"/>
  <c r="F75" i="9"/>
  <c r="J75" i="9" s="1"/>
  <c r="K75" i="9" s="1"/>
  <c r="F29" i="9"/>
  <c r="J29" i="9" s="1"/>
  <c r="K29" i="9" s="1"/>
  <c r="F101" i="9"/>
  <c r="J101" i="9" s="1"/>
  <c r="K101" i="9" s="1"/>
  <c r="F72" i="9"/>
  <c r="J72" i="9" s="1"/>
  <c r="K72" i="9" s="1"/>
  <c r="F95" i="9"/>
  <c r="J95" i="9" s="1"/>
  <c r="K95" i="9" s="1"/>
  <c r="F51" i="9"/>
  <c r="J51" i="9" s="1"/>
  <c r="K51" i="9" s="1"/>
  <c r="F63" i="9"/>
  <c r="J63" i="9" s="1"/>
  <c r="K63" i="9" s="1"/>
  <c r="F14" i="9"/>
  <c r="J14" i="9" s="1"/>
  <c r="K14" i="9" s="1"/>
  <c r="F36" i="9"/>
  <c r="J36" i="9" s="1"/>
  <c r="K36" i="9" s="1"/>
  <c r="F56" i="9"/>
  <c r="J56" i="9" s="1"/>
  <c r="K56" i="9" s="1"/>
  <c r="F69" i="9"/>
  <c r="J69" i="9" s="1"/>
  <c r="K69" i="9" s="1"/>
  <c r="F80" i="9"/>
  <c r="J80" i="9" s="1"/>
  <c r="K80" i="9" s="1"/>
  <c r="F109" i="9"/>
  <c r="J109" i="9" s="1"/>
  <c r="K109" i="9" s="1"/>
  <c r="B19" i="12"/>
  <c r="B21" i="12"/>
  <c r="B23" i="12"/>
  <c r="B25" i="12"/>
  <c r="B27" i="12"/>
  <c r="B29" i="12"/>
  <c r="B31" i="12"/>
  <c r="B33" i="12"/>
  <c r="B35" i="12"/>
  <c r="B37" i="12"/>
  <c r="B39" i="12"/>
  <c r="B41" i="12"/>
  <c r="B43" i="12"/>
  <c r="B45" i="12"/>
  <c r="B47" i="12"/>
  <c r="B49" i="12"/>
  <c r="B51" i="12"/>
  <c r="B53" i="12"/>
  <c r="B55" i="12"/>
  <c r="B57" i="12"/>
  <c r="B59" i="12"/>
  <c r="B61" i="12"/>
  <c r="B63" i="12"/>
  <c r="B65" i="12"/>
  <c r="B67" i="12"/>
  <c r="B69" i="12"/>
  <c r="B71" i="12"/>
  <c r="B73" i="12"/>
  <c r="B75" i="12"/>
  <c r="B77" i="12"/>
  <c r="B79" i="12"/>
  <c r="B81" i="12"/>
  <c r="B83" i="12"/>
  <c r="B85" i="12"/>
  <c r="B87" i="12"/>
  <c r="B89" i="12"/>
  <c r="B18" i="12"/>
  <c r="B20" i="12"/>
  <c r="B22" i="12"/>
  <c r="B24" i="12"/>
  <c r="B26" i="12"/>
  <c r="B28" i="12"/>
  <c r="B30" i="12"/>
  <c r="B32" i="12"/>
  <c r="B34" i="12"/>
  <c r="B36" i="12"/>
  <c r="B38" i="12"/>
  <c r="B40" i="12"/>
  <c r="B42" i="12"/>
  <c r="B44" i="12"/>
  <c r="B46" i="12"/>
  <c r="B48" i="12"/>
  <c r="B50" i="12"/>
  <c r="B52" i="12"/>
  <c r="B54" i="12"/>
  <c r="B56" i="12"/>
  <c r="B58" i="12"/>
  <c r="B62" i="12"/>
  <c r="B66" i="12"/>
  <c r="B70" i="12"/>
  <c r="B74" i="12"/>
  <c r="B78" i="12"/>
  <c r="B82" i="12"/>
  <c r="B86" i="12"/>
  <c r="A18" i="12"/>
  <c r="A20" i="12"/>
  <c r="A22" i="12"/>
  <c r="A24" i="12"/>
  <c r="A26" i="12"/>
  <c r="A28" i="12"/>
  <c r="A30" i="12"/>
  <c r="A32" i="12"/>
  <c r="A34" i="12"/>
  <c r="A36" i="12"/>
  <c r="A38" i="12"/>
  <c r="A40" i="12"/>
  <c r="A42" i="12"/>
  <c r="A44" i="12"/>
  <c r="A46" i="12"/>
  <c r="A48" i="12"/>
  <c r="A50" i="12"/>
  <c r="A52" i="12"/>
  <c r="A54" i="12"/>
  <c r="A56" i="12"/>
  <c r="A58" i="12"/>
  <c r="A60" i="12"/>
  <c r="A62" i="12"/>
  <c r="A64" i="12"/>
  <c r="A66" i="12"/>
  <c r="A68" i="12"/>
  <c r="A70" i="12"/>
  <c r="A72" i="12"/>
  <c r="A74" i="12"/>
  <c r="A76" i="12"/>
  <c r="A78" i="12"/>
  <c r="B60" i="12"/>
  <c r="B64" i="12"/>
  <c r="B68" i="12"/>
  <c r="B72" i="12"/>
  <c r="B76" i="12"/>
  <c r="B80" i="12"/>
  <c r="B84" i="12"/>
  <c r="B88" i="12"/>
  <c r="A19" i="12"/>
  <c r="A21" i="12"/>
  <c r="A23" i="12"/>
  <c r="A25" i="12"/>
  <c r="A27" i="12"/>
  <c r="A29" i="12"/>
  <c r="A31" i="12"/>
  <c r="A33" i="12"/>
  <c r="A35" i="12"/>
  <c r="A37" i="12"/>
  <c r="A39" i="12"/>
  <c r="A41" i="12"/>
  <c r="A43" i="12"/>
  <c r="A45" i="12"/>
  <c r="A47" i="12"/>
  <c r="A49" i="12"/>
  <c r="A51" i="12"/>
  <c r="A53" i="12"/>
  <c r="A55" i="12"/>
  <c r="A57" i="12"/>
  <c r="A59" i="12"/>
  <c r="A61" i="12"/>
  <c r="A63" i="12"/>
  <c r="A65" i="12"/>
  <c r="A67" i="12"/>
  <c r="A69" i="12"/>
  <c r="A71" i="12"/>
  <c r="A73" i="12"/>
  <c r="A75" i="12"/>
  <c r="A77" i="12"/>
  <c r="A79" i="12"/>
  <c r="A81" i="12"/>
  <c r="A83" i="12"/>
  <c r="A85" i="12"/>
  <c r="A87" i="12"/>
  <c r="A89" i="12"/>
  <c r="A80" i="12"/>
  <c r="A84" i="12"/>
  <c r="A88" i="12"/>
  <c r="A82" i="12"/>
  <c r="A86" i="12"/>
  <c r="C31" i="6"/>
  <c r="E31" i="6"/>
  <c r="B31" i="6"/>
  <c r="D31" i="6"/>
  <c r="F31" i="6"/>
  <c r="C29" i="6"/>
  <c r="E29" i="6"/>
  <c r="B29" i="6"/>
  <c r="D29" i="6"/>
  <c r="F29" i="6"/>
  <c r="C27" i="6"/>
  <c r="E27" i="6"/>
  <c r="B27" i="6"/>
  <c r="D27" i="6"/>
  <c r="F27" i="6"/>
  <c r="C25" i="6"/>
  <c r="E25" i="6"/>
  <c r="B25" i="6"/>
  <c r="D25" i="6"/>
  <c r="F25" i="6"/>
  <c r="C23" i="6"/>
  <c r="E23" i="6"/>
  <c r="B23" i="6"/>
  <c r="D23" i="6"/>
  <c r="F23" i="6"/>
  <c r="C21" i="6"/>
  <c r="E21" i="6"/>
  <c r="B21" i="6"/>
  <c r="D21" i="6"/>
  <c r="F21" i="6"/>
  <c r="C19" i="6"/>
  <c r="E19" i="6"/>
  <c r="B19" i="6"/>
  <c r="D19" i="6"/>
  <c r="F19" i="6"/>
  <c r="C17" i="6"/>
  <c r="E17" i="6"/>
  <c r="B17" i="6"/>
  <c r="D17" i="6"/>
  <c r="F17" i="6"/>
  <c r="C15" i="6"/>
  <c r="E15" i="6"/>
  <c r="B15" i="6"/>
  <c r="D15" i="6"/>
  <c r="F15" i="6"/>
  <c r="C13" i="6"/>
  <c r="E13" i="6"/>
  <c r="B13" i="6"/>
  <c r="D13" i="6"/>
  <c r="F13" i="6"/>
  <c r="C11" i="6"/>
  <c r="E11" i="6"/>
  <c r="B11" i="6"/>
  <c r="D11" i="6"/>
  <c r="F11" i="6"/>
  <c r="C9" i="6"/>
  <c r="E9" i="6"/>
  <c r="B9" i="6"/>
  <c r="D9" i="6"/>
  <c r="F9" i="6"/>
  <c r="C7" i="6"/>
  <c r="E7" i="6"/>
  <c r="B7" i="6"/>
  <c r="D7" i="6"/>
  <c r="F7" i="6"/>
  <c r="C5" i="6"/>
  <c r="E5" i="6"/>
  <c r="B5" i="6"/>
  <c r="D5" i="6"/>
  <c r="F5" i="6"/>
  <c r="C3" i="6"/>
  <c r="E3" i="6"/>
  <c r="B3" i="6"/>
  <c r="D3" i="6"/>
  <c r="F3" i="6"/>
  <c r="B2" i="6"/>
  <c r="D2" i="6"/>
  <c r="F2" i="6"/>
  <c r="C2" i="6"/>
  <c r="E2" i="6"/>
  <c r="B30" i="6"/>
  <c r="D30" i="6"/>
  <c r="F30" i="6"/>
  <c r="C30" i="6"/>
  <c r="E30" i="6"/>
  <c r="B28" i="6"/>
  <c r="D28" i="6"/>
  <c r="F28" i="6"/>
  <c r="C28" i="6"/>
  <c r="E28" i="6"/>
  <c r="B26" i="6"/>
  <c r="D26" i="6"/>
  <c r="F26" i="6"/>
  <c r="C26" i="6"/>
  <c r="E26" i="6"/>
  <c r="B24" i="6"/>
  <c r="D24" i="6"/>
  <c r="F24" i="6"/>
  <c r="C24" i="6"/>
  <c r="E24" i="6"/>
  <c r="B22" i="6"/>
  <c r="D22" i="6"/>
  <c r="F22" i="6"/>
  <c r="C22" i="6"/>
  <c r="E22" i="6"/>
  <c r="B20" i="6"/>
  <c r="D20" i="6"/>
  <c r="F20" i="6"/>
  <c r="C20" i="6"/>
  <c r="E20" i="6"/>
  <c r="B18" i="6"/>
  <c r="D18" i="6"/>
  <c r="F18" i="6"/>
  <c r="C18" i="6"/>
  <c r="E18" i="6"/>
  <c r="B16" i="6"/>
  <c r="D16" i="6"/>
  <c r="F16" i="6"/>
  <c r="C16" i="6"/>
  <c r="E16" i="6"/>
  <c r="B14" i="6"/>
  <c r="D14" i="6"/>
  <c r="F14" i="6"/>
  <c r="C14" i="6"/>
  <c r="E14" i="6"/>
  <c r="B12" i="6"/>
  <c r="D12" i="6"/>
  <c r="F12" i="6"/>
  <c r="C12" i="6"/>
  <c r="E12" i="6"/>
  <c r="B10" i="6"/>
  <c r="D10" i="6"/>
  <c r="F10" i="6"/>
  <c r="C10" i="6"/>
  <c r="E10" i="6"/>
  <c r="B8" i="6"/>
  <c r="D8" i="6"/>
  <c r="F8" i="6"/>
  <c r="C8" i="6"/>
  <c r="E8" i="6"/>
  <c r="B6" i="6"/>
  <c r="D6" i="6"/>
  <c r="F6" i="6"/>
  <c r="C6" i="6"/>
  <c r="E6" i="6"/>
  <c r="B4" i="6"/>
  <c r="D4" i="6"/>
  <c r="F4" i="6"/>
  <c r="C4" i="6"/>
  <c r="E4" i="6"/>
  <c r="C2" i="10"/>
  <c r="H2" i="16"/>
  <c r="H7" i="16"/>
  <c r="H1" i="16"/>
  <c r="C8" i="19"/>
  <c r="D7" i="19"/>
  <c r="E7" i="19"/>
  <c r="F8" i="18"/>
  <c r="D7" i="18"/>
  <c r="E7" i="18"/>
  <c r="O88" i="10"/>
  <c r="D88" i="10"/>
  <c r="O86" i="10"/>
  <c r="D86" i="10"/>
  <c r="O84" i="10"/>
  <c r="D84" i="10"/>
  <c r="D82" i="10"/>
  <c r="O80" i="10"/>
  <c r="D80" i="10"/>
  <c r="O78" i="10"/>
  <c r="D78" i="10"/>
  <c r="O76" i="10"/>
  <c r="D76" i="10"/>
  <c r="D74" i="10"/>
  <c r="O72" i="10"/>
  <c r="D72" i="10"/>
  <c r="O70" i="10"/>
  <c r="D70" i="10"/>
  <c r="O68" i="10"/>
  <c r="D68" i="10"/>
  <c r="D66" i="10"/>
  <c r="O64" i="10"/>
  <c r="D64" i="10"/>
  <c r="O62" i="10"/>
  <c r="D62" i="10"/>
  <c r="O60" i="10"/>
  <c r="D60" i="10"/>
  <c r="D58" i="10"/>
  <c r="O56" i="10"/>
  <c r="D56" i="10"/>
  <c r="O54" i="10"/>
  <c r="D54" i="10"/>
  <c r="O52" i="10"/>
  <c r="D52" i="10"/>
  <c r="D50" i="10"/>
  <c r="O48" i="10"/>
  <c r="D48" i="10"/>
  <c r="O46" i="10"/>
  <c r="D46" i="10"/>
  <c r="O44" i="10"/>
  <c r="D44" i="10"/>
  <c r="D42" i="10"/>
  <c r="O40" i="10"/>
  <c r="D40" i="10"/>
  <c r="O38" i="10"/>
  <c r="D38" i="10"/>
  <c r="O36" i="10"/>
  <c r="D36" i="10"/>
  <c r="D34" i="10"/>
  <c r="O32" i="10"/>
  <c r="D32" i="10"/>
  <c r="O30" i="10"/>
  <c r="D30" i="10"/>
  <c r="O28" i="10"/>
  <c r="D28" i="10"/>
  <c r="D26" i="10"/>
  <c r="O24" i="10"/>
  <c r="D24" i="10"/>
  <c r="O22" i="10"/>
  <c r="D22" i="10"/>
  <c r="O20" i="10"/>
  <c r="D20" i="10"/>
  <c r="D18" i="10"/>
  <c r="O16" i="10"/>
  <c r="D16" i="10"/>
  <c r="O14" i="10"/>
  <c r="D14" i="10"/>
  <c r="O12" i="10"/>
  <c r="D12" i="10"/>
  <c r="D10" i="10"/>
  <c r="O8" i="10"/>
  <c r="D8" i="10"/>
  <c r="O6" i="10"/>
  <c r="D6" i="10"/>
  <c r="O4" i="10"/>
  <c r="D4" i="10"/>
  <c r="U89" i="10"/>
  <c r="N89" i="10"/>
  <c r="U87" i="10"/>
  <c r="N87" i="10"/>
  <c r="U85" i="10"/>
  <c r="N85" i="10"/>
  <c r="U83" i="10"/>
  <c r="N83" i="10"/>
  <c r="U81" i="10"/>
  <c r="N81" i="10"/>
  <c r="U79" i="10"/>
  <c r="N79" i="10"/>
  <c r="U77" i="10"/>
  <c r="N77" i="10"/>
  <c r="U75" i="10"/>
  <c r="N75" i="10"/>
  <c r="U73" i="10"/>
  <c r="N73" i="10"/>
  <c r="U71" i="10"/>
  <c r="N71" i="10"/>
  <c r="U69" i="10"/>
  <c r="N69" i="10"/>
  <c r="U67" i="10"/>
  <c r="N67" i="10"/>
  <c r="U65" i="10"/>
  <c r="N65" i="10"/>
  <c r="U63" i="10"/>
  <c r="N63" i="10"/>
  <c r="U61" i="10"/>
  <c r="N61" i="10"/>
  <c r="U59" i="10"/>
  <c r="N59" i="10"/>
  <c r="U57" i="10"/>
  <c r="N57" i="10"/>
  <c r="U55" i="10"/>
  <c r="N55" i="10"/>
  <c r="U53" i="10"/>
  <c r="N53" i="10"/>
  <c r="U51" i="10"/>
  <c r="N51" i="10"/>
  <c r="U49" i="10"/>
  <c r="N49" i="10"/>
  <c r="U47" i="10"/>
  <c r="N47" i="10"/>
  <c r="U45" i="10"/>
  <c r="N45" i="10"/>
  <c r="U43" i="10"/>
  <c r="N43" i="10"/>
  <c r="U41" i="10"/>
  <c r="N41" i="10"/>
  <c r="U39" i="10"/>
  <c r="N39" i="10"/>
  <c r="U37" i="10"/>
  <c r="N37" i="10"/>
  <c r="U35" i="10"/>
  <c r="N35" i="10"/>
  <c r="U33" i="10"/>
  <c r="N33" i="10"/>
  <c r="U31" i="10"/>
  <c r="N31" i="10"/>
  <c r="U29" i="10"/>
  <c r="N29" i="10"/>
  <c r="U27" i="10"/>
  <c r="N27" i="10"/>
  <c r="U25" i="10"/>
  <c r="N25" i="10"/>
  <c r="U23" i="10"/>
  <c r="N23" i="10"/>
  <c r="U21" i="10"/>
  <c r="N21" i="10"/>
  <c r="U19" i="10"/>
  <c r="N19" i="10"/>
  <c r="U17" i="10"/>
  <c r="N17" i="10"/>
  <c r="U15" i="10"/>
  <c r="N15" i="10"/>
  <c r="U13" i="10"/>
  <c r="N13" i="10"/>
  <c r="U11" i="10"/>
  <c r="N11" i="10"/>
  <c r="U9" i="10"/>
  <c r="N9" i="10"/>
  <c r="U7" i="10"/>
  <c r="N7" i="10"/>
  <c r="U5" i="10"/>
  <c r="N5" i="10"/>
  <c r="U3" i="10"/>
  <c r="N3" i="10"/>
  <c r="U2" i="10"/>
  <c r="N2" i="10"/>
  <c r="U88" i="10"/>
  <c r="N88" i="10"/>
  <c r="U86" i="10"/>
  <c r="N86" i="10"/>
  <c r="U84" i="10"/>
  <c r="N84" i="10"/>
  <c r="U82" i="10"/>
  <c r="N82" i="10"/>
  <c r="U80" i="10"/>
  <c r="N80" i="10"/>
  <c r="U78" i="10"/>
  <c r="N78" i="10"/>
  <c r="U76" i="10"/>
  <c r="N76" i="10"/>
  <c r="U74" i="10"/>
  <c r="N74" i="10"/>
  <c r="U72" i="10"/>
  <c r="N72" i="10"/>
  <c r="U70" i="10"/>
  <c r="N70" i="10"/>
  <c r="U68" i="10"/>
  <c r="N68" i="10"/>
  <c r="U66" i="10"/>
  <c r="N66" i="10"/>
  <c r="U64" i="10"/>
  <c r="N64" i="10"/>
  <c r="U62" i="10"/>
  <c r="N62" i="10"/>
  <c r="U60" i="10"/>
  <c r="N60" i="10"/>
  <c r="U58" i="10"/>
  <c r="N58" i="10"/>
  <c r="U56" i="10"/>
  <c r="N56" i="10"/>
  <c r="U54" i="10"/>
  <c r="N54" i="10"/>
  <c r="U52" i="10"/>
  <c r="N52" i="10"/>
  <c r="U50" i="10"/>
  <c r="N50" i="10"/>
  <c r="U48" i="10"/>
  <c r="N48" i="10"/>
  <c r="U46" i="10"/>
  <c r="N46" i="10"/>
  <c r="U44" i="10"/>
  <c r="N44" i="10"/>
  <c r="U42" i="10"/>
  <c r="N42" i="10"/>
  <c r="U40" i="10"/>
  <c r="N40" i="10"/>
  <c r="U38" i="10"/>
  <c r="N38" i="10"/>
  <c r="U36" i="10"/>
  <c r="N36" i="10"/>
  <c r="U34" i="10"/>
  <c r="N34" i="10"/>
  <c r="U32" i="10"/>
  <c r="N32" i="10"/>
  <c r="U30" i="10"/>
  <c r="N30" i="10"/>
  <c r="U28" i="10"/>
  <c r="N28" i="10"/>
  <c r="U26" i="10"/>
  <c r="N26" i="10"/>
  <c r="U24" i="10"/>
  <c r="N24" i="10"/>
  <c r="U22" i="10"/>
  <c r="N22" i="10"/>
  <c r="U20" i="10"/>
  <c r="N20" i="10"/>
  <c r="U18" i="10"/>
  <c r="N18" i="10"/>
  <c r="U16" i="10"/>
  <c r="N16" i="10"/>
  <c r="U14" i="10"/>
  <c r="N14" i="10"/>
  <c r="U12" i="10"/>
  <c r="N12" i="10"/>
  <c r="U10" i="10"/>
  <c r="N10" i="10"/>
  <c r="U8" i="10"/>
  <c r="N8" i="10"/>
  <c r="U6" i="10"/>
  <c r="N6" i="10"/>
  <c r="U4" i="10"/>
  <c r="N4" i="10"/>
  <c r="C89" i="10"/>
  <c r="C87" i="10"/>
  <c r="C85" i="10"/>
  <c r="C83" i="10"/>
  <c r="C81" i="10"/>
  <c r="C79" i="10"/>
  <c r="C77" i="10"/>
  <c r="C75" i="10"/>
  <c r="C73" i="10"/>
  <c r="C71" i="10"/>
  <c r="C69" i="10"/>
  <c r="C67" i="10"/>
  <c r="C65" i="10"/>
  <c r="C63" i="10"/>
  <c r="C61" i="10"/>
  <c r="C59" i="10"/>
  <c r="C57" i="10"/>
  <c r="C55" i="10"/>
  <c r="C53" i="10"/>
  <c r="C51" i="10"/>
  <c r="C49" i="10"/>
  <c r="C47" i="10"/>
  <c r="C45" i="10"/>
  <c r="C43" i="10"/>
  <c r="C41" i="10"/>
  <c r="C39" i="10"/>
  <c r="C37" i="10"/>
  <c r="C35" i="10"/>
  <c r="C33" i="10"/>
  <c r="C31" i="10"/>
  <c r="C29" i="10"/>
  <c r="C27" i="10"/>
  <c r="C25" i="10"/>
  <c r="C21" i="10"/>
  <c r="C19" i="10"/>
  <c r="C17" i="10"/>
  <c r="C15" i="10"/>
  <c r="C13" i="10"/>
  <c r="C11" i="10"/>
  <c r="C9" i="10"/>
  <c r="C7" i="10"/>
  <c r="C5" i="10"/>
  <c r="C3" i="10"/>
  <c r="G21" i="26" l="1"/>
  <c r="L10" i="26"/>
  <c r="S10" i="26"/>
  <c r="M10" i="26"/>
  <c r="L18" i="26"/>
  <c r="S18" i="26"/>
  <c r="M18" i="26"/>
  <c r="L26" i="26"/>
  <c r="S26" i="26"/>
  <c r="M26" i="26"/>
  <c r="L34" i="26"/>
  <c r="S34" i="26"/>
  <c r="M34" i="26"/>
  <c r="L42" i="26"/>
  <c r="S42" i="26"/>
  <c r="M42" i="26"/>
  <c r="L50" i="26"/>
  <c r="S50" i="26"/>
  <c r="M50" i="26"/>
  <c r="L58" i="26"/>
  <c r="S58" i="26"/>
  <c r="M58" i="26"/>
  <c r="L66" i="26"/>
  <c r="S66" i="26"/>
  <c r="M66" i="26"/>
  <c r="L74" i="26"/>
  <c r="S74" i="26"/>
  <c r="M74" i="26"/>
  <c r="L82" i="26"/>
  <c r="S82" i="26"/>
  <c r="M82" i="26"/>
  <c r="L90" i="26"/>
  <c r="M90" i="26"/>
  <c r="S90" i="26"/>
  <c r="L5" i="26"/>
  <c r="S5" i="26"/>
  <c r="M5" i="26"/>
  <c r="L13" i="26"/>
  <c r="S13" i="26"/>
  <c r="M13" i="26"/>
  <c r="L21" i="26"/>
  <c r="S21" i="26"/>
  <c r="M21" i="26"/>
  <c r="L31" i="26"/>
  <c r="N31" i="26" s="1"/>
  <c r="S31" i="26"/>
  <c r="M31" i="26"/>
  <c r="L39" i="26"/>
  <c r="S39" i="26"/>
  <c r="M39" i="26"/>
  <c r="L47" i="26"/>
  <c r="S47" i="26"/>
  <c r="M47" i="26"/>
  <c r="L55" i="26"/>
  <c r="S55" i="26"/>
  <c r="M55" i="26"/>
  <c r="L63" i="26"/>
  <c r="N63" i="26" s="1"/>
  <c r="S63" i="26"/>
  <c r="M63" i="26"/>
  <c r="L71" i="26"/>
  <c r="S71" i="26"/>
  <c r="M71" i="26"/>
  <c r="L79" i="26"/>
  <c r="S79" i="26"/>
  <c r="M79" i="26"/>
  <c r="L87" i="26"/>
  <c r="S87" i="26"/>
  <c r="M87" i="26"/>
  <c r="L12" i="26"/>
  <c r="S12" i="26"/>
  <c r="M12" i="26"/>
  <c r="L20" i="26"/>
  <c r="S20" i="26"/>
  <c r="M20" i="26"/>
  <c r="L28" i="26"/>
  <c r="S28" i="26"/>
  <c r="M28" i="26"/>
  <c r="L36" i="26"/>
  <c r="S36" i="26"/>
  <c r="M36" i="26"/>
  <c r="L44" i="26"/>
  <c r="S44" i="26"/>
  <c r="M44" i="26"/>
  <c r="L52" i="26"/>
  <c r="S52" i="26"/>
  <c r="M52" i="26"/>
  <c r="L60" i="26"/>
  <c r="S60" i="26"/>
  <c r="M60" i="26"/>
  <c r="L68" i="26"/>
  <c r="S68" i="26"/>
  <c r="M68" i="26"/>
  <c r="L76" i="26"/>
  <c r="S76" i="26"/>
  <c r="M76" i="26"/>
  <c r="L84" i="26"/>
  <c r="M84" i="26"/>
  <c r="S84" i="26"/>
  <c r="L25" i="26"/>
  <c r="S25" i="26"/>
  <c r="M25" i="26"/>
  <c r="L7" i="26"/>
  <c r="N7" i="26" s="1"/>
  <c r="S7" i="26"/>
  <c r="M7" i="26"/>
  <c r="L15" i="26"/>
  <c r="N15" i="26" s="1"/>
  <c r="S15" i="26"/>
  <c r="M15" i="26"/>
  <c r="L23" i="26"/>
  <c r="S23" i="26"/>
  <c r="M23" i="26"/>
  <c r="L33" i="26"/>
  <c r="S33" i="26"/>
  <c r="M33" i="26"/>
  <c r="L41" i="26"/>
  <c r="S41" i="26"/>
  <c r="M41" i="26"/>
  <c r="L49" i="26"/>
  <c r="N49" i="26" s="1"/>
  <c r="S49" i="26"/>
  <c r="M49" i="26"/>
  <c r="L57" i="26"/>
  <c r="S57" i="26"/>
  <c r="M57" i="26"/>
  <c r="L65" i="26"/>
  <c r="S65" i="26"/>
  <c r="M65" i="26"/>
  <c r="L73" i="26"/>
  <c r="S73" i="26"/>
  <c r="M73" i="26"/>
  <c r="L81" i="26"/>
  <c r="N81" i="26" s="1"/>
  <c r="S81" i="26"/>
  <c r="M81" i="26"/>
  <c r="L89" i="26"/>
  <c r="M89" i="26"/>
  <c r="S89" i="26"/>
  <c r="L6" i="26"/>
  <c r="S6" i="26"/>
  <c r="M6" i="26"/>
  <c r="L14" i="26"/>
  <c r="S14" i="26"/>
  <c r="M14" i="26"/>
  <c r="L22" i="26"/>
  <c r="S22" i="26"/>
  <c r="M22" i="26"/>
  <c r="L30" i="26"/>
  <c r="S30" i="26"/>
  <c r="M30" i="26"/>
  <c r="L38" i="26"/>
  <c r="S38" i="26"/>
  <c r="M38" i="26"/>
  <c r="L46" i="26"/>
  <c r="S46" i="26"/>
  <c r="M46" i="26"/>
  <c r="L54" i="26"/>
  <c r="S54" i="26"/>
  <c r="M54" i="26"/>
  <c r="L62" i="26"/>
  <c r="S62" i="26"/>
  <c r="M62" i="26"/>
  <c r="L70" i="26"/>
  <c r="S70" i="26"/>
  <c r="M70" i="26"/>
  <c r="L78" i="26"/>
  <c r="S78" i="26"/>
  <c r="M78" i="26"/>
  <c r="L86" i="26"/>
  <c r="M86" i="26"/>
  <c r="S86" i="26"/>
  <c r="F63" i="26"/>
  <c r="L9" i="26"/>
  <c r="S9" i="26"/>
  <c r="M9" i="26"/>
  <c r="L17" i="26"/>
  <c r="S17" i="26"/>
  <c r="M17" i="26"/>
  <c r="L27" i="26"/>
  <c r="S27" i="26"/>
  <c r="M27" i="26"/>
  <c r="L35" i="26"/>
  <c r="S35" i="26"/>
  <c r="M35" i="26"/>
  <c r="L43" i="26"/>
  <c r="N43" i="26" s="1"/>
  <c r="S43" i="26"/>
  <c r="M43" i="26"/>
  <c r="L51" i="26"/>
  <c r="S51" i="26"/>
  <c r="M51" i="26"/>
  <c r="L59" i="26"/>
  <c r="S59" i="26"/>
  <c r="M59" i="26"/>
  <c r="L67" i="26"/>
  <c r="S67" i="26"/>
  <c r="M67" i="26"/>
  <c r="L75" i="26"/>
  <c r="N75" i="26" s="1"/>
  <c r="S75" i="26"/>
  <c r="M75" i="26"/>
  <c r="L83" i="26"/>
  <c r="S83" i="26"/>
  <c r="M83" i="26"/>
  <c r="L91" i="26"/>
  <c r="S91" i="26"/>
  <c r="M91" i="26"/>
  <c r="L4" i="26"/>
  <c r="M4" i="26"/>
  <c r="S4" i="26"/>
  <c r="L8" i="26"/>
  <c r="S8" i="26"/>
  <c r="M8" i="26"/>
  <c r="L16" i="26"/>
  <c r="S16" i="26"/>
  <c r="M16" i="26"/>
  <c r="L24" i="26"/>
  <c r="S24" i="26"/>
  <c r="M24" i="26"/>
  <c r="L32" i="26"/>
  <c r="S32" i="26"/>
  <c r="M32" i="26"/>
  <c r="L40" i="26"/>
  <c r="S40" i="26"/>
  <c r="M40" i="26"/>
  <c r="L48" i="26"/>
  <c r="S48" i="26"/>
  <c r="M48" i="26"/>
  <c r="L56" i="26"/>
  <c r="S56" i="26"/>
  <c r="M56" i="26"/>
  <c r="L64" i="26"/>
  <c r="M64" i="26"/>
  <c r="S64" i="26"/>
  <c r="L72" i="26"/>
  <c r="S72" i="26"/>
  <c r="M72" i="26"/>
  <c r="L80" i="26"/>
  <c r="M80" i="26"/>
  <c r="S80" i="26"/>
  <c r="L88" i="26"/>
  <c r="S88" i="26"/>
  <c r="M88" i="26"/>
  <c r="L11" i="26"/>
  <c r="S11" i="26"/>
  <c r="M11" i="26"/>
  <c r="L19" i="26"/>
  <c r="N19" i="26" s="1"/>
  <c r="S19" i="26"/>
  <c r="M19" i="26"/>
  <c r="L29" i="26"/>
  <c r="S29" i="26"/>
  <c r="M29" i="26"/>
  <c r="L37" i="26"/>
  <c r="S37" i="26"/>
  <c r="M37" i="26"/>
  <c r="L45" i="26"/>
  <c r="S45" i="26"/>
  <c r="M45" i="26"/>
  <c r="L53" i="26"/>
  <c r="N53" i="26" s="1"/>
  <c r="S53" i="26"/>
  <c r="M53" i="26"/>
  <c r="L61" i="26"/>
  <c r="S61" i="26"/>
  <c r="M61" i="26"/>
  <c r="L69" i="26"/>
  <c r="S69" i="26"/>
  <c r="M69" i="26"/>
  <c r="L77" i="26"/>
  <c r="M77" i="26"/>
  <c r="S77" i="26"/>
  <c r="L85" i="26"/>
  <c r="N85" i="26" s="1"/>
  <c r="S85" i="26"/>
  <c r="M85" i="26"/>
  <c r="G27" i="26"/>
  <c r="J35" i="26"/>
  <c r="N51" i="26"/>
  <c r="G67" i="26"/>
  <c r="D67" i="26"/>
  <c r="F91" i="26"/>
  <c r="D91" i="26"/>
  <c r="J4" i="26"/>
  <c r="D9" i="26"/>
  <c r="J17" i="26"/>
  <c r="J27" i="26"/>
  <c r="P27" i="26"/>
  <c r="F35" i="26"/>
  <c r="H35" i="26" s="1"/>
  <c r="P35" i="26"/>
  <c r="J43" i="26"/>
  <c r="P43" i="26"/>
  <c r="F51" i="26"/>
  <c r="H51" i="26" s="1"/>
  <c r="P51" i="26"/>
  <c r="J59" i="26"/>
  <c r="P59" i="26"/>
  <c r="J67" i="26"/>
  <c r="F83" i="26"/>
  <c r="H83" i="26" s="1"/>
  <c r="P83" i="26"/>
  <c r="G91" i="26"/>
  <c r="P4" i="26"/>
  <c r="G17" i="26"/>
  <c r="D75" i="26"/>
  <c r="F27" i="26"/>
  <c r="N35" i="26"/>
  <c r="G43" i="26"/>
  <c r="J51" i="26"/>
  <c r="G59" i="26"/>
  <c r="F67" i="26"/>
  <c r="H67" i="26" s="1"/>
  <c r="P67" i="26"/>
  <c r="J83" i="26"/>
  <c r="J91" i="26"/>
  <c r="P91" i="26"/>
  <c r="G4" i="26"/>
  <c r="J9" i="26"/>
  <c r="F75" i="26"/>
  <c r="N61" i="26"/>
  <c r="F24" i="9"/>
  <c r="J24" i="9" s="1"/>
  <c r="K24" i="9" s="1"/>
  <c r="F110" i="9"/>
  <c r="J110" i="9" s="1"/>
  <c r="K110" i="9" s="1"/>
  <c r="F96" i="9"/>
  <c r="J96" i="9" s="1"/>
  <c r="K96" i="9" s="1"/>
  <c r="F5" i="9"/>
  <c r="J5" i="9" s="1"/>
  <c r="K5" i="9" s="1"/>
  <c r="S123" i="9" s="1"/>
  <c r="F70" i="9"/>
  <c r="J70" i="9" s="1"/>
  <c r="K70" i="9" s="1"/>
  <c r="F44" i="9"/>
  <c r="J44" i="9" s="1"/>
  <c r="K44" i="9" s="1"/>
  <c r="F21" i="9"/>
  <c r="J21" i="9" s="1"/>
  <c r="K21" i="9" s="1"/>
  <c r="F31" i="9"/>
  <c r="J31" i="9" s="1"/>
  <c r="K31" i="9" s="1"/>
  <c r="S31" i="9" s="1"/>
  <c r="F61" i="9"/>
  <c r="J61" i="9" s="1"/>
  <c r="K61" i="9" s="1"/>
  <c r="F102" i="9"/>
  <c r="J102" i="9" s="1"/>
  <c r="K102" i="9" s="1"/>
  <c r="F76" i="9"/>
  <c r="J76" i="9" s="1"/>
  <c r="K76" i="9" s="1"/>
  <c r="F107" i="9"/>
  <c r="J107" i="9" s="1"/>
  <c r="K107" i="9" s="1"/>
  <c r="F62" i="9"/>
  <c r="J62" i="9" s="1"/>
  <c r="K62" i="9" s="1"/>
  <c r="F39" i="9"/>
  <c r="J39" i="9" s="1"/>
  <c r="K39" i="9" s="1"/>
  <c r="F90" i="9"/>
  <c r="J90" i="9" s="1"/>
  <c r="K90" i="9" s="1"/>
  <c r="F114" i="9"/>
  <c r="J114" i="9" s="1"/>
  <c r="K114" i="9" s="1"/>
  <c r="F38" i="9"/>
  <c r="J38" i="9" s="1"/>
  <c r="K38" i="9" s="1"/>
  <c r="F123" i="9"/>
  <c r="J123" i="9" s="1"/>
  <c r="K123" i="9" s="1"/>
  <c r="F91" i="9"/>
  <c r="J91" i="9" s="1"/>
  <c r="K91" i="9" s="1"/>
  <c r="F65" i="9"/>
  <c r="J65" i="9" s="1"/>
  <c r="K65" i="9" s="1"/>
  <c r="S65" i="9" s="1"/>
  <c r="F117" i="9"/>
  <c r="J117" i="9" s="1"/>
  <c r="K117" i="9" s="1"/>
  <c r="F45" i="9"/>
  <c r="J45" i="9" s="1"/>
  <c r="K45" i="9" s="1"/>
  <c r="F6" i="9"/>
  <c r="J6" i="9" s="1"/>
  <c r="K6" i="9" s="1"/>
  <c r="F15" i="9"/>
  <c r="J15" i="9" s="1"/>
  <c r="K15" i="9" s="1"/>
  <c r="F79" i="9"/>
  <c r="J79" i="9" s="1"/>
  <c r="K79" i="9" s="1"/>
  <c r="F83" i="9"/>
  <c r="J83" i="9" s="1"/>
  <c r="K83" i="9" s="1"/>
  <c r="F53" i="9"/>
  <c r="J53" i="9" s="1"/>
  <c r="K53" i="9" s="1"/>
  <c r="F9" i="9"/>
  <c r="J9" i="9" s="1"/>
  <c r="K9" i="9" s="1"/>
  <c r="S9" i="9" s="1"/>
  <c r="F119" i="9"/>
  <c r="J119" i="9" s="1"/>
  <c r="K119" i="9" s="1"/>
  <c r="F18" i="9"/>
  <c r="J18" i="9" s="1"/>
  <c r="K18" i="9" s="1"/>
  <c r="F13" i="9"/>
  <c r="J13" i="9" s="1"/>
  <c r="K13" i="9" s="1"/>
  <c r="F47" i="9"/>
  <c r="J47" i="9" s="1"/>
  <c r="K47" i="9" s="1"/>
  <c r="S47" i="9" s="1"/>
  <c r="F97" i="9"/>
  <c r="J97" i="9" s="1"/>
  <c r="K97" i="9" s="1"/>
  <c r="F8" i="9"/>
  <c r="J8" i="9" s="1"/>
  <c r="K8" i="9" s="1"/>
  <c r="F81" i="9"/>
  <c r="J81" i="9" s="1"/>
  <c r="K81" i="9" s="1"/>
  <c r="F27" i="9"/>
  <c r="J27" i="9" s="1"/>
  <c r="K27" i="9" s="1"/>
  <c r="F111" i="9"/>
  <c r="J111" i="9" s="1"/>
  <c r="K111" i="9" s="1"/>
  <c r="F17" i="9"/>
  <c r="J17" i="9" s="1"/>
  <c r="K17" i="9" s="1"/>
  <c r="F82" i="9"/>
  <c r="J82" i="9" s="1"/>
  <c r="K82" i="9" s="1"/>
  <c r="F50" i="9"/>
  <c r="J50" i="9" s="1"/>
  <c r="K50" i="9" s="1"/>
  <c r="F7" i="9"/>
  <c r="J7" i="9" s="1"/>
  <c r="K7" i="9" s="1"/>
  <c r="F118" i="9"/>
  <c r="J118" i="9" s="1"/>
  <c r="K118" i="9" s="1"/>
  <c r="F122" i="9"/>
  <c r="J122" i="9" s="1"/>
  <c r="K122" i="9" s="1"/>
  <c r="F26" i="9"/>
  <c r="J26" i="9" s="1"/>
  <c r="K26" i="9" s="1"/>
  <c r="F98" i="9"/>
  <c r="J98" i="9" s="1"/>
  <c r="K98" i="9" s="1"/>
  <c r="F52" i="9"/>
  <c r="J52" i="9" s="1"/>
  <c r="K52" i="9" s="1"/>
  <c r="F74" i="9"/>
  <c r="J74" i="9" s="1"/>
  <c r="K74" i="9" s="1"/>
  <c r="F35" i="9"/>
  <c r="J35" i="9" s="1"/>
  <c r="K35" i="9" s="1"/>
  <c r="S35" i="9" s="1"/>
  <c r="F100" i="9"/>
  <c r="J100" i="9" s="1"/>
  <c r="K100" i="9" s="1"/>
  <c r="F87" i="9"/>
  <c r="J87" i="9" s="1"/>
  <c r="K87" i="9" s="1"/>
  <c r="F58" i="9"/>
  <c r="J58" i="9" s="1"/>
  <c r="K58" i="9" s="1"/>
  <c r="F37" i="9"/>
  <c r="J37" i="9" s="1"/>
  <c r="K37" i="9" s="1"/>
  <c r="F103" i="9"/>
  <c r="J103" i="9" s="1"/>
  <c r="K103" i="9" s="1"/>
  <c r="F78" i="9"/>
  <c r="J78" i="9" s="1"/>
  <c r="K78" i="9" s="1"/>
  <c r="F64" i="9"/>
  <c r="J64" i="9" s="1"/>
  <c r="K64" i="9" s="1"/>
  <c r="F32" i="9"/>
  <c r="J32" i="9" s="1"/>
  <c r="K32" i="9" s="1"/>
  <c r="F92" i="9"/>
  <c r="J92" i="9" s="1"/>
  <c r="K92" i="9" s="1"/>
  <c r="F106" i="9"/>
  <c r="J106" i="9" s="1"/>
  <c r="K106" i="9" s="1"/>
  <c r="F34" i="9"/>
  <c r="J34" i="9" s="1"/>
  <c r="K34" i="9" s="1"/>
  <c r="F66" i="9"/>
  <c r="J66" i="9" s="1"/>
  <c r="K66" i="9" s="1"/>
  <c r="F108" i="9"/>
  <c r="J108" i="9" s="1"/>
  <c r="K108" i="9" s="1"/>
  <c r="F60" i="9"/>
  <c r="J60" i="9" s="1"/>
  <c r="K60" i="9" s="1"/>
  <c r="F20" i="9"/>
  <c r="J20" i="9" s="1"/>
  <c r="K20" i="9" s="1"/>
  <c r="F89" i="9"/>
  <c r="J89" i="9" s="1"/>
  <c r="K89" i="9" s="1"/>
  <c r="F59" i="9"/>
  <c r="J59" i="9" s="1"/>
  <c r="K59" i="9" s="1"/>
  <c r="F88" i="9"/>
  <c r="J88" i="9" s="1"/>
  <c r="K88" i="9" s="1"/>
  <c r="F40" i="9"/>
  <c r="J40" i="9" s="1"/>
  <c r="K40" i="9" s="1"/>
  <c r="F115" i="9"/>
  <c r="J115" i="9" s="1"/>
  <c r="K115" i="9" s="1"/>
  <c r="F99" i="9"/>
  <c r="J99" i="9" s="1"/>
  <c r="K99" i="9" s="1"/>
  <c r="F86" i="9"/>
  <c r="J86" i="9" s="1"/>
  <c r="K86" i="9" s="1"/>
  <c r="F57" i="9"/>
  <c r="J57" i="9" s="1"/>
  <c r="K57" i="9" s="1"/>
  <c r="F33" i="9"/>
  <c r="J33" i="9" s="1"/>
  <c r="K33" i="9" s="1"/>
  <c r="F54" i="9"/>
  <c r="J54" i="9" s="1"/>
  <c r="K54" i="9" s="1"/>
  <c r="F84" i="9"/>
  <c r="J84" i="9" s="1"/>
  <c r="K84" i="9" s="1"/>
  <c r="F30" i="9"/>
  <c r="J30" i="9" s="1"/>
  <c r="K30" i="9" s="1"/>
  <c r="F71" i="9"/>
  <c r="J71" i="9" s="1"/>
  <c r="K71" i="9" s="1"/>
  <c r="F25" i="9"/>
  <c r="J25" i="9" s="1"/>
  <c r="K25" i="9" s="1"/>
  <c r="F48" i="9"/>
  <c r="J48" i="9" s="1"/>
  <c r="K48" i="9" s="1"/>
  <c r="F121" i="9"/>
  <c r="J121" i="9" s="1"/>
  <c r="K121" i="9" s="1"/>
  <c r="F10" i="9"/>
  <c r="J10" i="9" s="1"/>
  <c r="K10" i="9" s="1"/>
  <c r="F112" i="9"/>
  <c r="J112" i="9" s="1"/>
  <c r="K112" i="9" s="1"/>
  <c r="F120" i="9"/>
  <c r="J120" i="9" s="1"/>
  <c r="K120" i="9" s="1"/>
  <c r="F55" i="9"/>
  <c r="J55" i="9" s="1"/>
  <c r="K55" i="9" s="1"/>
  <c r="F22" i="9"/>
  <c r="J22" i="9" s="1"/>
  <c r="K22" i="9" s="1"/>
  <c r="F85" i="9"/>
  <c r="J85" i="9" s="1"/>
  <c r="K85" i="9" s="1"/>
  <c r="J5" i="26"/>
  <c r="P5" i="26"/>
  <c r="N9" i="26"/>
  <c r="N13" i="26"/>
  <c r="P13" i="26"/>
  <c r="J21" i="26"/>
  <c r="P21" i="26"/>
  <c r="J63" i="26"/>
  <c r="P63" i="26"/>
  <c r="G75" i="26"/>
  <c r="H75" i="26" s="1"/>
  <c r="G87" i="26"/>
  <c r="P87" i="26"/>
  <c r="F77" i="26"/>
  <c r="F16" i="9"/>
  <c r="J16" i="9" s="1"/>
  <c r="K16" i="9" s="1"/>
  <c r="F68" i="9"/>
  <c r="J68" i="9" s="1"/>
  <c r="K68" i="9" s="1"/>
  <c r="S68" i="9" s="1"/>
  <c r="F42" i="9"/>
  <c r="J42" i="9" s="1"/>
  <c r="K42" i="9" s="1"/>
  <c r="F9" i="26"/>
  <c r="H9" i="26" s="1"/>
  <c r="P9" i="26"/>
  <c r="G13" i="26"/>
  <c r="H13" i="26" s="1"/>
  <c r="F17" i="26"/>
  <c r="H17" i="26" s="1"/>
  <c r="P17" i="26"/>
  <c r="F21" i="26"/>
  <c r="H21" i="26" s="1"/>
  <c r="G63" i="26"/>
  <c r="J75" i="26"/>
  <c r="P75" i="26"/>
  <c r="F87" i="26"/>
  <c r="H87" i="26" s="1"/>
  <c r="G77" i="26"/>
  <c r="P77" i="26"/>
  <c r="H39" i="26"/>
  <c r="H55" i="26"/>
  <c r="H91" i="26"/>
  <c r="H61" i="26"/>
  <c r="H15" i="26"/>
  <c r="H5" i="26"/>
  <c r="H33" i="26"/>
  <c r="H57" i="26"/>
  <c r="N11" i="26"/>
  <c r="H37" i="26"/>
  <c r="N17" i="26"/>
  <c r="N37" i="26"/>
  <c r="H41" i="26"/>
  <c r="N71" i="26"/>
  <c r="N89" i="26"/>
  <c r="H59" i="26"/>
  <c r="H79" i="26"/>
  <c r="N87" i="26"/>
  <c r="N77" i="26"/>
  <c r="H19" i="26"/>
  <c r="H71" i="26"/>
  <c r="H89" i="26"/>
  <c r="H4" i="26"/>
  <c r="H53" i="26"/>
  <c r="N73" i="26"/>
  <c r="N41" i="26"/>
  <c r="N45" i="26"/>
  <c r="H49" i="26"/>
  <c r="N65" i="26"/>
  <c r="N69" i="26"/>
  <c r="H81" i="26"/>
  <c r="H7" i="26"/>
  <c r="H23" i="26"/>
  <c r="H27" i="26"/>
  <c r="N39" i="26"/>
  <c r="H43" i="26"/>
  <c r="H47" i="26"/>
  <c r="N55" i="26"/>
  <c r="N67" i="26"/>
  <c r="N91" i="26"/>
  <c r="H85" i="26"/>
  <c r="N5" i="26"/>
  <c r="N21" i="26"/>
  <c r="N29" i="26"/>
  <c r="H45" i="26"/>
  <c r="H69" i="26"/>
  <c r="H63" i="26"/>
  <c r="H11" i="26"/>
  <c r="H31" i="26"/>
  <c r="N59" i="26"/>
  <c r="N83" i="26"/>
  <c r="N4" i="26"/>
  <c r="H73" i="26"/>
  <c r="H29" i="26"/>
  <c r="N33" i="26"/>
  <c r="H65" i="26"/>
  <c r="D8" i="26"/>
  <c r="P8" i="26"/>
  <c r="J8" i="26"/>
  <c r="G8" i="26"/>
  <c r="F8" i="26"/>
  <c r="D16" i="26"/>
  <c r="P16" i="26"/>
  <c r="J16" i="26"/>
  <c r="G16" i="26"/>
  <c r="F16" i="26"/>
  <c r="D24" i="26"/>
  <c r="P24" i="26"/>
  <c r="J24" i="26"/>
  <c r="G24" i="26"/>
  <c r="F24" i="26"/>
  <c r="D32" i="26"/>
  <c r="P32" i="26"/>
  <c r="J32" i="26"/>
  <c r="G32" i="26"/>
  <c r="F32" i="26"/>
  <c r="D40" i="26"/>
  <c r="P40" i="26"/>
  <c r="J40" i="26"/>
  <c r="G40" i="26"/>
  <c r="F40" i="26"/>
  <c r="D48" i="26"/>
  <c r="P48" i="26"/>
  <c r="J48" i="26"/>
  <c r="G48" i="26"/>
  <c r="F48" i="26"/>
  <c r="D56" i="26"/>
  <c r="P56" i="26"/>
  <c r="J56" i="26"/>
  <c r="G56" i="26"/>
  <c r="F56" i="26"/>
  <c r="D64" i="26"/>
  <c r="P64" i="26"/>
  <c r="J64" i="26"/>
  <c r="G64" i="26"/>
  <c r="F64" i="26"/>
  <c r="D72" i="26"/>
  <c r="P72" i="26"/>
  <c r="J72" i="26"/>
  <c r="G72" i="26"/>
  <c r="F72" i="26"/>
  <c r="D80" i="26"/>
  <c r="P80" i="26"/>
  <c r="J80" i="26"/>
  <c r="G80" i="26"/>
  <c r="F80" i="26"/>
  <c r="D88" i="26"/>
  <c r="P88" i="26"/>
  <c r="J88" i="26"/>
  <c r="G88" i="26"/>
  <c r="F88" i="26"/>
  <c r="D6" i="26"/>
  <c r="P6" i="26"/>
  <c r="J6" i="26"/>
  <c r="G6" i="26"/>
  <c r="F6" i="26"/>
  <c r="D14" i="26"/>
  <c r="P14" i="26"/>
  <c r="G14" i="26"/>
  <c r="J14" i="26"/>
  <c r="F14" i="26"/>
  <c r="D22" i="26"/>
  <c r="P22" i="26"/>
  <c r="J22" i="26"/>
  <c r="G22" i="26"/>
  <c r="F22" i="26"/>
  <c r="D30" i="26"/>
  <c r="P30" i="26"/>
  <c r="G30" i="26"/>
  <c r="J30" i="26"/>
  <c r="F30" i="26"/>
  <c r="D38" i="26"/>
  <c r="P38" i="26"/>
  <c r="G38" i="26"/>
  <c r="F38" i="26"/>
  <c r="J38" i="26"/>
  <c r="D46" i="26"/>
  <c r="P46" i="26"/>
  <c r="J46" i="26"/>
  <c r="G46" i="26"/>
  <c r="F46" i="26"/>
  <c r="D54" i="26"/>
  <c r="P54" i="26"/>
  <c r="G54" i="26"/>
  <c r="F54" i="26"/>
  <c r="J54" i="26"/>
  <c r="D62" i="26"/>
  <c r="P62" i="26"/>
  <c r="G62" i="26"/>
  <c r="J62" i="26"/>
  <c r="F62" i="26"/>
  <c r="D70" i="26"/>
  <c r="P70" i="26"/>
  <c r="G70" i="26"/>
  <c r="F70" i="26"/>
  <c r="J70" i="26"/>
  <c r="D78" i="26"/>
  <c r="P78" i="26"/>
  <c r="G78" i="26"/>
  <c r="J78" i="26"/>
  <c r="F78" i="26"/>
  <c r="D86" i="26"/>
  <c r="P86" i="26"/>
  <c r="G86" i="26"/>
  <c r="F86" i="26"/>
  <c r="J86" i="26"/>
  <c r="D12" i="26"/>
  <c r="P12" i="26"/>
  <c r="J12" i="26"/>
  <c r="G12" i="26"/>
  <c r="F12" i="26"/>
  <c r="D20" i="26"/>
  <c r="P20" i="26"/>
  <c r="J20" i="26"/>
  <c r="G20" i="26"/>
  <c r="F20" i="26"/>
  <c r="D28" i="26"/>
  <c r="P28" i="26"/>
  <c r="J28" i="26"/>
  <c r="G28" i="26"/>
  <c r="F28" i="26"/>
  <c r="D36" i="26"/>
  <c r="P36" i="26"/>
  <c r="J36" i="26"/>
  <c r="G36" i="26"/>
  <c r="F36" i="26"/>
  <c r="D44" i="26"/>
  <c r="P44" i="26"/>
  <c r="J44" i="26"/>
  <c r="G44" i="26"/>
  <c r="F44" i="26"/>
  <c r="D52" i="26"/>
  <c r="P52" i="26"/>
  <c r="J52" i="26"/>
  <c r="G52" i="26"/>
  <c r="F52" i="26"/>
  <c r="D60" i="26"/>
  <c r="P60" i="26"/>
  <c r="J60" i="26"/>
  <c r="G60" i="26"/>
  <c r="F60" i="26"/>
  <c r="D68" i="26"/>
  <c r="P68" i="26"/>
  <c r="J68" i="26"/>
  <c r="G68" i="26"/>
  <c r="F68" i="26"/>
  <c r="D76" i="26"/>
  <c r="P76" i="26"/>
  <c r="J76" i="26"/>
  <c r="G76" i="26"/>
  <c r="F76" i="26"/>
  <c r="D84" i="26"/>
  <c r="P84" i="26"/>
  <c r="J84" i="26"/>
  <c r="G84" i="26"/>
  <c r="F84" i="26"/>
  <c r="D25" i="26"/>
  <c r="P25" i="26"/>
  <c r="J25" i="26"/>
  <c r="G25" i="26"/>
  <c r="F25" i="26"/>
  <c r="D10" i="26"/>
  <c r="P10" i="26"/>
  <c r="F10" i="26"/>
  <c r="G10" i="26"/>
  <c r="J10" i="26"/>
  <c r="D18" i="26"/>
  <c r="P18" i="26"/>
  <c r="F18" i="26"/>
  <c r="J18" i="26"/>
  <c r="G18" i="26"/>
  <c r="D26" i="26"/>
  <c r="P26" i="26"/>
  <c r="G26" i="26"/>
  <c r="F26" i="26"/>
  <c r="J26" i="26"/>
  <c r="D34" i="26"/>
  <c r="P34" i="26"/>
  <c r="F34" i="26"/>
  <c r="J34" i="26"/>
  <c r="G34" i="26"/>
  <c r="D42" i="26"/>
  <c r="P42" i="26"/>
  <c r="G42" i="26"/>
  <c r="F42" i="26"/>
  <c r="J42" i="26"/>
  <c r="D50" i="26"/>
  <c r="P50" i="26"/>
  <c r="F50" i="26"/>
  <c r="J50" i="26"/>
  <c r="G50" i="26"/>
  <c r="D58" i="26"/>
  <c r="P58" i="26"/>
  <c r="F58" i="26"/>
  <c r="G58" i="26"/>
  <c r="J58" i="26"/>
  <c r="D66" i="26"/>
  <c r="P66" i="26"/>
  <c r="F66" i="26"/>
  <c r="J66" i="26"/>
  <c r="G66" i="26"/>
  <c r="D74" i="26"/>
  <c r="P74" i="26"/>
  <c r="G74" i="26"/>
  <c r="F74" i="26"/>
  <c r="J74" i="26"/>
  <c r="D82" i="26"/>
  <c r="P82" i="26"/>
  <c r="F82" i="26"/>
  <c r="J82" i="26"/>
  <c r="G82" i="26"/>
  <c r="D90" i="26"/>
  <c r="P90" i="26"/>
  <c r="G90" i="26"/>
  <c r="F90" i="26"/>
  <c r="J90" i="26"/>
  <c r="S19" i="9"/>
  <c r="O2" i="10"/>
  <c r="D2" i="10"/>
  <c r="S74" i="9"/>
  <c r="S6" i="9"/>
  <c r="S99" i="9"/>
  <c r="S8" i="9"/>
  <c r="S50" i="9"/>
  <c r="S114" i="9"/>
  <c r="S121" i="9"/>
  <c r="S107" i="9"/>
  <c r="D8" i="19"/>
  <c r="C9" i="19"/>
  <c r="E8" i="19"/>
  <c r="F9" i="18"/>
  <c r="D8" i="18"/>
  <c r="E8" i="18"/>
  <c r="O83" i="10"/>
  <c r="D83" i="10"/>
  <c r="O87" i="10"/>
  <c r="D87" i="10"/>
  <c r="E4" i="10"/>
  <c r="F4" i="10" s="1"/>
  <c r="E6" i="10"/>
  <c r="F6" i="10" s="1"/>
  <c r="E8" i="10"/>
  <c r="F8" i="10" s="1"/>
  <c r="E10" i="10"/>
  <c r="F10" i="10" s="1"/>
  <c r="E12" i="10"/>
  <c r="F12" i="10" s="1"/>
  <c r="E14" i="10"/>
  <c r="F14" i="10" s="1"/>
  <c r="E16" i="10"/>
  <c r="F16" i="10" s="1"/>
  <c r="E18" i="10"/>
  <c r="F18" i="10" s="1"/>
  <c r="E20" i="10"/>
  <c r="F20" i="10" s="1"/>
  <c r="E22" i="10"/>
  <c r="F22" i="10" s="1"/>
  <c r="E24" i="10"/>
  <c r="F24" i="10" s="1"/>
  <c r="E26" i="10"/>
  <c r="F26" i="10" s="1"/>
  <c r="E28" i="10"/>
  <c r="F28" i="10" s="1"/>
  <c r="E30" i="10"/>
  <c r="F30" i="10" s="1"/>
  <c r="E32" i="10"/>
  <c r="F32" i="10" s="1"/>
  <c r="E34" i="10"/>
  <c r="F34" i="10" s="1"/>
  <c r="E36" i="10"/>
  <c r="F36" i="10" s="1"/>
  <c r="E38" i="10"/>
  <c r="F38" i="10" s="1"/>
  <c r="E40" i="10"/>
  <c r="F40" i="10" s="1"/>
  <c r="E42" i="10"/>
  <c r="F42" i="10" s="1"/>
  <c r="E44" i="10"/>
  <c r="F44" i="10" s="1"/>
  <c r="E46" i="10"/>
  <c r="F46" i="10" s="1"/>
  <c r="E48" i="10"/>
  <c r="F48" i="10" s="1"/>
  <c r="E50" i="10"/>
  <c r="F50" i="10" s="1"/>
  <c r="E52" i="10"/>
  <c r="F52" i="10" s="1"/>
  <c r="E54" i="10"/>
  <c r="F54" i="10" s="1"/>
  <c r="E56" i="10"/>
  <c r="F56" i="10" s="1"/>
  <c r="E58" i="10"/>
  <c r="F58" i="10" s="1"/>
  <c r="E60" i="10"/>
  <c r="F60" i="10" s="1"/>
  <c r="E62" i="10"/>
  <c r="F62" i="10" s="1"/>
  <c r="E64" i="10"/>
  <c r="F64" i="10" s="1"/>
  <c r="E66" i="10"/>
  <c r="F66" i="10" s="1"/>
  <c r="E68" i="10"/>
  <c r="F68" i="10" s="1"/>
  <c r="E70" i="10"/>
  <c r="F70" i="10" s="1"/>
  <c r="E72" i="10"/>
  <c r="F72" i="10" s="1"/>
  <c r="E74" i="10"/>
  <c r="F74" i="10" s="1"/>
  <c r="E76" i="10"/>
  <c r="F76" i="10" s="1"/>
  <c r="E78" i="10"/>
  <c r="F78" i="10" s="1"/>
  <c r="E80" i="10"/>
  <c r="F80" i="10" s="1"/>
  <c r="E82" i="10"/>
  <c r="F82" i="10" s="1"/>
  <c r="E84" i="10"/>
  <c r="F84" i="10" s="1"/>
  <c r="E86" i="10"/>
  <c r="F86" i="10" s="1"/>
  <c r="E88" i="10"/>
  <c r="F88" i="10" s="1"/>
  <c r="O3" i="10"/>
  <c r="D3" i="10"/>
  <c r="D3" i="12" s="1"/>
  <c r="O7" i="10"/>
  <c r="D7" i="10"/>
  <c r="D7" i="12" s="1"/>
  <c r="O11" i="10"/>
  <c r="D11" i="10"/>
  <c r="D11" i="12" s="1"/>
  <c r="O15" i="10"/>
  <c r="D15" i="10"/>
  <c r="D15" i="12" s="1"/>
  <c r="O19" i="10"/>
  <c r="D19" i="10"/>
  <c r="O23" i="10"/>
  <c r="D23" i="10"/>
  <c r="O27" i="10"/>
  <c r="D27" i="10"/>
  <c r="O31" i="10"/>
  <c r="D31" i="10"/>
  <c r="O35" i="10"/>
  <c r="D35" i="10"/>
  <c r="O39" i="10"/>
  <c r="D39" i="10"/>
  <c r="O43" i="10"/>
  <c r="D43" i="10"/>
  <c r="O47" i="10"/>
  <c r="D47" i="10"/>
  <c r="O51" i="10"/>
  <c r="D51" i="10"/>
  <c r="O55" i="10"/>
  <c r="D55" i="10"/>
  <c r="O59" i="10"/>
  <c r="D59" i="10"/>
  <c r="O63" i="10"/>
  <c r="D63" i="10"/>
  <c r="O67" i="10"/>
  <c r="D67" i="10"/>
  <c r="O71" i="10"/>
  <c r="D71" i="10"/>
  <c r="O75" i="10"/>
  <c r="D75" i="10"/>
  <c r="O79" i="10"/>
  <c r="D79" i="10"/>
  <c r="O5" i="10"/>
  <c r="D5" i="10"/>
  <c r="D5" i="12" s="1"/>
  <c r="O9" i="10"/>
  <c r="D9" i="10"/>
  <c r="D9" i="12" s="1"/>
  <c r="O13" i="10"/>
  <c r="D13" i="10"/>
  <c r="D13" i="12" s="1"/>
  <c r="O17" i="10"/>
  <c r="D17" i="10"/>
  <c r="D17" i="12" s="1"/>
  <c r="O21" i="10"/>
  <c r="D21" i="10"/>
  <c r="O25" i="10"/>
  <c r="D25" i="10"/>
  <c r="O29" i="10"/>
  <c r="D29" i="10"/>
  <c r="O33" i="10"/>
  <c r="D33" i="10"/>
  <c r="O37" i="10"/>
  <c r="D37" i="10"/>
  <c r="O41" i="10"/>
  <c r="D41" i="10"/>
  <c r="O45" i="10"/>
  <c r="D45" i="10"/>
  <c r="O49" i="10"/>
  <c r="D49" i="10"/>
  <c r="O53" i="10"/>
  <c r="D53" i="10"/>
  <c r="O57" i="10"/>
  <c r="D57" i="10"/>
  <c r="O61" i="10"/>
  <c r="D61" i="10"/>
  <c r="O65" i="10"/>
  <c r="D65" i="10"/>
  <c r="O69" i="10"/>
  <c r="D69" i="10"/>
  <c r="O73" i="10"/>
  <c r="D73" i="10"/>
  <c r="O77" i="10"/>
  <c r="D77" i="10"/>
  <c r="O81" i="10"/>
  <c r="D81" i="10"/>
  <c r="O85" i="10"/>
  <c r="D85" i="10"/>
  <c r="O89" i="10"/>
  <c r="D89" i="10"/>
  <c r="S3" i="10"/>
  <c r="S4" i="10"/>
  <c r="S5" i="10"/>
  <c r="S6" i="10"/>
  <c r="S7" i="10"/>
  <c r="S8" i="10"/>
  <c r="S9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5" i="10"/>
  <c r="S56" i="10"/>
  <c r="S57" i="10"/>
  <c r="S58" i="10"/>
  <c r="S59" i="10"/>
  <c r="S60" i="10"/>
  <c r="S61" i="10"/>
  <c r="S62" i="10"/>
  <c r="S63" i="10"/>
  <c r="S64" i="10"/>
  <c r="S65" i="10"/>
  <c r="S66" i="10"/>
  <c r="S67" i="10"/>
  <c r="S68" i="10"/>
  <c r="S69" i="10"/>
  <c r="S70" i="10"/>
  <c r="S71" i="10"/>
  <c r="S72" i="10"/>
  <c r="S73" i="10"/>
  <c r="S74" i="10"/>
  <c r="S75" i="10"/>
  <c r="S76" i="10"/>
  <c r="S77" i="10"/>
  <c r="S78" i="10"/>
  <c r="S79" i="10"/>
  <c r="S80" i="10"/>
  <c r="S81" i="10"/>
  <c r="S82" i="10"/>
  <c r="S83" i="10"/>
  <c r="S84" i="10"/>
  <c r="S85" i="10"/>
  <c r="S86" i="10"/>
  <c r="S87" i="10"/>
  <c r="S88" i="10"/>
  <c r="S89" i="10"/>
  <c r="S2" i="10"/>
  <c r="T2" i="10" s="1"/>
  <c r="T3" i="10"/>
  <c r="T4" i="10"/>
  <c r="T5" i="10"/>
  <c r="T6" i="10"/>
  <c r="T7" i="10"/>
  <c r="T8" i="10"/>
  <c r="T9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T42" i="10"/>
  <c r="T43" i="10"/>
  <c r="T44" i="10"/>
  <c r="T45" i="10"/>
  <c r="T46" i="10"/>
  <c r="T47" i="10"/>
  <c r="T48" i="10"/>
  <c r="T49" i="10"/>
  <c r="T50" i="10"/>
  <c r="T51" i="10"/>
  <c r="T52" i="10"/>
  <c r="T53" i="10"/>
  <c r="T54" i="10"/>
  <c r="T55" i="10"/>
  <c r="T56" i="10"/>
  <c r="T57" i="10"/>
  <c r="T58" i="10"/>
  <c r="T59" i="10"/>
  <c r="T60" i="10"/>
  <c r="T61" i="10"/>
  <c r="T62" i="10"/>
  <c r="T63" i="10"/>
  <c r="T64" i="10"/>
  <c r="T65" i="10"/>
  <c r="T66" i="10"/>
  <c r="T67" i="10"/>
  <c r="T68" i="10"/>
  <c r="T69" i="10"/>
  <c r="T70" i="10"/>
  <c r="T71" i="10"/>
  <c r="T72" i="10"/>
  <c r="T73" i="10"/>
  <c r="T74" i="10"/>
  <c r="T75" i="10"/>
  <c r="T76" i="10"/>
  <c r="T77" i="10"/>
  <c r="T78" i="10"/>
  <c r="T79" i="10"/>
  <c r="T80" i="10"/>
  <c r="T81" i="10"/>
  <c r="T82" i="10"/>
  <c r="T83" i="10"/>
  <c r="T84" i="10"/>
  <c r="T85" i="10"/>
  <c r="T86" i="10"/>
  <c r="T87" i="10"/>
  <c r="T88" i="10"/>
  <c r="T89" i="10"/>
  <c r="S11" i="9" l="1"/>
  <c r="S52" i="9"/>
  <c r="S85" i="9"/>
  <c r="S64" i="9"/>
  <c r="S34" i="9"/>
  <c r="S108" i="9"/>
  <c r="S116" i="9"/>
  <c r="S80" i="9"/>
  <c r="S109" i="9"/>
  <c r="S55" i="9"/>
  <c r="S73" i="9"/>
  <c r="S56" i="9"/>
  <c r="S25" i="9"/>
  <c r="S87" i="9"/>
  <c r="S21" i="9"/>
  <c r="S7" i="9"/>
  <c r="S113" i="9"/>
  <c r="S45" i="9"/>
  <c r="N57" i="26"/>
  <c r="N23" i="26"/>
  <c r="N27" i="26"/>
  <c r="N79" i="26"/>
  <c r="N47" i="26"/>
  <c r="S30" i="9"/>
  <c r="S57" i="9"/>
  <c r="S40" i="9"/>
  <c r="S20" i="9"/>
  <c r="S58" i="9"/>
  <c r="S122" i="9"/>
  <c r="S82" i="9"/>
  <c r="S81" i="9"/>
  <c r="S13" i="9"/>
  <c r="S53" i="9"/>
  <c r="S60" i="9"/>
  <c r="S91" i="9"/>
  <c r="S90" i="9"/>
  <c r="S96" i="9"/>
  <c r="D10" i="12"/>
  <c r="D6" i="12"/>
  <c r="H77" i="26"/>
  <c r="D2" i="12"/>
  <c r="D8" i="12"/>
  <c r="D12" i="12"/>
  <c r="D16" i="12"/>
  <c r="D14" i="12"/>
  <c r="D4" i="12"/>
  <c r="S77" i="9"/>
  <c r="S10" i="9"/>
  <c r="S88" i="9"/>
  <c r="S15" i="9"/>
  <c r="S110" i="9"/>
  <c r="S112" i="9"/>
  <c r="S106" i="9"/>
  <c r="S95" i="9"/>
  <c r="S18" i="9"/>
  <c r="S97" i="9"/>
  <c r="S22" i="9"/>
  <c r="S115" i="9"/>
  <c r="S100" i="9"/>
  <c r="S23" i="9"/>
  <c r="S28" i="9"/>
  <c r="S71" i="9"/>
  <c r="S5" i="9"/>
  <c r="S2" i="9"/>
  <c r="S117" i="9"/>
  <c r="S41" i="9"/>
  <c r="S92" i="9"/>
  <c r="S46" i="9"/>
  <c r="S72" i="9"/>
  <c r="S24" i="9"/>
  <c r="S3" i="9"/>
  <c r="S44" i="9"/>
  <c r="S26" i="9"/>
  <c r="S105" i="9"/>
  <c r="S84" i="9"/>
  <c r="S63" i="9"/>
  <c r="S33" i="9"/>
  <c r="S32" i="9"/>
  <c r="S29" i="9"/>
  <c r="S76" i="9"/>
  <c r="S66" i="9"/>
  <c r="S62" i="9"/>
  <c r="S27" i="9"/>
  <c r="S118" i="9"/>
  <c r="S12" i="9"/>
  <c r="S78" i="9"/>
  <c r="S43" i="9"/>
  <c r="S104" i="9"/>
  <c r="S54" i="9"/>
  <c r="S94" i="9"/>
  <c r="S120" i="9"/>
  <c r="S67" i="9"/>
  <c r="S49" i="9"/>
  <c r="S75" i="9"/>
  <c r="S51" i="9"/>
  <c r="S98" i="9"/>
  <c r="S93" i="9"/>
  <c r="S48" i="9"/>
  <c r="S83" i="9"/>
  <c r="S70" i="9"/>
  <c r="S42" i="9"/>
  <c r="S61" i="9"/>
  <c r="S14" i="9"/>
  <c r="S102" i="9"/>
  <c r="S119" i="9"/>
  <c r="S101" i="9"/>
  <c r="S79" i="9"/>
  <c r="S4" i="9"/>
  <c r="S89" i="9"/>
  <c r="S69" i="9"/>
  <c r="S36" i="9"/>
  <c r="S17" i="9"/>
  <c r="S16" i="9"/>
  <c r="S37" i="9"/>
  <c r="S59" i="9"/>
  <c r="S38" i="9"/>
  <c r="S39" i="9"/>
  <c r="S86" i="9"/>
  <c r="S103" i="9"/>
  <c r="S111" i="9"/>
  <c r="G8" i="10"/>
  <c r="H12" i="26"/>
  <c r="H34" i="26"/>
  <c r="N18" i="26"/>
  <c r="H62" i="26"/>
  <c r="N66" i="26"/>
  <c r="H84" i="26"/>
  <c r="N60" i="26"/>
  <c r="H52" i="26"/>
  <c r="H44" i="26"/>
  <c r="N20" i="26"/>
  <c r="N78" i="26"/>
  <c r="N6" i="26"/>
  <c r="H64" i="26"/>
  <c r="H24" i="26"/>
  <c r="N26" i="26"/>
  <c r="N38" i="26"/>
  <c r="N82" i="26"/>
  <c r="H58" i="26"/>
  <c r="N50" i="26"/>
  <c r="N42" i="26"/>
  <c r="H18" i="26"/>
  <c r="N10" i="26"/>
  <c r="N76" i="26"/>
  <c r="H68" i="26"/>
  <c r="H36" i="26"/>
  <c r="N36" i="26"/>
  <c r="H28" i="26"/>
  <c r="N62" i="26"/>
  <c r="H22" i="26"/>
  <c r="N22" i="26"/>
  <c r="N88" i="26"/>
  <c r="H80" i="26"/>
  <c r="N56" i="26"/>
  <c r="H48" i="26"/>
  <c r="H16" i="26"/>
  <c r="N16" i="26"/>
  <c r="H20" i="26"/>
  <c r="H6" i="26"/>
  <c r="N72" i="26"/>
  <c r="H32" i="26"/>
  <c r="N32" i="26"/>
  <c r="H90" i="26"/>
  <c r="H82" i="26"/>
  <c r="N74" i="26"/>
  <c r="H50" i="26"/>
  <c r="N34" i="26"/>
  <c r="H26" i="26"/>
  <c r="H10" i="26"/>
  <c r="H25" i="26"/>
  <c r="N68" i="26"/>
  <c r="H60" i="26"/>
  <c r="N28" i="26"/>
  <c r="N86" i="26"/>
  <c r="H78" i="26"/>
  <c r="H70" i="26"/>
  <c r="N54" i="26"/>
  <c r="H46" i="26"/>
  <c r="N46" i="26"/>
  <c r="H38" i="26"/>
  <c r="H14" i="26"/>
  <c r="N14" i="26"/>
  <c r="N80" i="26"/>
  <c r="H72" i="26"/>
  <c r="N48" i="26"/>
  <c r="H40" i="26"/>
  <c r="N40" i="26"/>
  <c r="H8" i="26"/>
  <c r="N8" i="26"/>
  <c r="N90" i="26"/>
  <c r="H74" i="26"/>
  <c r="H66" i="26"/>
  <c r="N58" i="26"/>
  <c r="H42" i="26"/>
  <c r="N25" i="26"/>
  <c r="N84" i="26"/>
  <c r="H76" i="26"/>
  <c r="N52" i="26"/>
  <c r="N44" i="26"/>
  <c r="N12" i="26"/>
  <c r="H86" i="26"/>
  <c r="N70" i="26"/>
  <c r="H54" i="26"/>
  <c r="H30" i="26"/>
  <c r="N30" i="26"/>
  <c r="H88" i="26"/>
  <c r="N64" i="26"/>
  <c r="H56" i="26"/>
  <c r="N24" i="26"/>
  <c r="E2" i="10"/>
  <c r="F2" i="10" s="1"/>
  <c r="V8" i="10"/>
  <c r="D70" i="12"/>
  <c r="D79" i="12"/>
  <c r="D87" i="12"/>
  <c r="D78" i="12"/>
  <c r="D86" i="12"/>
  <c r="D66" i="12"/>
  <c r="D58" i="12"/>
  <c r="D50" i="12"/>
  <c r="D42" i="12"/>
  <c r="D34" i="12"/>
  <c r="D26" i="12"/>
  <c r="D18" i="12"/>
  <c r="D71" i="12"/>
  <c r="D63" i="12"/>
  <c r="D55" i="12"/>
  <c r="D47" i="12"/>
  <c r="D39" i="12"/>
  <c r="D31" i="12"/>
  <c r="D23" i="12"/>
  <c r="D73" i="12"/>
  <c r="D81" i="12"/>
  <c r="D89" i="12"/>
  <c r="D72" i="12"/>
  <c r="D80" i="12"/>
  <c r="D88" i="12"/>
  <c r="D64" i="12"/>
  <c r="D56" i="12"/>
  <c r="D48" i="12"/>
  <c r="D40" i="12"/>
  <c r="D32" i="12"/>
  <c r="D24" i="12"/>
  <c r="D69" i="12"/>
  <c r="D61" i="12"/>
  <c r="D53" i="12"/>
  <c r="D45" i="12"/>
  <c r="D37" i="12"/>
  <c r="D29" i="12"/>
  <c r="D21" i="12"/>
  <c r="D75" i="12"/>
  <c r="D83" i="12"/>
  <c r="D74" i="12"/>
  <c r="D82" i="12"/>
  <c r="F62" i="12"/>
  <c r="D62" i="12"/>
  <c r="D54" i="12"/>
  <c r="D46" i="12"/>
  <c r="D38" i="12"/>
  <c r="F30" i="12"/>
  <c r="D30" i="12"/>
  <c r="D22" i="12"/>
  <c r="D67" i="12"/>
  <c r="D59" i="12"/>
  <c r="D51" i="12"/>
  <c r="D43" i="12"/>
  <c r="D35" i="12"/>
  <c r="D27" i="12"/>
  <c r="D19" i="12"/>
  <c r="D77" i="12"/>
  <c r="D85" i="12"/>
  <c r="D76" i="12"/>
  <c r="D84" i="12"/>
  <c r="D68" i="12"/>
  <c r="D60" i="12"/>
  <c r="D52" i="12"/>
  <c r="D44" i="12"/>
  <c r="D36" i="12"/>
  <c r="D28" i="12"/>
  <c r="D20" i="12"/>
  <c r="D65" i="12"/>
  <c r="D57" i="12"/>
  <c r="D49" i="12"/>
  <c r="D41" i="12"/>
  <c r="D33" i="12"/>
  <c r="D25" i="12"/>
  <c r="C10" i="19"/>
  <c r="D9" i="19"/>
  <c r="E9" i="19"/>
  <c r="F10" i="18"/>
  <c r="D9" i="18"/>
  <c r="E9" i="18"/>
  <c r="E89" i="10"/>
  <c r="F89" i="10" s="1"/>
  <c r="F86" i="12" s="1"/>
  <c r="E81" i="10"/>
  <c r="F81" i="10" s="1"/>
  <c r="F70" i="12" s="1"/>
  <c r="E73" i="10"/>
  <c r="F73" i="10" s="1"/>
  <c r="F38" i="12" s="1"/>
  <c r="E65" i="10"/>
  <c r="F65" i="10" s="1"/>
  <c r="F82" i="12" s="1"/>
  <c r="E57" i="10"/>
  <c r="F57" i="10" s="1"/>
  <c r="F66" i="12" s="1"/>
  <c r="E49" i="10"/>
  <c r="F49" i="10" s="1"/>
  <c r="F34" i="12" s="1"/>
  <c r="E41" i="10"/>
  <c r="F41" i="10" s="1"/>
  <c r="F54" i="12" s="1"/>
  <c r="E33" i="10"/>
  <c r="F33" i="10" s="1"/>
  <c r="E25" i="10"/>
  <c r="F25" i="10" s="1"/>
  <c r="E17" i="10"/>
  <c r="F17" i="10" s="1"/>
  <c r="F14" i="12" s="1"/>
  <c r="E5" i="10"/>
  <c r="F5" i="10" s="1"/>
  <c r="E79" i="10"/>
  <c r="F79" i="10" s="1"/>
  <c r="F72" i="12" s="1"/>
  <c r="E71" i="10"/>
  <c r="F71" i="10" s="1"/>
  <c r="F40" i="12" s="1"/>
  <c r="E63" i="10"/>
  <c r="F63" i="10" s="1"/>
  <c r="F84" i="12" s="1"/>
  <c r="E55" i="10"/>
  <c r="F55" i="10" s="1"/>
  <c r="F68" i="12" s="1"/>
  <c r="E47" i="10"/>
  <c r="F47" i="10" s="1"/>
  <c r="F36" i="12" s="1"/>
  <c r="E39" i="10"/>
  <c r="F39" i="10" s="1"/>
  <c r="F56" i="12" s="1"/>
  <c r="E31" i="10"/>
  <c r="F31" i="10" s="1"/>
  <c r="F64" i="12" s="1"/>
  <c r="E23" i="10"/>
  <c r="F23" i="10" s="1"/>
  <c r="F32" i="12" s="1"/>
  <c r="E15" i="10"/>
  <c r="F15" i="10" s="1"/>
  <c r="F16" i="12" s="1"/>
  <c r="E7" i="10"/>
  <c r="G88" i="10"/>
  <c r="V88" i="10" s="1"/>
  <c r="G84" i="10"/>
  <c r="V84" i="10" s="1"/>
  <c r="G80" i="10"/>
  <c r="V80" i="10" s="1"/>
  <c r="G76" i="10"/>
  <c r="V76" i="10" s="1"/>
  <c r="G72" i="10"/>
  <c r="V72" i="10" s="1"/>
  <c r="G68" i="10"/>
  <c r="V68" i="10" s="1"/>
  <c r="G64" i="10"/>
  <c r="V64" i="10" s="1"/>
  <c r="G60" i="10"/>
  <c r="V60" i="10" s="1"/>
  <c r="G56" i="10"/>
  <c r="V56" i="10" s="1"/>
  <c r="G52" i="10"/>
  <c r="V52" i="10" s="1"/>
  <c r="G48" i="10"/>
  <c r="V48" i="10" s="1"/>
  <c r="G44" i="10"/>
  <c r="V44" i="10" s="1"/>
  <c r="G40" i="10"/>
  <c r="V40" i="10" s="1"/>
  <c r="G36" i="10"/>
  <c r="V36" i="10" s="1"/>
  <c r="G32" i="10"/>
  <c r="V32" i="10" s="1"/>
  <c r="G28" i="10"/>
  <c r="V28" i="10" s="1"/>
  <c r="G26" i="10"/>
  <c r="V26" i="10" s="1"/>
  <c r="G24" i="10"/>
  <c r="V24" i="10" s="1"/>
  <c r="G22" i="10"/>
  <c r="V22" i="10" s="1"/>
  <c r="G18" i="10"/>
  <c r="V18" i="10" s="1"/>
  <c r="G16" i="10"/>
  <c r="G14" i="10"/>
  <c r="G12" i="10"/>
  <c r="G10" i="10"/>
  <c r="G6" i="10"/>
  <c r="G4" i="10"/>
  <c r="E87" i="10"/>
  <c r="F87" i="10" s="1"/>
  <c r="F88" i="12" s="1"/>
  <c r="E83" i="10"/>
  <c r="F83" i="10" s="1"/>
  <c r="F80" i="12" s="1"/>
  <c r="E85" i="10"/>
  <c r="F85" i="10" s="1"/>
  <c r="F78" i="12" s="1"/>
  <c r="E77" i="10"/>
  <c r="F77" i="10" s="1"/>
  <c r="F46" i="12" s="1"/>
  <c r="E69" i="10"/>
  <c r="F69" i="10" s="1"/>
  <c r="F22" i="12" s="1"/>
  <c r="E61" i="10"/>
  <c r="F61" i="10" s="1"/>
  <c r="F74" i="12" s="1"/>
  <c r="E53" i="10"/>
  <c r="F53" i="10" s="1"/>
  <c r="F42" i="12" s="1"/>
  <c r="E45" i="10"/>
  <c r="F45" i="10" s="1"/>
  <c r="F18" i="12" s="1"/>
  <c r="E37" i="10"/>
  <c r="F37" i="10" s="1"/>
  <c r="F50" i="12" s="1"/>
  <c r="E29" i="10"/>
  <c r="F29" i="10" s="1"/>
  <c r="F58" i="12" s="1"/>
  <c r="E21" i="10"/>
  <c r="F21" i="10" s="1"/>
  <c r="F26" i="12" s="1"/>
  <c r="E13" i="10"/>
  <c r="F13" i="10" s="1"/>
  <c r="F10" i="12" s="1"/>
  <c r="E9" i="10"/>
  <c r="F9" i="10" s="1"/>
  <c r="F6" i="12" s="1"/>
  <c r="E75" i="10"/>
  <c r="F75" i="10" s="1"/>
  <c r="F48" i="12" s="1"/>
  <c r="E67" i="10"/>
  <c r="F67" i="10" s="1"/>
  <c r="F24" i="12" s="1"/>
  <c r="E59" i="10"/>
  <c r="F59" i="10" s="1"/>
  <c r="F76" i="12" s="1"/>
  <c r="E51" i="10"/>
  <c r="F51" i="10" s="1"/>
  <c r="F44" i="12" s="1"/>
  <c r="E43" i="10"/>
  <c r="F43" i="10" s="1"/>
  <c r="F20" i="12" s="1"/>
  <c r="E35" i="10"/>
  <c r="F35" i="10" s="1"/>
  <c r="F52" i="12" s="1"/>
  <c r="E27" i="10"/>
  <c r="F27" i="10" s="1"/>
  <c r="F60" i="12" s="1"/>
  <c r="E19" i="10"/>
  <c r="F19" i="10" s="1"/>
  <c r="F28" i="12" s="1"/>
  <c r="E11" i="10"/>
  <c r="F11" i="10" s="1"/>
  <c r="F12" i="12" s="1"/>
  <c r="E3" i="10"/>
  <c r="F3" i="10" s="1"/>
  <c r="F4" i="12" s="1"/>
  <c r="G2" i="10"/>
  <c r="G86" i="10"/>
  <c r="V86" i="10" s="1"/>
  <c r="G82" i="10"/>
  <c r="V82" i="10" s="1"/>
  <c r="G78" i="10"/>
  <c r="V78" i="10" s="1"/>
  <c r="G74" i="10"/>
  <c r="V74" i="10" s="1"/>
  <c r="G70" i="10"/>
  <c r="V70" i="10" s="1"/>
  <c r="G66" i="10"/>
  <c r="V66" i="10" s="1"/>
  <c r="G62" i="10"/>
  <c r="V62" i="10" s="1"/>
  <c r="G58" i="10"/>
  <c r="V58" i="10" s="1"/>
  <c r="G54" i="10"/>
  <c r="V54" i="10" s="1"/>
  <c r="G50" i="10"/>
  <c r="V50" i="10" s="1"/>
  <c r="G46" i="10"/>
  <c r="V46" i="10" s="1"/>
  <c r="G42" i="10"/>
  <c r="V42" i="10" s="1"/>
  <c r="G38" i="10"/>
  <c r="V38" i="10" s="1"/>
  <c r="G34" i="10"/>
  <c r="V34" i="10" s="1"/>
  <c r="G30" i="10"/>
  <c r="V30" i="10" s="1"/>
  <c r="G20" i="10"/>
  <c r="V20" i="10" s="1"/>
  <c r="F3" i="12" l="1"/>
  <c r="F35" i="12"/>
  <c r="F67" i="12"/>
  <c r="F21" i="12"/>
  <c r="F53" i="12"/>
  <c r="F85" i="12"/>
  <c r="F23" i="12"/>
  <c r="F55" i="12"/>
  <c r="F5" i="12"/>
  <c r="F41" i="12"/>
  <c r="F73" i="12"/>
  <c r="F11" i="12"/>
  <c r="F43" i="12"/>
  <c r="F61" i="12"/>
  <c r="F83" i="12"/>
  <c r="F31" i="12"/>
  <c r="F63" i="12"/>
  <c r="F17" i="12"/>
  <c r="F49" i="12"/>
  <c r="F81" i="12"/>
  <c r="F75" i="12"/>
  <c r="F29" i="12"/>
  <c r="F19" i="12"/>
  <c r="F51" i="12"/>
  <c r="F37" i="12"/>
  <c r="F69" i="12"/>
  <c r="F87" i="12"/>
  <c r="F7" i="10"/>
  <c r="F8" i="12" s="1"/>
  <c r="F12" i="28"/>
  <c r="F39" i="12"/>
  <c r="F71" i="12"/>
  <c r="F25" i="12"/>
  <c r="F57" i="12"/>
  <c r="F89" i="12"/>
  <c r="F27" i="12"/>
  <c r="F59" i="12"/>
  <c r="F13" i="12"/>
  <c r="F45" i="12"/>
  <c r="F77" i="12"/>
  <c r="F15" i="12"/>
  <c r="F47" i="12"/>
  <c r="F79" i="12"/>
  <c r="F33" i="12"/>
  <c r="F65" i="12"/>
  <c r="F2" i="12"/>
  <c r="H1" i="26"/>
  <c r="N1" i="26"/>
  <c r="V16" i="10"/>
  <c r="G9" i="10"/>
  <c r="G6" i="12" s="1"/>
  <c r="F9" i="12"/>
  <c r="V10" i="10"/>
  <c r="V4" i="10"/>
  <c r="V12" i="10"/>
  <c r="V6" i="10"/>
  <c r="Q6" i="10" s="1"/>
  <c r="V14" i="10"/>
  <c r="V2" i="10"/>
  <c r="G50" i="12"/>
  <c r="G22" i="12"/>
  <c r="G32" i="12"/>
  <c r="G88" i="12"/>
  <c r="G66" i="12"/>
  <c r="G38" i="12"/>
  <c r="G54" i="12"/>
  <c r="G86" i="12"/>
  <c r="G28" i="12"/>
  <c r="G44" i="12"/>
  <c r="Q68" i="10"/>
  <c r="G68" i="12"/>
  <c r="E10" i="19"/>
  <c r="C11" i="19"/>
  <c r="D10" i="19"/>
  <c r="F11" i="18"/>
  <c r="D10" i="18"/>
  <c r="E10" i="18"/>
  <c r="M66" i="10"/>
  <c r="M4" i="10"/>
  <c r="M6" i="10"/>
  <c r="G15" i="10"/>
  <c r="G15" i="12" s="1"/>
  <c r="G23" i="10"/>
  <c r="Q32" i="10" s="1"/>
  <c r="G31" i="10"/>
  <c r="Q64" i="10" s="1"/>
  <c r="G39" i="10"/>
  <c r="Q56" i="10" s="1"/>
  <c r="G47" i="10"/>
  <c r="Q36" i="10" s="1"/>
  <c r="G55" i="10"/>
  <c r="G63" i="10"/>
  <c r="Q84" i="10" s="1"/>
  <c r="G71" i="10"/>
  <c r="Q40" i="10" s="1"/>
  <c r="G79" i="10"/>
  <c r="Q72" i="10" s="1"/>
  <c r="G5" i="10"/>
  <c r="G5" i="12" s="1"/>
  <c r="G17" i="10"/>
  <c r="G17" i="12" s="1"/>
  <c r="G25" i="10"/>
  <c r="Q30" i="10" s="1"/>
  <c r="G33" i="10"/>
  <c r="Q62" i="10" s="1"/>
  <c r="G41" i="10"/>
  <c r="Q54" i="10" s="1"/>
  <c r="G49" i="10"/>
  <c r="Q34" i="10" s="1"/>
  <c r="G57" i="10"/>
  <c r="Q66" i="10" s="1"/>
  <c r="G65" i="10"/>
  <c r="Q82" i="10" s="1"/>
  <c r="G73" i="10"/>
  <c r="Q38" i="10" s="1"/>
  <c r="G81" i="10"/>
  <c r="M70" i="10" s="1"/>
  <c r="G89" i="10"/>
  <c r="Q86" i="10" s="1"/>
  <c r="M30" i="10"/>
  <c r="M38" i="10"/>
  <c r="I38" i="10"/>
  <c r="M46" i="10"/>
  <c r="M54" i="10"/>
  <c r="M78" i="10"/>
  <c r="M2" i="10"/>
  <c r="G3" i="10"/>
  <c r="G3" i="12" s="1"/>
  <c r="G11" i="10"/>
  <c r="G11" i="12" s="1"/>
  <c r="G19" i="10"/>
  <c r="Q28" i="10" s="1"/>
  <c r="G27" i="10"/>
  <c r="Q60" i="10" s="1"/>
  <c r="G35" i="10"/>
  <c r="Q52" i="10" s="1"/>
  <c r="G43" i="10"/>
  <c r="M20" i="10" s="1"/>
  <c r="G51" i="10"/>
  <c r="Q44" i="10" s="1"/>
  <c r="G59" i="10"/>
  <c r="Q76" i="10" s="1"/>
  <c r="G67" i="10"/>
  <c r="Q24" i="10" s="1"/>
  <c r="G75" i="10"/>
  <c r="Q48" i="10" s="1"/>
  <c r="M9" i="10"/>
  <c r="G13" i="10"/>
  <c r="G13" i="12" s="1"/>
  <c r="G21" i="10"/>
  <c r="Q26" i="10" s="1"/>
  <c r="G29" i="10"/>
  <c r="Q58" i="10" s="1"/>
  <c r="G37" i="10"/>
  <c r="Q50" i="10" s="1"/>
  <c r="G45" i="10"/>
  <c r="Q18" i="10" s="1"/>
  <c r="G53" i="10"/>
  <c r="Q42" i="10" s="1"/>
  <c r="G61" i="10"/>
  <c r="Q74" i="10" s="1"/>
  <c r="G69" i="10"/>
  <c r="Q22" i="10" s="1"/>
  <c r="G77" i="10"/>
  <c r="Q46" i="10" s="1"/>
  <c r="G85" i="10"/>
  <c r="Q78" i="10" s="1"/>
  <c r="G83" i="10"/>
  <c r="Q80" i="10" s="1"/>
  <c r="G87" i="10"/>
  <c r="Q88" i="10" s="1"/>
  <c r="M10" i="10"/>
  <c r="I12" i="10"/>
  <c r="J12" i="10" s="1"/>
  <c r="Y12" i="10" s="1"/>
  <c r="R14" i="26" s="1"/>
  <c r="T14" i="26" s="1"/>
  <c r="M16" i="10"/>
  <c r="M18" i="10"/>
  <c r="M22" i="10"/>
  <c r="I22" i="10"/>
  <c r="M24" i="10"/>
  <c r="M26" i="10"/>
  <c r="M28" i="10"/>
  <c r="M32" i="10"/>
  <c r="I32" i="10"/>
  <c r="M40" i="10"/>
  <c r="I40" i="10"/>
  <c r="M44" i="10"/>
  <c r="M52" i="10"/>
  <c r="B9" i="16" s="1"/>
  <c r="I52" i="10"/>
  <c r="J52" i="10" s="1"/>
  <c r="Y52" i="10" s="1"/>
  <c r="R54" i="26" s="1"/>
  <c r="T54" i="26" s="1"/>
  <c r="M56" i="10"/>
  <c r="M60" i="10"/>
  <c r="I60" i="10"/>
  <c r="J60" i="10" s="1"/>
  <c r="Y60" i="10" s="1"/>
  <c r="R62" i="26" s="1"/>
  <c r="T62" i="26" s="1"/>
  <c r="M64" i="10"/>
  <c r="M68" i="10"/>
  <c r="M72" i="10"/>
  <c r="M76" i="10"/>
  <c r="M80" i="10"/>
  <c r="M84" i="10"/>
  <c r="M88" i="10"/>
  <c r="G7" i="10" l="1"/>
  <c r="I8" i="10" s="1"/>
  <c r="M82" i="10"/>
  <c r="G76" i="12"/>
  <c r="G70" i="12"/>
  <c r="G80" i="12"/>
  <c r="G48" i="12"/>
  <c r="G74" i="12"/>
  <c r="G8" i="12"/>
  <c r="M62" i="10"/>
  <c r="M58" i="10"/>
  <c r="I34" i="10"/>
  <c r="J34" i="10" s="1"/>
  <c r="G60" i="12"/>
  <c r="G18" i="12"/>
  <c r="G20" i="12"/>
  <c r="G64" i="12"/>
  <c r="I80" i="10"/>
  <c r="I56" i="10"/>
  <c r="J56" i="10" s="1"/>
  <c r="M48" i="10"/>
  <c r="M36" i="10"/>
  <c r="I26" i="10"/>
  <c r="J26" i="10" s="1"/>
  <c r="M14" i="10"/>
  <c r="M86" i="10"/>
  <c r="I30" i="10"/>
  <c r="I4" i="10"/>
  <c r="J4" i="10" s="1"/>
  <c r="Y4" i="10" s="1"/>
  <c r="R6" i="26" s="1"/>
  <c r="T6" i="26" s="1"/>
  <c r="M74" i="10"/>
  <c r="M50" i="10"/>
  <c r="M34" i="10"/>
  <c r="Q10" i="10"/>
  <c r="Q70" i="10"/>
  <c r="Q20" i="10"/>
  <c r="G4" i="12"/>
  <c r="I42" i="10"/>
  <c r="J42" i="10" s="1"/>
  <c r="I20" i="10"/>
  <c r="J20" i="10" s="1"/>
  <c r="G84" i="12"/>
  <c r="G52" i="12"/>
  <c r="G36" i="12"/>
  <c r="G24" i="12"/>
  <c r="G78" i="12"/>
  <c r="G62" i="12"/>
  <c r="G46" i="12"/>
  <c r="G30" i="12"/>
  <c r="G42" i="12"/>
  <c r="G72" i="12"/>
  <c r="G56" i="12"/>
  <c r="G40" i="12"/>
  <c r="G26" i="12"/>
  <c r="G82" i="12"/>
  <c r="G58" i="12"/>
  <c r="G34" i="12"/>
  <c r="Q8" i="10"/>
  <c r="J84" i="10"/>
  <c r="Y84" i="10" s="1"/>
  <c r="R86" i="26" s="1"/>
  <c r="T86" i="26" s="1"/>
  <c r="I16" i="10"/>
  <c r="M12" i="10"/>
  <c r="G7" i="12"/>
  <c r="M8" i="10"/>
  <c r="I82" i="10"/>
  <c r="I58" i="10"/>
  <c r="J58" i="10" s="1"/>
  <c r="M42" i="10"/>
  <c r="Q14" i="10"/>
  <c r="G14" i="12"/>
  <c r="G12" i="12"/>
  <c r="G10" i="12"/>
  <c r="G16" i="12"/>
  <c r="G2" i="12"/>
  <c r="J76" i="10"/>
  <c r="Y76" i="10" s="1"/>
  <c r="R78" i="26" s="1"/>
  <c r="T78" i="26" s="1"/>
  <c r="F7" i="12"/>
  <c r="Q12" i="10"/>
  <c r="Q16" i="10"/>
  <c r="J16" i="10" s="1"/>
  <c r="Y16" i="10" s="1"/>
  <c r="R18" i="26" s="1"/>
  <c r="T18" i="26" s="1"/>
  <c r="Q4" i="10"/>
  <c r="V9" i="10"/>
  <c r="O11" i="26" s="1"/>
  <c r="Q11" i="26" s="1"/>
  <c r="G9" i="12"/>
  <c r="G67" i="12"/>
  <c r="V67" i="10"/>
  <c r="O26" i="26" s="1"/>
  <c r="Q26" i="26" s="1"/>
  <c r="G51" i="12"/>
  <c r="V51" i="10"/>
  <c r="O46" i="26" s="1"/>
  <c r="Q46" i="26" s="1"/>
  <c r="G35" i="12"/>
  <c r="V35" i="10"/>
  <c r="O54" i="26" s="1"/>
  <c r="Q54" i="26" s="1"/>
  <c r="G19" i="12"/>
  <c r="V19" i="10"/>
  <c r="O30" i="26" s="1"/>
  <c r="Q30" i="26" s="1"/>
  <c r="V3" i="10"/>
  <c r="O6" i="26" s="1"/>
  <c r="Q6" i="26" s="1"/>
  <c r="G89" i="12"/>
  <c r="V89" i="10"/>
  <c r="O88" i="26" s="1"/>
  <c r="Q88" i="26" s="1"/>
  <c r="G83" i="12"/>
  <c r="V83" i="10"/>
  <c r="O82" i="26" s="1"/>
  <c r="Q82" i="26" s="1"/>
  <c r="G77" i="12"/>
  <c r="V77" i="10"/>
  <c r="O48" i="26" s="1"/>
  <c r="Q48" i="26" s="1"/>
  <c r="G61" i="12"/>
  <c r="V61" i="10"/>
  <c r="O76" i="26" s="1"/>
  <c r="Q76" i="26" s="1"/>
  <c r="G45" i="12"/>
  <c r="V45" i="10"/>
  <c r="O20" i="26" s="1"/>
  <c r="Q20" i="26" s="1"/>
  <c r="G29" i="12"/>
  <c r="V29" i="10"/>
  <c r="O60" i="26" s="1"/>
  <c r="Q60" i="26" s="1"/>
  <c r="V13" i="10"/>
  <c r="O12" i="26" s="1"/>
  <c r="Q12" i="26" s="1"/>
  <c r="G75" i="12"/>
  <c r="V75" i="10"/>
  <c r="O50" i="26" s="1"/>
  <c r="Q50" i="26" s="1"/>
  <c r="G59" i="12"/>
  <c r="V59" i="10"/>
  <c r="O78" i="26" s="1"/>
  <c r="Q78" i="26" s="1"/>
  <c r="G43" i="12"/>
  <c r="V43" i="10"/>
  <c r="O22" i="26" s="1"/>
  <c r="Q22" i="26" s="1"/>
  <c r="G27" i="12"/>
  <c r="V27" i="10"/>
  <c r="O62" i="26" s="1"/>
  <c r="Q62" i="26" s="1"/>
  <c r="V11" i="10"/>
  <c r="O14" i="26" s="1"/>
  <c r="Q14" i="26" s="1"/>
  <c r="G81" i="12"/>
  <c r="V81" i="10"/>
  <c r="O72" i="26" s="1"/>
  <c r="Q72" i="26" s="1"/>
  <c r="G65" i="12"/>
  <c r="V65" i="10"/>
  <c r="O84" i="26" s="1"/>
  <c r="Q84" i="26" s="1"/>
  <c r="G49" i="12"/>
  <c r="V49" i="10"/>
  <c r="O36" i="26" s="1"/>
  <c r="Q36" i="26" s="1"/>
  <c r="G33" i="12"/>
  <c r="V33" i="10"/>
  <c r="O64" i="26" s="1"/>
  <c r="Q64" i="26" s="1"/>
  <c r="V17" i="10"/>
  <c r="O16" i="26" s="1"/>
  <c r="Q16" i="26" s="1"/>
  <c r="G79" i="12"/>
  <c r="V79" i="10"/>
  <c r="O74" i="26" s="1"/>
  <c r="Q74" i="26" s="1"/>
  <c r="G63" i="12"/>
  <c r="V63" i="10"/>
  <c r="O86" i="26" s="1"/>
  <c r="Q86" i="26" s="1"/>
  <c r="G47" i="12"/>
  <c r="V47" i="10"/>
  <c r="O38" i="26" s="1"/>
  <c r="Q38" i="26" s="1"/>
  <c r="G31" i="12"/>
  <c r="V31" i="10"/>
  <c r="O66" i="26" s="1"/>
  <c r="Q66" i="26" s="1"/>
  <c r="V15" i="10"/>
  <c r="O18" i="26" s="1"/>
  <c r="Q18" i="26" s="1"/>
  <c r="G87" i="12"/>
  <c r="V87" i="10"/>
  <c r="O90" i="26" s="1"/>
  <c r="Q90" i="26" s="1"/>
  <c r="G85" i="12"/>
  <c r="V85" i="10"/>
  <c r="O80" i="26" s="1"/>
  <c r="Q80" i="26" s="1"/>
  <c r="G69" i="12"/>
  <c r="V69" i="10"/>
  <c r="O24" i="26" s="1"/>
  <c r="Q24" i="26" s="1"/>
  <c r="G53" i="12"/>
  <c r="V53" i="10"/>
  <c r="O44" i="26" s="1"/>
  <c r="Q44" i="26" s="1"/>
  <c r="G37" i="12"/>
  <c r="V37" i="10"/>
  <c r="O52" i="26" s="1"/>
  <c r="Q52" i="26" s="1"/>
  <c r="G21" i="12"/>
  <c r="V21" i="10"/>
  <c r="O28" i="26" s="1"/>
  <c r="Q28" i="26" s="1"/>
  <c r="G73" i="12"/>
  <c r="V73" i="10"/>
  <c r="O40" i="26" s="1"/>
  <c r="Q40" i="26" s="1"/>
  <c r="G57" i="12"/>
  <c r="V57" i="10"/>
  <c r="O68" i="26" s="1"/>
  <c r="Q68" i="26" s="1"/>
  <c r="G41" i="12"/>
  <c r="V41" i="10"/>
  <c r="O56" i="26" s="1"/>
  <c r="Q56" i="26" s="1"/>
  <c r="G25" i="12"/>
  <c r="V25" i="10"/>
  <c r="O32" i="26" s="1"/>
  <c r="Q32" i="26" s="1"/>
  <c r="V5" i="10"/>
  <c r="O4" i="26" s="1"/>
  <c r="Q4" i="26" s="1"/>
  <c r="G71" i="12"/>
  <c r="V71" i="10"/>
  <c r="O42" i="26" s="1"/>
  <c r="Q42" i="26" s="1"/>
  <c r="G55" i="12"/>
  <c r="V55" i="10"/>
  <c r="O70" i="26" s="1"/>
  <c r="Q70" i="26" s="1"/>
  <c r="G39" i="12"/>
  <c r="V39" i="10"/>
  <c r="O58" i="26" s="1"/>
  <c r="Q58" i="26" s="1"/>
  <c r="G23" i="12"/>
  <c r="V23" i="10"/>
  <c r="O34" i="26" s="1"/>
  <c r="Q34" i="26" s="1"/>
  <c r="V7" i="10"/>
  <c r="O10" i="26" s="1"/>
  <c r="Q10" i="26" s="1"/>
  <c r="I84" i="10"/>
  <c r="I68" i="10"/>
  <c r="I44" i="10"/>
  <c r="J44" i="10" s="1"/>
  <c r="I36" i="10"/>
  <c r="J36" i="10" s="1"/>
  <c r="I28" i="10"/>
  <c r="J28" i="10" s="1"/>
  <c r="I24" i="10"/>
  <c r="I18" i="10"/>
  <c r="J18" i="10" s="1"/>
  <c r="I14" i="10"/>
  <c r="I10" i="10"/>
  <c r="J10" i="10" s="1"/>
  <c r="Y10" i="10" s="1"/>
  <c r="R12" i="26" s="1"/>
  <c r="T12" i="26" s="1"/>
  <c r="I6" i="10"/>
  <c r="I66" i="10"/>
  <c r="I2" i="10"/>
  <c r="J2" i="10" s="1"/>
  <c r="Q2" i="10"/>
  <c r="Q61" i="10"/>
  <c r="B5" i="16"/>
  <c r="C12" i="19"/>
  <c r="D11" i="19"/>
  <c r="E11" i="19"/>
  <c r="F12" i="18"/>
  <c r="D11" i="18"/>
  <c r="E11" i="18"/>
  <c r="I88" i="10"/>
  <c r="I72" i="10"/>
  <c r="I64" i="10"/>
  <c r="J64" i="10" s="1"/>
  <c r="I48" i="10"/>
  <c r="J48" i="10" s="1"/>
  <c r="I86" i="10"/>
  <c r="I78" i="10"/>
  <c r="I70" i="10"/>
  <c r="I62" i="10"/>
  <c r="J62" i="10" s="1"/>
  <c r="I54" i="10"/>
  <c r="J54" i="10" s="1"/>
  <c r="I46" i="10"/>
  <c r="J46" i="10" s="1"/>
  <c r="I76" i="10"/>
  <c r="I74" i="10"/>
  <c r="I50" i="10"/>
  <c r="J50" i="10" s="1"/>
  <c r="M87" i="10"/>
  <c r="M83" i="10"/>
  <c r="M85" i="10"/>
  <c r="M77" i="10"/>
  <c r="I77" i="10"/>
  <c r="C79" i="26" s="1"/>
  <c r="E79" i="26" s="1"/>
  <c r="M69" i="10"/>
  <c r="M61" i="10"/>
  <c r="M53" i="10"/>
  <c r="M45" i="10"/>
  <c r="M37" i="10"/>
  <c r="M29" i="10"/>
  <c r="M21" i="10"/>
  <c r="M13" i="10"/>
  <c r="A13" i="16" s="1"/>
  <c r="M75" i="10"/>
  <c r="M67" i="10"/>
  <c r="M59" i="10"/>
  <c r="M51" i="10"/>
  <c r="M43" i="10"/>
  <c r="M35" i="10"/>
  <c r="M27" i="10"/>
  <c r="M19" i="10"/>
  <c r="I19" i="10"/>
  <c r="J19" i="10" s="1"/>
  <c r="Y19" i="10" s="1"/>
  <c r="R21" i="26" s="1"/>
  <c r="T21" i="26" s="1"/>
  <c r="M11" i="10"/>
  <c r="M3" i="10"/>
  <c r="M89" i="10"/>
  <c r="M81" i="10"/>
  <c r="M73" i="10"/>
  <c r="M65" i="10"/>
  <c r="M57" i="10"/>
  <c r="M49" i="10"/>
  <c r="M41" i="10"/>
  <c r="M33" i="10"/>
  <c r="M25" i="10"/>
  <c r="M17" i="10"/>
  <c r="M5" i="10"/>
  <c r="M79" i="10"/>
  <c r="M71" i="10"/>
  <c r="M63" i="10"/>
  <c r="M55" i="10"/>
  <c r="M47" i="10"/>
  <c r="M39" i="10"/>
  <c r="M31" i="10"/>
  <c r="M23" i="10"/>
  <c r="M15" i="10"/>
  <c r="M7" i="10"/>
  <c r="S11" i="10"/>
  <c r="T11" i="10" s="1"/>
  <c r="S13" i="10"/>
  <c r="T13" i="10" s="1"/>
  <c r="S15" i="10"/>
  <c r="T15" i="10" s="1"/>
  <c r="S17" i="10"/>
  <c r="T17" i="10" s="1"/>
  <c r="S10" i="10"/>
  <c r="T10" i="10" s="1"/>
  <c r="S12" i="10"/>
  <c r="T12" i="10" s="1"/>
  <c r="S14" i="10"/>
  <c r="T14" i="10" s="1"/>
  <c r="S16" i="10"/>
  <c r="T16" i="10" s="1"/>
  <c r="J8" i="10" l="1"/>
  <c r="Y8" i="10" s="1"/>
  <c r="R10" i="26" s="1"/>
  <c r="T10" i="26" s="1"/>
  <c r="J74" i="10"/>
  <c r="Y74" i="10" s="1"/>
  <c r="R76" i="26" s="1"/>
  <c r="T76" i="26" s="1"/>
  <c r="Y50" i="10"/>
  <c r="R52" i="26" s="1"/>
  <c r="T52" i="26" s="1"/>
  <c r="J78" i="10"/>
  <c r="Y78" i="10" s="1"/>
  <c r="R80" i="26" s="1"/>
  <c r="T80" i="26" s="1"/>
  <c r="Y54" i="10"/>
  <c r="R56" i="26" s="1"/>
  <c r="T56" i="26" s="1"/>
  <c r="J82" i="10"/>
  <c r="Y82" i="10" s="1"/>
  <c r="R84" i="26" s="1"/>
  <c r="T84" i="26" s="1"/>
  <c r="Y58" i="10"/>
  <c r="R60" i="26" s="1"/>
  <c r="T60" i="26" s="1"/>
  <c r="J24" i="10"/>
  <c r="Y24" i="10" s="1"/>
  <c r="R26" i="26" s="1"/>
  <c r="T26" i="26" s="1"/>
  <c r="Y20" i="10"/>
  <c r="R22" i="26" s="1"/>
  <c r="T22" i="26" s="1"/>
  <c r="J80" i="10"/>
  <c r="Y80" i="10" s="1"/>
  <c r="R82" i="26" s="1"/>
  <c r="T82" i="26" s="1"/>
  <c r="Y56" i="10"/>
  <c r="R58" i="26" s="1"/>
  <c r="T58" i="26" s="1"/>
  <c r="J86" i="10"/>
  <c r="Y86" i="10" s="1"/>
  <c r="R88" i="26" s="1"/>
  <c r="T88" i="26" s="1"/>
  <c r="Y62" i="10"/>
  <c r="R64" i="26" s="1"/>
  <c r="T64" i="26" s="1"/>
  <c r="J72" i="10"/>
  <c r="Y72" i="10" s="1"/>
  <c r="R74" i="26" s="1"/>
  <c r="T74" i="26" s="1"/>
  <c r="Y48" i="10"/>
  <c r="R50" i="26" s="1"/>
  <c r="T50" i="26" s="1"/>
  <c r="J32" i="10"/>
  <c r="Y32" i="10" s="1"/>
  <c r="R34" i="26" s="1"/>
  <c r="T34" i="26" s="1"/>
  <c r="Y28" i="10"/>
  <c r="R30" i="26" s="1"/>
  <c r="T30" i="26" s="1"/>
  <c r="J66" i="10"/>
  <c r="Y66" i="10" s="1"/>
  <c r="R68" i="26" s="1"/>
  <c r="T68" i="26" s="1"/>
  <c r="Y42" i="10"/>
  <c r="R44" i="26" s="1"/>
  <c r="T44" i="26" s="1"/>
  <c r="J30" i="10"/>
  <c r="Y30" i="10" s="1"/>
  <c r="R32" i="26" s="1"/>
  <c r="T32" i="26" s="1"/>
  <c r="Y26" i="10"/>
  <c r="R28" i="26" s="1"/>
  <c r="T28" i="26" s="1"/>
  <c r="J88" i="10"/>
  <c r="Y88" i="10" s="1"/>
  <c r="R90" i="26" s="1"/>
  <c r="T90" i="26" s="1"/>
  <c r="Y64" i="10"/>
  <c r="R66" i="26" s="1"/>
  <c r="T66" i="26" s="1"/>
  <c r="J6" i="10"/>
  <c r="Y6" i="10" s="1"/>
  <c r="R8" i="26" s="1"/>
  <c r="T8" i="26" s="1"/>
  <c r="Y2" i="10"/>
  <c r="R4" i="26" s="1"/>
  <c r="T4" i="26" s="1"/>
  <c r="J40" i="10"/>
  <c r="Y40" i="10" s="1"/>
  <c r="R42" i="26" s="1"/>
  <c r="T42" i="26" s="1"/>
  <c r="Y36" i="10"/>
  <c r="R38" i="26" s="1"/>
  <c r="T38" i="26" s="1"/>
  <c r="J38" i="10"/>
  <c r="Y38" i="10" s="1"/>
  <c r="R40" i="26" s="1"/>
  <c r="T40" i="26" s="1"/>
  <c r="Y34" i="10"/>
  <c r="R36" i="26" s="1"/>
  <c r="T36" i="26" s="1"/>
  <c r="J70" i="10"/>
  <c r="Y70" i="10" s="1"/>
  <c r="R72" i="26" s="1"/>
  <c r="T72" i="26" s="1"/>
  <c r="Y46" i="10"/>
  <c r="R48" i="26" s="1"/>
  <c r="T48" i="26" s="1"/>
  <c r="J22" i="10"/>
  <c r="Y22" i="10" s="1"/>
  <c r="R24" i="26" s="1"/>
  <c r="T24" i="26" s="1"/>
  <c r="Y18" i="10"/>
  <c r="R20" i="26" s="1"/>
  <c r="T20" i="26" s="1"/>
  <c r="J68" i="10"/>
  <c r="Y68" i="10" s="1"/>
  <c r="R70" i="26" s="1"/>
  <c r="T70" i="26" s="1"/>
  <c r="Y44" i="10"/>
  <c r="R46" i="26" s="1"/>
  <c r="T46" i="26" s="1"/>
  <c r="I67" i="10"/>
  <c r="C69" i="26" s="1"/>
  <c r="E69" i="26" s="1"/>
  <c r="J14" i="10"/>
  <c r="Y14" i="10" s="1"/>
  <c r="R16" i="26" s="1"/>
  <c r="T16" i="26" s="1"/>
  <c r="I59" i="10"/>
  <c r="J59" i="10" s="1"/>
  <c r="Y59" i="10" s="1"/>
  <c r="R61" i="26" s="1"/>
  <c r="T61" i="26" s="1"/>
  <c r="C26" i="26"/>
  <c r="E26" i="26" s="1"/>
  <c r="C78" i="26"/>
  <c r="E78" i="26" s="1"/>
  <c r="O8" i="26"/>
  <c r="Q8" i="26" s="1"/>
  <c r="Q39" i="10"/>
  <c r="O41" i="26"/>
  <c r="Q41" i="26" s="1"/>
  <c r="Q71" i="10"/>
  <c r="O73" i="26"/>
  <c r="Q73" i="26" s="1"/>
  <c r="Q31" i="10"/>
  <c r="O33" i="26"/>
  <c r="Q33" i="26" s="1"/>
  <c r="Q63" i="10"/>
  <c r="O65" i="26"/>
  <c r="Q65" i="26" s="1"/>
  <c r="Q17" i="10"/>
  <c r="O19" i="26"/>
  <c r="Q19" i="26" s="1"/>
  <c r="Q43" i="10"/>
  <c r="O45" i="26"/>
  <c r="Q45" i="26" s="1"/>
  <c r="Q75" i="10"/>
  <c r="O77" i="26"/>
  <c r="Q77" i="26" s="1"/>
  <c r="Q19" i="10"/>
  <c r="O21" i="26"/>
  <c r="Q21" i="26" s="1"/>
  <c r="Q51" i="10"/>
  <c r="O53" i="26"/>
  <c r="Q53" i="26" s="1"/>
  <c r="Q7" i="10"/>
  <c r="F15" i="28" s="1"/>
  <c r="O9" i="26"/>
  <c r="Q9" i="26" s="1"/>
  <c r="Q41" i="10"/>
  <c r="O43" i="26"/>
  <c r="Q43" i="26" s="1"/>
  <c r="I73" i="10"/>
  <c r="O75" i="26"/>
  <c r="Q75" i="26" s="1"/>
  <c r="Q37" i="10"/>
  <c r="O39" i="26"/>
  <c r="Q39" i="26" s="1"/>
  <c r="Q69" i="10"/>
  <c r="O71" i="26"/>
  <c r="Q71" i="26" s="1"/>
  <c r="Q87" i="10"/>
  <c r="O89" i="26"/>
  <c r="Q89" i="26" s="1"/>
  <c r="Q33" i="10"/>
  <c r="O35" i="26"/>
  <c r="Q35" i="26" s="1"/>
  <c r="I65" i="10"/>
  <c r="J65" i="10" s="1"/>
  <c r="Y65" i="10" s="1"/>
  <c r="R67" i="26" s="1"/>
  <c r="T67" i="26" s="1"/>
  <c r="O67" i="26"/>
  <c r="Q67" i="26" s="1"/>
  <c r="I11" i="10"/>
  <c r="C14" i="26" s="1"/>
  <c r="E14" i="26" s="1"/>
  <c r="O13" i="26"/>
  <c r="Q13" i="26" s="1"/>
  <c r="Q45" i="10"/>
  <c r="O47" i="26"/>
  <c r="Q47" i="26" s="1"/>
  <c r="Q77" i="10"/>
  <c r="O79" i="26"/>
  <c r="Q79" i="26" s="1"/>
  <c r="Q89" i="10"/>
  <c r="O91" i="26"/>
  <c r="Q91" i="26" s="1"/>
  <c r="Q23" i="10"/>
  <c r="J23" i="10" s="1"/>
  <c r="Y23" i="10" s="1"/>
  <c r="R25" i="26" s="1"/>
  <c r="T25" i="26" s="1"/>
  <c r="O25" i="26"/>
  <c r="Q25" i="26" s="1"/>
  <c r="Q55" i="10"/>
  <c r="O57" i="26"/>
  <c r="Q57" i="26" s="1"/>
  <c r="I5" i="10"/>
  <c r="O7" i="26"/>
  <c r="Q7" i="26" s="1"/>
  <c r="Q47" i="10"/>
  <c r="O49" i="26"/>
  <c r="Q49" i="26" s="1"/>
  <c r="Q79" i="10"/>
  <c r="O81" i="26"/>
  <c r="Q81" i="26" s="1"/>
  <c r="Q27" i="10"/>
  <c r="O29" i="26"/>
  <c r="Q29" i="26" s="1"/>
  <c r="Q59" i="10"/>
  <c r="O61" i="26"/>
  <c r="Q61" i="26" s="1"/>
  <c r="Q13" i="10"/>
  <c r="O15" i="26"/>
  <c r="Q15" i="26" s="1"/>
  <c r="Q35" i="10"/>
  <c r="O37" i="26"/>
  <c r="Q37" i="26" s="1"/>
  <c r="Q67" i="10"/>
  <c r="O69" i="26"/>
  <c r="Q69" i="26" s="1"/>
  <c r="Q25" i="10"/>
  <c r="O27" i="26"/>
  <c r="Q27" i="26" s="1"/>
  <c r="Q57" i="10"/>
  <c r="O59" i="26"/>
  <c r="Q59" i="26" s="1"/>
  <c r="Q21" i="10"/>
  <c r="O23" i="26"/>
  <c r="Q23" i="26" s="1"/>
  <c r="I53" i="10"/>
  <c r="C44" i="26" s="1"/>
  <c r="E44" i="26" s="1"/>
  <c r="O55" i="26"/>
  <c r="Q55" i="26" s="1"/>
  <c r="Q85" i="10"/>
  <c r="O87" i="26"/>
  <c r="Q87" i="26" s="1"/>
  <c r="Q15" i="10"/>
  <c r="O17" i="26"/>
  <c r="Q17" i="26" s="1"/>
  <c r="Q49" i="10"/>
  <c r="O51" i="26"/>
  <c r="Q51" i="26" s="1"/>
  <c r="Q81" i="10"/>
  <c r="O83" i="26"/>
  <c r="Q83" i="26" s="1"/>
  <c r="Q29" i="10"/>
  <c r="O31" i="26"/>
  <c r="Q31" i="26" s="1"/>
  <c r="I61" i="10"/>
  <c r="C76" i="26" s="1"/>
  <c r="E76" i="26" s="1"/>
  <c r="O63" i="26"/>
  <c r="Q63" i="26" s="1"/>
  <c r="Q83" i="10"/>
  <c r="J83" i="10" s="1"/>
  <c r="O85" i="26"/>
  <c r="Q85" i="26" s="1"/>
  <c r="Q3" i="10"/>
  <c r="O5" i="26"/>
  <c r="C61" i="26"/>
  <c r="E61" i="26" s="1"/>
  <c r="C48" i="26"/>
  <c r="E48" i="26" s="1"/>
  <c r="C21" i="26"/>
  <c r="E21" i="26" s="1"/>
  <c r="P76" i="12"/>
  <c r="I78" i="26"/>
  <c r="K78" i="26" s="1"/>
  <c r="P82" i="12"/>
  <c r="I84" i="26"/>
  <c r="K84" i="26" s="1"/>
  <c r="C30" i="26"/>
  <c r="E30" i="26" s="1"/>
  <c r="I82" i="26"/>
  <c r="K82" i="26" s="1"/>
  <c r="C4" i="26"/>
  <c r="E4" i="26" s="1"/>
  <c r="C67" i="26"/>
  <c r="E67" i="26" s="1"/>
  <c r="Q9" i="10"/>
  <c r="I9" i="10"/>
  <c r="C11" i="26" s="1"/>
  <c r="E11" i="26" s="1"/>
  <c r="I27" i="10"/>
  <c r="I25" i="10"/>
  <c r="C27" i="26" s="1"/>
  <c r="E27" i="26" s="1"/>
  <c r="Q53" i="10"/>
  <c r="I13" i="10"/>
  <c r="J13" i="10" s="1"/>
  <c r="I33" i="10"/>
  <c r="C35" i="26" s="1"/>
  <c r="E35" i="26" s="1"/>
  <c r="I37" i="10"/>
  <c r="J37" i="10" s="1"/>
  <c r="I83" i="10"/>
  <c r="C85" i="26" s="1"/>
  <c r="E85" i="26" s="1"/>
  <c r="I81" i="10"/>
  <c r="C83" i="26" s="1"/>
  <c r="E83" i="26" s="1"/>
  <c r="I45" i="10"/>
  <c r="J45" i="10" s="1"/>
  <c r="I51" i="10"/>
  <c r="J51" i="10" s="1"/>
  <c r="I23" i="10"/>
  <c r="Q5" i="10"/>
  <c r="Q73" i="10"/>
  <c r="Q65" i="10"/>
  <c r="I15" i="10"/>
  <c r="C17" i="26" s="1"/>
  <c r="E17" i="26" s="1"/>
  <c r="I35" i="10"/>
  <c r="I31" i="10"/>
  <c r="C33" i="26" s="1"/>
  <c r="E33" i="26" s="1"/>
  <c r="Q11" i="10"/>
  <c r="I43" i="10"/>
  <c r="I75" i="10"/>
  <c r="C77" i="26" s="1"/>
  <c r="E77" i="26" s="1"/>
  <c r="I7" i="10"/>
  <c r="C10" i="26" s="1"/>
  <c r="E10" i="26" s="1"/>
  <c r="I39" i="10"/>
  <c r="I85" i="10"/>
  <c r="C87" i="26" s="1"/>
  <c r="E87" i="26" s="1"/>
  <c r="H8" i="16"/>
  <c r="H13" i="16" a="1"/>
  <c r="H13" i="16" s="1"/>
  <c r="G13" i="16" a="1"/>
  <c r="G13" i="16" s="1"/>
  <c r="E13" i="16" a="1"/>
  <c r="E13" i="16" s="1"/>
  <c r="F13" i="16" a="1"/>
  <c r="F13" i="16" s="1"/>
  <c r="D13" i="16" a="1"/>
  <c r="D13" i="16" s="1"/>
  <c r="B13" i="16" a="1"/>
  <c r="B13" i="16" s="1"/>
  <c r="C13" i="16" a="1"/>
  <c r="C13" i="16" s="1"/>
  <c r="D12" i="19"/>
  <c r="C13" i="19"/>
  <c r="E12" i="19"/>
  <c r="F13" i="18"/>
  <c r="D12" i="18"/>
  <c r="E12" i="18"/>
  <c r="A100" i="16"/>
  <c r="A96" i="16"/>
  <c r="A92" i="16"/>
  <c r="A88" i="16"/>
  <c r="A84" i="16"/>
  <c r="A80" i="16"/>
  <c r="A76" i="16"/>
  <c r="A72" i="16"/>
  <c r="A68" i="16"/>
  <c r="A64" i="16"/>
  <c r="A60" i="16"/>
  <c r="A56" i="16"/>
  <c r="A52" i="16"/>
  <c r="A48" i="16"/>
  <c r="A44" i="16"/>
  <c r="A40" i="16"/>
  <c r="A36" i="16"/>
  <c r="A32" i="16"/>
  <c r="A28" i="16"/>
  <c r="A24" i="16"/>
  <c r="A20" i="16"/>
  <c r="A16" i="16"/>
  <c r="A12" i="16"/>
  <c r="A99" i="16"/>
  <c r="A95" i="16"/>
  <c r="A91" i="16"/>
  <c r="A87" i="16"/>
  <c r="A83" i="16"/>
  <c r="A79" i="16"/>
  <c r="A75" i="16"/>
  <c r="A71" i="16"/>
  <c r="A67" i="16"/>
  <c r="A63" i="16"/>
  <c r="A59" i="16"/>
  <c r="A55" i="16"/>
  <c r="A51" i="16"/>
  <c r="A47" i="16"/>
  <c r="A43" i="16"/>
  <c r="A39" i="16"/>
  <c r="A35" i="16"/>
  <c r="A31" i="16"/>
  <c r="A27" i="16"/>
  <c r="A23" i="16"/>
  <c r="A19" i="16"/>
  <c r="A15" i="16"/>
  <c r="A102" i="16"/>
  <c r="A98" i="16"/>
  <c r="A94" i="16"/>
  <c r="A90" i="16"/>
  <c r="A86" i="16"/>
  <c r="A82" i="16"/>
  <c r="A78" i="16"/>
  <c r="A74" i="16"/>
  <c r="A70" i="16"/>
  <c r="A66" i="16"/>
  <c r="A62" i="16"/>
  <c r="A58" i="16"/>
  <c r="A54" i="16"/>
  <c r="A50" i="16"/>
  <c r="A46" i="16"/>
  <c r="A42" i="16"/>
  <c r="A38" i="16"/>
  <c r="A34" i="16"/>
  <c r="A30" i="16"/>
  <c r="A26" i="16"/>
  <c r="A22" i="16"/>
  <c r="A18" i="16"/>
  <c r="A14" i="16"/>
  <c r="A101" i="16"/>
  <c r="A97" i="16"/>
  <c r="A93" i="16"/>
  <c r="A89" i="16"/>
  <c r="A85" i="16"/>
  <c r="A81" i="16"/>
  <c r="A77" i="16"/>
  <c r="A73" i="16"/>
  <c r="A69" i="16"/>
  <c r="A65" i="16"/>
  <c r="A61" i="16"/>
  <c r="A57" i="16"/>
  <c r="A53" i="16"/>
  <c r="A49" i="16"/>
  <c r="A45" i="16"/>
  <c r="A41" i="16"/>
  <c r="A37" i="16"/>
  <c r="A33" i="16"/>
  <c r="A29" i="16"/>
  <c r="A25" i="16"/>
  <c r="A21" i="16"/>
  <c r="A17" i="16"/>
  <c r="H9" i="16"/>
  <c r="H5" i="16" s="1"/>
  <c r="I55" i="10"/>
  <c r="J55" i="10" s="1"/>
  <c r="I71" i="10"/>
  <c r="I41" i="10"/>
  <c r="C43" i="26" s="1"/>
  <c r="E43" i="26" s="1"/>
  <c r="I57" i="10"/>
  <c r="J57" i="10" s="1"/>
  <c r="I89" i="10"/>
  <c r="C91" i="26" s="1"/>
  <c r="E91" i="26" s="1"/>
  <c r="I29" i="10"/>
  <c r="I47" i="10"/>
  <c r="J47" i="10" s="1"/>
  <c r="I63" i="10"/>
  <c r="J63" i="10" s="1"/>
  <c r="I79" i="10"/>
  <c r="C81" i="26" s="1"/>
  <c r="E81" i="26" s="1"/>
  <c r="I17" i="10"/>
  <c r="C19" i="26" s="1"/>
  <c r="E19" i="26" s="1"/>
  <c r="I49" i="10"/>
  <c r="I3" i="10"/>
  <c r="I21" i="10"/>
  <c r="I69" i="10"/>
  <c r="I87" i="10"/>
  <c r="C89" i="26" s="1"/>
  <c r="E89" i="26" s="1"/>
  <c r="J79" i="10" l="1"/>
  <c r="Y79" i="10" s="1"/>
  <c r="R81" i="26" s="1"/>
  <c r="T81" i="26" s="1"/>
  <c r="Y55" i="10"/>
  <c r="R57" i="26" s="1"/>
  <c r="T57" i="26" s="1"/>
  <c r="J69" i="10"/>
  <c r="Y69" i="10" s="1"/>
  <c r="R71" i="26" s="1"/>
  <c r="T71" i="26" s="1"/>
  <c r="Y45" i="10"/>
  <c r="R47" i="26" s="1"/>
  <c r="T47" i="26" s="1"/>
  <c r="J81" i="10"/>
  <c r="Y81" i="10" s="1"/>
  <c r="R83" i="26" s="1"/>
  <c r="T83" i="26" s="1"/>
  <c r="Y57" i="10"/>
  <c r="R59" i="26" s="1"/>
  <c r="T59" i="26" s="1"/>
  <c r="J17" i="10"/>
  <c r="Y17" i="10" s="1"/>
  <c r="R19" i="26" s="1"/>
  <c r="T19" i="26" s="1"/>
  <c r="Y13" i="10"/>
  <c r="R15" i="26" s="1"/>
  <c r="T15" i="26" s="1"/>
  <c r="P80" i="12"/>
  <c r="Y83" i="10"/>
  <c r="R85" i="26" s="1"/>
  <c r="T85" i="26" s="1"/>
  <c r="J87" i="10"/>
  <c r="Y87" i="10" s="1"/>
  <c r="R89" i="26" s="1"/>
  <c r="T89" i="26" s="1"/>
  <c r="Y63" i="10"/>
  <c r="R65" i="26" s="1"/>
  <c r="T65" i="26" s="1"/>
  <c r="J71" i="10"/>
  <c r="Y71" i="10" s="1"/>
  <c r="R73" i="26" s="1"/>
  <c r="T73" i="26" s="1"/>
  <c r="Y47" i="10"/>
  <c r="R49" i="26" s="1"/>
  <c r="T49" i="26" s="1"/>
  <c r="J75" i="10"/>
  <c r="Y75" i="10" s="1"/>
  <c r="R77" i="26" s="1"/>
  <c r="T77" i="26" s="1"/>
  <c r="Y51" i="10"/>
  <c r="R53" i="26" s="1"/>
  <c r="T53" i="26" s="1"/>
  <c r="J41" i="10"/>
  <c r="Y41" i="10" s="1"/>
  <c r="R43" i="26" s="1"/>
  <c r="T43" i="26" s="1"/>
  <c r="Y37" i="10"/>
  <c r="R39" i="26" s="1"/>
  <c r="T39" i="26" s="1"/>
  <c r="J35" i="10"/>
  <c r="Y35" i="10" s="1"/>
  <c r="R37" i="26" s="1"/>
  <c r="T37" i="26" s="1"/>
  <c r="C54" i="26"/>
  <c r="E54" i="26" s="1"/>
  <c r="C50" i="26"/>
  <c r="E50" i="26" s="1"/>
  <c r="I68" i="26"/>
  <c r="K68" i="26" s="1"/>
  <c r="P84" i="12"/>
  <c r="C75" i="26"/>
  <c r="E75" i="26" s="1"/>
  <c r="C40" i="26"/>
  <c r="E40" i="26" s="1"/>
  <c r="C80" i="26"/>
  <c r="E80" i="26" s="1"/>
  <c r="C84" i="26"/>
  <c r="E84" i="26" s="1"/>
  <c r="C72" i="26"/>
  <c r="E72" i="26" s="1"/>
  <c r="C86" i="26"/>
  <c r="E86" i="26" s="1"/>
  <c r="J3" i="10"/>
  <c r="Y3" i="10" s="1"/>
  <c r="R5" i="26" s="1"/>
  <c r="T5" i="26" s="1"/>
  <c r="C6" i="26"/>
  <c r="E6" i="26" s="1"/>
  <c r="J49" i="10"/>
  <c r="Y49" i="10" s="1"/>
  <c r="R51" i="26" s="1"/>
  <c r="T51" i="26" s="1"/>
  <c r="C36" i="26"/>
  <c r="E36" i="26" s="1"/>
  <c r="J43" i="10"/>
  <c r="Y43" i="10" s="1"/>
  <c r="R45" i="26" s="1"/>
  <c r="T45" i="26" s="1"/>
  <c r="C22" i="26"/>
  <c r="E22" i="26" s="1"/>
  <c r="C25" i="26"/>
  <c r="E25" i="26" s="1"/>
  <c r="C34" i="26"/>
  <c r="E34" i="26" s="1"/>
  <c r="C38" i="26"/>
  <c r="E38" i="26" s="1"/>
  <c r="C64" i="26"/>
  <c r="E64" i="26" s="1"/>
  <c r="C56" i="26"/>
  <c r="E56" i="26" s="1"/>
  <c r="P66" i="12"/>
  <c r="C32" i="26"/>
  <c r="E32" i="26" s="1"/>
  <c r="C18" i="26"/>
  <c r="E18" i="26" s="1"/>
  <c r="C82" i="26"/>
  <c r="E82" i="26" s="1"/>
  <c r="C8" i="26"/>
  <c r="E8" i="26" s="1"/>
  <c r="C73" i="26"/>
  <c r="E73" i="26" s="1"/>
  <c r="C42" i="26"/>
  <c r="E42" i="26" s="1"/>
  <c r="C41" i="26"/>
  <c r="E41" i="26" s="1"/>
  <c r="C58" i="26"/>
  <c r="E58" i="26" s="1"/>
  <c r="C52" i="26"/>
  <c r="E52" i="26" s="1"/>
  <c r="C46" i="26"/>
  <c r="E46" i="26" s="1"/>
  <c r="H89" i="12"/>
  <c r="H86" i="12"/>
  <c r="H87" i="12"/>
  <c r="H88" i="12"/>
  <c r="C68" i="26"/>
  <c r="E68" i="26" s="1"/>
  <c r="C90" i="26"/>
  <c r="E90" i="26" s="1"/>
  <c r="C71" i="26"/>
  <c r="E71" i="26" s="1"/>
  <c r="C24" i="26"/>
  <c r="E24" i="26" s="1"/>
  <c r="J29" i="10"/>
  <c r="Y29" i="10" s="1"/>
  <c r="R31" i="26" s="1"/>
  <c r="T31" i="26" s="1"/>
  <c r="C60" i="26"/>
  <c r="E60" i="26" s="1"/>
  <c r="J21" i="10"/>
  <c r="Y21" i="10" s="1"/>
  <c r="R23" i="26" s="1"/>
  <c r="T23" i="26" s="1"/>
  <c r="C28" i="26"/>
  <c r="E28" i="26" s="1"/>
  <c r="J27" i="10"/>
  <c r="Y27" i="10" s="1"/>
  <c r="R29" i="26" s="1"/>
  <c r="T29" i="26" s="1"/>
  <c r="C62" i="26"/>
  <c r="E62" i="26" s="1"/>
  <c r="C66" i="26"/>
  <c r="E66" i="26" s="1"/>
  <c r="C12" i="26"/>
  <c r="E12" i="26" s="1"/>
  <c r="I52" i="26"/>
  <c r="K52" i="26" s="1"/>
  <c r="C20" i="26"/>
  <c r="E20" i="26" s="1"/>
  <c r="I86" i="26"/>
  <c r="K86" i="26" s="1"/>
  <c r="C74" i="26"/>
  <c r="E74" i="26" s="1"/>
  <c r="C16" i="26"/>
  <c r="E16" i="26" s="1"/>
  <c r="C70" i="26"/>
  <c r="E70" i="26" s="1"/>
  <c r="C88" i="26"/>
  <c r="E88" i="26" s="1"/>
  <c r="J73" i="10"/>
  <c r="Y73" i="10" s="1"/>
  <c r="R75" i="26" s="1"/>
  <c r="T75" i="26" s="1"/>
  <c r="F18" i="28"/>
  <c r="F20" i="28" s="1"/>
  <c r="J7" i="10"/>
  <c r="C63" i="26"/>
  <c r="E63" i="26" s="1"/>
  <c r="J61" i="10"/>
  <c r="P61" i="12" s="1"/>
  <c r="C55" i="26"/>
  <c r="E55" i="26" s="1"/>
  <c r="J53" i="10"/>
  <c r="Y53" i="10" s="1"/>
  <c r="R55" i="26" s="1"/>
  <c r="T55" i="26" s="1"/>
  <c r="J89" i="10"/>
  <c r="C9" i="26"/>
  <c r="E9" i="26" s="1"/>
  <c r="F14" i="28"/>
  <c r="C7" i="26"/>
  <c r="E7" i="26" s="1"/>
  <c r="J5" i="10"/>
  <c r="C13" i="26"/>
  <c r="E13" i="26" s="1"/>
  <c r="J11" i="10"/>
  <c r="Y11" i="10" s="1"/>
  <c r="R13" i="26" s="1"/>
  <c r="T13" i="26" s="1"/>
  <c r="P74" i="12"/>
  <c r="P70" i="12"/>
  <c r="Q5" i="26"/>
  <c r="Q1" i="26" s="1"/>
  <c r="P50" i="12"/>
  <c r="C31" i="26"/>
  <c r="E31" i="26" s="1"/>
  <c r="P72" i="12"/>
  <c r="I74" i="26"/>
  <c r="K74" i="26" s="1"/>
  <c r="P40" i="12"/>
  <c r="I42" i="26"/>
  <c r="K42" i="26" s="1"/>
  <c r="C47" i="26"/>
  <c r="E47" i="26" s="1"/>
  <c r="C29" i="26"/>
  <c r="E29" i="26" s="1"/>
  <c r="C23" i="26"/>
  <c r="E23" i="26" s="1"/>
  <c r="C57" i="26"/>
  <c r="E57" i="26" s="1"/>
  <c r="P86" i="12"/>
  <c r="I88" i="26"/>
  <c r="K88" i="26" s="1"/>
  <c r="P32" i="12"/>
  <c r="I34" i="26"/>
  <c r="K34" i="26" s="1"/>
  <c r="C37" i="26"/>
  <c r="E37" i="26" s="1"/>
  <c r="C15" i="26"/>
  <c r="E15" i="26" s="1"/>
  <c r="P68" i="12"/>
  <c r="I70" i="26"/>
  <c r="K70" i="26" s="1"/>
  <c r="P65" i="12"/>
  <c r="I67" i="26"/>
  <c r="K67" i="26" s="1"/>
  <c r="P2" i="12"/>
  <c r="I4" i="26"/>
  <c r="K4" i="26" s="1"/>
  <c r="P10" i="12"/>
  <c r="I12" i="26"/>
  <c r="K12" i="26" s="1"/>
  <c r="P18" i="12"/>
  <c r="I20" i="26"/>
  <c r="K20" i="26" s="1"/>
  <c r="P59" i="12"/>
  <c r="I61" i="26"/>
  <c r="K61" i="26" s="1"/>
  <c r="P83" i="12"/>
  <c r="I85" i="26"/>
  <c r="K85" i="26" s="1"/>
  <c r="C65" i="26"/>
  <c r="E65" i="26" s="1"/>
  <c r="I76" i="26"/>
  <c r="K76" i="26" s="1"/>
  <c r="P78" i="12"/>
  <c r="I80" i="26"/>
  <c r="K80" i="26" s="1"/>
  <c r="C45" i="26"/>
  <c r="E45" i="26" s="1"/>
  <c r="C5" i="26"/>
  <c r="E5" i="26" s="1"/>
  <c r="C59" i="26"/>
  <c r="E59" i="26" s="1"/>
  <c r="C51" i="26"/>
  <c r="E51" i="26" s="1"/>
  <c r="C49" i="26"/>
  <c r="E49" i="26" s="1"/>
  <c r="P88" i="12"/>
  <c r="I90" i="26"/>
  <c r="K90" i="26" s="1"/>
  <c r="C53" i="26"/>
  <c r="E53" i="26" s="1"/>
  <c r="C39" i="26"/>
  <c r="E39" i="26" s="1"/>
  <c r="P11" i="12"/>
  <c r="I13" i="26"/>
  <c r="K13" i="26" s="1"/>
  <c r="P36" i="12"/>
  <c r="I38" i="26"/>
  <c r="K38" i="26" s="1"/>
  <c r="P28" i="12"/>
  <c r="I30" i="26"/>
  <c r="K30" i="26" s="1"/>
  <c r="P48" i="12"/>
  <c r="I50" i="26"/>
  <c r="K50" i="26" s="1"/>
  <c r="P19" i="12"/>
  <c r="I21" i="26"/>
  <c r="K21" i="26" s="1"/>
  <c r="P54" i="12"/>
  <c r="I56" i="26"/>
  <c r="K56" i="26" s="1"/>
  <c r="P44" i="12"/>
  <c r="I46" i="26"/>
  <c r="K46" i="26" s="1"/>
  <c r="H25" i="16" a="1"/>
  <c r="H25" i="16" s="1"/>
  <c r="G25" i="16" a="1"/>
  <c r="G25" i="16" s="1"/>
  <c r="E25" i="16" a="1"/>
  <c r="E25" i="16" s="1"/>
  <c r="F25" i="16" a="1"/>
  <c r="F25" i="16" s="1"/>
  <c r="D25" i="16" a="1"/>
  <c r="D25" i="16" s="1"/>
  <c r="B25" i="16" a="1"/>
  <c r="B25" i="16" s="1"/>
  <c r="C25" i="16" a="1"/>
  <c r="C25" i="16" s="1"/>
  <c r="H41" i="16" a="1"/>
  <c r="H41" i="16" s="1"/>
  <c r="G41" i="16" a="1"/>
  <c r="G41" i="16" s="1"/>
  <c r="E41" i="16" a="1"/>
  <c r="E41" i="16" s="1"/>
  <c r="F41" i="16" a="1"/>
  <c r="F41" i="16" s="1"/>
  <c r="D41" i="16" a="1"/>
  <c r="D41" i="16" s="1"/>
  <c r="B41" i="16" a="1"/>
  <c r="B41" i="16" s="1"/>
  <c r="C41" i="16" a="1"/>
  <c r="C41" i="16" s="1"/>
  <c r="H57" i="16" a="1"/>
  <c r="H57" i="16" s="1"/>
  <c r="G57" i="16" a="1"/>
  <c r="G57" i="16" s="1"/>
  <c r="E57" i="16" a="1"/>
  <c r="E57" i="16" s="1"/>
  <c r="F57" i="16" a="1"/>
  <c r="F57" i="16" s="1"/>
  <c r="D57" i="16" a="1"/>
  <c r="D57" i="16" s="1"/>
  <c r="B57" i="16" a="1"/>
  <c r="B57" i="16" s="1"/>
  <c r="C57" i="16" a="1"/>
  <c r="C57" i="16" s="1"/>
  <c r="H73" i="16" a="1"/>
  <c r="H73" i="16" s="1"/>
  <c r="G73" i="16" a="1"/>
  <c r="G73" i="16" s="1"/>
  <c r="F73" i="16" a="1"/>
  <c r="F73" i="16" s="1"/>
  <c r="E73" i="16" a="1"/>
  <c r="E73" i="16" s="1"/>
  <c r="D73" i="16" a="1"/>
  <c r="D73" i="16" s="1"/>
  <c r="B73" i="16" a="1"/>
  <c r="B73" i="16" s="1"/>
  <c r="C73" i="16" a="1"/>
  <c r="C73" i="16" s="1"/>
  <c r="H89" i="16" a="1"/>
  <c r="H89" i="16" s="1"/>
  <c r="G89" i="16" a="1"/>
  <c r="G89" i="16" s="1"/>
  <c r="F89" i="16" a="1"/>
  <c r="F89" i="16" s="1"/>
  <c r="D89" i="16" a="1"/>
  <c r="D89" i="16" s="1"/>
  <c r="B89" i="16" a="1"/>
  <c r="B89" i="16" s="1"/>
  <c r="E89" i="16" a="1"/>
  <c r="E89" i="16" s="1"/>
  <c r="C89" i="16" a="1"/>
  <c r="C89" i="16" s="1"/>
  <c r="G14" i="16" a="1"/>
  <c r="G14" i="16" s="1"/>
  <c r="H14" i="16" a="1"/>
  <c r="H14" i="16" s="1"/>
  <c r="F14" i="16" a="1"/>
  <c r="F14" i="16" s="1"/>
  <c r="E14" i="16" a="1"/>
  <c r="E14" i="16" s="1"/>
  <c r="C14" i="16" a="1"/>
  <c r="C14" i="16" s="1"/>
  <c r="D14" i="16" a="1"/>
  <c r="D14" i="16" s="1"/>
  <c r="B14" i="16" a="1"/>
  <c r="B14" i="16" s="1"/>
  <c r="G30" i="16" a="1"/>
  <c r="G30" i="16" s="1"/>
  <c r="H30" i="16" a="1"/>
  <c r="H30" i="16" s="1"/>
  <c r="F30" i="16" a="1"/>
  <c r="F30" i="16" s="1"/>
  <c r="E30" i="16" a="1"/>
  <c r="E30" i="16" s="1"/>
  <c r="C30" i="16" a="1"/>
  <c r="C30" i="16" s="1"/>
  <c r="D30" i="16" a="1"/>
  <c r="D30" i="16" s="1"/>
  <c r="B30" i="16" a="1"/>
  <c r="B30" i="16" s="1"/>
  <c r="G46" i="16" a="1"/>
  <c r="G46" i="16" s="1"/>
  <c r="H46" i="16" a="1"/>
  <c r="H46" i="16" s="1"/>
  <c r="F46" i="16" a="1"/>
  <c r="F46" i="16" s="1"/>
  <c r="E46" i="16" a="1"/>
  <c r="E46" i="16" s="1"/>
  <c r="C46" i="16" a="1"/>
  <c r="C46" i="16" s="1"/>
  <c r="D46" i="16" a="1"/>
  <c r="D46" i="16" s="1"/>
  <c r="B46" i="16" a="1"/>
  <c r="B46" i="16" s="1"/>
  <c r="G62" i="16" a="1"/>
  <c r="G62" i="16" s="1"/>
  <c r="H62" i="16" a="1"/>
  <c r="H62" i="16" s="1"/>
  <c r="F62" i="16" a="1"/>
  <c r="F62" i="16" s="1"/>
  <c r="E62" i="16" a="1"/>
  <c r="E62" i="16" s="1"/>
  <c r="C62" i="16" a="1"/>
  <c r="C62" i="16" s="1"/>
  <c r="D62" i="16" a="1"/>
  <c r="D62" i="16" s="1"/>
  <c r="B62" i="16" a="1"/>
  <c r="B62" i="16" s="1"/>
  <c r="G70" i="16" a="1"/>
  <c r="G70" i="16" s="1"/>
  <c r="H70" i="16" a="1"/>
  <c r="H70" i="16" s="1"/>
  <c r="F70" i="16" a="1"/>
  <c r="F70" i="16" s="1"/>
  <c r="E70" i="16" a="1"/>
  <c r="E70" i="16" s="1"/>
  <c r="C70" i="16" a="1"/>
  <c r="C70" i="16" s="1"/>
  <c r="D70" i="16" a="1"/>
  <c r="D70" i="16" s="1"/>
  <c r="B70" i="16" a="1"/>
  <c r="B70" i="16" s="1"/>
  <c r="G86" i="16" a="1"/>
  <c r="G86" i="16" s="1"/>
  <c r="H86" i="16" a="1"/>
  <c r="H86" i="16" s="1"/>
  <c r="F86" i="16" a="1"/>
  <c r="F86" i="16" s="1"/>
  <c r="E86" i="16" a="1"/>
  <c r="E86" i="16" s="1"/>
  <c r="C86" i="16" a="1"/>
  <c r="C86" i="16" s="1"/>
  <c r="D86" i="16" a="1"/>
  <c r="D86" i="16" s="1"/>
  <c r="B86" i="16" a="1"/>
  <c r="B86" i="16" s="1"/>
  <c r="H102" i="16" a="1"/>
  <c r="H102" i="16" s="1"/>
  <c r="F102" i="16" a="1"/>
  <c r="F102" i="16" s="1"/>
  <c r="G102" i="16" a="1"/>
  <c r="G102" i="16" s="1"/>
  <c r="E102" i="16" a="1"/>
  <c r="E102" i="16" s="1"/>
  <c r="C102" i="16" a="1"/>
  <c r="C102" i="16" s="1"/>
  <c r="D102" i="16" a="1"/>
  <c r="D102" i="16" s="1"/>
  <c r="B102" i="16" a="1"/>
  <c r="B102" i="16" s="1"/>
  <c r="H19" i="16" a="1"/>
  <c r="H19" i="16" s="1"/>
  <c r="G19" i="16" a="1"/>
  <c r="G19" i="16" s="1"/>
  <c r="E19" i="16" a="1"/>
  <c r="E19" i="16" s="1"/>
  <c r="F19" i="16" a="1"/>
  <c r="F19" i="16" s="1"/>
  <c r="D19" i="16" a="1"/>
  <c r="D19" i="16" s="1"/>
  <c r="B19" i="16" a="1"/>
  <c r="B19" i="16" s="1"/>
  <c r="C19" i="16" a="1"/>
  <c r="C19" i="16" s="1"/>
  <c r="H27" i="16" a="1"/>
  <c r="H27" i="16" s="1"/>
  <c r="G27" i="16" a="1"/>
  <c r="G27" i="16" s="1"/>
  <c r="E27" i="16" a="1"/>
  <c r="E27" i="16" s="1"/>
  <c r="F27" i="16" a="1"/>
  <c r="F27" i="16" s="1"/>
  <c r="D27" i="16" a="1"/>
  <c r="D27" i="16" s="1"/>
  <c r="B27" i="16" a="1"/>
  <c r="B27" i="16" s="1"/>
  <c r="C27" i="16" a="1"/>
  <c r="C27" i="16" s="1"/>
  <c r="H35" i="16" a="1"/>
  <c r="H35" i="16" s="1"/>
  <c r="G35" i="16" a="1"/>
  <c r="G35" i="16" s="1"/>
  <c r="E35" i="16" a="1"/>
  <c r="E35" i="16" s="1"/>
  <c r="F35" i="16" a="1"/>
  <c r="F35" i="16" s="1"/>
  <c r="D35" i="16" a="1"/>
  <c r="D35" i="16" s="1"/>
  <c r="B35" i="16" a="1"/>
  <c r="B35" i="16" s="1"/>
  <c r="C35" i="16" a="1"/>
  <c r="C35" i="16" s="1"/>
  <c r="H43" i="16" a="1"/>
  <c r="H43" i="16" s="1"/>
  <c r="G43" i="16" a="1"/>
  <c r="G43" i="16" s="1"/>
  <c r="E43" i="16" a="1"/>
  <c r="E43" i="16" s="1"/>
  <c r="F43" i="16" a="1"/>
  <c r="F43" i="16" s="1"/>
  <c r="D43" i="16" a="1"/>
  <c r="D43" i="16" s="1"/>
  <c r="B43" i="16" a="1"/>
  <c r="B43" i="16" s="1"/>
  <c r="C43" i="16" a="1"/>
  <c r="C43" i="16" s="1"/>
  <c r="H51" i="16" a="1"/>
  <c r="H51" i="16" s="1"/>
  <c r="G51" i="16" a="1"/>
  <c r="G51" i="16" s="1"/>
  <c r="E51" i="16" a="1"/>
  <c r="E51" i="16" s="1"/>
  <c r="F51" i="16" a="1"/>
  <c r="F51" i="16" s="1"/>
  <c r="D51" i="16" a="1"/>
  <c r="D51" i="16" s="1"/>
  <c r="B51" i="16" a="1"/>
  <c r="B51" i="16" s="1"/>
  <c r="C51" i="16" a="1"/>
  <c r="C51" i="16" s="1"/>
  <c r="H59" i="16" a="1"/>
  <c r="H59" i="16" s="1"/>
  <c r="G59" i="16" a="1"/>
  <c r="G59" i="16" s="1"/>
  <c r="E59" i="16" a="1"/>
  <c r="E59" i="16" s="1"/>
  <c r="F59" i="16" a="1"/>
  <c r="F59" i="16" s="1"/>
  <c r="D59" i="16" a="1"/>
  <c r="D59" i="16" s="1"/>
  <c r="B59" i="16" a="1"/>
  <c r="B59" i="16" s="1"/>
  <c r="C59" i="16" a="1"/>
  <c r="C59" i="16" s="1"/>
  <c r="H67" i="16" a="1"/>
  <c r="H67" i="16" s="1"/>
  <c r="G67" i="16" a="1"/>
  <c r="G67" i="16" s="1"/>
  <c r="E67" i="16" a="1"/>
  <c r="E67" i="16" s="1"/>
  <c r="F67" i="16" a="1"/>
  <c r="F67" i="16" s="1"/>
  <c r="D67" i="16" a="1"/>
  <c r="D67" i="16" s="1"/>
  <c r="B67" i="16" a="1"/>
  <c r="B67" i="16" s="1"/>
  <c r="C67" i="16" a="1"/>
  <c r="C67" i="16" s="1"/>
  <c r="H75" i="16" a="1"/>
  <c r="H75" i="16" s="1"/>
  <c r="G75" i="16" a="1"/>
  <c r="G75" i="16" s="1"/>
  <c r="F75" i="16" a="1"/>
  <c r="F75" i="16" s="1"/>
  <c r="D75" i="16" a="1"/>
  <c r="D75" i="16" s="1"/>
  <c r="B75" i="16" a="1"/>
  <c r="B75" i="16" s="1"/>
  <c r="E75" i="16" a="1"/>
  <c r="E75" i="16" s="1"/>
  <c r="C75" i="16" a="1"/>
  <c r="C75" i="16" s="1"/>
  <c r="H83" i="16" a="1"/>
  <c r="H83" i="16" s="1"/>
  <c r="G83" i="16" a="1"/>
  <c r="G83" i="16" s="1"/>
  <c r="F83" i="16" a="1"/>
  <c r="F83" i="16" s="1"/>
  <c r="D83" i="16" a="1"/>
  <c r="D83" i="16" s="1"/>
  <c r="B83" i="16" a="1"/>
  <c r="B83" i="16" s="1"/>
  <c r="E83" i="16" a="1"/>
  <c r="E83" i="16" s="1"/>
  <c r="C83" i="16" a="1"/>
  <c r="C83" i="16" s="1"/>
  <c r="H91" i="16" a="1"/>
  <c r="H91" i="16" s="1"/>
  <c r="G91" i="16" a="1"/>
  <c r="G91" i="16" s="1"/>
  <c r="F91" i="16" a="1"/>
  <c r="F91" i="16" s="1"/>
  <c r="D91" i="16" a="1"/>
  <c r="D91" i="16" s="1"/>
  <c r="B91" i="16" a="1"/>
  <c r="B91" i="16" s="1"/>
  <c r="E91" i="16" a="1"/>
  <c r="E91" i="16" s="1"/>
  <c r="C91" i="16" a="1"/>
  <c r="C91" i="16" s="1"/>
  <c r="H99" i="16" a="1"/>
  <c r="H99" i="16" s="1"/>
  <c r="G99" i="16" a="1"/>
  <c r="G99" i="16" s="1"/>
  <c r="F99" i="16" a="1"/>
  <c r="F99" i="16" s="1"/>
  <c r="D99" i="16" a="1"/>
  <c r="D99" i="16" s="1"/>
  <c r="B99" i="16" a="1"/>
  <c r="B99" i="16" s="1"/>
  <c r="E99" i="16" a="1"/>
  <c r="E99" i="16" s="1"/>
  <c r="C99" i="16" a="1"/>
  <c r="C99" i="16" s="1"/>
  <c r="G16" i="16" a="1"/>
  <c r="G16" i="16" s="1"/>
  <c r="H16" i="16" a="1"/>
  <c r="H16" i="16" s="1"/>
  <c r="F16" i="16" a="1"/>
  <c r="F16" i="16" s="1"/>
  <c r="E16" i="16" a="1"/>
  <c r="E16" i="16" s="1"/>
  <c r="C16" i="16" a="1"/>
  <c r="C16" i="16" s="1"/>
  <c r="D16" i="16" a="1"/>
  <c r="D16" i="16" s="1"/>
  <c r="B16" i="16" a="1"/>
  <c r="B16" i="16" s="1"/>
  <c r="G24" i="16" a="1"/>
  <c r="G24" i="16" s="1"/>
  <c r="H24" i="16" a="1"/>
  <c r="H24" i="16" s="1"/>
  <c r="F24" i="16" a="1"/>
  <c r="F24" i="16" s="1"/>
  <c r="E24" i="16" a="1"/>
  <c r="E24" i="16" s="1"/>
  <c r="C24" i="16" a="1"/>
  <c r="C24" i="16" s="1"/>
  <c r="D24" i="16" a="1"/>
  <c r="D24" i="16" s="1"/>
  <c r="B24" i="16" a="1"/>
  <c r="B24" i="16" s="1"/>
  <c r="G32" i="16" a="1"/>
  <c r="G32" i="16" s="1"/>
  <c r="H32" i="16" a="1"/>
  <c r="H32" i="16" s="1"/>
  <c r="F32" i="16" a="1"/>
  <c r="F32" i="16" s="1"/>
  <c r="E32" i="16" a="1"/>
  <c r="E32" i="16" s="1"/>
  <c r="C32" i="16" a="1"/>
  <c r="C32" i="16" s="1"/>
  <c r="D32" i="16" a="1"/>
  <c r="D32" i="16" s="1"/>
  <c r="B32" i="16" a="1"/>
  <c r="B32" i="16" s="1"/>
  <c r="G40" i="16" a="1"/>
  <c r="G40" i="16" s="1"/>
  <c r="H40" i="16" a="1"/>
  <c r="H40" i="16" s="1"/>
  <c r="F40" i="16" a="1"/>
  <c r="F40" i="16" s="1"/>
  <c r="E40" i="16" a="1"/>
  <c r="E40" i="16" s="1"/>
  <c r="C40" i="16" a="1"/>
  <c r="C40" i="16" s="1"/>
  <c r="D40" i="16" a="1"/>
  <c r="D40" i="16" s="1"/>
  <c r="B40" i="16" a="1"/>
  <c r="B40" i="16" s="1"/>
  <c r="G48" i="16" a="1"/>
  <c r="G48" i="16" s="1"/>
  <c r="H48" i="16" a="1"/>
  <c r="H48" i="16" s="1"/>
  <c r="F48" i="16" a="1"/>
  <c r="F48" i="16" s="1"/>
  <c r="E48" i="16" a="1"/>
  <c r="E48" i="16" s="1"/>
  <c r="C48" i="16" a="1"/>
  <c r="C48" i="16" s="1"/>
  <c r="D48" i="16" a="1"/>
  <c r="D48" i="16" s="1"/>
  <c r="B48" i="16" a="1"/>
  <c r="B48" i="16" s="1"/>
  <c r="G56" i="16" a="1"/>
  <c r="G56" i="16" s="1"/>
  <c r="H56" i="16" a="1"/>
  <c r="H56" i="16" s="1"/>
  <c r="F56" i="16" a="1"/>
  <c r="F56" i="16" s="1"/>
  <c r="E56" i="16" a="1"/>
  <c r="E56" i="16" s="1"/>
  <c r="C56" i="16" a="1"/>
  <c r="C56" i="16" s="1"/>
  <c r="D56" i="16" a="1"/>
  <c r="D56" i="16" s="1"/>
  <c r="B56" i="16" a="1"/>
  <c r="B56" i="16" s="1"/>
  <c r="G64" i="16" a="1"/>
  <c r="G64" i="16" s="1"/>
  <c r="H64" i="16" a="1"/>
  <c r="H64" i="16" s="1"/>
  <c r="F64" i="16" a="1"/>
  <c r="F64" i="16" s="1"/>
  <c r="E64" i="16" a="1"/>
  <c r="E64" i="16" s="1"/>
  <c r="C64" i="16" a="1"/>
  <c r="C64" i="16" s="1"/>
  <c r="D64" i="16" a="1"/>
  <c r="D64" i="16" s="1"/>
  <c r="B64" i="16" a="1"/>
  <c r="B64" i="16" s="1"/>
  <c r="G72" i="16" a="1"/>
  <c r="G72" i="16" s="1"/>
  <c r="H72" i="16" a="1"/>
  <c r="H72" i="16" s="1"/>
  <c r="F72" i="16" a="1"/>
  <c r="F72" i="16" s="1"/>
  <c r="E72" i="16" a="1"/>
  <c r="E72" i="16" s="1"/>
  <c r="C72" i="16" a="1"/>
  <c r="C72" i="16" s="1"/>
  <c r="D72" i="16" a="1"/>
  <c r="D72" i="16" s="1"/>
  <c r="B72" i="16" a="1"/>
  <c r="B72" i="16" s="1"/>
  <c r="G80" i="16" a="1"/>
  <c r="G80" i="16" s="1"/>
  <c r="H80" i="16" a="1"/>
  <c r="H80" i="16" s="1"/>
  <c r="F80" i="16" a="1"/>
  <c r="F80" i="16" s="1"/>
  <c r="E80" i="16" a="1"/>
  <c r="E80" i="16" s="1"/>
  <c r="C80" i="16" a="1"/>
  <c r="C80" i="16" s="1"/>
  <c r="D80" i="16" a="1"/>
  <c r="D80" i="16" s="1"/>
  <c r="B80" i="16" a="1"/>
  <c r="B80" i="16" s="1"/>
  <c r="G88" i="16" a="1"/>
  <c r="G88" i="16" s="1"/>
  <c r="H88" i="16" a="1"/>
  <c r="H88" i="16" s="1"/>
  <c r="F88" i="16" a="1"/>
  <c r="F88" i="16" s="1"/>
  <c r="E88" i="16" a="1"/>
  <c r="E88" i="16" s="1"/>
  <c r="C88" i="16" a="1"/>
  <c r="C88" i="16" s="1"/>
  <c r="D88" i="16" a="1"/>
  <c r="D88" i="16" s="1"/>
  <c r="B88" i="16" a="1"/>
  <c r="B88" i="16" s="1"/>
  <c r="H96" i="16" a="1"/>
  <c r="H96" i="16" s="1"/>
  <c r="F96" i="16" a="1"/>
  <c r="F96" i="16" s="1"/>
  <c r="G96" i="16" a="1"/>
  <c r="G96" i="16" s="1"/>
  <c r="E96" i="16" a="1"/>
  <c r="E96" i="16" s="1"/>
  <c r="C96" i="16" a="1"/>
  <c r="C96" i="16" s="1"/>
  <c r="D96" i="16" a="1"/>
  <c r="D96" i="16" s="1"/>
  <c r="B96" i="16" a="1"/>
  <c r="B96" i="16" s="1"/>
  <c r="H21" i="16" a="1"/>
  <c r="H21" i="16" s="1"/>
  <c r="G21" i="16" a="1"/>
  <c r="G21" i="16" s="1"/>
  <c r="E21" i="16" a="1"/>
  <c r="E21" i="16" s="1"/>
  <c r="F21" i="16" a="1"/>
  <c r="F21" i="16" s="1"/>
  <c r="D21" i="16" a="1"/>
  <c r="D21" i="16" s="1"/>
  <c r="B21" i="16" a="1"/>
  <c r="B21" i="16" s="1"/>
  <c r="C21" i="16" a="1"/>
  <c r="C21" i="16" s="1"/>
  <c r="H29" i="16" a="1"/>
  <c r="H29" i="16" s="1"/>
  <c r="G29" i="16" a="1"/>
  <c r="G29" i="16" s="1"/>
  <c r="E29" i="16" a="1"/>
  <c r="E29" i="16" s="1"/>
  <c r="F29" i="16" a="1"/>
  <c r="F29" i="16" s="1"/>
  <c r="D29" i="16" a="1"/>
  <c r="D29" i="16" s="1"/>
  <c r="B29" i="16" a="1"/>
  <c r="B29" i="16" s="1"/>
  <c r="C29" i="16" a="1"/>
  <c r="C29" i="16" s="1"/>
  <c r="H37" i="16" a="1"/>
  <c r="H37" i="16" s="1"/>
  <c r="G37" i="16" a="1"/>
  <c r="G37" i="16" s="1"/>
  <c r="E37" i="16" a="1"/>
  <c r="E37" i="16" s="1"/>
  <c r="F37" i="16" a="1"/>
  <c r="F37" i="16" s="1"/>
  <c r="D37" i="16" a="1"/>
  <c r="D37" i="16" s="1"/>
  <c r="B37" i="16" a="1"/>
  <c r="B37" i="16" s="1"/>
  <c r="C37" i="16" a="1"/>
  <c r="C37" i="16" s="1"/>
  <c r="H45" i="16" a="1"/>
  <c r="H45" i="16" s="1"/>
  <c r="G45" i="16" a="1"/>
  <c r="G45" i="16" s="1"/>
  <c r="E45" i="16" a="1"/>
  <c r="E45" i="16" s="1"/>
  <c r="F45" i="16" a="1"/>
  <c r="F45" i="16" s="1"/>
  <c r="D45" i="16" a="1"/>
  <c r="D45" i="16" s="1"/>
  <c r="B45" i="16" a="1"/>
  <c r="B45" i="16" s="1"/>
  <c r="C45" i="16" a="1"/>
  <c r="C45" i="16" s="1"/>
  <c r="H53" i="16" a="1"/>
  <c r="H53" i="16" s="1"/>
  <c r="G53" i="16" a="1"/>
  <c r="G53" i="16" s="1"/>
  <c r="E53" i="16" a="1"/>
  <c r="E53" i="16" s="1"/>
  <c r="F53" i="16" a="1"/>
  <c r="F53" i="16" s="1"/>
  <c r="D53" i="16" a="1"/>
  <c r="D53" i="16" s="1"/>
  <c r="B53" i="16" a="1"/>
  <c r="B53" i="16" s="1"/>
  <c r="C53" i="16" a="1"/>
  <c r="C53" i="16" s="1"/>
  <c r="H61" i="16" a="1"/>
  <c r="H61" i="16" s="1"/>
  <c r="G61" i="16" a="1"/>
  <c r="G61" i="16" s="1"/>
  <c r="E61" i="16" a="1"/>
  <c r="E61" i="16" s="1"/>
  <c r="F61" i="16" a="1"/>
  <c r="F61" i="16" s="1"/>
  <c r="D61" i="16" a="1"/>
  <c r="D61" i="16" s="1"/>
  <c r="B61" i="16" a="1"/>
  <c r="B61" i="16" s="1"/>
  <c r="C61" i="16" a="1"/>
  <c r="C61" i="16" s="1"/>
  <c r="H69" i="16" a="1"/>
  <c r="H69" i="16" s="1"/>
  <c r="G69" i="16" a="1"/>
  <c r="G69" i="16" s="1"/>
  <c r="E69" i="16" a="1"/>
  <c r="E69" i="16" s="1"/>
  <c r="F69" i="16" a="1"/>
  <c r="F69" i="16" s="1"/>
  <c r="D69" i="16" a="1"/>
  <c r="D69" i="16" s="1"/>
  <c r="B69" i="16" a="1"/>
  <c r="B69" i="16" s="1"/>
  <c r="C69" i="16" a="1"/>
  <c r="C69" i="16" s="1"/>
  <c r="H77" i="16" a="1"/>
  <c r="H77" i="16" s="1"/>
  <c r="G77" i="16" a="1"/>
  <c r="G77" i="16" s="1"/>
  <c r="F77" i="16" a="1"/>
  <c r="F77" i="16" s="1"/>
  <c r="E77" i="16" a="1"/>
  <c r="E77" i="16" s="1"/>
  <c r="D77" i="16" a="1"/>
  <c r="D77" i="16" s="1"/>
  <c r="B77" i="16" a="1"/>
  <c r="B77" i="16" s="1"/>
  <c r="C77" i="16" a="1"/>
  <c r="C77" i="16" s="1"/>
  <c r="H85" i="16" a="1"/>
  <c r="H85" i="16" s="1"/>
  <c r="G85" i="16" a="1"/>
  <c r="G85" i="16" s="1"/>
  <c r="F85" i="16" a="1"/>
  <c r="F85" i="16" s="1"/>
  <c r="D85" i="16" a="1"/>
  <c r="D85" i="16" s="1"/>
  <c r="B85" i="16" a="1"/>
  <c r="B85" i="16" s="1"/>
  <c r="E85" i="16" a="1"/>
  <c r="E85" i="16" s="1"/>
  <c r="C85" i="16" a="1"/>
  <c r="C85" i="16" s="1"/>
  <c r="H93" i="16" a="1"/>
  <c r="H93" i="16" s="1"/>
  <c r="G93" i="16" a="1"/>
  <c r="G93" i="16" s="1"/>
  <c r="F93" i="16" a="1"/>
  <c r="F93" i="16" s="1"/>
  <c r="D93" i="16" a="1"/>
  <c r="D93" i="16" s="1"/>
  <c r="B93" i="16" a="1"/>
  <c r="B93" i="16" s="1"/>
  <c r="E93" i="16" a="1"/>
  <c r="E93" i="16" s="1"/>
  <c r="C93" i="16" a="1"/>
  <c r="C93" i="16" s="1"/>
  <c r="H101" i="16" a="1"/>
  <c r="H101" i="16" s="1"/>
  <c r="G101" i="16" a="1"/>
  <c r="G101" i="16" s="1"/>
  <c r="F101" i="16" a="1"/>
  <c r="F101" i="16" s="1"/>
  <c r="D101" i="16" a="1"/>
  <c r="D101" i="16" s="1"/>
  <c r="B101" i="16" a="1"/>
  <c r="B101" i="16" s="1"/>
  <c r="E101" i="16" a="1"/>
  <c r="E101" i="16" s="1"/>
  <c r="C101" i="16" a="1"/>
  <c r="C101" i="16" s="1"/>
  <c r="G18" i="16" a="1"/>
  <c r="G18" i="16" s="1"/>
  <c r="H18" i="16" a="1"/>
  <c r="H18" i="16" s="1"/>
  <c r="F18" i="16" a="1"/>
  <c r="F18" i="16" s="1"/>
  <c r="E18" i="16" a="1"/>
  <c r="E18" i="16" s="1"/>
  <c r="C18" i="16" a="1"/>
  <c r="C18" i="16" s="1"/>
  <c r="D18" i="16" a="1"/>
  <c r="D18" i="16" s="1"/>
  <c r="B18" i="16" a="1"/>
  <c r="B18" i="16" s="1"/>
  <c r="G26" i="16" a="1"/>
  <c r="G26" i="16" s="1"/>
  <c r="H26" i="16" a="1"/>
  <c r="H26" i="16" s="1"/>
  <c r="F26" i="16" a="1"/>
  <c r="F26" i="16" s="1"/>
  <c r="E26" i="16" a="1"/>
  <c r="E26" i="16" s="1"/>
  <c r="C26" i="16" a="1"/>
  <c r="C26" i="16" s="1"/>
  <c r="D26" i="16" a="1"/>
  <c r="D26" i="16" s="1"/>
  <c r="B26" i="16" a="1"/>
  <c r="B26" i="16" s="1"/>
  <c r="G34" i="16" a="1"/>
  <c r="G34" i="16" s="1"/>
  <c r="H34" i="16" a="1"/>
  <c r="H34" i="16" s="1"/>
  <c r="F34" i="16" a="1"/>
  <c r="F34" i="16" s="1"/>
  <c r="E34" i="16" a="1"/>
  <c r="E34" i="16" s="1"/>
  <c r="C34" i="16" a="1"/>
  <c r="C34" i="16" s="1"/>
  <c r="D34" i="16" a="1"/>
  <c r="D34" i="16" s="1"/>
  <c r="B34" i="16" a="1"/>
  <c r="B34" i="16" s="1"/>
  <c r="G42" i="16" a="1"/>
  <c r="G42" i="16" s="1"/>
  <c r="H42" i="16" a="1"/>
  <c r="H42" i="16" s="1"/>
  <c r="F42" i="16" a="1"/>
  <c r="F42" i="16" s="1"/>
  <c r="E42" i="16" a="1"/>
  <c r="E42" i="16" s="1"/>
  <c r="C42" i="16" a="1"/>
  <c r="C42" i="16" s="1"/>
  <c r="D42" i="16" a="1"/>
  <c r="D42" i="16" s="1"/>
  <c r="B42" i="16" a="1"/>
  <c r="B42" i="16" s="1"/>
  <c r="G50" i="16" a="1"/>
  <c r="G50" i="16" s="1"/>
  <c r="H50" i="16" a="1"/>
  <c r="H50" i="16" s="1"/>
  <c r="F50" i="16" a="1"/>
  <c r="F50" i="16" s="1"/>
  <c r="E50" i="16" a="1"/>
  <c r="E50" i="16" s="1"/>
  <c r="C50" i="16" a="1"/>
  <c r="C50" i="16" s="1"/>
  <c r="D50" i="16" a="1"/>
  <c r="D50" i="16" s="1"/>
  <c r="B50" i="16" a="1"/>
  <c r="B50" i="16" s="1"/>
  <c r="G58" i="16" a="1"/>
  <c r="G58" i="16" s="1"/>
  <c r="H58" i="16" a="1"/>
  <c r="H58" i="16" s="1"/>
  <c r="F58" i="16" a="1"/>
  <c r="F58" i="16" s="1"/>
  <c r="E58" i="16" a="1"/>
  <c r="E58" i="16" s="1"/>
  <c r="C58" i="16" a="1"/>
  <c r="C58" i="16" s="1"/>
  <c r="D58" i="16" a="1"/>
  <c r="D58" i="16" s="1"/>
  <c r="B58" i="16" a="1"/>
  <c r="B58" i="16" s="1"/>
  <c r="G66" i="16" a="1"/>
  <c r="G66" i="16" s="1"/>
  <c r="H66" i="16" a="1"/>
  <c r="H66" i="16" s="1"/>
  <c r="F66" i="16" a="1"/>
  <c r="F66" i="16" s="1"/>
  <c r="E66" i="16" a="1"/>
  <c r="E66" i="16" s="1"/>
  <c r="C66" i="16" a="1"/>
  <c r="C66" i="16" s="1"/>
  <c r="D66" i="16" a="1"/>
  <c r="D66" i="16" s="1"/>
  <c r="B66" i="16" a="1"/>
  <c r="B66" i="16" s="1"/>
  <c r="G74" i="16" a="1"/>
  <c r="G74" i="16" s="1"/>
  <c r="H74" i="16" a="1"/>
  <c r="H74" i="16" s="1"/>
  <c r="F74" i="16" a="1"/>
  <c r="F74" i="16" s="1"/>
  <c r="E74" i="16" a="1"/>
  <c r="E74" i="16" s="1"/>
  <c r="C74" i="16" a="1"/>
  <c r="C74" i="16" s="1"/>
  <c r="D74" i="16" a="1"/>
  <c r="D74" i="16" s="1"/>
  <c r="B74" i="16" a="1"/>
  <c r="B74" i="16" s="1"/>
  <c r="G82" i="16" a="1"/>
  <c r="G82" i="16" s="1"/>
  <c r="H82" i="16" a="1"/>
  <c r="H82" i="16" s="1"/>
  <c r="F82" i="16" a="1"/>
  <c r="F82" i="16" s="1"/>
  <c r="E82" i="16" a="1"/>
  <c r="E82" i="16" s="1"/>
  <c r="C82" i="16" a="1"/>
  <c r="C82" i="16" s="1"/>
  <c r="D82" i="16" a="1"/>
  <c r="D82" i="16" s="1"/>
  <c r="B82" i="16" a="1"/>
  <c r="B82" i="16" s="1"/>
  <c r="G90" i="16" a="1"/>
  <c r="G90" i="16" s="1"/>
  <c r="H90" i="16" a="1"/>
  <c r="H90" i="16" s="1"/>
  <c r="F90" i="16" a="1"/>
  <c r="F90" i="16" s="1"/>
  <c r="E90" i="16" a="1"/>
  <c r="E90" i="16" s="1"/>
  <c r="C90" i="16" a="1"/>
  <c r="C90" i="16" s="1"/>
  <c r="D90" i="16" a="1"/>
  <c r="D90" i="16" s="1"/>
  <c r="B90" i="16" a="1"/>
  <c r="B90" i="16" s="1"/>
  <c r="H98" i="16" a="1"/>
  <c r="H98" i="16" s="1"/>
  <c r="F98" i="16" a="1"/>
  <c r="F98" i="16" s="1"/>
  <c r="G98" i="16" a="1"/>
  <c r="G98" i="16" s="1"/>
  <c r="E98" i="16" a="1"/>
  <c r="E98" i="16" s="1"/>
  <c r="C98" i="16" a="1"/>
  <c r="C98" i="16" s="1"/>
  <c r="D98" i="16" a="1"/>
  <c r="D98" i="16" s="1"/>
  <c r="B98" i="16" a="1"/>
  <c r="B98" i="16" s="1"/>
  <c r="H15" i="16" a="1"/>
  <c r="H15" i="16" s="1"/>
  <c r="G15" i="16" a="1"/>
  <c r="G15" i="16" s="1"/>
  <c r="E15" i="16" a="1"/>
  <c r="E15" i="16" s="1"/>
  <c r="F15" i="16" a="1"/>
  <c r="F15" i="16" s="1"/>
  <c r="D15" i="16" a="1"/>
  <c r="D15" i="16" s="1"/>
  <c r="B15" i="16" a="1"/>
  <c r="B15" i="16" s="1"/>
  <c r="C15" i="16" a="1"/>
  <c r="C15" i="16" s="1"/>
  <c r="H23" i="16" a="1"/>
  <c r="H23" i="16" s="1"/>
  <c r="G23" i="16" a="1"/>
  <c r="G23" i="16" s="1"/>
  <c r="E23" i="16" a="1"/>
  <c r="E23" i="16" s="1"/>
  <c r="F23" i="16" a="1"/>
  <c r="F23" i="16" s="1"/>
  <c r="D23" i="16" a="1"/>
  <c r="D23" i="16" s="1"/>
  <c r="B23" i="16" a="1"/>
  <c r="B23" i="16" s="1"/>
  <c r="C23" i="16" a="1"/>
  <c r="C23" i="16" s="1"/>
  <c r="H31" i="16" a="1"/>
  <c r="H31" i="16" s="1"/>
  <c r="G31" i="16" a="1"/>
  <c r="G31" i="16" s="1"/>
  <c r="E31" i="16" a="1"/>
  <c r="E31" i="16" s="1"/>
  <c r="F31" i="16" a="1"/>
  <c r="F31" i="16" s="1"/>
  <c r="D31" i="16" a="1"/>
  <c r="D31" i="16" s="1"/>
  <c r="B31" i="16" a="1"/>
  <c r="B31" i="16" s="1"/>
  <c r="C31" i="16" a="1"/>
  <c r="C31" i="16" s="1"/>
  <c r="H39" i="16" a="1"/>
  <c r="H39" i="16" s="1"/>
  <c r="G39" i="16" a="1"/>
  <c r="G39" i="16" s="1"/>
  <c r="E39" i="16" a="1"/>
  <c r="E39" i="16" s="1"/>
  <c r="F39" i="16" a="1"/>
  <c r="F39" i="16" s="1"/>
  <c r="D39" i="16" a="1"/>
  <c r="D39" i="16" s="1"/>
  <c r="B39" i="16" a="1"/>
  <c r="B39" i="16" s="1"/>
  <c r="C39" i="16" a="1"/>
  <c r="C39" i="16" s="1"/>
  <c r="H47" i="16" a="1"/>
  <c r="H47" i="16" s="1"/>
  <c r="G47" i="16" a="1"/>
  <c r="G47" i="16" s="1"/>
  <c r="E47" i="16" a="1"/>
  <c r="E47" i="16" s="1"/>
  <c r="F47" i="16" a="1"/>
  <c r="F47" i="16" s="1"/>
  <c r="D47" i="16" a="1"/>
  <c r="D47" i="16" s="1"/>
  <c r="B47" i="16" a="1"/>
  <c r="B47" i="16" s="1"/>
  <c r="C47" i="16" a="1"/>
  <c r="C47" i="16" s="1"/>
  <c r="H55" i="16" a="1"/>
  <c r="H55" i="16" s="1"/>
  <c r="G55" i="16" a="1"/>
  <c r="G55" i="16" s="1"/>
  <c r="E55" i="16" a="1"/>
  <c r="E55" i="16" s="1"/>
  <c r="F55" i="16" a="1"/>
  <c r="F55" i="16" s="1"/>
  <c r="D55" i="16" a="1"/>
  <c r="D55" i="16" s="1"/>
  <c r="B55" i="16" a="1"/>
  <c r="B55" i="16" s="1"/>
  <c r="C55" i="16" a="1"/>
  <c r="C55" i="16" s="1"/>
  <c r="H63" i="16" a="1"/>
  <c r="H63" i="16" s="1"/>
  <c r="G63" i="16" a="1"/>
  <c r="G63" i="16" s="1"/>
  <c r="E63" i="16" a="1"/>
  <c r="E63" i="16" s="1"/>
  <c r="F63" i="16" a="1"/>
  <c r="F63" i="16" s="1"/>
  <c r="D63" i="16" a="1"/>
  <c r="D63" i="16" s="1"/>
  <c r="B63" i="16" a="1"/>
  <c r="B63" i="16" s="1"/>
  <c r="C63" i="16" a="1"/>
  <c r="C63" i="16" s="1"/>
  <c r="H71" i="16" a="1"/>
  <c r="H71" i="16" s="1"/>
  <c r="G71" i="16" a="1"/>
  <c r="G71" i="16" s="1"/>
  <c r="E71" i="16" a="1"/>
  <c r="E71" i="16" s="1"/>
  <c r="F71" i="16" a="1"/>
  <c r="F71" i="16" s="1"/>
  <c r="D71" i="16" a="1"/>
  <c r="D71" i="16" s="1"/>
  <c r="B71" i="16" a="1"/>
  <c r="B71" i="16" s="1"/>
  <c r="C71" i="16" a="1"/>
  <c r="C71" i="16" s="1"/>
  <c r="H79" i="16" a="1"/>
  <c r="H79" i="16" s="1"/>
  <c r="G79" i="16" a="1"/>
  <c r="G79" i="16" s="1"/>
  <c r="F79" i="16" a="1"/>
  <c r="F79" i="16" s="1"/>
  <c r="D79" i="16" a="1"/>
  <c r="D79" i="16" s="1"/>
  <c r="B79" i="16" a="1"/>
  <c r="B79" i="16" s="1"/>
  <c r="E79" i="16" a="1"/>
  <c r="E79" i="16" s="1"/>
  <c r="C79" i="16" a="1"/>
  <c r="C79" i="16" s="1"/>
  <c r="H87" i="16" a="1"/>
  <c r="H87" i="16" s="1"/>
  <c r="G87" i="16" a="1"/>
  <c r="G87" i="16" s="1"/>
  <c r="F87" i="16" a="1"/>
  <c r="F87" i="16" s="1"/>
  <c r="D87" i="16" a="1"/>
  <c r="D87" i="16" s="1"/>
  <c r="B87" i="16" a="1"/>
  <c r="B87" i="16" s="1"/>
  <c r="E87" i="16" a="1"/>
  <c r="E87" i="16" s="1"/>
  <c r="C87" i="16" a="1"/>
  <c r="C87" i="16" s="1"/>
  <c r="H95" i="16" a="1"/>
  <c r="H95" i="16" s="1"/>
  <c r="G95" i="16" a="1"/>
  <c r="G95" i="16" s="1"/>
  <c r="F95" i="16" a="1"/>
  <c r="F95" i="16" s="1"/>
  <c r="D95" i="16" a="1"/>
  <c r="D95" i="16" s="1"/>
  <c r="B95" i="16" a="1"/>
  <c r="B95" i="16" s="1"/>
  <c r="E95" i="16" a="1"/>
  <c r="E95" i="16" s="1"/>
  <c r="C95" i="16" a="1"/>
  <c r="C95" i="16" s="1"/>
  <c r="H12" i="16" a="1"/>
  <c r="H12" i="16" s="1"/>
  <c r="G12" i="16" a="1"/>
  <c r="G12" i="16" s="1"/>
  <c r="F12" i="16" a="1"/>
  <c r="F12" i="16" s="1"/>
  <c r="D12" i="16" a="1"/>
  <c r="D12" i="16" s="1"/>
  <c r="B12" i="16" a="1"/>
  <c r="B12" i="16" s="1"/>
  <c r="E12" i="16" a="1"/>
  <c r="E12" i="16" s="1"/>
  <c r="C12" i="16" a="1"/>
  <c r="C12" i="16" s="1"/>
  <c r="G20" i="16" a="1"/>
  <c r="G20" i="16" s="1"/>
  <c r="H20" i="16" a="1"/>
  <c r="H20" i="16" s="1"/>
  <c r="F20" i="16" a="1"/>
  <c r="F20" i="16" s="1"/>
  <c r="E20" i="16" a="1"/>
  <c r="E20" i="16" s="1"/>
  <c r="C20" i="16" a="1"/>
  <c r="C20" i="16" s="1"/>
  <c r="D20" i="16" a="1"/>
  <c r="D20" i="16" s="1"/>
  <c r="B20" i="16" a="1"/>
  <c r="B20" i="16" s="1"/>
  <c r="G28" i="16" a="1"/>
  <c r="G28" i="16" s="1"/>
  <c r="H28" i="16" a="1"/>
  <c r="H28" i="16" s="1"/>
  <c r="F28" i="16" a="1"/>
  <c r="F28" i="16" s="1"/>
  <c r="E28" i="16" a="1"/>
  <c r="E28" i="16" s="1"/>
  <c r="C28" i="16" a="1"/>
  <c r="C28" i="16" s="1"/>
  <c r="D28" i="16" a="1"/>
  <c r="D28" i="16" s="1"/>
  <c r="B28" i="16" a="1"/>
  <c r="B28" i="16" s="1"/>
  <c r="G36" i="16" a="1"/>
  <c r="G36" i="16" s="1"/>
  <c r="H36" i="16" a="1"/>
  <c r="H36" i="16" s="1"/>
  <c r="F36" i="16" a="1"/>
  <c r="F36" i="16" s="1"/>
  <c r="E36" i="16" a="1"/>
  <c r="E36" i="16" s="1"/>
  <c r="C36" i="16" a="1"/>
  <c r="C36" i="16" s="1"/>
  <c r="D36" i="16" a="1"/>
  <c r="D36" i="16" s="1"/>
  <c r="B36" i="16" a="1"/>
  <c r="B36" i="16" s="1"/>
  <c r="G44" i="16" a="1"/>
  <c r="G44" i="16" s="1"/>
  <c r="H44" i="16" a="1"/>
  <c r="H44" i="16" s="1"/>
  <c r="F44" i="16" a="1"/>
  <c r="F44" i="16" s="1"/>
  <c r="E44" i="16" a="1"/>
  <c r="E44" i="16" s="1"/>
  <c r="C44" i="16" a="1"/>
  <c r="C44" i="16" s="1"/>
  <c r="D44" i="16" a="1"/>
  <c r="D44" i="16" s="1"/>
  <c r="B44" i="16" a="1"/>
  <c r="B44" i="16" s="1"/>
  <c r="G52" i="16" a="1"/>
  <c r="G52" i="16" s="1"/>
  <c r="H52" i="16" a="1"/>
  <c r="H52" i="16" s="1"/>
  <c r="F52" i="16" a="1"/>
  <c r="F52" i="16" s="1"/>
  <c r="E52" i="16" a="1"/>
  <c r="E52" i="16" s="1"/>
  <c r="C52" i="16" a="1"/>
  <c r="C52" i="16" s="1"/>
  <c r="D52" i="16" a="1"/>
  <c r="D52" i="16" s="1"/>
  <c r="B52" i="16" a="1"/>
  <c r="B52" i="16" s="1"/>
  <c r="G60" i="16" a="1"/>
  <c r="G60" i="16" s="1"/>
  <c r="H60" i="16" a="1"/>
  <c r="H60" i="16" s="1"/>
  <c r="F60" i="16" a="1"/>
  <c r="F60" i="16" s="1"/>
  <c r="E60" i="16" a="1"/>
  <c r="E60" i="16" s="1"/>
  <c r="C60" i="16" a="1"/>
  <c r="C60" i="16" s="1"/>
  <c r="D60" i="16" a="1"/>
  <c r="D60" i="16" s="1"/>
  <c r="B60" i="16" a="1"/>
  <c r="B60" i="16" s="1"/>
  <c r="G68" i="16" a="1"/>
  <c r="G68" i="16" s="1"/>
  <c r="H68" i="16" a="1"/>
  <c r="H68" i="16" s="1"/>
  <c r="F68" i="16" a="1"/>
  <c r="F68" i="16" s="1"/>
  <c r="E68" i="16" a="1"/>
  <c r="E68" i="16" s="1"/>
  <c r="C68" i="16" a="1"/>
  <c r="C68" i="16" s="1"/>
  <c r="D68" i="16" a="1"/>
  <c r="D68" i="16" s="1"/>
  <c r="B68" i="16" a="1"/>
  <c r="B68" i="16" s="1"/>
  <c r="G76" i="16" a="1"/>
  <c r="G76" i="16" s="1"/>
  <c r="H76" i="16" a="1"/>
  <c r="H76" i="16" s="1"/>
  <c r="F76" i="16" a="1"/>
  <c r="F76" i="16" s="1"/>
  <c r="E76" i="16" a="1"/>
  <c r="E76" i="16" s="1"/>
  <c r="C76" i="16" a="1"/>
  <c r="C76" i="16" s="1"/>
  <c r="D76" i="16" a="1"/>
  <c r="D76" i="16" s="1"/>
  <c r="B76" i="16" a="1"/>
  <c r="B76" i="16" s="1"/>
  <c r="G84" i="16" a="1"/>
  <c r="G84" i="16" s="1"/>
  <c r="H84" i="16" a="1"/>
  <c r="H84" i="16" s="1"/>
  <c r="F84" i="16" a="1"/>
  <c r="F84" i="16" s="1"/>
  <c r="E84" i="16" a="1"/>
  <c r="E84" i="16" s="1"/>
  <c r="C84" i="16" a="1"/>
  <c r="C84" i="16" s="1"/>
  <c r="D84" i="16" a="1"/>
  <c r="D84" i="16" s="1"/>
  <c r="B84" i="16" a="1"/>
  <c r="B84" i="16" s="1"/>
  <c r="H92" i="16" a="1"/>
  <c r="H92" i="16" s="1"/>
  <c r="F92" i="16" a="1"/>
  <c r="F92" i="16" s="1"/>
  <c r="G92" i="16" a="1"/>
  <c r="G92" i="16" s="1"/>
  <c r="E92" i="16" a="1"/>
  <c r="E92" i="16" s="1"/>
  <c r="C92" i="16" a="1"/>
  <c r="C92" i="16" s="1"/>
  <c r="D92" i="16" a="1"/>
  <c r="D92" i="16" s="1"/>
  <c r="B92" i="16" a="1"/>
  <c r="B92" i="16" s="1"/>
  <c r="H100" i="16" a="1"/>
  <c r="H100" i="16" s="1"/>
  <c r="F100" i="16" a="1"/>
  <c r="F100" i="16" s="1"/>
  <c r="G100" i="16" a="1"/>
  <c r="G100" i="16" s="1"/>
  <c r="E100" i="16" a="1"/>
  <c r="E100" i="16" s="1"/>
  <c r="C100" i="16" a="1"/>
  <c r="C100" i="16" s="1"/>
  <c r="B100" i="16" a="1"/>
  <c r="B100" i="16" s="1"/>
  <c r="D100" i="16" a="1"/>
  <c r="D100" i="16" s="1"/>
  <c r="H17" i="16" a="1"/>
  <c r="H17" i="16" s="1"/>
  <c r="G17" i="16" a="1"/>
  <c r="G17" i="16" s="1"/>
  <c r="E17" i="16" a="1"/>
  <c r="E17" i="16" s="1"/>
  <c r="F17" i="16" a="1"/>
  <c r="F17" i="16" s="1"/>
  <c r="D17" i="16" a="1"/>
  <c r="D17" i="16" s="1"/>
  <c r="B17" i="16" a="1"/>
  <c r="B17" i="16" s="1"/>
  <c r="C17" i="16" a="1"/>
  <c r="C17" i="16" s="1"/>
  <c r="H33" i="16" a="1"/>
  <c r="H33" i="16" s="1"/>
  <c r="G33" i="16" a="1"/>
  <c r="G33" i="16" s="1"/>
  <c r="E33" i="16" a="1"/>
  <c r="E33" i="16" s="1"/>
  <c r="F33" i="16" a="1"/>
  <c r="F33" i="16" s="1"/>
  <c r="D33" i="16" a="1"/>
  <c r="D33" i="16" s="1"/>
  <c r="B33" i="16" a="1"/>
  <c r="B33" i="16" s="1"/>
  <c r="C33" i="16" a="1"/>
  <c r="C33" i="16" s="1"/>
  <c r="H49" i="16" a="1"/>
  <c r="H49" i="16" s="1"/>
  <c r="G49" i="16" a="1"/>
  <c r="G49" i="16" s="1"/>
  <c r="E49" i="16" a="1"/>
  <c r="E49" i="16" s="1"/>
  <c r="F49" i="16" a="1"/>
  <c r="F49" i="16" s="1"/>
  <c r="D49" i="16" a="1"/>
  <c r="D49" i="16" s="1"/>
  <c r="B49" i="16" a="1"/>
  <c r="B49" i="16" s="1"/>
  <c r="C49" i="16" a="1"/>
  <c r="C49" i="16" s="1"/>
  <c r="H65" i="16" a="1"/>
  <c r="H65" i="16" s="1"/>
  <c r="G65" i="16" a="1"/>
  <c r="G65" i="16" s="1"/>
  <c r="E65" i="16" a="1"/>
  <c r="E65" i="16" s="1"/>
  <c r="F65" i="16" a="1"/>
  <c r="F65" i="16" s="1"/>
  <c r="D65" i="16" a="1"/>
  <c r="D65" i="16" s="1"/>
  <c r="B65" i="16" a="1"/>
  <c r="B65" i="16" s="1"/>
  <c r="C65" i="16" a="1"/>
  <c r="C65" i="16" s="1"/>
  <c r="H81" i="16" a="1"/>
  <c r="H81" i="16" s="1"/>
  <c r="G81" i="16" a="1"/>
  <c r="G81" i="16" s="1"/>
  <c r="F81" i="16" a="1"/>
  <c r="F81" i="16" s="1"/>
  <c r="D81" i="16" a="1"/>
  <c r="D81" i="16" s="1"/>
  <c r="B81" i="16" a="1"/>
  <c r="B81" i="16" s="1"/>
  <c r="E81" i="16" a="1"/>
  <c r="E81" i="16" s="1"/>
  <c r="C81" i="16" a="1"/>
  <c r="C81" i="16" s="1"/>
  <c r="H97" i="16" a="1"/>
  <c r="H97" i="16" s="1"/>
  <c r="G97" i="16" a="1"/>
  <c r="G97" i="16" s="1"/>
  <c r="F97" i="16" a="1"/>
  <c r="F97" i="16" s="1"/>
  <c r="D97" i="16" a="1"/>
  <c r="D97" i="16" s="1"/>
  <c r="B97" i="16" a="1"/>
  <c r="B97" i="16" s="1"/>
  <c r="E97" i="16" a="1"/>
  <c r="E97" i="16" s="1"/>
  <c r="C97" i="16" a="1"/>
  <c r="C97" i="16" s="1"/>
  <c r="G22" i="16" a="1"/>
  <c r="G22" i="16" s="1"/>
  <c r="H22" i="16" a="1"/>
  <c r="H22" i="16" s="1"/>
  <c r="F22" i="16" a="1"/>
  <c r="F22" i="16" s="1"/>
  <c r="E22" i="16" a="1"/>
  <c r="E22" i="16" s="1"/>
  <c r="C22" i="16" a="1"/>
  <c r="C22" i="16" s="1"/>
  <c r="D22" i="16" a="1"/>
  <c r="D22" i="16" s="1"/>
  <c r="B22" i="16" a="1"/>
  <c r="B22" i="16" s="1"/>
  <c r="G38" i="16" a="1"/>
  <c r="G38" i="16" s="1"/>
  <c r="H38" i="16" a="1"/>
  <c r="H38" i="16" s="1"/>
  <c r="F38" i="16" a="1"/>
  <c r="F38" i="16" s="1"/>
  <c r="E38" i="16" a="1"/>
  <c r="E38" i="16" s="1"/>
  <c r="C38" i="16" a="1"/>
  <c r="C38" i="16" s="1"/>
  <c r="D38" i="16" a="1"/>
  <c r="D38" i="16" s="1"/>
  <c r="B38" i="16" a="1"/>
  <c r="B38" i="16" s="1"/>
  <c r="G54" i="16" a="1"/>
  <c r="G54" i="16" s="1"/>
  <c r="H54" i="16" a="1"/>
  <c r="H54" i="16" s="1"/>
  <c r="F54" i="16" a="1"/>
  <c r="F54" i="16" s="1"/>
  <c r="E54" i="16" a="1"/>
  <c r="E54" i="16" s="1"/>
  <c r="C54" i="16" a="1"/>
  <c r="C54" i="16" s="1"/>
  <c r="D54" i="16" a="1"/>
  <c r="D54" i="16" s="1"/>
  <c r="B54" i="16" a="1"/>
  <c r="B54" i="16" s="1"/>
  <c r="G78" i="16" a="1"/>
  <c r="G78" i="16" s="1"/>
  <c r="H78" i="16" a="1"/>
  <c r="H78" i="16" s="1"/>
  <c r="F78" i="16" a="1"/>
  <c r="F78" i="16" s="1"/>
  <c r="E78" i="16" a="1"/>
  <c r="E78" i="16" s="1"/>
  <c r="C78" i="16" a="1"/>
  <c r="C78" i="16" s="1"/>
  <c r="D78" i="16" a="1"/>
  <c r="D78" i="16" s="1"/>
  <c r="B78" i="16" a="1"/>
  <c r="B78" i="16" s="1"/>
  <c r="H94" i="16" a="1"/>
  <c r="H94" i="16" s="1"/>
  <c r="F94" i="16" a="1"/>
  <c r="F94" i="16" s="1"/>
  <c r="G94" i="16" a="1"/>
  <c r="G94" i="16" s="1"/>
  <c r="E94" i="16" a="1"/>
  <c r="E94" i="16" s="1"/>
  <c r="C94" i="16" a="1"/>
  <c r="C94" i="16" s="1"/>
  <c r="B94" i="16" a="1"/>
  <c r="B94" i="16" s="1"/>
  <c r="D94" i="16" a="1"/>
  <c r="D94" i="16" s="1"/>
  <c r="C14" i="19"/>
  <c r="D13" i="19"/>
  <c r="E13" i="19"/>
  <c r="F14" i="18"/>
  <c r="D13" i="18"/>
  <c r="E13" i="18"/>
  <c r="I8" i="26"/>
  <c r="K8" i="26" s="1"/>
  <c r="I63" i="26" l="1"/>
  <c r="K63" i="26" s="1"/>
  <c r="J85" i="10"/>
  <c r="Y61" i="10"/>
  <c r="R63" i="26" s="1"/>
  <c r="T63" i="26" s="1"/>
  <c r="J9" i="10"/>
  <c r="Y9" i="10" s="1"/>
  <c r="R11" i="26" s="1"/>
  <c r="T11" i="26" s="1"/>
  <c r="Y5" i="10"/>
  <c r="R7" i="26" s="1"/>
  <c r="T7" i="26" s="1"/>
  <c r="P89" i="12"/>
  <c r="Y89" i="10"/>
  <c r="R91" i="26" s="1"/>
  <c r="T91" i="26" s="1"/>
  <c r="F21" i="28"/>
  <c r="Y7" i="10"/>
  <c r="R9" i="26" s="1"/>
  <c r="T9" i="26" s="1"/>
  <c r="J25" i="10"/>
  <c r="Y25" i="10" s="1"/>
  <c r="R27" i="26" s="1"/>
  <c r="T27" i="26" s="1"/>
  <c r="P26" i="12"/>
  <c r="I28" i="26"/>
  <c r="K28" i="26" s="1"/>
  <c r="J67" i="10"/>
  <c r="Y67" i="10" s="1"/>
  <c r="R69" i="26" s="1"/>
  <c r="T69" i="26" s="1"/>
  <c r="P20" i="12"/>
  <c r="I22" i="26"/>
  <c r="K22" i="26" s="1"/>
  <c r="I6" i="26"/>
  <c r="K6" i="26" s="1"/>
  <c r="P4" i="12"/>
  <c r="J77" i="10"/>
  <c r="Y77" i="10" s="1"/>
  <c r="R79" i="26" s="1"/>
  <c r="T79" i="26" s="1"/>
  <c r="I44" i="26"/>
  <c r="K44" i="26" s="1"/>
  <c r="P42" i="12"/>
  <c r="J15" i="10"/>
  <c r="Y15" i="10" s="1"/>
  <c r="R17" i="26" s="1"/>
  <c r="T17" i="26" s="1"/>
  <c r="P12" i="12"/>
  <c r="I14" i="26"/>
  <c r="K14" i="26" s="1"/>
  <c r="J31" i="10"/>
  <c r="Y31" i="10" s="1"/>
  <c r="R33" i="26" s="1"/>
  <c r="T33" i="26" s="1"/>
  <c r="P60" i="12"/>
  <c r="I62" i="26"/>
  <c r="K62" i="26" s="1"/>
  <c r="J33" i="10"/>
  <c r="Y33" i="10" s="1"/>
  <c r="R35" i="26" s="1"/>
  <c r="T35" i="26" s="1"/>
  <c r="I60" i="26"/>
  <c r="K60" i="26" s="1"/>
  <c r="P58" i="12"/>
  <c r="P34" i="12"/>
  <c r="I36" i="26"/>
  <c r="K36" i="26" s="1"/>
  <c r="P38" i="12"/>
  <c r="I40" i="26"/>
  <c r="K40" i="26" s="1"/>
  <c r="J39" i="10"/>
  <c r="Y39" i="10" s="1"/>
  <c r="R41" i="26" s="1"/>
  <c r="T41" i="26" s="1"/>
  <c r="P52" i="12"/>
  <c r="I54" i="26"/>
  <c r="K54" i="26" s="1"/>
  <c r="I91" i="26"/>
  <c r="K91" i="26" s="1"/>
  <c r="I7" i="26"/>
  <c r="K7" i="26" s="1"/>
  <c r="P5" i="12"/>
  <c r="P53" i="12"/>
  <c r="I55" i="26"/>
  <c r="K55" i="26" s="1"/>
  <c r="I72" i="26"/>
  <c r="K72" i="26" s="1"/>
  <c r="P24" i="12"/>
  <c r="I26" i="26"/>
  <c r="K26" i="26" s="1"/>
  <c r="P16" i="12"/>
  <c r="I18" i="26"/>
  <c r="K18" i="26" s="1"/>
  <c r="P8" i="12"/>
  <c r="I10" i="26"/>
  <c r="K10" i="26" s="1"/>
  <c r="P22" i="12"/>
  <c r="I24" i="26"/>
  <c r="K24" i="26" s="1"/>
  <c r="P25" i="12"/>
  <c r="I27" i="26"/>
  <c r="K27" i="26" s="1"/>
  <c r="P73" i="12"/>
  <c r="I75" i="26"/>
  <c r="K75" i="26" s="1"/>
  <c r="P71" i="12"/>
  <c r="I73" i="26"/>
  <c r="K73" i="26" s="1"/>
  <c r="P87" i="12"/>
  <c r="I89" i="26"/>
  <c r="K89" i="26" s="1"/>
  <c r="P75" i="12"/>
  <c r="I77" i="26"/>
  <c r="K77" i="26" s="1"/>
  <c r="P69" i="12"/>
  <c r="I71" i="26"/>
  <c r="K71" i="26" s="1"/>
  <c r="P51" i="12"/>
  <c r="I53" i="26"/>
  <c r="K53" i="26" s="1"/>
  <c r="P47" i="12"/>
  <c r="I49" i="26"/>
  <c r="K49" i="26" s="1"/>
  <c r="P57" i="12"/>
  <c r="I59" i="26"/>
  <c r="K59" i="26" s="1"/>
  <c r="P43" i="12"/>
  <c r="I45" i="26"/>
  <c r="K45" i="26" s="1"/>
  <c r="P13" i="12"/>
  <c r="I15" i="26"/>
  <c r="K15" i="26" s="1"/>
  <c r="P55" i="12"/>
  <c r="I57" i="26"/>
  <c r="K57" i="26" s="1"/>
  <c r="P27" i="12"/>
  <c r="I29" i="26"/>
  <c r="K29" i="26" s="1"/>
  <c r="P23" i="12"/>
  <c r="I25" i="26"/>
  <c r="K25" i="26" s="1"/>
  <c r="P81" i="12"/>
  <c r="I83" i="26"/>
  <c r="K83" i="26" s="1"/>
  <c r="P7" i="12"/>
  <c r="I9" i="26"/>
  <c r="K9" i="26" s="1"/>
  <c r="P17" i="12"/>
  <c r="I19" i="26"/>
  <c r="K19" i="26" s="1"/>
  <c r="P77" i="12"/>
  <c r="I79" i="26"/>
  <c r="K79" i="26" s="1"/>
  <c r="P39" i="12"/>
  <c r="I41" i="26"/>
  <c r="K41" i="26" s="1"/>
  <c r="E1" i="26"/>
  <c r="P14" i="12"/>
  <c r="I16" i="26"/>
  <c r="K16" i="26" s="1"/>
  <c r="P15" i="12"/>
  <c r="I17" i="26"/>
  <c r="K17" i="26" s="1"/>
  <c r="P33" i="12"/>
  <c r="I35" i="26"/>
  <c r="K35" i="26" s="1"/>
  <c r="P79" i="12"/>
  <c r="I81" i="26"/>
  <c r="K81" i="26" s="1"/>
  <c r="P41" i="12"/>
  <c r="I43" i="26"/>
  <c r="K43" i="26" s="1"/>
  <c r="P37" i="12"/>
  <c r="I39" i="26"/>
  <c r="K39" i="26" s="1"/>
  <c r="P49" i="12"/>
  <c r="I51" i="26"/>
  <c r="K51" i="26" s="1"/>
  <c r="P3" i="12"/>
  <c r="I5" i="26"/>
  <c r="K5" i="26" s="1"/>
  <c r="P63" i="12"/>
  <c r="I65" i="26"/>
  <c r="K65" i="26" s="1"/>
  <c r="P35" i="12"/>
  <c r="I37" i="26"/>
  <c r="K37" i="26" s="1"/>
  <c r="P21" i="12"/>
  <c r="I23" i="26"/>
  <c r="K23" i="26" s="1"/>
  <c r="P45" i="12"/>
  <c r="I47" i="26"/>
  <c r="K47" i="26" s="1"/>
  <c r="P29" i="12"/>
  <c r="I31" i="26"/>
  <c r="K31" i="26" s="1"/>
  <c r="G5" i="16"/>
  <c r="P6" i="12"/>
  <c r="E14" i="19"/>
  <c r="C15" i="19"/>
  <c r="D14" i="19"/>
  <c r="F15" i="18"/>
  <c r="D14" i="18"/>
  <c r="E14" i="18"/>
  <c r="I11" i="26" l="1"/>
  <c r="K11" i="26" s="1"/>
  <c r="P9" i="12"/>
  <c r="Y85" i="10"/>
  <c r="R87" i="26" s="1"/>
  <c r="T87" i="26" s="1"/>
  <c r="T1" i="26" s="1"/>
  <c r="I87" i="26"/>
  <c r="K87" i="26" s="1"/>
  <c r="P85" i="12"/>
  <c r="P64" i="12"/>
  <c r="I66" i="26"/>
  <c r="K66" i="26" s="1"/>
  <c r="P62" i="12"/>
  <c r="I64" i="26"/>
  <c r="K64" i="26" s="1"/>
  <c r="P56" i="12"/>
  <c r="I58" i="26"/>
  <c r="K58" i="26" s="1"/>
  <c r="I48" i="26"/>
  <c r="K48" i="26" s="1"/>
  <c r="P46" i="12"/>
  <c r="P30" i="12"/>
  <c r="I32" i="26"/>
  <c r="K32" i="26" s="1"/>
  <c r="P67" i="12"/>
  <c r="I69" i="26"/>
  <c r="K69" i="26" s="1"/>
  <c r="P31" i="12"/>
  <c r="I33" i="26"/>
  <c r="K33" i="26" s="1"/>
  <c r="C16" i="19"/>
  <c r="D15" i="19"/>
  <c r="E15" i="19"/>
  <c r="F16" i="18"/>
  <c r="D15" i="18"/>
  <c r="E15" i="18"/>
  <c r="K1" i="26" l="1"/>
  <c r="D16" i="19"/>
  <c r="C17" i="19"/>
  <c r="E16" i="19"/>
  <c r="F17" i="18"/>
  <c r="D16" i="18"/>
  <c r="E16" i="18"/>
  <c r="C18" i="19" l="1"/>
  <c r="D17" i="19"/>
  <c r="E17" i="19"/>
  <c r="F18" i="18"/>
  <c r="D17" i="18"/>
  <c r="E17" i="18"/>
  <c r="C19" i="19" l="1"/>
  <c r="D18" i="19"/>
  <c r="E18" i="19"/>
  <c r="F19" i="18"/>
  <c r="D18" i="18"/>
  <c r="E18" i="18"/>
  <c r="C20" i="19" l="1"/>
  <c r="D19" i="19"/>
  <c r="E19" i="19"/>
  <c r="F20" i="18"/>
  <c r="D19" i="18"/>
  <c r="E19" i="18"/>
  <c r="C21" i="19" l="1"/>
  <c r="D20" i="19"/>
  <c r="E20" i="19"/>
  <c r="F21" i="18"/>
  <c r="D20" i="18"/>
  <c r="E20" i="18"/>
  <c r="C22" i="19" l="1"/>
  <c r="D21" i="19"/>
  <c r="E21" i="19"/>
  <c r="F22" i="18"/>
  <c r="D21" i="18"/>
  <c r="E21" i="18"/>
  <c r="C23" i="19" l="1"/>
  <c r="D22" i="19"/>
  <c r="E22" i="19"/>
  <c r="F23" i="18"/>
  <c r="D22" i="18"/>
  <c r="E22" i="18"/>
  <c r="C24" i="19" l="1"/>
  <c r="D23" i="19"/>
  <c r="E23" i="19"/>
  <c r="F24" i="18"/>
  <c r="D23" i="18"/>
  <c r="E23" i="18"/>
  <c r="C25" i="19" l="1"/>
  <c r="D24" i="19"/>
  <c r="E24" i="19"/>
  <c r="F25" i="18"/>
  <c r="D24" i="18"/>
  <c r="E24" i="18"/>
  <c r="C26" i="19" l="1"/>
  <c r="D25" i="19"/>
  <c r="E25" i="19"/>
  <c r="F26" i="18"/>
  <c r="D25" i="18"/>
  <c r="E25" i="18"/>
  <c r="D26" i="19" l="1"/>
  <c r="E26" i="19"/>
  <c r="F27" i="18"/>
  <c r="D26" i="18"/>
  <c r="E26" i="18"/>
  <c r="F28" i="18" l="1"/>
  <c r="D27" i="18"/>
  <c r="E27" i="18"/>
  <c r="F29" i="18" l="1"/>
  <c r="D28" i="18"/>
  <c r="E28" i="18"/>
  <c r="F30" i="18" l="1"/>
  <c r="D29" i="18"/>
  <c r="E29" i="18"/>
  <c r="F31" i="18" l="1"/>
  <c r="D30" i="18"/>
  <c r="E30" i="18"/>
  <c r="F32" i="18" l="1"/>
  <c r="D31" i="18"/>
  <c r="E31" i="18"/>
  <c r="F33" i="18" l="1"/>
  <c r="D32" i="18"/>
  <c r="E32" i="18"/>
  <c r="F34" i="18" l="1"/>
  <c r="D33" i="18"/>
  <c r="E33" i="18"/>
  <c r="F35" i="18" l="1"/>
  <c r="D34" i="18"/>
  <c r="E34" i="18"/>
  <c r="F36" i="18" l="1"/>
  <c r="D35" i="18"/>
  <c r="E35" i="18"/>
  <c r="F37" i="18" l="1"/>
  <c r="D36" i="18"/>
  <c r="E36" i="18"/>
  <c r="F38" i="18" l="1"/>
  <c r="D37" i="18"/>
  <c r="E37" i="18"/>
  <c r="F39" i="18" l="1"/>
  <c r="D38" i="18"/>
  <c r="E38" i="18"/>
  <c r="F40" i="18" l="1"/>
  <c r="D39" i="18"/>
  <c r="E39" i="18"/>
  <c r="F41" i="18" l="1"/>
  <c r="D40" i="18"/>
  <c r="E40" i="18"/>
  <c r="F42" i="18" l="1"/>
  <c r="D41" i="18"/>
  <c r="E41" i="18"/>
  <c r="F43" i="18" l="1"/>
  <c r="D42" i="18"/>
  <c r="E42" i="18"/>
  <c r="F44" i="18" l="1"/>
  <c r="D43" i="18"/>
  <c r="E43" i="18"/>
  <c r="F45" i="18" l="1"/>
  <c r="D44" i="18"/>
  <c r="E44" i="18"/>
  <c r="F46" i="18" l="1"/>
  <c r="D45" i="18"/>
  <c r="E45" i="18"/>
  <c r="F47" i="18" l="1"/>
  <c r="D46" i="18"/>
  <c r="E46" i="18"/>
  <c r="F48" i="18" l="1"/>
  <c r="D47" i="18"/>
  <c r="E47" i="18"/>
  <c r="F49" i="18" l="1"/>
  <c r="D48" i="18"/>
  <c r="E48" i="18"/>
  <c r="F50" i="18" l="1"/>
  <c r="D49" i="18"/>
  <c r="E49" i="18"/>
  <c r="F51" i="18" l="1"/>
  <c r="D50" i="18"/>
  <c r="E50" i="18"/>
  <c r="F52" i="18" l="1"/>
  <c r="D51" i="18"/>
  <c r="E51" i="18"/>
  <c r="F53" i="18" l="1"/>
  <c r="D52" i="18"/>
  <c r="E52" i="18"/>
  <c r="F54" i="18" l="1"/>
  <c r="D53" i="18"/>
  <c r="E53" i="18"/>
  <c r="F55" i="18" l="1"/>
  <c r="D54" i="18"/>
  <c r="E54" i="18"/>
  <c r="F56" i="18" l="1"/>
  <c r="D55" i="18"/>
  <c r="E55" i="18"/>
  <c r="F57" i="18" l="1"/>
  <c r="D56" i="18"/>
  <c r="E56" i="18"/>
  <c r="F58" i="18" l="1"/>
  <c r="D57" i="18"/>
  <c r="E57" i="18"/>
  <c r="F59" i="18" l="1"/>
  <c r="D58" i="18"/>
  <c r="E58" i="18"/>
  <c r="F60" i="18" l="1"/>
  <c r="D59" i="18"/>
  <c r="E59" i="18"/>
  <c r="F61" i="18" l="1"/>
  <c r="D60" i="18"/>
  <c r="E60" i="18"/>
  <c r="F62" i="18" l="1"/>
  <c r="D61" i="18"/>
  <c r="E61" i="18"/>
  <c r="F63" i="18" l="1"/>
  <c r="D62" i="18"/>
  <c r="E62" i="18"/>
  <c r="F64" i="18" l="1"/>
  <c r="D63" i="18"/>
  <c r="E63" i="18"/>
  <c r="F65" i="18" l="1"/>
  <c r="D64" i="18"/>
  <c r="E64" i="18"/>
  <c r="F66" i="18" l="1"/>
  <c r="D65" i="18"/>
  <c r="E65" i="18"/>
  <c r="F67" i="18" l="1"/>
  <c r="D66" i="18"/>
  <c r="E66" i="18"/>
  <c r="F68" i="18" l="1"/>
  <c r="D67" i="18"/>
  <c r="E67" i="18"/>
  <c r="F69" i="18" l="1"/>
  <c r="D68" i="18"/>
  <c r="E68" i="18"/>
  <c r="F70" i="18" l="1"/>
  <c r="D69" i="18"/>
  <c r="E69" i="18"/>
  <c r="F71" i="18" l="1"/>
  <c r="D70" i="18"/>
  <c r="E70" i="18"/>
  <c r="F72" i="18" l="1"/>
  <c r="D71" i="18"/>
  <c r="E71" i="18"/>
  <c r="F73" i="18" l="1"/>
  <c r="D72" i="18"/>
  <c r="E72" i="18"/>
  <c r="F74" i="18" l="1"/>
  <c r="D73" i="18"/>
  <c r="E73" i="18"/>
  <c r="F75" i="18" l="1"/>
  <c r="D74" i="18"/>
  <c r="E74" i="18"/>
  <c r="F76" i="18" l="1"/>
  <c r="D75" i="18"/>
  <c r="E75" i="18"/>
  <c r="F77" i="18" l="1"/>
  <c r="D76" i="18"/>
  <c r="E76" i="18"/>
  <c r="F78" i="18" l="1"/>
  <c r="D77" i="18"/>
  <c r="E77" i="18"/>
  <c r="F79" i="18" l="1"/>
  <c r="D78" i="18"/>
  <c r="E78" i="18"/>
  <c r="F80" i="18" l="1"/>
  <c r="D79" i="18"/>
  <c r="E79" i="18"/>
  <c r="F81" i="18" l="1"/>
  <c r="D80" i="18"/>
  <c r="E80" i="18"/>
  <c r="F82" i="18" l="1"/>
  <c r="D81" i="18"/>
  <c r="E81" i="18"/>
  <c r="B6" i="11" l="1"/>
  <c r="F83" i="18"/>
  <c r="D82" i="18"/>
  <c r="E82" i="18"/>
  <c r="K11" i="12" l="1"/>
  <c r="V11" i="12" s="1"/>
  <c r="AH13" i="11" a="1"/>
  <c r="AH13" i="11" s="1"/>
  <c r="AH31" i="11" a="1"/>
  <c r="AH31" i="11" s="1"/>
  <c r="Y107" i="11"/>
  <c r="AA107" i="11" s="1" a="1"/>
  <c r="AA107" i="11" s="1"/>
  <c r="Y110" i="11"/>
  <c r="AA110" i="11" s="1" a="1"/>
  <c r="AA110" i="11" s="1"/>
  <c r="Y4" i="11"/>
  <c r="AA4" i="11" s="1" a="1"/>
  <c r="AA4" i="11" s="1"/>
  <c r="AH6" i="11" a="1"/>
  <c r="AH6" i="11" s="1"/>
  <c r="AI6" i="11" s="1"/>
  <c r="AH24" i="11" a="1"/>
  <c r="AH24" i="11" s="1"/>
  <c r="Y79" i="11"/>
  <c r="AA79" i="11" s="1" a="1"/>
  <c r="AA79" i="11" s="1"/>
  <c r="Y54" i="11"/>
  <c r="AA54" i="11" s="1" a="1"/>
  <c r="AA54" i="11" s="1"/>
  <c r="Y93" i="11"/>
  <c r="AA93" i="11" s="1" a="1"/>
  <c r="AA93" i="11" s="1"/>
  <c r="Y74" i="11"/>
  <c r="AA74" i="11" s="1" a="1"/>
  <c r="AA74" i="11" s="1"/>
  <c r="AH21" i="11" a="1"/>
  <c r="AH21" i="11" s="1"/>
  <c r="AH39" i="11" a="1"/>
  <c r="AH39" i="11" s="1"/>
  <c r="Y115" i="11"/>
  <c r="AA115" i="11" s="1" a="1"/>
  <c r="AA115" i="11" s="1"/>
  <c r="Y123" i="11"/>
  <c r="AA123" i="11" s="1" a="1"/>
  <c r="AA123" i="11" s="1"/>
  <c r="Y20" i="11"/>
  <c r="AA20" i="11" s="1" a="1"/>
  <c r="AA20" i="11" s="1"/>
  <c r="AH14" i="11" a="1"/>
  <c r="AH14" i="11" s="1"/>
  <c r="AH32" i="11" a="1"/>
  <c r="AH32" i="11" s="1"/>
  <c r="AH29" i="11" a="1"/>
  <c r="AH29" i="11" s="1"/>
  <c r="AH47" i="11" a="1"/>
  <c r="AH47" i="11" s="1"/>
  <c r="Y8" i="11"/>
  <c r="AA8" i="11" s="1" a="1"/>
  <c r="AA8" i="11" s="1"/>
  <c r="Y9" i="11"/>
  <c r="AA9" i="11" s="1" a="1"/>
  <c r="AA9" i="11" s="1"/>
  <c r="Y36" i="11"/>
  <c r="AA36" i="11" s="1" a="1"/>
  <c r="AA36" i="11" s="1"/>
  <c r="AH22" i="11" a="1"/>
  <c r="AH22" i="11" s="1"/>
  <c r="AH40" i="11" a="1"/>
  <c r="AH40" i="11" s="1"/>
  <c r="Y95" i="11"/>
  <c r="AA95" i="11" s="1" a="1"/>
  <c r="AA95" i="11" s="1"/>
  <c r="Y86" i="11"/>
  <c r="AA86" i="11" s="1" a="1"/>
  <c r="AA86" i="11" s="1"/>
  <c r="Y109" i="11"/>
  <c r="AA109" i="11" s="1" a="1"/>
  <c r="AA109" i="11" s="1"/>
  <c r="Y106" i="11"/>
  <c r="AA106" i="11" s="1" a="1"/>
  <c r="AA106" i="11" s="1"/>
  <c r="AH12" i="11" a="1"/>
  <c r="AH12" i="11" s="1"/>
  <c r="Y119" i="11"/>
  <c r="AA119" i="11" s="1" a="1"/>
  <c r="AA119" i="11" s="1"/>
  <c r="Y5" i="11"/>
  <c r="AA5" i="11" s="1" a="1"/>
  <c r="AA5" i="11" s="1"/>
  <c r="Y28" i="11"/>
  <c r="AA28" i="11" s="1" a="1"/>
  <c r="AA28" i="11" s="1"/>
  <c r="AH51" i="11" a="1"/>
  <c r="AH51" i="11" s="1"/>
  <c r="AH30" i="11" a="1"/>
  <c r="AH30" i="11" s="1"/>
  <c r="AH20" i="11" a="1"/>
  <c r="AH20" i="11" s="1"/>
  <c r="Y43" i="11"/>
  <c r="AA43" i="11" s="1" a="1"/>
  <c r="AA43" i="11" s="1"/>
  <c r="Y104" i="11"/>
  <c r="AA104" i="11" s="1" a="1"/>
  <c r="AA104" i="11" s="1"/>
  <c r="Y57" i="11"/>
  <c r="AA57" i="11" s="1" a="1"/>
  <c r="AA57" i="11" s="1"/>
  <c r="Y2" i="11"/>
  <c r="AA2" i="11" s="1"/>
  <c r="AH17" i="11" a="1"/>
  <c r="AH17" i="11" s="1"/>
  <c r="Y15" i="11"/>
  <c r="AA15" i="11" s="1" a="1"/>
  <c r="AA15" i="11" s="1"/>
  <c r="Y48" i="11"/>
  <c r="AA48" i="11" s="1" a="1"/>
  <c r="AA48" i="11" s="1"/>
  <c r="Y29" i="11"/>
  <c r="AA29" i="11" s="1" a="1"/>
  <c r="AA29" i="11" s="1"/>
  <c r="Y76" i="11"/>
  <c r="AA76" i="11" s="1" a="1"/>
  <c r="AA76" i="11" s="1"/>
  <c r="AH10" i="11" a="1"/>
  <c r="AH10" i="11" s="1"/>
  <c r="AH28" i="11" a="1"/>
  <c r="AH28" i="11" s="1"/>
  <c r="Y51" i="11"/>
  <c r="AA51" i="11" s="1" a="1"/>
  <c r="AA51" i="11" s="1"/>
  <c r="Y120" i="11"/>
  <c r="AA120" i="11" s="1" a="1"/>
  <c r="AA120" i="11" s="1"/>
  <c r="Y65" i="11"/>
  <c r="AA65" i="11" s="1" a="1"/>
  <c r="AA65" i="11" s="1"/>
  <c r="Y18" i="11"/>
  <c r="AA18" i="11" s="1" a="1"/>
  <c r="AA18" i="11" s="1"/>
  <c r="AH25" i="11" a="1"/>
  <c r="AH25" i="11" s="1"/>
  <c r="AH18" i="11" a="1"/>
  <c r="AH18" i="11" s="1"/>
  <c r="AH36" i="11" a="1"/>
  <c r="AH36" i="11" s="1"/>
  <c r="Y59" i="11"/>
  <c r="AA59" i="11" s="1" a="1"/>
  <c r="AA59" i="11" s="1"/>
  <c r="Y14" i="11"/>
  <c r="AA14" i="11" s="1" a="1"/>
  <c r="AA14" i="11" s="1"/>
  <c r="Y73" i="11"/>
  <c r="AA73" i="11" s="1" a="1"/>
  <c r="AA73" i="11" s="1"/>
  <c r="Y34" i="11"/>
  <c r="AA34" i="11" s="1" a="1"/>
  <c r="AA34" i="11" s="1"/>
  <c r="AH33" i="11" a="1"/>
  <c r="AH33" i="11" s="1"/>
  <c r="Y31" i="11"/>
  <c r="AA31" i="11" s="1" a="1"/>
  <c r="AA31" i="11" s="1"/>
  <c r="Y80" i="11"/>
  <c r="AA80" i="11" s="1" a="1"/>
  <c r="AA80" i="11" s="1"/>
  <c r="Y45" i="11"/>
  <c r="AA45" i="11" s="1" a="1"/>
  <c r="AA45" i="11" s="1"/>
  <c r="Y108" i="11"/>
  <c r="AA108" i="11" s="1" a="1"/>
  <c r="AA108" i="11" s="1"/>
  <c r="AH5" i="11" a="1"/>
  <c r="AH5" i="11" s="1"/>
  <c r="AI5" i="11" s="1"/>
  <c r="AH23" i="11" a="1"/>
  <c r="AH23" i="11" s="1"/>
  <c r="Y99" i="11"/>
  <c r="AA99" i="11" s="1" a="1"/>
  <c r="AA99" i="11" s="1"/>
  <c r="Y94" i="11"/>
  <c r="AA94" i="11" s="1" a="1"/>
  <c r="AA94" i="11" s="1"/>
  <c r="Y113" i="11"/>
  <c r="AA113" i="11" s="1" a="1"/>
  <c r="AA113" i="11" s="1"/>
  <c r="Y114" i="11"/>
  <c r="AA114" i="11" s="1" a="1"/>
  <c r="AA114" i="11" s="1"/>
  <c r="AH48" i="11" a="1"/>
  <c r="AH48" i="11" s="1"/>
  <c r="Y71" i="11"/>
  <c r="AA71" i="11" s="1" a="1"/>
  <c r="AA71" i="11" s="1"/>
  <c r="Y38" i="11"/>
  <c r="AA38" i="11" s="1" a="1"/>
  <c r="AA38" i="11" s="1"/>
  <c r="Y85" i="11"/>
  <c r="AA85" i="11" s="1" a="1"/>
  <c r="AA85" i="11" s="1"/>
  <c r="Y58" i="11"/>
  <c r="AA58" i="11" s="1" a="1"/>
  <c r="AA58" i="11" s="1"/>
  <c r="Y55" i="11"/>
  <c r="AA55" i="11" s="1" a="1"/>
  <c r="AA55" i="11" s="1"/>
  <c r="Y6" i="11"/>
  <c r="AA6" i="11" s="1" a="1"/>
  <c r="AA6" i="11" s="1"/>
  <c r="Y69" i="11"/>
  <c r="AA69" i="11" s="1" a="1"/>
  <c r="AA69" i="11" s="1"/>
  <c r="Y26" i="11"/>
  <c r="AA26" i="11" s="1" a="1"/>
  <c r="AA26" i="11" s="1"/>
  <c r="K42" i="12"/>
  <c r="V42" i="12" s="1"/>
  <c r="K64" i="12"/>
  <c r="V64" i="12" s="1"/>
  <c r="K49" i="12"/>
  <c r="V49" i="12" s="1"/>
  <c r="K51" i="12"/>
  <c r="V51" i="12" s="1"/>
  <c r="K70" i="12"/>
  <c r="V70" i="12" s="1"/>
  <c r="K81" i="12"/>
  <c r="V81" i="12" s="1"/>
  <c r="K68" i="12"/>
  <c r="V68" i="12" s="1"/>
  <c r="K34" i="12"/>
  <c r="V34" i="12" s="1"/>
  <c r="K75" i="12"/>
  <c r="V75" i="12" s="1"/>
  <c r="K71" i="12"/>
  <c r="V71" i="12" s="1"/>
  <c r="K62" i="12"/>
  <c r="V62" i="12" s="1"/>
  <c r="K66" i="12"/>
  <c r="V66" i="12" s="1"/>
  <c r="K37" i="12"/>
  <c r="V37" i="12" s="1"/>
  <c r="K27" i="12"/>
  <c r="V27" i="12" s="1"/>
  <c r="K78" i="12"/>
  <c r="V78" i="12" s="1"/>
  <c r="K79" i="12"/>
  <c r="V79" i="12" s="1"/>
  <c r="K15" i="12"/>
  <c r="V15" i="12" s="1"/>
  <c r="K50" i="12"/>
  <c r="V50" i="12" s="1"/>
  <c r="K46" i="12"/>
  <c r="V46" i="12" s="1"/>
  <c r="K60" i="12"/>
  <c r="V60" i="12" s="1"/>
  <c r="K8" i="12"/>
  <c r="V8" i="12" s="1"/>
  <c r="Y7" i="11"/>
  <c r="AA7" i="11" s="1" a="1"/>
  <c r="AA7" i="11" s="1"/>
  <c r="Y32" i="11"/>
  <c r="AA32" i="11" s="1" a="1"/>
  <c r="AA32" i="11" s="1"/>
  <c r="Y21" i="11"/>
  <c r="AA21" i="11" s="1" a="1"/>
  <c r="AA21" i="11" s="1"/>
  <c r="Y60" i="11"/>
  <c r="AA60" i="11" s="1" a="1"/>
  <c r="AA60" i="11" s="1"/>
  <c r="AH35" i="11" a="1"/>
  <c r="AH35" i="11" s="1"/>
  <c r="AH34" i="11" a="1"/>
  <c r="AH34" i="11" s="1"/>
  <c r="AH52" i="11" a="1"/>
  <c r="AH52" i="11" s="1"/>
  <c r="Y75" i="11"/>
  <c r="AA75" i="11" s="1" a="1"/>
  <c r="AA75" i="11" s="1"/>
  <c r="Y46" i="11"/>
  <c r="AA46" i="11" s="1" a="1"/>
  <c r="AA46" i="11" s="1"/>
  <c r="Y89" i="11"/>
  <c r="AA89" i="11" s="1" a="1"/>
  <c r="AA89" i="11" s="1"/>
  <c r="Y66" i="11"/>
  <c r="AA66" i="11" s="1" a="1"/>
  <c r="AA66" i="11" s="1"/>
  <c r="AH49" i="11" a="1"/>
  <c r="AH49" i="11" s="1"/>
  <c r="Y47" i="11"/>
  <c r="AA47" i="11" s="1" a="1"/>
  <c r="AA47" i="11" s="1"/>
  <c r="Y112" i="11"/>
  <c r="AA112" i="11" s="1" a="1"/>
  <c r="AA112" i="11" s="1"/>
  <c r="Y61" i="11"/>
  <c r="AA61" i="11" s="1" a="1"/>
  <c r="AA61" i="11" s="1"/>
  <c r="Y10" i="11"/>
  <c r="AA10" i="11" s="1" a="1"/>
  <c r="AA10" i="11" s="1"/>
  <c r="AH42" i="11" a="1"/>
  <c r="AH42" i="11" s="1"/>
  <c r="AH7" i="11" a="1"/>
  <c r="AH7" i="11" s="1"/>
  <c r="Y83" i="11"/>
  <c r="AA83" i="11" s="1" a="1"/>
  <c r="AA83" i="11" s="1"/>
  <c r="Y62" i="11"/>
  <c r="AA62" i="11" s="1" a="1"/>
  <c r="AA62" i="11" s="1"/>
  <c r="Y97" i="11"/>
  <c r="AA97" i="11" s="1" a="1"/>
  <c r="AA97" i="11" s="1"/>
  <c r="Y82" i="11"/>
  <c r="AA82" i="11" s="1" a="1"/>
  <c r="AA82" i="11" s="1"/>
  <c r="AH2" i="11" a="1"/>
  <c r="AH2" i="11" s="1"/>
  <c r="AH50" i="11" a="1"/>
  <c r="AH50" i="11" s="1"/>
  <c r="AH15" i="11" a="1"/>
  <c r="AH15" i="11" s="1"/>
  <c r="Y91" i="11"/>
  <c r="AA91" i="11" s="1" a="1"/>
  <c r="AA91" i="11" s="1"/>
  <c r="Y78" i="11"/>
  <c r="AA78" i="11" s="1" a="1"/>
  <c r="AA78" i="11" s="1"/>
  <c r="Y105" i="11"/>
  <c r="AA105" i="11" s="1" a="1"/>
  <c r="AA105" i="11" s="1"/>
  <c r="Y98" i="11"/>
  <c r="AA98" i="11" s="1" a="1"/>
  <c r="AA98" i="11" s="1"/>
  <c r="AH8" i="11" a="1"/>
  <c r="AH8" i="11" s="1"/>
  <c r="Y63" i="11"/>
  <c r="AA63" i="11" s="1" a="1"/>
  <c r="AA63" i="11" s="1"/>
  <c r="Y22" i="11"/>
  <c r="AA22" i="11" s="1" a="1"/>
  <c r="AA22" i="11" s="1"/>
  <c r="Y77" i="11"/>
  <c r="AA77" i="11" s="1" a="1"/>
  <c r="AA77" i="11" s="1"/>
  <c r="Y42" i="11"/>
  <c r="AA42" i="11" s="1" a="1"/>
  <c r="AA42" i="11" s="1"/>
  <c r="AH37" i="11" a="1"/>
  <c r="AH37" i="11" s="1"/>
  <c r="Y3" i="11"/>
  <c r="AA3" i="11" s="1" a="1"/>
  <c r="AA3" i="11" s="1"/>
  <c r="Y24" i="11"/>
  <c r="AA24" i="11" s="1" a="1"/>
  <c r="AA24" i="11" s="1"/>
  <c r="Y17" i="11"/>
  <c r="AA17" i="11" s="1" a="1"/>
  <c r="AA17" i="11" s="1"/>
  <c r="Y52" i="11"/>
  <c r="AA52" i="11" s="1" a="1"/>
  <c r="AA52" i="11" s="1"/>
  <c r="AH9" i="11" a="1"/>
  <c r="AH9" i="11" s="1"/>
  <c r="AH27" i="11" a="1"/>
  <c r="AH27" i="11" s="1"/>
  <c r="Y103" i="11"/>
  <c r="AA103" i="11" s="1" a="1"/>
  <c r="AA103" i="11" s="1"/>
  <c r="Y102" i="11"/>
  <c r="AA102" i="11" s="1" a="1"/>
  <c r="AA102" i="11" s="1"/>
  <c r="Y117" i="11"/>
  <c r="AA117" i="11" s="1" a="1"/>
  <c r="AA117" i="11" s="1"/>
  <c r="Y121" i="11"/>
  <c r="AA121" i="11" s="1" a="1"/>
  <c r="AA121" i="11" s="1"/>
  <c r="Y87" i="11"/>
  <c r="AA87" i="11" s="1" a="1"/>
  <c r="AA87" i="11" s="1"/>
  <c r="Y70" i="11"/>
  <c r="AA70" i="11" s="1" a="1"/>
  <c r="AA70" i="11" s="1"/>
  <c r="Y101" i="11"/>
  <c r="AA101" i="11" s="1" a="1"/>
  <c r="AA101" i="11" s="1"/>
  <c r="Y90" i="11"/>
  <c r="AA90" i="11" s="1" a="1"/>
  <c r="AA90" i="11" s="1"/>
  <c r="K63" i="12"/>
  <c r="V63" i="12" s="1"/>
  <c r="K74" i="12"/>
  <c r="V74" i="12" s="1"/>
  <c r="K17" i="12"/>
  <c r="V17" i="12" s="1"/>
  <c r="K19" i="12"/>
  <c r="V19" i="12" s="1"/>
  <c r="K58" i="12"/>
  <c r="V58" i="12" s="1"/>
  <c r="K80" i="12"/>
  <c r="V80" i="12" s="1"/>
  <c r="K4" i="12"/>
  <c r="V4" i="12" s="1"/>
  <c r="K56" i="12"/>
  <c r="V56" i="12" s="1"/>
  <c r="K82" i="12"/>
  <c r="V82" i="12" s="1"/>
  <c r="K44" i="12"/>
  <c r="V44" i="12" s="1"/>
  <c r="K39" i="12"/>
  <c r="V39" i="12" s="1"/>
  <c r="K36" i="12"/>
  <c r="V36" i="12" s="1"/>
  <c r="K72" i="12"/>
  <c r="V72" i="12" s="1"/>
  <c r="K5" i="12"/>
  <c r="V5" i="12" s="1"/>
  <c r="K77" i="12"/>
  <c r="V77" i="12" s="1"/>
  <c r="K18" i="12"/>
  <c r="V18" i="12" s="1"/>
  <c r="K10" i="12"/>
  <c r="V10" i="12" s="1"/>
  <c r="K13" i="12"/>
  <c r="V13" i="12" s="1"/>
  <c r="K47" i="12"/>
  <c r="V47" i="12" s="1"/>
  <c r="K33" i="12"/>
  <c r="V33" i="12" s="1"/>
  <c r="K89" i="12"/>
  <c r="V89" i="12" s="1"/>
  <c r="K83" i="12"/>
  <c r="V83" i="12" s="1"/>
  <c r="Y35" i="11"/>
  <c r="AA35" i="11" s="1" a="1"/>
  <c r="AA35" i="11" s="1"/>
  <c r="Y88" i="11"/>
  <c r="AA88" i="11" s="1" a="1"/>
  <c r="AA88" i="11" s="1"/>
  <c r="Y49" i="11"/>
  <c r="AA49" i="11" s="1" a="1"/>
  <c r="AA49" i="11" s="1"/>
  <c r="Y116" i="11"/>
  <c r="AA116" i="11" s="1" a="1"/>
  <c r="AA116" i="11" s="1"/>
  <c r="AH41" i="11" a="1"/>
  <c r="AH41" i="11" s="1"/>
  <c r="K31" i="12"/>
  <c r="V31" i="12" s="1"/>
  <c r="K14" i="12"/>
  <c r="V14" i="12" s="1"/>
  <c r="K61" i="12"/>
  <c r="V61" i="12" s="1"/>
  <c r="K85" i="12"/>
  <c r="V85" i="12" s="1"/>
  <c r="K55" i="12"/>
  <c r="V55" i="12" s="1"/>
  <c r="K16" i="12"/>
  <c r="V16" i="12" s="1"/>
  <c r="K41" i="12"/>
  <c r="V41" i="12" s="1"/>
  <c r="K53" i="12"/>
  <c r="V53" i="12" s="1"/>
  <c r="K6" i="12"/>
  <c r="V6" i="12" s="1"/>
  <c r="K87" i="12"/>
  <c r="V87" i="12" s="1"/>
  <c r="K7" i="12"/>
  <c r="V7" i="12" s="1"/>
  <c r="K57" i="12"/>
  <c r="V57" i="12" s="1"/>
  <c r="K24" i="12"/>
  <c r="V24" i="12" s="1"/>
  <c r="K38" i="12"/>
  <c r="V38" i="12" s="1"/>
  <c r="Y40" i="11"/>
  <c r="AA40" i="11" s="1" a="1"/>
  <c r="AA40" i="11" s="1"/>
  <c r="AH3" i="11" a="1"/>
  <c r="AH3" i="11" s="1"/>
  <c r="AI3" i="11" s="1"/>
  <c r="AH43" i="11" a="1"/>
  <c r="AH43" i="11" s="1"/>
  <c r="Y33" i="11"/>
  <c r="AA33" i="11" s="1" a="1"/>
  <c r="AA33" i="11" s="1"/>
  <c r="AH4" i="11" a="1"/>
  <c r="AH4" i="11" s="1"/>
  <c r="AI4" i="11" s="1"/>
  <c r="Y100" i="11"/>
  <c r="AA100" i="11" s="1" a="1"/>
  <c r="AA100" i="11" s="1"/>
  <c r="Y13" i="11"/>
  <c r="AA13" i="11" s="1" a="1"/>
  <c r="AA13" i="11" s="1"/>
  <c r="Y67" i="11"/>
  <c r="AA67" i="11" s="1" a="1"/>
  <c r="AA67" i="11" s="1"/>
  <c r="AH16" i="11" a="1"/>
  <c r="AH16" i="11" s="1"/>
  <c r="Y25" i="11"/>
  <c r="AA25" i="11" s="1" a="1"/>
  <c r="AA25" i="11" s="1"/>
  <c r="Y111" i="11"/>
  <c r="AA111" i="11" s="1" a="1"/>
  <c r="AA111" i="11" s="1"/>
  <c r="AH53" i="11" a="1"/>
  <c r="AH53" i="11" s="1"/>
  <c r="Y84" i="11"/>
  <c r="AA84" i="11" s="1" a="1"/>
  <c r="AA84" i="11" s="1"/>
  <c r="Y27" i="11"/>
  <c r="AA27" i="11" s="1" a="1"/>
  <c r="AA27" i="11" s="1"/>
  <c r="AH54" i="11" a="1"/>
  <c r="AH54" i="11" s="1"/>
  <c r="Y44" i="11"/>
  <c r="AA44" i="11" s="1" a="1"/>
  <c r="AA44" i="11" s="1"/>
  <c r="Y30" i="11"/>
  <c r="AA30" i="11" s="1" a="1"/>
  <c r="AA30" i="11" s="1"/>
  <c r="Y39" i="11"/>
  <c r="AA39" i="11" s="1" a="1"/>
  <c r="AA39" i="11" s="1"/>
  <c r="Y23" i="11"/>
  <c r="AA23" i="11" s="1" a="1"/>
  <c r="AA23" i="11" s="1"/>
  <c r="K2" i="12"/>
  <c r="V2" i="12" s="1"/>
  <c r="K28" i="12"/>
  <c r="V28" i="12" s="1"/>
  <c r="K21" i="12"/>
  <c r="V21" i="12" s="1"/>
  <c r="K25" i="12"/>
  <c r="V25" i="12" s="1"/>
  <c r="K12" i="12"/>
  <c r="V12" i="12" s="1"/>
  <c r="K20" i="12"/>
  <c r="V20" i="12" s="1"/>
  <c r="K35" i="12"/>
  <c r="V35" i="12" s="1"/>
  <c r="K65" i="12"/>
  <c r="V65" i="12" s="1"/>
  <c r="Y81" i="11"/>
  <c r="AA81" i="11" s="1" a="1"/>
  <c r="AA81" i="11" s="1"/>
  <c r="Y96" i="11"/>
  <c r="AA96" i="11" s="1" a="1"/>
  <c r="AA96" i="11" s="1"/>
  <c r="Y64" i="11"/>
  <c r="AA64" i="11" s="1" a="1"/>
  <c r="AA64" i="11" s="1"/>
  <c r="K73" i="12"/>
  <c r="V73" i="12" s="1"/>
  <c r="K23" i="12"/>
  <c r="V23" i="12" s="1"/>
  <c r="K43" i="12"/>
  <c r="V43" i="12" s="1"/>
  <c r="K69" i="12"/>
  <c r="V69" i="12" s="1"/>
  <c r="K40" i="12"/>
  <c r="V40" i="12" s="1"/>
  <c r="K22" i="12"/>
  <c r="V22" i="12" s="1"/>
  <c r="K86" i="12"/>
  <c r="V86" i="12" s="1"/>
  <c r="K67" i="12"/>
  <c r="V67" i="12" s="1"/>
  <c r="Y50" i="11"/>
  <c r="AA50" i="11" s="1" a="1"/>
  <c r="AA50" i="11" s="1"/>
  <c r="Y53" i="11"/>
  <c r="AA53" i="11" s="1" a="1"/>
  <c r="AA53" i="11" s="1"/>
  <c r="Y37" i="11"/>
  <c r="AA37" i="11" s="1" a="1"/>
  <c r="AA37" i="11" s="1"/>
  <c r="K52" i="12"/>
  <c r="V52" i="12" s="1"/>
  <c r="K30" i="12"/>
  <c r="V30" i="12" s="1"/>
  <c r="K26" i="12"/>
  <c r="V26" i="12" s="1"/>
  <c r="K59" i="12"/>
  <c r="V59" i="12" s="1"/>
  <c r="K29" i="12"/>
  <c r="V29" i="12" s="1"/>
  <c r="K3" i="12"/>
  <c r="V3" i="12" s="1"/>
  <c r="K88" i="12"/>
  <c r="V88" i="12" s="1"/>
  <c r="Y122" i="11"/>
  <c r="AA122" i="11" s="1" a="1"/>
  <c r="AA122" i="11" s="1"/>
  <c r="Y92" i="11"/>
  <c r="AA92" i="11" s="1" a="1"/>
  <c r="AA92" i="11" s="1"/>
  <c r="K54" i="12"/>
  <c r="V54" i="12" s="1"/>
  <c r="K9" i="12"/>
  <c r="V9" i="12" s="1"/>
  <c r="K48" i="12"/>
  <c r="V48" i="12" s="1"/>
  <c r="K84" i="12"/>
  <c r="V84" i="12" s="1"/>
  <c r="K32" i="12"/>
  <c r="V32" i="12" s="1"/>
  <c r="K45" i="12"/>
  <c r="V45" i="12" s="1"/>
  <c r="K76" i="12"/>
  <c r="V76" i="12" s="1"/>
  <c r="AH45" i="11" a="1"/>
  <c r="AH45" i="11" s="1"/>
  <c r="Y68" i="11"/>
  <c r="AA68" i="11" s="1" a="1"/>
  <c r="AA68" i="11" s="1"/>
  <c r="Y118" i="11"/>
  <c r="AA118" i="11" s="1" a="1"/>
  <c r="AA118" i="11" s="1"/>
  <c r="Y19" i="11"/>
  <c r="AA19" i="11" s="1" a="1"/>
  <c r="AA19" i="11" s="1"/>
  <c r="AH46" i="11" a="1"/>
  <c r="AH46" i="11" s="1"/>
  <c r="Y72" i="11"/>
  <c r="AA72" i="11" s="1" a="1"/>
  <c r="AA72" i="11" s="1"/>
  <c r="AH19" i="11" a="1"/>
  <c r="AH19" i="11" s="1"/>
  <c r="AH26" i="11" a="1"/>
  <c r="AH26" i="11" s="1"/>
  <c r="Y11" i="11"/>
  <c r="AA11" i="11" s="1" a="1"/>
  <c r="AA11" i="11" s="1"/>
  <c r="AB11" i="11" s="1"/>
  <c r="AH38" i="11" a="1"/>
  <c r="AH38" i="11" s="1"/>
  <c r="Y12" i="11"/>
  <c r="AA12" i="11" s="1" a="1"/>
  <c r="AA12" i="11" s="1"/>
  <c r="Y56" i="11"/>
  <c r="AA56" i="11" s="1" a="1"/>
  <c r="AA56" i="11" s="1"/>
  <c r="AH11" i="11" a="1"/>
  <c r="AH11" i="11" s="1"/>
  <c r="Y41" i="11"/>
  <c r="AA41" i="11" s="1" a="1"/>
  <c r="AA41" i="11" s="1"/>
  <c r="Y16" i="11"/>
  <c r="AA16" i="11" s="1" a="1"/>
  <c r="AA16" i="11" s="1"/>
  <c r="AH44" i="11" a="1"/>
  <c r="AH44" i="11" s="1"/>
  <c r="F84" i="18"/>
  <c r="D83" i="18"/>
  <c r="E83" i="18"/>
  <c r="AB3" i="11" l="1"/>
  <c r="AI7" i="11"/>
  <c r="AB41" i="11"/>
  <c r="AB23" i="11"/>
  <c r="AB92" i="11"/>
  <c r="AB64" i="11"/>
  <c r="AB39" i="11"/>
  <c r="AB27" i="11"/>
  <c r="AB25" i="11"/>
  <c r="AB100" i="11"/>
  <c r="AB35" i="11"/>
  <c r="AB101" i="11"/>
  <c r="AB117" i="11"/>
  <c r="AB22" i="11"/>
  <c r="AB105" i="11"/>
  <c r="AB62" i="11"/>
  <c r="AB10" i="11"/>
  <c r="AB75" i="11"/>
  <c r="AB60" i="11"/>
  <c r="AB55" i="11"/>
  <c r="AB71" i="11"/>
  <c r="AB94" i="11"/>
  <c r="AB108" i="11"/>
  <c r="AB59" i="11"/>
  <c r="AB18" i="11"/>
  <c r="AB48" i="11"/>
  <c r="AB57" i="11"/>
  <c r="AB119" i="11"/>
  <c r="AB86" i="11"/>
  <c r="AB36" i="11"/>
  <c r="AB123" i="11"/>
  <c r="AB74" i="11"/>
  <c r="AB107" i="11"/>
  <c r="AB68" i="11"/>
  <c r="AB56" i="11"/>
  <c r="AB19" i="11"/>
  <c r="AB122" i="11"/>
  <c r="AB37" i="11"/>
  <c r="AB96" i="11"/>
  <c r="AB30" i="11"/>
  <c r="AB84" i="11"/>
  <c r="AB40" i="11"/>
  <c r="AB116" i="11"/>
  <c r="AB70" i="11"/>
  <c r="AB102" i="11"/>
  <c r="AB52" i="11"/>
  <c r="AB63" i="11"/>
  <c r="AB78" i="11"/>
  <c r="B3" i="11"/>
  <c r="AI2" i="11"/>
  <c r="AB83" i="11"/>
  <c r="AB61" i="11"/>
  <c r="AB66" i="11"/>
  <c r="AB21" i="11"/>
  <c r="AB26" i="11"/>
  <c r="AB58" i="11"/>
  <c r="AB99" i="11"/>
  <c r="AB45" i="11"/>
  <c r="AB34" i="11"/>
  <c r="AB65" i="11"/>
  <c r="AB15" i="11"/>
  <c r="AB104" i="11"/>
  <c r="AB95" i="11"/>
  <c r="AB9" i="11"/>
  <c r="AB115" i="11"/>
  <c r="AB93" i="11"/>
  <c r="AB72" i="11"/>
  <c r="AB16" i="11"/>
  <c r="AB12" i="11"/>
  <c r="AB118" i="11"/>
  <c r="AB53" i="11"/>
  <c r="AB81" i="11"/>
  <c r="AB44" i="11"/>
  <c r="AB67" i="11"/>
  <c r="AB33" i="11"/>
  <c r="AB49" i="11"/>
  <c r="AB87" i="11"/>
  <c r="AB103" i="11"/>
  <c r="AB17" i="11"/>
  <c r="AB42" i="11"/>
  <c r="AB91" i="11"/>
  <c r="AB82" i="11"/>
  <c r="AB112" i="11"/>
  <c r="AB89" i="11"/>
  <c r="AB32" i="11"/>
  <c r="AB69" i="11"/>
  <c r="AB85" i="11"/>
  <c r="AB114" i="11"/>
  <c r="AB80" i="11"/>
  <c r="AB73" i="11"/>
  <c r="AB120" i="11"/>
  <c r="AB76" i="11"/>
  <c r="AB43" i="11"/>
  <c r="AB28" i="11"/>
  <c r="AB106" i="11"/>
  <c r="AB8" i="11"/>
  <c r="AB54" i="11"/>
  <c r="AB4" i="11"/>
  <c r="AB50" i="11"/>
  <c r="AB111" i="11"/>
  <c r="AB13" i="11"/>
  <c r="AB88" i="11"/>
  <c r="AB90" i="11"/>
  <c r="AB121" i="11"/>
  <c r="AB24" i="11"/>
  <c r="AB77" i="11"/>
  <c r="AB98" i="11"/>
  <c r="AB97" i="11"/>
  <c r="AB47" i="11"/>
  <c r="AB46" i="11"/>
  <c r="AB7" i="11"/>
  <c r="AB6" i="11"/>
  <c r="AB38" i="11"/>
  <c r="AB113" i="11"/>
  <c r="AB31" i="11"/>
  <c r="AB14" i="11"/>
  <c r="AB51" i="11"/>
  <c r="AB29" i="11"/>
  <c r="B2" i="11"/>
  <c r="AB2" i="11"/>
  <c r="AB5" i="11"/>
  <c r="AB109" i="11"/>
  <c r="AB20" i="11"/>
  <c r="AB79" i="11"/>
  <c r="AB110" i="11"/>
  <c r="F85" i="18"/>
  <c r="D84" i="18"/>
  <c r="E84" i="18"/>
  <c r="B4" i="11" l="1"/>
  <c r="Q234" i="11" s="1"/>
  <c r="D479" i="11"/>
  <c r="Q214" i="11"/>
  <c r="Q443" i="11"/>
  <c r="D532" i="11"/>
  <c r="D196" i="11"/>
  <c r="D431" i="11"/>
  <c r="D234" i="11"/>
  <c r="Q448" i="11"/>
  <c r="Q158" i="11"/>
  <c r="D384" i="11"/>
  <c r="P156" i="11"/>
  <c r="Q334" i="11"/>
  <c r="D282" i="11"/>
  <c r="Q552" i="11"/>
  <c r="D314" i="11"/>
  <c r="D501" i="11"/>
  <c r="D185" i="11"/>
  <c r="Q336" i="11"/>
  <c r="G161" i="11"/>
  <c r="G145" i="11"/>
  <c r="Q530" i="11"/>
  <c r="D353" i="11"/>
  <c r="Q555" i="11"/>
  <c r="D66" i="11"/>
  <c r="Q290" i="11"/>
  <c r="D277" i="11"/>
  <c r="Q576" i="11"/>
  <c r="H153" i="11"/>
  <c r="Q243" i="11"/>
  <c r="Q237" i="11"/>
  <c r="Q544" i="11"/>
  <c r="Q386" i="11"/>
  <c r="Q191" i="11"/>
  <c r="D354" i="11"/>
  <c r="Q578" i="11"/>
  <c r="Q466" i="11"/>
  <c r="Q486" i="11"/>
  <c r="Q396" i="11"/>
  <c r="D584" i="11"/>
  <c r="D401" i="11"/>
  <c r="Q461" i="11"/>
  <c r="Q354" i="11"/>
  <c r="Q430" i="11"/>
  <c r="Q207" i="11"/>
  <c r="Q365" i="11"/>
  <c r="Q560" i="11"/>
  <c r="Q434" i="11"/>
  <c r="Q454" i="11"/>
  <c r="Q460" i="11"/>
  <c r="Q167" i="11"/>
  <c r="D338" i="11"/>
  <c r="D600" i="11"/>
  <c r="G154" i="11"/>
  <c r="Q260" i="11"/>
  <c r="D377" i="11"/>
  <c r="D378" i="11"/>
  <c r="D95" i="11"/>
  <c r="D13" i="11"/>
  <c r="H155" i="11"/>
  <c r="Q450" i="11"/>
  <c r="Q468" i="11"/>
  <c r="D605" i="11"/>
  <c r="Q478" i="11"/>
  <c r="G162" i="11"/>
  <c r="Q412" i="11"/>
  <c r="D334" i="11"/>
  <c r="D595" i="11"/>
  <c r="D596" i="11"/>
  <c r="D71" i="11"/>
  <c r="D226" i="11"/>
  <c r="H143" i="11"/>
  <c r="Q566" i="11"/>
  <c r="Q308" i="11"/>
  <c r="D565" i="11"/>
  <c r="D602" i="11"/>
  <c r="Q268" i="11"/>
  <c r="D559" i="11"/>
  <c r="Q523" i="11"/>
  <c r="D290" i="11"/>
  <c r="D552" i="11"/>
  <c r="Q479" i="11"/>
  <c r="D417" i="11"/>
  <c r="D204" i="11"/>
  <c r="D205" i="11"/>
  <c r="Q534" i="11"/>
  <c r="D365" i="11"/>
  <c r="Q398" i="11"/>
  <c r="Q593" i="11"/>
  <c r="D435" i="11"/>
  <c r="D580" i="11"/>
  <c r="Q509" i="11"/>
  <c r="Q496" i="11"/>
  <c r="Q331" i="11"/>
  <c r="D442" i="11"/>
  <c r="Q156" i="11"/>
  <c r="D576" i="11"/>
  <c r="D375" i="11"/>
  <c r="Q266" i="11"/>
  <c r="D47" i="11"/>
  <c r="Q322" i="11"/>
  <c r="Q399" i="11"/>
  <c r="D52" i="11"/>
  <c r="Q585" i="11"/>
  <c r="Q374" i="11"/>
  <c r="P147" i="11"/>
  <c r="D93" i="11"/>
  <c r="Q431" i="11"/>
  <c r="Q377" i="11"/>
  <c r="Q231" i="11"/>
  <c r="D541" i="11"/>
  <c r="D148" i="11"/>
  <c r="Q481" i="11"/>
  <c r="I142" i="11"/>
  <c r="D323" i="11"/>
  <c r="D370" i="11"/>
  <c r="D74" i="11"/>
  <c r="Q590" i="11"/>
  <c r="Q489" i="11"/>
  <c r="D470" i="11"/>
  <c r="G158" i="11"/>
  <c r="D341" i="11"/>
  <c r="D388" i="11"/>
  <c r="D212" i="11"/>
  <c r="D181" i="11"/>
  <c r="H149" i="11"/>
  <c r="D373" i="11"/>
  <c r="Q358" i="11"/>
  <c r="D447" i="11"/>
  <c r="Q513" i="11"/>
  <c r="D536" i="11"/>
  <c r="G148" i="11"/>
  <c r="P148" i="11"/>
  <c r="I143" i="11"/>
  <c r="Q279" i="11"/>
  <c r="D561" i="11"/>
  <c r="D280" i="11"/>
  <c r="D475" i="11"/>
  <c r="H157" i="11"/>
  <c r="D258" i="11"/>
  <c r="D385" i="11"/>
  <c r="Q226" i="11"/>
  <c r="D395" i="11"/>
  <c r="Q372" i="11"/>
  <c r="Q401" i="11"/>
  <c r="Q324" i="11"/>
  <c r="I154" i="11"/>
  <c r="Q388" i="11"/>
  <c r="D521" i="11"/>
  <c r="D124" i="11"/>
  <c r="Q124" i="11" s="1"/>
  <c r="D42" i="11"/>
  <c r="Q289" i="11"/>
  <c r="Q146" i="11"/>
  <c r="Q251" i="11"/>
  <c r="D381" i="11"/>
  <c r="D510" i="11"/>
  <c r="Q190" i="11"/>
  <c r="Q447" i="11"/>
  <c r="D325" i="11"/>
  <c r="D483" i="11"/>
  <c r="D484" i="11"/>
  <c r="D100" i="11"/>
  <c r="Q408" i="11"/>
  <c r="Q193" i="11"/>
  <c r="Q256" i="11"/>
  <c r="Q171" i="11"/>
  <c r="D336" i="11"/>
  <c r="D490" i="11"/>
  <c r="I160" i="11"/>
  <c r="D330" i="11"/>
  <c r="D592" i="11"/>
  <c r="Q364" i="11"/>
  <c r="D583" i="11"/>
  <c r="Q329" i="11"/>
  <c r="Q179" i="11"/>
  <c r="D268" i="11"/>
  <c r="D529" i="11"/>
  <c r="D140" i="11"/>
  <c r="D58" i="11"/>
  <c r="Q353" i="11"/>
  <c r="P151" i="11"/>
  <c r="Q283" i="11"/>
  <c r="D397" i="11"/>
  <c r="D518" i="11"/>
  <c r="Q174" i="11"/>
  <c r="Q465" i="11"/>
  <c r="D333" i="11"/>
  <c r="D491" i="11"/>
  <c r="D492" i="11"/>
  <c r="D116" i="11"/>
  <c r="D18" i="11"/>
  <c r="Q257" i="11"/>
  <c r="Q384" i="11"/>
  <c r="Q203" i="11"/>
  <c r="D356" i="11"/>
  <c r="D498" i="11"/>
  <c r="Q183" i="11"/>
  <c r="D346" i="11"/>
  <c r="Q470" i="11"/>
  <c r="Q428" i="11"/>
  <c r="D599" i="11"/>
  <c r="Q152" i="11"/>
  <c r="Q511" i="11"/>
  <c r="D347" i="11"/>
  <c r="D505" i="11"/>
  <c r="D92" i="11"/>
  <c r="D10" i="11"/>
  <c r="I162" i="11"/>
  <c r="Q320" i="11"/>
  <c r="Q187" i="11"/>
  <c r="D344" i="11"/>
  <c r="D494" i="11"/>
  <c r="Q222" i="11"/>
  <c r="Q415" i="11"/>
  <c r="D309" i="11"/>
  <c r="D467" i="11"/>
  <c r="D468" i="11"/>
  <c r="D68" i="11"/>
  <c r="Q357" i="11"/>
  <c r="D229" i="11"/>
  <c r="H145" i="11"/>
  <c r="Q487" i="11"/>
  <c r="D304" i="11"/>
  <c r="D474" i="11"/>
  <c r="Q507" i="11"/>
  <c r="D298" i="11"/>
  <c r="D560" i="11"/>
  <c r="Q236" i="11"/>
  <c r="D551" i="11"/>
  <c r="Q480" i="11"/>
  <c r="D315" i="11"/>
  <c r="D362" i="11"/>
  <c r="D26" i="11"/>
  <c r="I144" i="11"/>
  <c r="Q411" i="11"/>
  <c r="D462" i="11"/>
  <c r="Q467" i="11"/>
  <c r="D317" i="11"/>
  <c r="D380" i="11"/>
  <c r="D180" i="11"/>
  <c r="D165" i="11"/>
  <c r="G149" i="11"/>
  <c r="D320" i="11"/>
  <c r="Q390" i="11"/>
  <c r="D415" i="11"/>
  <c r="Q455" i="11"/>
  <c r="D520" i="11"/>
  <c r="D348" i="11"/>
  <c r="D253" i="11"/>
  <c r="D486" i="11"/>
  <c r="D459" i="11"/>
  <c r="D213" i="11"/>
  <c r="Q262" i="11"/>
  <c r="D439" i="11"/>
  <c r="D361" i="11"/>
  <c r="Q340" i="11"/>
  <c r="D524" i="11"/>
  <c r="D482" i="11"/>
  <c r="D489" i="11"/>
  <c r="D293" i="11"/>
  <c r="Q524" i="11"/>
  <c r="D306" i="11"/>
  <c r="Q211" i="11"/>
  <c r="D425" i="11"/>
  <c r="D236" i="11"/>
  <c r="D221" i="11"/>
  <c r="Q482" i="11"/>
  <c r="D413" i="11"/>
  <c r="Q382" i="11"/>
  <c r="Q188" i="11"/>
  <c r="D443" i="11"/>
  <c r="D588" i="11"/>
  <c r="D34" i="11"/>
  <c r="Q150" i="11"/>
  <c r="Q395" i="11"/>
  <c r="D450" i="11"/>
  <c r="Q204" i="11"/>
  <c r="Q438" i="11"/>
  <c r="D391" i="11"/>
  <c r="Q205" i="11"/>
  <c r="D398" i="11"/>
  <c r="Q248" i="11"/>
  <c r="D295" i="11"/>
  <c r="Q199" i="11"/>
  <c r="Q225" i="11"/>
  <c r="Q579" i="11"/>
  <c r="D82" i="11"/>
  <c r="Q311" i="11"/>
  <c r="Q575" i="11"/>
  <c r="D202" i="11"/>
  <c r="Q462" i="11"/>
  <c r="Q472" i="11"/>
  <c r="D575" i="11"/>
  <c r="Q330" i="11"/>
  <c r="Q606" i="11"/>
  <c r="Q285" i="11"/>
  <c r="D351" i="11"/>
  <c r="D261" i="11"/>
  <c r="D231" i="11"/>
  <c r="D311" i="11"/>
  <c r="D464" i="11"/>
  <c r="Q202" i="11"/>
  <c r="G159" i="11"/>
  <c r="D264" i="11"/>
  <c r="D269" i="11"/>
  <c r="D247" i="11"/>
  <c r="D327" i="11"/>
  <c r="D480" i="11"/>
  <c r="Q298" i="11"/>
  <c r="D223" i="11"/>
  <c r="D319" i="11"/>
  <c r="P145" i="11"/>
  <c r="D199" i="11"/>
  <c r="D279" i="11"/>
  <c r="D432" i="11"/>
  <c r="Q601" i="11"/>
  <c r="Q535" i="11"/>
  <c r="D523" i="11"/>
  <c r="P157" i="11"/>
  <c r="D567" i="11"/>
  <c r="D357" i="11"/>
  <c r="Q154" i="11"/>
  <c r="D408" i="11"/>
  <c r="Q362" i="11"/>
  <c r="G147" i="11"/>
  <c r="D326" i="11"/>
  <c r="Q583" i="11"/>
  <c r="D281" i="11"/>
  <c r="Q402" i="11"/>
  <c r="Q333" i="11"/>
  <c r="D312" i="11"/>
  <c r="D331" i="11"/>
  <c r="Q525" i="11"/>
  <c r="D90" i="11"/>
  <c r="Q526" i="11"/>
  <c r="Q212" i="11"/>
  <c r="D478" i="11"/>
  <c r="Q175" i="11"/>
  <c r="D349" i="11"/>
  <c r="D396" i="11"/>
  <c r="D7" i="11"/>
  <c r="D197" i="11"/>
  <c r="Q502" i="11"/>
  <c r="D389" i="11"/>
  <c r="Q326" i="11"/>
  <c r="D495" i="11"/>
  <c r="Q577" i="11"/>
  <c r="D568" i="11"/>
  <c r="D76" i="11"/>
  <c r="D445" i="11"/>
  <c r="D371" i="11"/>
  <c r="Q185" i="11"/>
  <c r="Q554" i="11"/>
  <c r="Q253" i="11"/>
  <c r="D262" i="11"/>
  <c r="Q370" i="11"/>
  <c r="Q300" i="11"/>
  <c r="G156" i="11"/>
  <c r="D369" i="11"/>
  <c r="D156" i="11"/>
  <c r="D109" i="11"/>
  <c r="Q540" i="11"/>
  <c r="D296" i="11"/>
  <c r="Q494" i="11"/>
  <c r="Q497" i="11"/>
  <c r="D387" i="11"/>
  <c r="D540" i="11"/>
  <c r="Q413" i="11"/>
  <c r="H150" i="11"/>
  <c r="Q235" i="11"/>
  <c r="D394" i="11"/>
  <c r="Q375" i="11"/>
  <c r="D512" i="11"/>
  <c r="D274" i="11"/>
  <c r="D284" i="11"/>
  <c r="Q347" i="11"/>
  <c r="D507" i="11"/>
  <c r="Q267" i="11"/>
  <c r="Q295" i="11"/>
  <c r="Q426" i="11"/>
  <c r="D292" i="11"/>
  <c r="Q437" i="11"/>
  <c r="D218" i="11"/>
  <c r="Q488" i="11"/>
  <c r="D255" i="11"/>
  <c r="D542" i="11"/>
  <c r="Q303" i="11"/>
  <c r="D310" i="11"/>
  <c r="D460" i="11"/>
  <c r="D135" i="11"/>
  <c r="Q449" i="11"/>
  <c r="Q242" i="11"/>
  <c r="D517" i="11"/>
  <c r="Q539" i="11"/>
  <c r="D368" i="11"/>
  <c r="P155" i="11"/>
  <c r="D16" i="11"/>
  <c r="D108" i="11"/>
  <c r="D406" i="11"/>
  <c r="D84" i="11"/>
  <c r="D586" i="11"/>
  <c r="Q232" i="11"/>
  <c r="D125" i="11"/>
  <c r="Q125" i="11" s="1"/>
  <c r="Q271" i="11"/>
  <c r="Q385" i="11"/>
  <c r="D257" i="11"/>
  <c r="Q269" i="11"/>
  <c r="Q581" i="11"/>
  <c r="Q227" i="11"/>
  <c r="Q517" i="11"/>
  <c r="D9" i="11"/>
  <c r="Q189" i="11"/>
  <c r="D171" i="11"/>
  <c r="D81" i="11"/>
  <c r="Q317" i="11"/>
  <c r="Q296" i="11"/>
  <c r="Q259" i="11"/>
  <c r="Q425" i="11"/>
  <c r="D230" i="11"/>
  <c r="Q445" i="11"/>
  <c r="D187" i="11"/>
  <c r="D97" i="11"/>
  <c r="D118" i="11"/>
  <c r="Q584" i="11"/>
  <c r="Q559" i="11"/>
  <c r="Q594" i="11"/>
  <c r="D201" i="11"/>
  <c r="D32" i="11"/>
  <c r="D75" i="11"/>
  <c r="D238" i="11"/>
  <c r="P154" i="11"/>
  <c r="Q597" i="11"/>
  <c r="Q250" i="11"/>
  <c r="D291" i="11"/>
  <c r="Q264" i="11"/>
  <c r="D192" i="11"/>
  <c r="D248" i="11"/>
  <c r="D158" i="11"/>
  <c r="Q328" i="11"/>
  <c r="Q304" i="11"/>
  <c r="Q218" i="11"/>
  <c r="I146" i="11"/>
  <c r="Q469" i="11"/>
  <c r="D160" i="11"/>
  <c r="D11" i="11"/>
  <c r="D174" i="11"/>
  <c r="D249" i="11"/>
  <c r="Q151" i="11"/>
  <c r="Q186" i="11"/>
  <c r="I153" i="11"/>
  <c r="Q337" i="11"/>
  <c r="D128" i="11"/>
  <c r="D27" i="11"/>
  <c r="D190" i="11"/>
  <c r="D211" i="11"/>
  <c r="D137" i="11"/>
  <c r="D48" i="11"/>
  <c r="D166" i="11"/>
  <c r="Q173" i="11"/>
  <c r="Q403" i="11"/>
  <c r="D173" i="11"/>
  <c r="D446" i="11"/>
  <c r="D419" i="11"/>
  <c r="D133" i="11"/>
  <c r="D426" i="11"/>
  <c r="Q391" i="11"/>
  <c r="D307" i="11"/>
  <c r="D189" i="11"/>
  <c r="D454" i="11"/>
  <c r="D427" i="11"/>
  <c r="D149" i="11"/>
  <c r="D434" i="11"/>
  <c r="Q423" i="11"/>
  <c r="D267" i="11"/>
  <c r="D141" i="11"/>
  <c r="D430" i="11"/>
  <c r="D403" i="11"/>
  <c r="D101" i="11"/>
  <c r="D410" i="11"/>
  <c r="Q327" i="11"/>
  <c r="D513" i="11"/>
  <c r="D573" i="11"/>
  <c r="D4" i="11"/>
  <c r="Q4" i="11" s="1"/>
  <c r="D530" i="11"/>
  <c r="D339" i="11"/>
  <c r="D215" i="11"/>
  <c r="Q604" i="11"/>
  <c r="Q499" i="11"/>
  <c r="D316" i="11"/>
  <c r="D287" i="11"/>
  <c r="D500" i="11"/>
  <c r="D549" i="11"/>
  <c r="Q275" i="11"/>
  <c r="D511" i="11"/>
  <c r="D386" i="11"/>
  <c r="D564" i="11"/>
  <c r="D340" i="11"/>
  <c r="D60" i="11"/>
  <c r="D29" i="11"/>
  <c r="G155" i="11"/>
  <c r="D303" i="11"/>
  <c r="D590" i="11"/>
  <c r="Q383" i="11"/>
  <c r="D342" i="11"/>
  <c r="D508" i="11"/>
  <c r="D183" i="11"/>
  <c r="Q562" i="11"/>
  <c r="Q551" i="11"/>
  <c r="D581" i="11"/>
  <c r="Q247" i="11"/>
  <c r="D416" i="11"/>
  <c r="D329" i="11"/>
  <c r="Q516" i="11"/>
  <c r="D106" i="11"/>
  <c r="D598" i="11"/>
  <c r="D412" i="11"/>
  <c r="Q519" i="11"/>
  <c r="D448" i="11"/>
  <c r="Q485" i="11"/>
  <c r="D436" i="11"/>
  <c r="D421" i="11"/>
  <c r="D144" i="11"/>
  <c r="Q371" i="11"/>
  <c r="D481" i="11"/>
  <c r="D79" i="11"/>
  <c r="Q417" i="11"/>
  <c r="Q258" i="11"/>
  <c r="D493" i="11"/>
  <c r="Q270" i="11"/>
  <c r="Q380" i="11"/>
  <c r="D499" i="11"/>
  <c r="Q157" i="11"/>
  <c r="D114" i="11"/>
  <c r="Q441" i="11"/>
  <c r="Q244" i="11"/>
  <c r="D506" i="11"/>
  <c r="P153" i="11"/>
  <c r="Q278" i="11"/>
  <c r="D503" i="11"/>
  <c r="Q181" i="11"/>
  <c r="D422" i="11"/>
  <c r="Q381" i="11"/>
  <c r="D402" i="11"/>
  <c r="D488" i="11"/>
  <c r="Q543" i="11"/>
  <c r="D409" i="11"/>
  <c r="D188" i="11"/>
  <c r="D157" i="11"/>
  <c r="Q598" i="11"/>
  <c r="D328" i="11"/>
  <c r="Q414" i="11"/>
  <c r="Q561" i="11"/>
  <c r="D411" i="11"/>
  <c r="D572" i="11"/>
  <c r="Q229" i="11"/>
  <c r="Q528" i="11"/>
  <c r="Q299" i="11"/>
  <c r="D418" i="11"/>
  <c r="Q545" i="11"/>
  <c r="D544" i="11"/>
  <c r="D359" i="11"/>
  <c r="Q170" i="11"/>
  <c r="D122" i="11"/>
  <c r="Q286" i="11"/>
  <c r="D53" i="11"/>
  <c r="I151" i="11"/>
  <c r="P144" i="11"/>
  <c r="H141" i="11"/>
  <c r="D302" i="11"/>
  <c r="Q306" i="11"/>
  <c r="Q182" i="11"/>
  <c r="D115" i="11"/>
  <c r="Q532" i="11"/>
  <c r="Q505" i="11"/>
  <c r="I147" i="11"/>
  <c r="D6" i="11"/>
  <c r="D40" i="11"/>
  <c r="Q197" i="11"/>
  <c r="D209" i="11"/>
  <c r="D179" i="11"/>
  <c r="Q500" i="11"/>
  <c r="Q569" i="11"/>
  <c r="Q504" i="11"/>
  <c r="Q389" i="11"/>
  <c r="D56" i="11"/>
  <c r="Q325" i="11"/>
  <c r="D225" i="11"/>
  <c r="Q477" i="11"/>
  <c r="Q352" i="11"/>
  <c r="Q291" i="11"/>
  <c r="Q361" i="11"/>
  <c r="D198" i="11"/>
  <c r="G160" i="11"/>
  <c r="D203" i="11"/>
  <c r="D113" i="11"/>
  <c r="D83" i="11"/>
  <c r="Q542" i="11"/>
  <c r="Q463" i="11"/>
  <c r="Q424" i="11"/>
  <c r="D105" i="11"/>
  <c r="Q208" i="11"/>
  <c r="D123" i="11"/>
  <c r="D33" i="11"/>
  <c r="D208" i="11"/>
  <c r="Q265" i="11"/>
  <c r="Q163" i="11"/>
  <c r="Q440" i="11"/>
  <c r="D73" i="11"/>
  <c r="Q429" i="11"/>
  <c r="D139" i="11"/>
  <c r="D49" i="11"/>
  <c r="D80" i="11"/>
  <c r="Q393" i="11"/>
  <c r="Q195" i="11"/>
  <c r="Q168" i="11"/>
  <c r="D41" i="11"/>
  <c r="Q176" i="11"/>
  <c r="D155" i="11"/>
  <c r="D65" i="11"/>
  <c r="I155" i="11"/>
  <c r="Q341" i="11"/>
  <c r="G142" i="11"/>
  <c r="Q277" i="11"/>
  <c r="D112" i="11"/>
  <c r="Q192" i="11"/>
  <c r="Q599" i="11"/>
  <c r="Q319" i="11"/>
  <c r="Q373" i="11"/>
  <c r="Q210" i="11"/>
  <c r="D305" i="11"/>
  <c r="D182" i="11"/>
  <c r="D12" i="11"/>
  <c r="Q567" i="11"/>
  <c r="Q335" i="11"/>
  <c r="Q541" i="11"/>
  <c r="Q178" i="11"/>
  <c r="D321" i="11"/>
  <c r="D147" i="11"/>
  <c r="Q309" i="11"/>
  <c r="Q194" i="11"/>
  <c r="Q287" i="11"/>
  <c r="Q155" i="11"/>
  <c r="Q274" i="11"/>
  <c r="D273" i="11"/>
  <c r="D57" i="11"/>
  <c r="Q376" i="11"/>
  <c r="Q143" i="11"/>
  <c r="Q360" i="11"/>
  <c r="Q587" i="11"/>
  <c r="D335" i="11"/>
  <c r="D345" i="11"/>
  <c r="Q180" i="11"/>
  <c r="D528" i="11"/>
  <c r="D250" i="11"/>
  <c r="Q367" i="11"/>
  <c r="Q392" i="11"/>
  <c r="D400" i="11"/>
  <c r="D571" i="11"/>
  <c r="D502" i="11"/>
  <c r="D172" i="11"/>
  <c r="Q548" i="11"/>
  <c r="D545" i="11"/>
  <c r="D207" i="11"/>
  <c r="P143" i="11"/>
  <c r="Q471" i="11"/>
  <c r="D366" i="11"/>
  <c r="G157" i="11"/>
  <c r="P161" i="11"/>
  <c r="D563" i="11"/>
  <c r="D36" i="11"/>
  <c r="D242" i="11"/>
  <c r="P146" i="11"/>
  <c r="D263" i="11"/>
  <c r="D570" i="11"/>
  <c r="D266" i="11"/>
  <c r="Q491" i="11"/>
  <c r="D376" i="11"/>
  <c r="D449" i="11"/>
  <c r="H161" i="11"/>
  <c r="Q316" i="11"/>
  <c r="D37" i="11"/>
  <c r="D578" i="11"/>
  <c r="D392" i="11"/>
  <c r="Q239" i="11"/>
  <c r="D245" i="11"/>
  <c r="D527" i="11"/>
  <c r="H152" i="11"/>
  <c r="D276" i="11"/>
  <c r="Q557" i="11"/>
  <c r="D154" i="11"/>
  <c r="I157" i="11"/>
  <c r="Q404" i="11"/>
  <c r="D526" i="11"/>
  <c r="Q255" i="11"/>
  <c r="D278" i="11"/>
  <c r="D444" i="11"/>
  <c r="D55" i="11"/>
  <c r="Q321" i="11"/>
  <c r="Q338" i="11"/>
  <c r="D453" i="11"/>
  <c r="Q603" i="11"/>
  <c r="D543" i="11"/>
  <c r="Q492" i="11"/>
  <c r="Q550" i="11"/>
  <c r="Q312" i="11"/>
  <c r="Q444" i="11"/>
  <c r="H151" i="11"/>
  <c r="D383" i="11"/>
  <c r="G153" i="11"/>
  <c r="D283" i="11"/>
  <c r="D350" i="11"/>
  <c r="H162" i="11"/>
  <c r="Q142" i="11"/>
  <c r="Q379" i="11"/>
  <c r="D438" i="11"/>
  <c r="Q483" i="11"/>
  <c r="D301" i="11"/>
  <c r="D372" i="11"/>
  <c r="D164" i="11"/>
  <c r="D117" i="11"/>
  <c r="P142" i="11"/>
  <c r="D288" i="11"/>
  <c r="Q422" i="11"/>
  <c r="D399" i="11"/>
  <c r="Q359" i="11"/>
  <c r="D504" i="11"/>
  <c r="D473" i="11"/>
  <c r="Q219" i="11"/>
  <c r="D579" i="11"/>
  <c r="D343" i="11"/>
  <c r="D487" i="11"/>
  <c r="D111" i="11"/>
  <c r="D534" i="11"/>
  <c r="D87" i="11"/>
  <c r="D514" i="11"/>
  <c r="D121" i="11"/>
  <c r="Q144" i="11"/>
  <c r="H160" i="11"/>
  <c r="I145" i="11"/>
  <c r="Q209" i="11"/>
  <c r="D96" i="11"/>
  <c r="D43" i="11"/>
  <c r="D206" i="11"/>
  <c r="D246" i="11"/>
  <c r="Q145" i="11"/>
  <c r="Q591" i="11"/>
  <c r="P162" i="11"/>
  <c r="D233" i="11"/>
  <c r="D64" i="11"/>
  <c r="D59" i="11"/>
  <c r="D222" i="11"/>
  <c r="Q201" i="11"/>
  <c r="D153" i="11"/>
  <c r="Q346" i="11"/>
  <c r="P160" i="11"/>
  <c r="Q498" i="11"/>
  <c r="D35" i="11"/>
  <c r="D200" i="11"/>
  <c r="D110" i="11"/>
  <c r="Q514" i="11"/>
  <c r="D86" i="11"/>
  <c r="Q518" i="11"/>
  <c r="Q356" i="11"/>
  <c r="Q149" i="11"/>
  <c r="D195" i="11"/>
  <c r="D120" i="11"/>
  <c r="D30" i="11"/>
  <c r="Q305" i="11"/>
  <c r="D150" i="11"/>
  <c r="Q474" i="11"/>
  <c r="Q420" i="11"/>
  <c r="Q141" i="11"/>
  <c r="D163" i="11"/>
  <c r="D136" i="11"/>
  <c r="D46" i="11"/>
  <c r="Q369" i="11"/>
  <c r="D214" i="11"/>
  <c r="Q442" i="11"/>
  <c r="Q484" i="11"/>
  <c r="Q148" i="11"/>
  <c r="D131" i="11"/>
  <c r="D152" i="11"/>
  <c r="D62" i="11"/>
  <c r="Q433" i="11"/>
  <c r="Q288" i="11"/>
  <c r="D17" i="11"/>
  <c r="Q297" i="11"/>
  <c r="D129" i="11"/>
  <c r="Q355" i="11"/>
  <c r="D393" i="11"/>
  <c r="Q249" i="11"/>
  <c r="Q409" i="11"/>
  <c r="Q198" i="11"/>
  <c r="Q350" i="11"/>
  <c r="D423" i="11"/>
  <c r="D337" i="11"/>
  <c r="D85" i="11"/>
  <c r="Q215" i="11"/>
  <c r="Q510" i="11"/>
  <c r="Q418" i="11"/>
  <c r="D451" i="11"/>
  <c r="Q521" i="11"/>
  <c r="D407" i="11"/>
  <c r="D23" i="11"/>
  <c r="D39" i="11"/>
  <c r="D577" i="11"/>
  <c r="D414" i="11"/>
  <c r="D132" i="11"/>
  <c r="D594" i="11"/>
  <c r="Q421" i="11"/>
  <c r="Q493" i="11"/>
  <c r="Q160" i="11"/>
  <c r="Q586" i="11"/>
  <c r="Q200" i="11"/>
  <c r="I159" i="11"/>
  <c r="Q348" i="11"/>
  <c r="Q570" i="11"/>
  <c r="D25" i="11"/>
  <c r="D99" i="11"/>
  <c r="D89" i="11"/>
  <c r="D67" i="11"/>
  <c r="D243" i="11"/>
  <c r="I158" i="11"/>
  <c r="D176" i="11"/>
  <c r="D102" i="11"/>
  <c r="D240" i="11"/>
  <c r="D70" i="11"/>
  <c r="D51" i="11"/>
  <c r="D38" i="11"/>
  <c r="Q495" i="11"/>
  <c r="I149" i="11"/>
  <c r="D235" i="11"/>
  <c r="Q314" i="11"/>
  <c r="D216" i="11"/>
  <c r="Q153" i="11"/>
  <c r="Q240" i="11"/>
  <c r="Q301" i="11"/>
  <c r="Q416" i="11"/>
  <c r="D254" i="11"/>
  <c r="Q228" i="11"/>
  <c r="Q261" i="11"/>
  <c r="G146" i="11"/>
  <c r="Q568" i="11"/>
  <c r="Q223" i="11"/>
  <c r="Q238" i="11"/>
  <c r="H154" i="11"/>
  <c r="D519" i="11"/>
  <c r="Q533" i="11"/>
  <c r="Q184" i="11"/>
  <c r="D241" i="11"/>
  <c r="Q574" i="11"/>
  <c r="D193" i="11"/>
  <c r="Q405" i="11"/>
  <c r="D275" i="11"/>
  <c r="D91" i="11"/>
  <c r="D14" i="11"/>
  <c r="Q345" i="11"/>
  <c r="Q230" i="11"/>
  <c r="Q302" i="11"/>
  <c r="D471" i="11"/>
  <c r="D404" i="11"/>
  <c r="D175" i="11"/>
  <c r="D239" i="11"/>
  <c r="D44" i="11"/>
  <c r="Q276" i="11"/>
  <c r="D433" i="11"/>
  <c r="D429" i="11"/>
  <c r="D604" i="11"/>
  <c r="D458" i="11"/>
  <c r="Q538" i="11"/>
  <c r="D405" i="11"/>
  <c r="Q166" i="11"/>
  <c r="Q293" i="11"/>
  <c r="Q547" i="11"/>
  <c r="D69" i="11"/>
  <c r="D367" i="11"/>
  <c r="Q254" i="11"/>
  <c r="Q537" i="11"/>
  <c r="Q162" i="11"/>
  <c r="D515" i="11"/>
  <c r="G150" i="11"/>
  <c r="D535" i="11"/>
  <c r="G151" i="11"/>
  <c r="D452" i="11"/>
  <c r="Q410" i="11"/>
  <c r="D168" i="11"/>
  <c r="Q378" i="11"/>
  <c r="D184" i="11"/>
  <c r="H144" i="11"/>
  <c r="D72" i="11"/>
  <c r="I150" i="11"/>
  <c r="Q605" i="11"/>
  <c r="Q596" i="11"/>
  <c r="D8" i="11"/>
  <c r="Q564" i="11"/>
  <c r="D24" i="11"/>
  <c r="D107" i="11"/>
  <c r="Q233" i="11"/>
  <c r="D145" i="11"/>
  <c r="D259" i="11"/>
  <c r="D126" i="11"/>
  <c r="Q273" i="11"/>
  <c r="D224" i="11"/>
  <c r="Q573" i="11"/>
  <c r="D169" i="11"/>
  <c r="H159" i="11"/>
  <c r="Q224" i="11"/>
  <c r="Q221" i="11"/>
  <c r="D88" i="11"/>
  <c r="Q600" i="11"/>
  <c r="D440" i="11"/>
  <c r="Q169" i="11"/>
  <c r="Q147" i="11"/>
  <c r="D217" i="11"/>
  <c r="Q589" i="11"/>
  <c r="D142" i="11"/>
  <c r="D104" i="11"/>
  <c r="Q397" i="11"/>
  <c r="Q318" i="11"/>
  <c r="D455" i="11"/>
  <c r="D428" i="11"/>
  <c r="D441" i="11"/>
  <c r="Q558" i="11"/>
  <c r="Q206" i="11"/>
  <c r="D374" i="11"/>
  <c r="D566" i="11"/>
  <c r="Q165" i="11"/>
  <c r="D31" i="11"/>
  <c r="Q366" i="11"/>
  <c r="D50" i="11"/>
  <c r="Q332" i="11"/>
  <c r="H146" i="11"/>
  <c r="Q172" i="11"/>
  <c r="Q457" i="11"/>
  <c r="H147" i="11"/>
  <c r="D285" i="11"/>
  <c r="G152" i="11"/>
  <c r="Q263" i="11"/>
  <c r="D162" i="11"/>
  <c r="D497" i="11"/>
  <c r="D557" i="11"/>
  <c r="Q245" i="11"/>
  <c r="D522" i="11"/>
  <c r="D355" i="11"/>
  <c r="Q342" i="11"/>
  <c r="D272" i="11"/>
  <c r="Q602" i="11"/>
  <c r="D78" i="11"/>
  <c r="P150" i="11"/>
  <c r="D94" i="11"/>
  <c r="Q164" i="11"/>
  <c r="Q453" i="11"/>
  <c r="Q387" i="11"/>
  <c r="D251" i="11"/>
  <c r="Q419" i="11"/>
  <c r="Q349" i="11"/>
  <c r="Q451" i="11"/>
  <c r="Q344" i="11"/>
  <c r="Q323" i="11"/>
  <c r="D134" i="11"/>
  <c r="P158" i="11"/>
  <c r="Q368" i="11"/>
  <c r="Q456" i="11"/>
  <c r="Q282" i="11"/>
  <c r="D232" i="11"/>
  <c r="Q520" i="11"/>
  <c r="Q280" i="11"/>
  <c r="Q582" i="11"/>
  <c r="Q292" i="11"/>
  <c r="D22" i="11"/>
  <c r="Q241" i="11"/>
  <c r="Q177" i="11"/>
  <c r="D420" i="11"/>
  <c r="D465" i="11"/>
  <c r="Q313" i="11"/>
  <c r="Q217" i="11"/>
  <c r="Q294" i="11"/>
  <c r="D194" i="11"/>
  <c r="D379" i="11"/>
  <c r="D167" i="11"/>
  <c r="D19" i="11"/>
  <c r="D237" i="11"/>
  <c r="Q284" i="11"/>
  <c r="I152" i="11"/>
  <c r="Q406" i="11"/>
  <c r="D461" i="11"/>
  <c r="P149" i="11"/>
  <c r="Q315" i="11"/>
  <c r="D587" i="11"/>
  <c r="D256" i="11"/>
  <c r="Q571" i="11"/>
  <c r="D159" i="11"/>
  <c r="D178" i="11"/>
  <c r="D289" i="11"/>
  <c r="D601" i="11"/>
  <c r="P159" i="11"/>
  <c r="H156" i="11"/>
  <c r="Q536" i="11"/>
  <c r="D161" i="11"/>
  <c r="D177" i="11"/>
  <c r="D219" i="11"/>
  <c r="D3" i="11"/>
  <c r="Q527" i="11"/>
  <c r="D227" i="11"/>
  <c r="F149" i="11"/>
  <c r="F503" i="11"/>
  <c r="F592" i="11"/>
  <c r="F466" i="11"/>
  <c r="F277" i="11"/>
  <c r="F408" i="11"/>
  <c r="F557" i="11"/>
  <c r="F541" i="11"/>
  <c r="F256" i="11"/>
  <c r="F219" i="11"/>
  <c r="F318" i="11"/>
  <c r="F417" i="11"/>
  <c r="F434" i="11"/>
  <c r="F514" i="11"/>
  <c r="F487" i="11"/>
  <c r="F504" i="11"/>
  <c r="F449" i="11"/>
  <c r="F232" i="11"/>
  <c r="F393" i="11"/>
  <c r="F286" i="11"/>
  <c r="F165" i="11"/>
  <c r="F158" i="11"/>
  <c r="F571" i="11"/>
  <c r="F386" i="11"/>
  <c r="F171" i="11"/>
  <c r="F189" i="11"/>
  <c r="F402" i="11"/>
  <c r="F195" i="11"/>
  <c r="F477" i="11"/>
  <c r="F517" i="11"/>
  <c r="F213" i="11"/>
  <c r="F188" i="11"/>
  <c r="F513" i="11"/>
  <c r="F190" i="11"/>
  <c r="F512" i="11"/>
  <c r="F401" i="11"/>
  <c r="F357" i="11"/>
  <c r="F425" i="11"/>
  <c r="F176" i="11"/>
  <c r="F454" i="11"/>
  <c r="F366" i="11"/>
  <c r="F319" i="11"/>
  <c r="F490" i="11"/>
  <c r="F448" i="11"/>
  <c r="F604" i="11"/>
  <c r="F598" i="11"/>
  <c r="F558" i="11"/>
  <c r="F482" i="11"/>
  <c r="F456" i="11"/>
  <c r="F142" i="11"/>
  <c r="F486" i="11"/>
  <c r="F426" i="11"/>
  <c r="F431" i="11"/>
  <c r="F337" i="11"/>
  <c r="F166" i="11"/>
  <c r="F247" i="11"/>
  <c r="F515" i="11"/>
  <c r="F334" i="11"/>
  <c r="F328" i="11"/>
  <c r="F157" i="11"/>
  <c r="F418" i="11"/>
  <c r="F543" i="11"/>
  <c r="F179" i="11"/>
  <c r="F362" i="11"/>
  <c r="F217" i="11"/>
  <c r="F279" i="11"/>
  <c r="F483" i="11"/>
  <c r="F429" i="11"/>
  <c r="F368" i="11"/>
  <c r="F492" i="11"/>
  <c r="F250" i="11"/>
  <c r="F311" i="11"/>
  <c r="F563" i="11"/>
  <c r="F591" i="11"/>
  <c r="F531" i="11"/>
  <c r="F606" i="11"/>
  <c r="F555" i="11"/>
  <c r="F278" i="11"/>
  <c r="F237" i="11"/>
  <c r="F263" i="11"/>
  <c r="F184" i="11"/>
  <c r="F493" i="11"/>
  <c r="F420" i="11"/>
  <c r="F259" i="11"/>
  <c r="F231" i="11"/>
  <c r="F202" i="11"/>
  <c r="F455" i="11"/>
  <c r="F245" i="11"/>
  <c r="F465" i="11"/>
  <c r="F574" i="11"/>
  <c r="F463" i="11"/>
  <c r="F384" i="11"/>
  <c r="F340" i="11"/>
  <c r="F222" i="11"/>
  <c r="F593" i="11"/>
  <c r="F452" i="11"/>
  <c r="F520" i="11"/>
  <c r="F182" i="11"/>
  <c r="F511" i="11"/>
  <c r="F350" i="11"/>
  <c r="F257" i="11"/>
  <c r="F414" i="11"/>
  <c r="F499" i="11"/>
  <c r="F304" i="11"/>
  <c r="F156" i="11"/>
  <c r="F208" i="11"/>
  <c r="F547" i="11"/>
  <c r="F240" i="11"/>
  <c r="F155" i="11"/>
  <c r="F287" i="11"/>
  <c r="F409" i="11"/>
  <c r="F523" i="11"/>
  <c r="F590" i="11"/>
  <c r="F459" i="11"/>
  <c r="F335" i="11"/>
  <c r="F595" i="11"/>
  <c r="F205" i="11"/>
  <c r="F394" i="11"/>
  <c r="F363" i="11"/>
  <c r="F212" i="11"/>
  <c r="F235" i="11"/>
  <c r="F327" i="11"/>
  <c r="F588" i="11"/>
  <c r="F354" i="11"/>
  <c r="F330" i="11"/>
  <c r="F437" i="11"/>
  <c r="F274" i="11"/>
  <c r="F248" i="11"/>
  <c r="F174" i="11"/>
  <c r="F145" i="11"/>
  <c r="F324" i="11"/>
  <c r="F561" i="11"/>
  <c r="F399" i="11"/>
  <c r="F153" i="11"/>
  <c r="F476" i="11"/>
  <c r="F289" i="11"/>
  <c r="F228" i="11"/>
  <c r="F356" i="11"/>
  <c r="F396" i="11"/>
  <c r="F359" i="11"/>
  <c r="F416" i="11"/>
  <c r="F197" i="11"/>
  <c r="F516" i="11"/>
  <c r="F488" i="11"/>
  <c r="F296" i="11"/>
  <c r="F309" i="11"/>
  <c r="F226" i="11"/>
  <c r="F196" i="11"/>
  <c r="F331" i="11"/>
  <c r="F519" i="11"/>
  <c r="F577" i="11"/>
  <c r="F260" i="11"/>
  <c r="F451" i="11"/>
  <c r="F236" i="11"/>
  <c r="F552" i="11"/>
  <c r="F308" i="11"/>
  <c r="F556" i="11"/>
  <c r="F163" i="11"/>
  <c r="F532" i="11"/>
  <c r="F589" i="11"/>
  <c r="F470" i="11"/>
  <c r="F372" i="11"/>
  <c r="F168" i="11"/>
  <c r="F423" i="11"/>
  <c r="F284" i="11"/>
  <c r="F377" i="11"/>
  <c r="F403" i="11"/>
  <c r="F410" i="11"/>
  <c r="F497" i="11"/>
  <c r="F491" i="11"/>
  <c r="F185" i="11"/>
  <c r="F322" i="11"/>
  <c r="F405" i="11"/>
  <c r="F249" i="11"/>
  <c r="F473" i="11"/>
  <c r="F509" i="11"/>
  <c r="F478" i="11"/>
  <c r="F428" i="11"/>
  <c r="F148" i="11"/>
  <c r="F468" i="11"/>
  <c r="F270" i="11"/>
  <c r="F175" i="11"/>
  <c r="F439" i="11"/>
  <c r="F291" i="11"/>
  <c r="F169" i="11"/>
  <c r="F351" i="11"/>
  <c r="F575" i="11"/>
  <c r="F524" i="11"/>
  <c r="F370" i="11"/>
  <c r="F152" i="11"/>
  <c r="F275" i="11"/>
  <c r="F355" i="11"/>
  <c r="F297" i="11"/>
  <c r="F471" i="11"/>
  <c r="F422" i="11"/>
  <c r="F442" i="11"/>
  <c r="F203" i="11"/>
  <c r="F505" i="11"/>
  <c r="F310" i="11"/>
  <c r="F360" i="11"/>
  <c r="F221" i="11"/>
  <c r="F200" i="11"/>
  <c r="F252" i="11"/>
  <c r="F502" i="11"/>
  <c r="F549" i="11"/>
  <c r="F268" i="11"/>
  <c r="F582" i="11"/>
  <c r="F447" i="11"/>
  <c r="F438" i="11"/>
  <c r="F204" i="11"/>
  <c r="F415" i="11"/>
  <c r="F187" i="11"/>
  <c r="F538" i="11"/>
  <c r="F565" i="11"/>
  <c r="F566" i="11"/>
  <c r="F576" i="11"/>
  <c r="F544" i="11"/>
  <c r="F579" i="11"/>
  <c r="F412" i="11"/>
  <c r="F495" i="11"/>
  <c r="F406" i="11"/>
  <c r="F194" i="11"/>
  <c r="F201" i="11"/>
  <c r="F290" i="11"/>
  <c r="F316" i="11"/>
  <c r="F554" i="11"/>
  <c r="F358" i="11"/>
  <c r="F398" i="11"/>
  <c r="F435" i="11"/>
  <c r="F361" i="11"/>
  <c r="F594" i="11"/>
  <c r="F151" i="11"/>
  <c r="F154" i="11"/>
  <c r="F436" i="11"/>
  <c r="F218" i="11"/>
  <c r="F474" i="11"/>
  <c r="F333" i="11"/>
  <c r="F261" i="11"/>
  <c r="F596" i="11"/>
  <c r="F567" i="11"/>
  <c r="F313" i="11"/>
  <c r="F446" i="11"/>
  <c r="F533" i="11"/>
  <c r="F462" i="11"/>
  <c r="F419" i="11"/>
  <c r="F312" i="11"/>
  <c r="F329" i="11"/>
  <c r="F306" i="11"/>
  <c r="F230" i="11"/>
  <c r="F522" i="11"/>
  <c r="F440" i="11"/>
  <c r="F220" i="11"/>
  <c r="F336" i="11"/>
  <c r="F164" i="11"/>
  <c r="F534" i="11"/>
  <c r="F506" i="11"/>
  <c r="F457" i="11"/>
  <c r="F568" i="11"/>
  <c r="F285" i="11"/>
  <c r="F341" i="11"/>
  <c r="F339" i="11"/>
  <c r="F453" i="11"/>
  <c r="F603" i="11"/>
  <c r="F161" i="11"/>
  <c r="F545" i="11"/>
  <c r="F535" i="11"/>
  <c r="F251" i="11"/>
  <c r="F243" i="11"/>
  <c r="F198" i="11"/>
  <c r="F276" i="11"/>
  <c r="F551" i="11"/>
  <c r="F460" i="11"/>
  <c r="F246" i="11"/>
  <c r="F481" i="11"/>
  <c r="F562" i="11"/>
  <c r="F317" i="11"/>
  <c r="F294" i="11"/>
  <c r="F344" i="11"/>
  <c r="F364" i="11"/>
  <c r="F388" i="11"/>
  <c r="F444" i="11"/>
  <c r="F266" i="11"/>
  <c r="F323" i="11"/>
  <c r="F475" i="11"/>
  <c r="F150" i="11"/>
  <c r="F210" i="11"/>
  <c r="F381" i="11"/>
  <c r="F141" i="11"/>
  <c r="F170" i="11"/>
  <c r="F421" i="11"/>
  <c r="F293" i="11"/>
  <c r="F548" i="11"/>
  <c r="F283" i="11"/>
  <c r="F162" i="11"/>
  <c r="F305" i="11"/>
  <c r="F347" i="11"/>
  <c r="F413" i="11"/>
  <c r="F500" i="11"/>
  <c r="F496" i="11"/>
  <c r="F183" i="11"/>
  <c r="F367" i="11"/>
  <c r="F494" i="11"/>
  <c r="F365" i="11"/>
  <c r="F371" i="11"/>
  <c r="F383" i="11"/>
  <c r="F587" i="11"/>
  <c r="F404" i="11"/>
  <c r="F498" i="11"/>
  <c r="F430" i="11"/>
  <c r="F450" i="11"/>
  <c r="F255" i="11"/>
  <c r="F338" i="11"/>
  <c r="F586" i="11"/>
  <c r="F303" i="11"/>
  <c r="F281" i="11"/>
  <c r="F484" i="11"/>
  <c r="F395" i="11"/>
  <c r="F271" i="11"/>
  <c r="F597" i="11"/>
  <c r="F241" i="11"/>
  <c r="F397" i="11"/>
  <c r="F508" i="11"/>
  <c r="F461" i="11"/>
  <c r="F479" i="11"/>
  <c r="F159" i="11"/>
  <c r="F233" i="11"/>
  <c r="F525" i="11"/>
  <c r="F178" i="11"/>
  <c r="F223" i="11"/>
  <c r="F229" i="11"/>
  <c r="F209" i="11"/>
  <c r="F262" i="11"/>
  <c r="F192" i="11"/>
  <c r="F346" i="11"/>
  <c r="F147" i="11"/>
  <c r="F282" i="11"/>
  <c r="F258" i="11"/>
  <c r="F216" i="11"/>
  <c r="F542" i="11"/>
  <c r="F569" i="11"/>
  <c r="F320" i="11"/>
  <c r="F480" i="11"/>
  <c r="F342" i="11"/>
  <c r="F537" i="11"/>
  <c r="F239" i="11"/>
  <c r="F207" i="11"/>
  <c r="F583" i="11"/>
  <c r="F299" i="11"/>
  <c r="F382" i="11"/>
  <c r="F572" i="11"/>
  <c r="F374" i="11"/>
  <c r="F353" i="11"/>
  <c r="F345" i="11"/>
  <c r="F267" i="11"/>
  <c r="F584" i="11"/>
  <c r="F224" i="11"/>
  <c r="F325" i="11"/>
  <c r="F378" i="11"/>
  <c r="F315" i="11"/>
  <c r="F300" i="11"/>
  <c r="F288" i="11"/>
  <c r="F458" i="11"/>
  <c r="F400" i="11"/>
  <c r="F539" i="11"/>
  <c r="F254" i="11"/>
  <c r="F376" i="11"/>
  <c r="F600" i="11"/>
  <c r="F227" i="11"/>
  <c r="F215" i="11"/>
  <c r="F177" i="11"/>
  <c r="F369" i="11"/>
  <c r="F530" i="11"/>
  <c r="F292" i="11"/>
  <c r="F211" i="11"/>
  <c r="F186" i="11"/>
  <c r="F199" i="11"/>
  <c r="F264" i="11"/>
  <c r="F172" i="11"/>
  <c r="F375" i="11"/>
  <c r="F602" i="11"/>
  <c r="F234" i="11"/>
  <c r="F144" i="11"/>
  <c r="F527" i="11"/>
  <c r="F307" i="11"/>
  <c r="F265" i="11"/>
  <c r="F295" i="11"/>
  <c r="F518" i="11"/>
  <c r="F559" i="11"/>
  <c r="F379" i="11"/>
  <c r="F349" i="11"/>
  <c r="F143" i="11"/>
  <c r="F193" i="11"/>
  <c r="F507" i="11"/>
  <c r="F485" i="11"/>
  <c r="F392" i="11"/>
  <c r="F546" i="11"/>
  <c r="F191" i="11"/>
  <c r="F570" i="11"/>
  <c r="F432" i="11"/>
  <c r="F206" i="11"/>
  <c r="F301" i="11"/>
  <c r="F467" i="11"/>
  <c r="F407" i="11"/>
  <c r="F536" i="11"/>
  <c r="F389" i="11"/>
  <c r="F464" i="11"/>
  <c r="F601" i="11"/>
  <c r="F321" i="11"/>
  <c r="F585" i="11"/>
  <c r="F529" i="11"/>
  <c r="F573" i="11"/>
  <c r="F280" i="11"/>
  <c r="F387" i="11"/>
  <c r="F445" i="11"/>
  <c r="F167" i="11"/>
  <c r="F332" i="11"/>
  <c r="F273" i="11"/>
  <c r="F427" i="11"/>
  <c r="F489" i="11"/>
  <c r="F528" i="11"/>
  <c r="F441" i="11"/>
  <c r="F578" i="11"/>
  <c r="F560" i="11"/>
  <c r="F443" i="11"/>
  <c r="F380" i="11"/>
  <c r="F605" i="11"/>
  <c r="F391" i="11"/>
  <c r="F540" i="11"/>
  <c r="F225" i="11"/>
  <c r="F564" i="11"/>
  <c r="F472" i="11"/>
  <c r="F314" i="11"/>
  <c r="F343" i="11"/>
  <c r="F326" i="11"/>
  <c r="F501" i="11"/>
  <c r="F269" i="11"/>
  <c r="F214" i="11"/>
  <c r="F298" i="11"/>
  <c r="F385" i="11"/>
  <c r="F580" i="11"/>
  <c r="F253" i="11"/>
  <c r="F244" i="11"/>
  <c r="F160" i="11"/>
  <c r="F553" i="11"/>
  <c r="F599" i="11"/>
  <c r="F272" i="11"/>
  <c r="F411" i="11"/>
  <c r="F469" i="11"/>
  <c r="F373" i="11"/>
  <c r="F146" i="11"/>
  <c r="F173" i="11"/>
  <c r="F550" i="11"/>
  <c r="F424" i="11"/>
  <c r="F348" i="11"/>
  <c r="F521" i="11"/>
  <c r="F433" i="11"/>
  <c r="F526" i="11"/>
  <c r="F180" i="11"/>
  <c r="F238" i="11"/>
  <c r="F510" i="11"/>
  <c r="F390" i="11"/>
  <c r="F352" i="11"/>
  <c r="F581" i="11"/>
  <c r="F181" i="11"/>
  <c r="F242" i="11"/>
  <c r="F86" i="18"/>
  <c r="D85" i="18"/>
  <c r="E85" i="18"/>
  <c r="D364" i="11" l="1"/>
  <c r="Q512" i="11"/>
  <c r="D322" i="11"/>
  <c r="Q592" i="11"/>
  <c r="Q446" i="11"/>
  <c r="D324" i="11"/>
  <c r="Q473" i="11"/>
  <c r="Q595" i="11"/>
  <c r="D210" i="11"/>
  <c r="D191" i="11"/>
  <c r="Q161" i="11"/>
  <c r="Q281" i="11"/>
  <c r="Q565" i="11"/>
  <c r="Q343" i="11"/>
  <c r="Q572" i="11"/>
  <c r="D358" i="11"/>
  <c r="D21" i="11"/>
  <c r="D363" i="11"/>
  <c r="D390" i="11"/>
  <c r="E390" i="11" s="1"/>
  <c r="D61" i="11"/>
  <c r="Q452" i="11"/>
  <c r="I156" i="11"/>
  <c r="D597" i="11"/>
  <c r="J597" i="11" s="1"/>
  <c r="D5" i="11"/>
  <c r="D352" i="11"/>
  <c r="D382" i="11"/>
  <c r="D45" i="11"/>
  <c r="E45" i="11" s="1"/>
  <c r="F45" i="11" s="1"/>
  <c r="Q159" i="11"/>
  <c r="Q549" i="11"/>
  <c r="D496" i="11"/>
  <c r="Q307" i="11"/>
  <c r="D77" i="11"/>
  <c r="D546" i="11"/>
  <c r="D20" i="11"/>
  <c r="D589" i="11"/>
  <c r="E589" i="11" s="1"/>
  <c r="D537" i="11"/>
  <c r="D603" i="11"/>
  <c r="D606" i="11"/>
  <c r="G143" i="11"/>
  <c r="D553" i="11"/>
  <c r="Q475" i="11"/>
  <c r="D318" i="11"/>
  <c r="Q394" i="11"/>
  <c r="Q363" i="11"/>
  <c r="I161" i="11"/>
  <c r="D569" i="11"/>
  <c r="D525" i="11"/>
  <c r="E525" i="11" s="1"/>
  <c r="D2" i="11"/>
  <c r="Q506" i="11"/>
  <c r="D119" i="11"/>
  <c r="Q522" i="11"/>
  <c r="P141" i="11"/>
  <c r="D143" i="11"/>
  <c r="Q458" i="11"/>
  <c r="D591" i="11"/>
  <c r="L591" i="11" s="1"/>
  <c r="Q436" i="11"/>
  <c r="D103" i="11"/>
  <c r="Q476" i="11"/>
  <c r="H148" i="11"/>
  <c r="D127" i="11"/>
  <c r="Q213" i="11"/>
  <c r="Q529" i="11"/>
  <c r="H142" i="11"/>
  <c r="D466" i="11"/>
  <c r="D360" i="11"/>
  <c r="P152" i="11"/>
  <c r="D539" i="11"/>
  <c r="T539" i="11" s="1"/>
  <c r="S539" i="11" s="1"/>
  <c r="Q503" i="11"/>
  <c r="Q196" i="11"/>
  <c r="Q501" i="11"/>
  <c r="D63" i="11"/>
  <c r="E63" i="11" s="1"/>
  <c r="D516" i="11"/>
  <c r="Q432" i="11"/>
  <c r="D533" i="11"/>
  <c r="Q351" i="11"/>
  <c r="D424" i="11"/>
  <c r="G144" i="11"/>
  <c r="Q563" i="11"/>
  <c r="Q339" i="11"/>
  <c r="D15" i="11"/>
  <c r="D151" i="11"/>
  <c r="D550" i="11"/>
  <c r="D28" i="11"/>
  <c r="Q28" i="11" s="1"/>
  <c r="D265" i="11"/>
  <c r="D538" i="11"/>
  <c r="Q216" i="11"/>
  <c r="D531" i="11"/>
  <c r="T531" i="11" s="1"/>
  <c r="S531" i="11" s="1"/>
  <c r="D558" i="11"/>
  <c r="D138" i="11"/>
  <c r="I141" i="11"/>
  <c r="Q459" i="11"/>
  <c r="D456" i="11"/>
  <c r="D476" i="11"/>
  <c r="D271" i="11"/>
  <c r="D300" i="11"/>
  <c r="K300" i="11" s="1"/>
  <c r="Q310" i="11"/>
  <c r="D437" i="11"/>
  <c r="D98" i="11"/>
  <c r="D270" i="11"/>
  <c r="J270" i="11" s="1"/>
  <c r="D477" i="11"/>
  <c r="D220" i="11"/>
  <c r="D472" i="11"/>
  <c r="D556" i="11"/>
  <c r="M556" i="11" s="1"/>
  <c r="D228" i="11"/>
  <c r="D170" i="11"/>
  <c r="Q531" i="11"/>
  <c r="D469" i="11"/>
  <c r="J469" i="11" s="1"/>
  <c r="D457" i="11"/>
  <c r="Q556" i="11"/>
  <c r="D294" i="11"/>
  <c r="H158" i="11"/>
  <c r="D593" i="11"/>
  <c r="Q246" i="11"/>
  <c r="Q427" i="11"/>
  <c r="D548" i="11"/>
  <c r="J548" i="11" s="1"/>
  <c r="D509" i="11"/>
  <c r="D252" i="11"/>
  <c r="D299" i="11"/>
  <c r="Q439" i="11"/>
  <c r="D146" i="11"/>
  <c r="Q252" i="11"/>
  <c r="G141" i="11"/>
  <c r="Q435" i="11"/>
  <c r="D463" i="11"/>
  <c r="Q588" i="11"/>
  <c r="D286" i="11"/>
  <c r="Q553" i="11"/>
  <c r="D585" i="11"/>
  <c r="D54" i="11"/>
  <c r="D485" i="11"/>
  <c r="D244" i="11"/>
  <c r="T244" i="11" s="1"/>
  <c r="S244" i="11" s="1"/>
  <c r="Q515" i="11"/>
  <c r="D186" i="11"/>
  <c r="Q580" i="11"/>
  <c r="Q407" i="11"/>
  <c r="D130" i="11"/>
  <c r="Q220" i="11"/>
  <c r="Q508" i="11"/>
  <c r="Q490" i="11"/>
  <c r="F302" i="11"/>
  <c r="Q546" i="11"/>
  <c r="D308" i="11"/>
  <c r="D313" i="11"/>
  <c r="E313" i="11" s="1"/>
  <c r="D562" i="11"/>
  <c r="Q400" i="11"/>
  <c r="D555" i="11"/>
  <c r="D582" i="11"/>
  <c r="U582" i="11" s="1"/>
  <c r="I148" i="11"/>
  <c r="D332" i="11"/>
  <c r="D297" i="11"/>
  <c r="D554" i="11"/>
  <c r="E554" i="11" s="1"/>
  <c r="Q272" i="11"/>
  <c r="D547" i="11"/>
  <c r="D574" i="11"/>
  <c r="Q464" i="11"/>
  <c r="D260" i="11"/>
  <c r="J227" i="11"/>
  <c r="K227" i="11"/>
  <c r="E227" i="11"/>
  <c r="O227" i="11"/>
  <c r="U227" i="11"/>
  <c r="T227" i="11"/>
  <c r="S227" i="11" s="1"/>
  <c r="M227" i="11"/>
  <c r="N227" i="11"/>
  <c r="L227" i="11"/>
  <c r="R227" i="11"/>
  <c r="E177" i="11"/>
  <c r="K177" i="11"/>
  <c r="O177" i="11"/>
  <c r="N177" i="11"/>
  <c r="T177" i="11"/>
  <c r="S177" i="11" s="1"/>
  <c r="U177" i="11"/>
  <c r="J177" i="11"/>
  <c r="M177" i="11"/>
  <c r="L177" i="11"/>
  <c r="E159" i="11"/>
  <c r="M159" i="11"/>
  <c r="O159" i="11"/>
  <c r="J159" i="11"/>
  <c r="L159" i="11"/>
  <c r="T159" i="11"/>
  <c r="S159" i="11" s="1"/>
  <c r="K159" i="11"/>
  <c r="U159" i="11"/>
  <c r="N159" i="11"/>
  <c r="R159" i="11"/>
  <c r="L167" i="11"/>
  <c r="O167" i="11"/>
  <c r="E167" i="11"/>
  <c r="K167" i="11"/>
  <c r="M167" i="11"/>
  <c r="U167" i="11"/>
  <c r="J167" i="11"/>
  <c r="N167" i="11"/>
  <c r="T167" i="11"/>
  <c r="S167" i="11" s="1"/>
  <c r="H134" i="11"/>
  <c r="G134" i="11"/>
  <c r="I134" i="11"/>
  <c r="L134" i="11"/>
  <c r="P134" i="11"/>
  <c r="E134" i="11"/>
  <c r="T134" i="11"/>
  <c r="S134" i="11" s="1"/>
  <c r="O134" i="11"/>
  <c r="J134" i="11"/>
  <c r="F134" i="11"/>
  <c r="U134" i="11"/>
  <c r="N134" i="11"/>
  <c r="Q134" i="11"/>
  <c r="K134" i="11"/>
  <c r="M134" i="11"/>
  <c r="E78" i="11"/>
  <c r="L78" i="11" s="1"/>
  <c r="P78" i="11"/>
  <c r="U78" i="11" s="1"/>
  <c r="Q78" i="11"/>
  <c r="T355" i="11"/>
  <c r="S355" i="11" s="1"/>
  <c r="K355" i="11"/>
  <c r="U355" i="11"/>
  <c r="L355" i="11"/>
  <c r="E355" i="11"/>
  <c r="O355" i="11"/>
  <c r="N355" i="11"/>
  <c r="J355" i="11"/>
  <c r="M355" i="11"/>
  <c r="N497" i="11"/>
  <c r="L497" i="11"/>
  <c r="E497" i="11"/>
  <c r="O497" i="11"/>
  <c r="U497" i="11"/>
  <c r="J497" i="11"/>
  <c r="M497" i="11"/>
  <c r="T497" i="11"/>
  <c r="S497" i="11" s="1"/>
  <c r="K497" i="11"/>
  <c r="E285" i="11"/>
  <c r="N285" i="11"/>
  <c r="M285" i="11"/>
  <c r="J285" i="11"/>
  <c r="O285" i="11"/>
  <c r="T285" i="11"/>
  <c r="S285" i="11" s="1"/>
  <c r="L285" i="11"/>
  <c r="U285" i="11"/>
  <c r="K285" i="11"/>
  <c r="R285" i="11"/>
  <c r="E31" i="11"/>
  <c r="F31" i="11" s="1"/>
  <c r="Q31" i="11"/>
  <c r="P31" i="11"/>
  <c r="U31" i="11" s="1"/>
  <c r="E455" i="11"/>
  <c r="J455" i="11"/>
  <c r="O455" i="11"/>
  <c r="K455" i="11"/>
  <c r="T455" i="11"/>
  <c r="S455" i="11" s="1"/>
  <c r="M455" i="11"/>
  <c r="U455" i="11"/>
  <c r="N455" i="11"/>
  <c r="L455" i="11"/>
  <c r="E142" i="11"/>
  <c r="N142" i="11"/>
  <c r="U142" i="11"/>
  <c r="T142" i="11"/>
  <c r="S142" i="11" s="1"/>
  <c r="M142" i="11"/>
  <c r="J142" i="11"/>
  <c r="L142" i="11"/>
  <c r="K142" i="11"/>
  <c r="O142" i="11"/>
  <c r="E259" i="11"/>
  <c r="U259" i="11"/>
  <c r="T259" i="11"/>
  <c r="S259" i="11" s="1"/>
  <c r="J259" i="11"/>
  <c r="N259" i="11"/>
  <c r="O259" i="11"/>
  <c r="L259" i="11"/>
  <c r="M259" i="11"/>
  <c r="K259" i="11"/>
  <c r="E24" i="11"/>
  <c r="G24" i="11" s="1"/>
  <c r="Q24" i="11"/>
  <c r="P24" i="11"/>
  <c r="U24" i="11" s="1"/>
  <c r="N184" i="11"/>
  <c r="J184" i="11"/>
  <c r="U184" i="11"/>
  <c r="M184" i="11"/>
  <c r="T184" i="11"/>
  <c r="S184" i="11" s="1"/>
  <c r="E184" i="11"/>
  <c r="L184" i="11"/>
  <c r="K184" i="11"/>
  <c r="O184" i="11"/>
  <c r="E452" i="11"/>
  <c r="K452" i="11"/>
  <c r="O452" i="11"/>
  <c r="M452" i="11"/>
  <c r="T452" i="11"/>
  <c r="S452" i="11" s="1"/>
  <c r="J452" i="11"/>
  <c r="N452" i="11"/>
  <c r="L452" i="11"/>
  <c r="U452" i="11"/>
  <c r="J515" i="11"/>
  <c r="U515" i="11"/>
  <c r="T515" i="11"/>
  <c r="S515" i="11" s="1"/>
  <c r="L515" i="11"/>
  <c r="N515" i="11"/>
  <c r="K515" i="11"/>
  <c r="E515" i="11"/>
  <c r="M515" i="11"/>
  <c r="O515" i="11"/>
  <c r="T367" i="11"/>
  <c r="S367" i="11" s="1"/>
  <c r="L367" i="11"/>
  <c r="N367" i="11"/>
  <c r="K367" i="11"/>
  <c r="E367" i="11"/>
  <c r="U367" i="11"/>
  <c r="O367" i="11"/>
  <c r="M367" i="11"/>
  <c r="J367" i="11"/>
  <c r="J604" i="11"/>
  <c r="M604" i="11"/>
  <c r="T604" i="11"/>
  <c r="S604" i="11" s="1"/>
  <c r="U604" i="11"/>
  <c r="K604" i="11"/>
  <c r="O604" i="11"/>
  <c r="E604" i="11"/>
  <c r="L604" i="11"/>
  <c r="N604" i="11"/>
  <c r="E44" i="11"/>
  <c r="T44" i="11" s="1"/>
  <c r="S44" i="11" s="1"/>
  <c r="R44" i="11" s="1"/>
  <c r="P44" i="11"/>
  <c r="U44" i="11" s="1"/>
  <c r="Q44" i="11"/>
  <c r="E471" i="11"/>
  <c r="M471" i="11"/>
  <c r="N471" i="11"/>
  <c r="L471" i="11"/>
  <c r="J471" i="11"/>
  <c r="K471" i="11"/>
  <c r="U471" i="11"/>
  <c r="T471" i="11"/>
  <c r="S471" i="11" s="1"/>
  <c r="O471" i="11"/>
  <c r="Q14" i="11"/>
  <c r="E14" i="11"/>
  <c r="P14" i="11"/>
  <c r="U14" i="11" s="1"/>
  <c r="J193" i="11"/>
  <c r="K193" i="11"/>
  <c r="E193" i="11"/>
  <c r="T193" i="11"/>
  <c r="S193" i="11" s="1"/>
  <c r="U193" i="11"/>
  <c r="M193" i="11"/>
  <c r="N193" i="11"/>
  <c r="L193" i="11"/>
  <c r="O193" i="11"/>
  <c r="J235" i="11"/>
  <c r="N235" i="11"/>
  <c r="T235" i="11"/>
  <c r="S235" i="11" s="1"/>
  <c r="K235" i="11"/>
  <c r="U235" i="11"/>
  <c r="M235" i="11"/>
  <c r="E235" i="11"/>
  <c r="O235" i="11"/>
  <c r="L235" i="11"/>
  <c r="Q51" i="11"/>
  <c r="E51" i="11"/>
  <c r="L51" i="11" s="1"/>
  <c r="P51" i="11"/>
  <c r="U51" i="11" s="1"/>
  <c r="F51" i="11"/>
  <c r="U176" i="11"/>
  <c r="E176" i="11"/>
  <c r="J176" i="11"/>
  <c r="K176" i="11"/>
  <c r="O176" i="11"/>
  <c r="N176" i="11"/>
  <c r="M176" i="11"/>
  <c r="L176" i="11"/>
  <c r="T176" i="11"/>
  <c r="S176" i="11" s="1"/>
  <c r="Q89" i="11"/>
  <c r="P89" i="11"/>
  <c r="U89" i="11" s="1"/>
  <c r="E89" i="11"/>
  <c r="K89" i="11" s="1"/>
  <c r="H132" i="11"/>
  <c r="E132" i="11"/>
  <c r="Q132" i="11"/>
  <c r="O132" i="11"/>
  <c r="I132" i="11"/>
  <c r="T132" i="11"/>
  <c r="S132" i="11" s="1"/>
  <c r="L132" i="11"/>
  <c r="N132" i="11"/>
  <c r="G132" i="11"/>
  <c r="J132" i="11"/>
  <c r="F132" i="11"/>
  <c r="U132" i="11"/>
  <c r="K132" i="11"/>
  <c r="M132" i="11"/>
  <c r="P132" i="11"/>
  <c r="P23" i="11"/>
  <c r="U23" i="11" s="1"/>
  <c r="Q23" i="11"/>
  <c r="E23" i="11"/>
  <c r="E337" i="11"/>
  <c r="J337" i="11"/>
  <c r="K337" i="11"/>
  <c r="N337" i="11"/>
  <c r="L337" i="11"/>
  <c r="O337" i="11"/>
  <c r="U337" i="11"/>
  <c r="T337" i="11"/>
  <c r="S337" i="11" s="1"/>
  <c r="M337" i="11"/>
  <c r="G129" i="11"/>
  <c r="I129" i="11"/>
  <c r="H129" i="11"/>
  <c r="J129" i="11"/>
  <c r="N129" i="11"/>
  <c r="K129" i="11"/>
  <c r="Q129" i="11"/>
  <c r="O129" i="11"/>
  <c r="L129" i="11"/>
  <c r="F129" i="11"/>
  <c r="P129" i="11"/>
  <c r="T129" i="11"/>
  <c r="S129" i="11" s="1"/>
  <c r="E129" i="11"/>
  <c r="M129" i="11"/>
  <c r="U129" i="11"/>
  <c r="E233" i="11"/>
  <c r="M233" i="11"/>
  <c r="U233" i="11"/>
  <c r="T233" i="11"/>
  <c r="S233" i="11" s="1"/>
  <c r="L233" i="11"/>
  <c r="O233" i="11"/>
  <c r="N233" i="11"/>
  <c r="K233" i="11"/>
  <c r="J233" i="11"/>
  <c r="J246" i="11"/>
  <c r="K246" i="11"/>
  <c r="T246" i="11"/>
  <c r="S246" i="11" s="1"/>
  <c r="U246" i="11"/>
  <c r="N246" i="11"/>
  <c r="M246" i="11"/>
  <c r="E246" i="11"/>
  <c r="O246" i="11"/>
  <c r="L246" i="11"/>
  <c r="Q121" i="11"/>
  <c r="P121" i="11"/>
  <c r="U121" i="11" s="1"/>
  <c r="E121" i="11"/>
  <c r="P111" i="11"/>
  <c r="U111" i="11" s="1"/>
  <c r="Q111" i="11"/>
  <c r="E111" i="11"/>
  <c r="L111" i="11" s="1"/>
  <c r="K399" i="11"/>
  <c r="M399" i="11"/>
  <c r="O399" i="11"/>
  <c r="L399" i="11"/>
  <c r="E399" i="11"/>
  <c r="J399" i="11"/>
  <c r="N399" i="11"/>
  <c r="T399" i="11"/>
  <c r="S399" i="11" s="1"/>
  <c r="U399" i="11"/>
  <c r="P117" i="11"/>
  <c r="U117" i="11" s="1"/>
  <c r="Q117" i="11"/>
  <c r="E117" i="11"/>
  <c r="E383" i="11"/>
  <c r="O383" i="11"/>
  <c r="U383" i="11"/>
  <c r="T383" i="11"/>
  <c r="S383" i="11" s="1"/>
  <c r="M383" i="11"/>
  <c r="N383" i="11"/>
  <c r="J383" i="11"/>
  <c r="L383" i="11"/>
  <c r="K383" i="11"/>
  <c r="J453" i="11"/>
  <c r="K453" i="11"/>
  <c r="T453" i="11"/>
  <c r="S453" i="11" s="1"/>
  <c r="O453" i="11"/>
  <c r="L453" i="11"/>
  <c r="N453" i="11"/>
  <c r="U453" i="11"/>
  <c r="E453" i="11"/>
  <c r="M453" i="11"/>
  <c r="T444" i="11"/>
  <c r="S444" i="11" s="1"/>
  <c r="O444" i="11"/>
  <c r="J444" i="11"/>
  <c r="K444" i="11"/>
  <c r="N444" i="11"/>
  <c r="L444" i="11"/>
  <c r="E444" i="11"/>
  <c r="M444" i="11"/>
  <c r="U444" i="11"/>
  <c r="E276" i="11"/>
  <c r="M276" i="11"/>
  <c r="O276" i="11"/>
  <c r="J276" i="11"/>
  <c r="U276" i="11"/>
  <c r="T276" i="11"/>
  <c r="S276" i="11" s="1"/>
  <c r="K276" i="11"/>
  <c r="L276" i="11"/>
  <c r="N276" i="11"/>
  <c r="R276" i="11"/>
  <c r="O172" i="11"/>
  <c r="K172" i="11"/>
  <c r="U172" i="11"/>
  <c r="J172" i="11"/>
  <c r="N172" i="11"/>
  <c r="T172" i="11"/>
  <c r="S172" i="11" s="1"/>
  <c r="E172" i="11"/>
  <c r="L172" i="11"/>
  <c r="M172" i="11"/>
  <c r="L273" i="11"/>
  <c r="K273" i="11"/>
  <c r="J273" i="11"/>
  <c r="E273" i="11"/>
  <c r="O273" i="11"/>
  <c r="N273" i="11"/>
  <c r="M273" i="11"/>
  <c r="U273" i="11"/>
  <c r="T273" i="11"/>
  <c r="S273" i="11" s="1"/>
  <c r="Q12" i="11"/>
  <c r="E12" i="11"/>
  <c r="F12" i="11" s="1"/>
  <c r="P12" i="11"/>
  <c r="U12" i="11" s="1"/>
  <c r="E112" i="11"/>
  <c r="F112" i="11" s="1"/>
  <c r="Q112" i="11"/>
  <c r="P112" i="11"/>
  <c r="U112" i="11" s="1"/>
  <c r="P41" i="11"/>
  <c r="E41" i="11"/>
  <c r="L41" i="11" s="1"/>
  <c r="Q41" i="11"/>
  <c r="E80" i="11"/>
  <c r="K80" i="11" s="1"/>
  <c r="Q80" i="11"/>
  <c r="P80" i="11"/>
  <c r="Q73" i="11"/>
  <c r="E73" i="11"/>
  <c r="P73" i="11"/>
  <c r="E208" i="11"/>
  <c r="L208" i="11"/>
  <c r="U208" i="11"/>
  <c r="T208" i="11"/>
  <c r="S208" i="11" s="1"/>
  <c r="O208" i="11"/>
  <c r="J208" i="11"/>
  <c r="K208" i="11"/>
  <c r="N208" i="11"/>
  <c r="M208" i="11"/>
  <c r="Q105" i="11"/>
  <c r="E105" i="11"/>
  <c r="P105" i="11"/>
  <c r="U105" i="11" s="1"/>
  <c r="Q83" i="11"/>
  <c r="P83" i="11"/>
  <c r="U83" i="11" s="1"/>
  <c r="E83" i="11"/>
  <c r="L83" i="11" s="1"/>
  <c r="J198" i="11"/>
  <c r="U198" i="11"/>
  <c r="T198" i="11"/>
  <c r="S198" i="11" s="1"/>
  <c r="K198" i="11"/>
  <c r="O198" i="11"/>
  <c r="M198" i="11"/>
  <c r="E198" i="11"/>
  <c r="N198" i="11"/>
  <c r="L198" i="11"/>
  <c r="E179" i="11"/>
  <c r="L179" i="11"/>
  <c r="O179" i="11"/>
  <c r="N179" i="11"/>
  <c r="K179" i="11"/>
  <c r="M179" i="11"/>
  <c r="J179" i="11"/>
  <c r="T179" i="11"/>
  <c r="S179" i="11" s="1"/>
  <c r="U179" i="11"/>
  <c r="Q6" i="11"/>
  <c r="P6" i="11"/>
  <c r="U6" i="11" s="1"/>
  <c r="E6" i="11"/>
  <c r="K6" i="11" s="1"/>
  <c r="P115" i="11"/>
  <c r="U115" i="11" s="1"/>
  <c r="E115" i="11"/>
  <c r="K115" i="11" s="1"/>
  <c r="Q115" i="11"/>
  <c r="T544" i="11"/>
  <c r="S544" i="11" s="1"/>
  <c r="N544" i="11"/>
  <c r="J544" i="11"/>
  <c r="M544" i="11"/>
  <c r="U544" i="11"/>
  <c r="K544" i="11"/>
  <c r="O544" i="11"/>
  <c r="L544" i="11"/>
  <c r="E544" i="11"/>
  <c r="J157" i="11"/>
  <c r="N157" i="11"/>
  <c r="T157" i="11"/>
  <c r="S157" i="11" s="1"/>
  <c r="U157" i="11"/>
  <c r="L157" i="11"/>
  <c r="O157" i="11"/>
  <c r="E157" i="11"/>
  <c r="K157" i="11"/>
  <c r="M157" i="11"/>
  <c r="L488" i="11"/>
  <c r="U488" i="11"/>
  <c r="E488" i="11"/>
  <c r="O488" i="11"/>
  <c r="K488" i="11"/>
  <c r="J488" i="11"/>
  <c r="N488" i="11"/>
  <c r="T488" i="11"/>
  <c r="M488" i="11"/>
  <c r="O506" i="11"/>
  <c r="M506" i="11"/>
  <c r="J506" i="11"/>
  <c r="U506" i="11"/>
  <c r="E506" i="11"/>
  <c r="T506" i="11"/>
  <c r="S506" i="11" s="1"/>
  <c r="K506" i="11"/>
  <c r="N506" i="11"/>
  <c r="L506" i="11"/>
  <c r="R506" i="11"/>
  <c r="J493" i="11"/>
  <c r="U493" i="11"/>
  <c r="T493" i="11"/>
  <c r="S493" i="11" s="1"/>
  <c r="N493" i="11"/>
  <c r="K493" i="11"/>
  <c r="M493" i="11"/>
  <c r="E493" i="11"/>
  <c r="O493" i="11"/>
  <c r="L493" i="11"/>
  <c r="E481" i="11"/>
  <c r="L481" i="11"/>
  <c r="N481" i="11"/>
  <c r="J481" i="11"/>
  <c r="M481" i="11"/>
  <c r="T481" i="11"/>
  <c r="S481" i="11" s="1"/>
  <c r="K481" i="11"/>
  <c r="U481" i="11"/>
  <c r="O481" i="11"/>
  <c r="R481" i="11"/>
  <c r="O436" i="11"/>
  <c r="U436" i="11"/>
  <c r="T436" i="11"/>
  <c r="S436" i="11" s="1"/>
  <c r="M436" i="11"/>
  <c r="E436" i="11"/>
  <c r="J436" i="11"/>
  <c r="N436" i="11"/>
  <c r="L436" i="11"/>
  <c r="K436" i="11"/>
  <c r="E412" i="11"/>
  <c r="L412" i="11"/>
  <c r="O412" i="11"/>
  <c r="J412" i="11"/>
  <c r="K412" i="11"/>
  <c r="T412" i="11"/>
  <c r="S412" i="11" s="1"/>
  <c r="U412" i="11"/>
  <c r="M412" i="11"/>
  <c r="N412" i="11"/>
  <c r="R412" i="11"/>
  <c r="E329" i="11"/>
  <c r="T329" i="11"/>
  <c r="S329" i="11" s="1"/>
  <c r="M329" i="11"/>
  <c r="J329" i="11"/>
  <c r="K329" i="11"/>
  <c r="L329" i="11"/>
  <c r="O329" i="11"/>
  <c r="U329" i="11"/>
  <c r="N329" i="11"/>
  <c r="T342" i="11"/>
  <c r="S342" i="11" s="1"/>
  <c r="K342" i="11"/>
  <c r="U342" i="11"/>
  <c r="L342" i="11"/>
  <c r="E342" i="11"/>
  <c r="M342" i="11"/>
  <c r="O342" i="11"/>
  <c r="J342" i="11"/>
  <c r="N342" i="11"/>
  <c r="E564" i="11"/>
  <c r="T564" i="11"/>
  <c r="S564" i="11" s="1"/>
  <c r="K564" i="11"/>
  <c r="L564" i="11"/>
  <c r="U564" i="11"/>
  <c r="O564" i="11"/>
  <c r="M564" i="11"/>
  <c r="J564" i="11"/>
  <c r="N564" i="11"/>
  <c r="R564" i="11"/>
  <c r="E549" i="11"/>
  <c r="O549" i="11"/>
  <c r="K549" i="11"/>
  <c r="N549" i="11"/>
  <c r="T549" i="11"/>
  <c r="S549" i="11" s="1"/>
  <c r="U549" i="11"/>
  <c r="M549" i="11"/>
  <c r="J549" i="11"/>
  <c r="L549" i="11"/>
  <c r="E530" i="11"/>
  <c r="O530" i="11"/>
  <c r="K530" i="11"/>
  <c r="T530" i="11"/>
  <c r="N530" i="11"/>
  <c r="L530" i="11"/>
  <c r="U530" i="11"/>
  <c r="M530" i="11"/>
  <c r="J530" i="11"/>
  <c r="O430" i="11"/>
  <c r="K430" i="11"/>
  <c r="E430" i="11"/>
  <c r="J430" i="11"/>
  <c r="N430" i="11"/>
  <c r="T430" i="11"/>
  <c r="S430" i="11" s="1"/>
  <c r="U430" i="11"/>
  <c r="M430" i="11"/>
  <c r="L430" i="11"/>
  <c r="R430" i="11"/>
  <c r="E434" i="11"/>
  <c r="N434" i="11"/>
  <c r="K434" i="11"/>
  <c r="T434" i="11"/>
  <c r="U434" i="11"/>
  <c r="J434" i="11"/>
  <c r="M434" i="11"/>
  <c r="O434" i="11"/>
  <c r="L434" i="11"/>
  <c r="O189" i="11"/>
  <c r="U189" i="11"/>
  <c r="J189" i="11"/>
  <c r="K189" i="11"/>
  <c r="E189" i="11"/>
  <c r="M189" i="11"/>
  <c r="L189" i="11"/>
  <c r="N189" i="11"/>
  <c r="T189" i="11"/>
  <c r="S189" i="11" s="1"/>
  <c r="G133" i="11"/>
  <c r="I133" i="11"/>
  <c r="H133" i="11"/>
  <c r="M133" i="11"/>
  <c r="Q133" i="11"/>
  <c r="L133" i="11"/>
  <c r="T133" i="11"/>
  <c r="S133" i="11" s="1"/>
  <c r="N133" i="11"/>
  <c r="F133" i="11"/>
  <c r="E133" i="11"/>
  <c r="P133" i="11"/>
  <c r="J133" i="11"/>
  <c r="O133" i="11"/>
  <c r="K133" i="11"/>
  <c r="U133" i="11"/>
  <c r="T137" i="11"/>
  <c r="S137" i="11" s="1"/>
  <c r="M137" i="11"/>
  <c r="K137" i="11"/>
  <c r="N137" i="11"/>
  <c r="O137" i="11"/>
  <c r="E137" i="11"/>
  <c r="U137" i="11"/>
  <c r="L137" i="11"/>
  <c r="J137" i="11"/>
  <c r="E128" i="11"/>
  <c r="Q128" i="11"/>
  <c r="P128" i="11"/>
  <c r="U128" i="11" s="1"/>
  <c r="F128" i="11"/>
  <c r="J128" i="11"/>
  <c r="L128" i="11"/>
  <c r="K128" i="11"/>
  <c r="M128" i="11" s="1"/>
  <c r="H128" i="11"/>
  <c r="T128" i="11"/>
  <c r="S128" i="11" s="1"/>
  <c r="G128" i="11"/>
  <c r="I128" i="11"/>
  <c r="N128" i="11"/>
  <c r="O128" i="11" s="1"/>
  <c r="R128" i="11"/>
  <c r="E160" i="11"/>
  <c r="U160" i="11"/>
  <c r="K160" i="11"/>
  <c r="T160" i="11"/>
  <c r="J160" i="11"/>
  <c r="O160" i="11"/>
  <c r="L160" i="11"/>
  <c r="N160" i="11"/>
  <c r="M160" i="11"/>
  <c r="N192" i="11"/>
  <c r="J192" i="11"/>
  <c r="K192" i="11"/>
  <c r="O192" i="11"/>
  <c r="U192" i="11"/>
  <c r="E192" i="11"/>
  <c r="T192" i="11"/>
  <c r="S192" i="11" s="1"/>
  <c r="M192" i="11"/>
  <c r="L192" i="11"/>
  <c r="P32" i="11"/>
  <c r="U32" i="11" s="1"/>
  <c r="E32" i="11"/>
  <c r="K32" i="11" s="1"/>
  <c r="Q32" i="11"/>
  <c r="E84" i="11"/>
  <c r="P84" i="11"/>
  <c r="U84" i="11" s="1"/>
  <c r="Q84" i="11"/>
  <c r="O310" i="11"/>
  <c r="K310" i="11"/>
  <c r="L310" i="11"/>
  <c r="E310" i="11"/>
  <c r="U310" i="11"/>
  <c r="T310" i="11"/>
  <c r="S310" i="11" s="1"/>
  <c r="J310" i="11"/>
  <c r="M310" i="11"/>
  <c r="N310" i="11"/>
  <c r="R310" i="11"/>
  <c r="L156" i="11"/>
  <c r="K156" i="11"/>
  <c r="E156" i="11"/>
  <c r="U156" i="11"/>
  <c r="M156" i="11"/>
  <c r="T156" i="11"/>
  <c r="S156" i="11" s="1"/>
  <c r="J156" i="11"/>
  <c r="O156" i="11"/>
  <c r="N156" i="11"/>
  <c r="J568" i="11"/>
  <c r="N568" i="11"/>
  <c r="E568" i="11"/>
  <c r="T568" i="11"/>
  <c r="S568" i="11" s="1"/>
  <c r="M568" i="11"/>
  <c r="L568" i="11"/>
  <c r="U568" i="11"/>
  <c r="K568" i="11"/>
  <c r="O568" i="11"/>
  <c r="U389" i="11"/>
  <c r="O389" i="11"/>
  <c r="N389" i="11"/>
  <c r="E389" i="11"/>
  <c r="K389" i="11"/>
  <c r="M389" i="11"/>
  <c r="T389" i="11"/>
  <c r="S389" i="11" s="1"/>
  <c r="J389" i="11"/>
  <c r="L389" i="11"/>
  <c r="T396" i="11"/>
  <c r="S396" i="11" s="1"/>
  <c r="J396" i="11"/>
  <c r="U396" i="11"/>
  <c r="O396" i="11"/>
  <c r="M396" i="11"/>
  <c r="E396" i="11"/>
  <c r="N396" i="11"/>
  <c r="L396" i="11"/>
  <c r="K396" i="11"/>
  <c r="T331" i="11"/>
  <c r="S331" i="11" s="1"/>
  <c r="K331" i="11"/>
  <c r="U331" i="11"/>
  <c r="J331" i="11"/>
  <c r="O331" i="11"/>
  <c r="E331" i="11"/>
  <c r="L331" i="11"/>
  <c r="N331" i="11"/>
  <c r="M331" i="11"/>
  <c r="E281" i="11"/>
  <c r="U281" i="11"/>
  <c r="O281" i="11"/>
  <c r="M281" i="11"/>
  <c r="J281" i="11"/>
  <c r="K281" i="11"/>
  <c r="L281" i="11"/>
  <c r="T281" i="11"/>
  <c r="S281" i="11" s="1"/>
  <c r="N281" i="11"/>
  <c r="J567" i="11"/>
  <c r="U567" i="11"/>
  <c r="K567" i="11"/>
  <c r="T567" i="11"/>
  <c r="S567" i="11" s="1"/>
  <c r="L567" i="11"/>
  <c r="O567" i="11"/>
  <c r="N567" i="11"/>
  <c r="M567" i="11"/>
  <c r="E567" i="11"/>
  <c r="K480" i="11"/>
  <c r="U480" i="11"/>
  <c r="N480" i="11"/>
  <c r="E480" i="11"/>
  <c r="L480" i="11"/>
  <c r="O480" i="11"/>
  <c r="T480" i="11"/>
  <c r="S480" i="11" s="1"/>
  <c r="M480" i="11"/>
  <c r="J480" i="11"/>
  <c r="J264" i="11"/>
  <c r="O264" i="11"/>
  <c r="T264" i="11"/>
  <c r="S264" i="11" s="1"/>
  <c r="K264" i="11"/>
  <c r="N264" i="11"/>
  <c r="E264" i="11"/>
  <c r="M264" i="11"/>
  <c r="U264" i="11"/>
  <c r="L264" i="11"/>
  <c r="N311" i="11"/>
  <c r="U311" i="11"/>
  <c r="K311" i="11"/>
  <c r="L311" i="11"/>
  <c r="J311" i="11"/>
  <c r="E311" i="11"/>
  <c r="T311" i="11"/>
  <c r="S311" i="11" s="1"/>
  <c r="M311" i="11"/>
  <c r="O311" i="11"/>
  <c r="E450" i="11"/>
  <c r="L450" i="11"/>
  <c r="N450" i="11"/>
  <c r="J450" i="11"/>
  <c r="K450" i="11"/>
  <c r="T450" i="11"/>
  <c r="S450" i="11" s="1"/>
  <c r="U450" i="11"/>
  <c r="M450" i="11"/>
  <c r="O450" i="11"/>
  <c r="N588" i="11"/>
  <c r="L588" i="11"/>
  <c r="E588" i="11"/>
  <c r="U588" i="11"/>
  <c r="J588" i="11"/>
  <c r="T588" i="11"/>
  <c r="S588" i="11" s="1"/>
  <c r="K588" i="11"/>
  <c r="O588" i="11"/>
  <c r="M588" i="11"/>
  <c r="R588" i="11"/>
  <c r="T413" i="11"/>
  <c r="S413" i="11" s="1"/>
  <c r="U413" i="11"/>
  <c r="M413" i="11"/>
  <c r="K413" i="11"/>
  <c r="E413" i="11"/>
  <c r="L413" i="11"/>
  <c r="O413" i="11"/>
  <c r="J413" i="11"/>
  <c r="N413" i="11"/>
  <c r="E425" i="11"/>
  <c r="U425" i="11"/>
  <c r="O425" i="11"/>
  <c r="T425" i="11"/>
  <c r="S425" i="11" s="1"/>
  <c r="M425" i="11"/>
  <c r="J425" i="11"/>
  <c r="L425" i="11"/>
  <c r="N425" i="11"/>
  <c r="K425" i="11"/>
  <c r="T293" i="11"/>
  <c r="S293" i="11" s="1"/>
  <c r="U293" i="11"/>
  <c r="M293" i="11"/>
  <c r="K293" i="11"/>
  <c r="E293" i="11"/>
  <c r="L293" i="11"/>
  <c r="N293" i="11"/>
  <c r="J293" i="11"/>
  <c r="O293" i="11"/>
  <c r="O213" i="11"/>
  <c r="K213" i="11"/>
  <c r="E213" i="11"/>
  <c r="M213" i="11"/>
  <c r="L213" i="11"/>
  <c r="T213" i="11"/>
  <c r="S213" i="11" s="1"/>
  <c r="N213" i="11"/>
  <c r="J213" i="11"/>
  <c r="U213" i="11"/>
  <c r="R213" i="11"/>
  <c r="J348" i="11"/>
  <c r="U348" i="11"/>
  <c r="T348" i="11"/>
  <c r="S348" i="11" s="1"/>
  <c r="M348" i="11"/>
  <c r="N348" i="11"/>
  <c r="L348" i="11"/>
  <c r="E348" i="11"/>
  <c r="K348" i="11"/>
  <c r="O348" i="11"/>
  <c r="E180" i="11"/>
  <c r="M180" i="11"/>
  <c r="O180" i="11"/>
  <c r="J180" i="11"/>
  <c r="K180" i="11"/>
  <c r="T180" i="11"/>
  <c r="S180" i="11" s="1"/>
  <c r="L180" i="11"/>
  <c r="U180" i="11"/>
  <c r="N180" i="11"/>
  <c r="R180" i="11"/>
  <c r="T462" i="11"/>
  <c r="S462" i="11" s="1"/>
  <c r="K462" i="11"/>
  <c r="U462" i="11"/>
  <c r="O462" i="11"/>
  <c r="E462" i="11"/>
  <c r="M462" i="11"/>
  <c r="L462" i="11"/>
  <c r="N462" i="11"/>
  <c r="J462" i="11"/>
  <c r="T362" i="11"/>
  <c r="S362" i="11" s="1"/>
  <c r="U362" i="11"/>
  <c r="J362" i="11"/>
  <c r="M362" i="11"/>
  <c r="O362" i="11"/>
  <c r="L362" i="11"/>
  <c r="E362" i="11"/>
  <c r="N362" i="11"/>
  <c r="K362" i="11"/>
  <c r="J474" i="11"/>
  <c r="O474" i="11"/>
  <c r="E474" i="11"/>
  <c r="K474" i="11"/>
  <c r="N474" i="11"/>
  <c r="T474" i="11"/>
  <c r="S474" i="11" s="1"/>
  <c r="L474" i="11"/>
  <c r="M474" i="11"/>
  <c r="U474" i="11"/>
  <c r="J229" i="11"/>
  <c r="M229" i="11"/>
  <c r="N229" i="11"/>
  <c r="L229" i="11"/>
  <c r="E229" i="11"/>
  <c r="T229" i="11"/>
  <c r="S229" i="11" s="1"/>
  <c r="O229" i="11"/>
  <c r="K229" i="11"/>
  <c r="U229" i="11"/>
  <c r="R229" i="11"/>
  <c r="T467" i="11"/>
  <c r="S467" i="11" s="1"/>
  <c r="M467" i="11"/>
  <c r="O467" i="11"/>
  <c r="K467" i="11"/>
  <c r="E467" i="11"/>
  <c r="U467" i="11"/>
  <c r="L467" i="11"/>
  <c r="N467" i="11"/>
  <c r="J467" i="11"/>
  <c r="T494" i="11"/>
  <c r="S494" i="11" s="1"/>
  <c r="N494" i="11"/>
  <c r="J494" i="11"/>
  <c r="M494" i="11"/>
  <c r="L494" i="11"/>
  <c r="U494" i="11"/>
  <c r="E494" i="11"/>
  <c r="O494" i="11"/>
  <c r="K494" i="11"/>
  <c r="J347" i="11"/>
  <c r="N347" i="11"/>
  <c r="T347" i="11"/>
  <c r="S347" i="11" s="1"/>
  <c r="U347" i="11"/>
  <c r="O347" i="11"/>
  <c r="K347" i="11"/>
  <c r="E347" i="11"/>
  <c r="M347" i="11"/>
  <c r="L347" i="11"/>
  <c r="O498" i="11"/>
  <c r="M498" i="11"/>
  <c r="E498" i="11"/>
  <c r="N498" i="11"/>
  <c r="L498" i="11"/>
  <c r="T498" i="11"/>
  <c r="S498" i="11" s="1"/>
  <c r="U498" i="11"/>
  <c r="J498" i="11"/>
  <c r="K498" i="11"/>
  <c r="R498" i="11"/>
  <c r="N491" i="11"/>
  <c r="M491" i="11"/>
  <c r="E491" i="11"/>
  <c r="O491" i="11"/>
  <c r="K491" i="11"/>
  <c r="T491" i="11"/>
  <c r="S491" i="11" s="1"/>
  <c r="U491" i="11"/>
  <c r="J491" i="11"/>
  <c r="L491" i="11"/>
  <c r="J518" i="11"/>
  <c r="U518" i="11"/>
  <c r="K518" i="11"/>
  <c r="O518" i="11"/>
  <c r="E518" i="11"/>
  <c r="L518" i="11"/>
  <c r="N518" i="11"/>
  <c r="T518" i="11"/>
  <c r="S518" i="11" s="1"/>
  <c r="M518" i="11"/>
  <c r="E268" i="11"/>
  <c r="M268" i="11"/>
  <c r="K268" i="11"/>
  <c r="T268" i="11"/>
  <c r="L268" i="11"/>
  <c r="J268" i="11"/>
  <c r="O268" i="11"/>
  <c r="U268" i="11"/>
  <c r="N268" i="11"/>
  <c r="T490" i="11"/>
  <c r="S490" i="11" s="1"/>
  <c r="K490" i="11"/>
  <c r="O490" i="11"/>
  <c r="M490" i="11"/>
  <c r="E490" i="11"/>
  <c r="N490" i="11"/>
  <c r="L490" i="11"/>
  <c r="U490" i="11"/>
  <c r="J490" i="11"/>
  <c r="K483" i="11"/>
  <c r="M483" i="11"/>
  <c r="O483" i="11"/>
  <c r="U483" i="11"/>
  <c r="E483" i="11"/>
  <c r="J483" i="11"/>
  <c r="L483" i="11"/>
  <c r="T483" i="11"/>
  <c r="N483" i="11"/>
  <c r="J510" i="11"/>
  <c r="O510" i="11"/>
  <c r="M510" i="11"/>
  <c r="T510" i="11"/>
  <c r="S510" i="11" s="1"/>
  <c r="K510" i="11"/>
  <c r="N510" i="11"/>
  <c r="E510" i="11"/>
  <c r="L510" i="11"/>
  <c r="U510" i="11"/>
  <c r="K258" i="11"/>
  <c r="L258" i="11"/>
  <c r="E258" i="11"/>
  <c r="T258" i="11"/>
  <c r="S258" i="11" s="1"/>
  <c r="O258" i="11"/>
  <c r="J258" i="11"/>
  <c r="N258" i="11"/>
  <c r="U258" i="11"/>
  <c r="M258" i="11"/>
  <c r="T561" i="11"/>
  <c r="S561" i="11" s="1"/>
  <c r="L561" i="11"/>
  <c r="N561" i="11"/>
  <c r="K561" i="11"/>
  <c r="E561" i="11"/>
  <c r="O561" i="11"/>
  <c r="M561" i="11"/>
  <c r="J561" i="11"/>
  <c r="U561" i="11"/>
  <c r="T212" i="11"/>
  <c r="S212" i="11" s="1"/>
  <c r="U212" i="11"/>
  <c r="J212" i="11"/>
  <c r="K212" i="11"/>
  <c r="O212" i="11"/>
  <c r="N212" i="11"/>
  <c r="E212" i="11"/>
  <c r="L212" i="11"/>
  <c r="M212" i="11"/>
  <c r="E470" i="11"/>
  <c r="M470" i="11"/>
  <c r="O470" i="11"/>
  <c r="J470" i="11"/>
  <c r="U470" i="11"/>
  <c r="T470" i="11"/>
  <c r="S470" i="11" s="1"/>
  <c r="K470" i="11"/>
  <c r="L470" i="11"/>
  <c r="N470" i="11"/>
  <c r="R470" i="11"/>
  <c r="U370" i="11"/>
  <c r="M370" i="11"/>
  <c r="E370" i="11"/>
  <c r="O370" i="11"/>
  <c r="L370" i="11"/>
  <c r="J370" i="11"/>
  <c r="N370" i="11"/>
  <c r="T370" i="11"/>
  <c r="S370" i="11" s="1"/>
  <c r="K370" i="11"/>
  <c r="O148" i="11"/>
  <c r="K148" i="11"/>
  <c r="E148" i="11"/>
  <c r="U148" i="11"/>
  <c r="L148" i="11"/>
  <c r="T148" i="11"/>
  <c r="S148" i="11" s="1"/>
  <c r="N148" i="11"/>
  <c r="J148" i="11"/>
  <c r="M148" i="11"/>
  <c r="R148" i="11"/>
  <c r="E47" i="11"/>
  <c r="F47" i="11" s="1"/>
  <c r="Q47" i="11"/>
  <c r="P47" i="11"/>
  <c r="K204" i="11"/>
  <c r="T204" i="11"/>
  <c r="S204" i="11" s="1"/>
  <c r="N204" i="11"/>
  <c r="O204" i="11"/>
  <c r="E204" i="11"/>
  <c r="M204" i="11"/>
  <c r="U204" i="11"/>
  <c r="J204" i="11"/>
  <c r="L204" i="11"/>
  <c r="R204" i="11"/>
  <c r="L290" i="11"/>
  <c r="J290" i="11"/>
  <c r="O290" i="11"/>
  <c r="M290" i="11"/>
  <c r="N290" i="11"/>
  <c r="T290" i="11"/>
  <c r="S290" i="11" s="1"/>
  <c r="E290" i="11"/>
  <c r="K290" i="11"/>
  <c r="U290" i="11"/>
  <c r="E602" i="11"/>
  <c r="J602" i="11"/>
  <c r="U602" i="11"/>
  <c r="T602" i="11"/>
  <c r="S602" i="11" s="1"/>
  <c r="K602" i="11"/>
  <c r="L602" i="11"/>
  <c r="N602" i="11"/>
  <c r="M602" i="11"/>
  <c r="O602" i="11"/>
  <c r="E595" i="11"/>
  <c r="O595" i="11"/>
  <c r="K595" i="11"/>
  <c r="N595" i="11"/>
  <c r="U595" i="11"/>
  <c r="J595" i="11"/>
  <c r="M595" i="11"/>
  <c r="T595" i="11"/>
  <c r="S595" i="11" s="1"/>
  <c r="L595" i="11"/>
  <c r="E377" i="11"/>
  <c r="U377" i="11"/>
  <c r="M377" i="11"/>
  <c r="J377" i="11"/>
  <c r="K377" i="11"/>
  <c r="L377" i="11"/>
  <c r="O377" i="11"/>
  <c r="T377" i="11"/>
  <c r="S377" i="11" s="1"/>
  <c r="N377" i="11"/>
  <c r="K338" i="11"/>
  <c r="U338" i="11"/>
  <c r="E338" i="11"/>
  <c r="M338" i="11"/>
  <c r="N338" i="11"/>
  <c r="J338" i="11"/>
  <c r="L338" i="11"/>
  <c r="T338" i="11"/>
  <c r="S338" i="11" s="1"/>
  <c r="O338" i="11"/>
  <c r="E364" i="11"/>
  <c r="O364" i="11"/>
  <c r="L364" i="11"/>
  <c r="T364" i="11"/>
  <c r="S364" i="11" s="1"/>
  <c r="N364" i="11"/>
  <c r="J364" i="11"/>
  <c r="K364" i="11"/>
  <c r="U364" i="11"/>
  <c r="M364" i="11"/>
  <c r="E401" i="11"/>
  <c r="N401" i="11"/>
  <c r="K401" i="11"/>
  <c r="T401" i="11"/>
  <c r="S401" i="11" s="1"/>
  <c r="O401" i="11"/>
  <c r="J401" i="11"/>
  <c r="M401" i="11"/>
  <c r="U401" i="11"/>
  <c r="L401" i="11"/>
  <c r="U322" i="11"/>
  <c r="K322" i="11"/>
  <c r="J322" i="11"/>
  <c r="O322" i="11"/>
  <c r="E322" i="11"/>
  <c r="M322" i="11"/>
  <c r="L322" i="11"/>
  <c r="T322" i="11"/>
  <c r="S322" i="11" s="1"/>
  <c r="N322" i="11"/>
  <c r="J354" i="11"/>
  <c r="K354" i="11"/>
  <c r="O354" i="11"/>
  <c r="L354" i="11"/>
  <c r="E354" i="11"/>
  <c r="U354" i="11"/>
  <c r="N354" i="11"/>
  <c r="T354" i="11"/>
  <c r="S354" i="11" s="1"/>
  <c r="M354" i="11"/>
  <c r="N324" i="11"/>
  <c r="K324" i="11"/>
  <c r="E324" i="11"/>
  <c r="U324" i="11"/>
  <c r="L324" i="11"/>
  <c r="T324" i="11"/>
  <c r="S324" i="11" s="1"/>
  <c r="M324" i="11"/>
  <c r="O324" i="11"/>
  <c r="J324" i="11"/>
  <c r="R324" i="11"/>
  <c r="N353" i="11"/>
  <c r="U353" i="11"/>
  <c r="E353" i="11"/>
  <c r="O353" i="11"/>
  <c r="K353" i="11"/>
  <c r="T353" i="11"/>
  <c r="S353" i="11" s="1"/>
  <c r="M353" i="11"/>
  <c r="L353" i="11"/>
  <c r="J353" i="11"/>
  <c r="J210" i="11"/>
  <c r="K210" i="11"/>
  <c r="O210" i="11"/>
  <c r="M210" i="11"/>
  <c r="E210" i="11"/>
  <c r="L210" i="11"/>
  <c r="N210" i="11"/>
  <c r="T210" i="11"/>
  <c r="U210" i="11"/>
  <c r="E191" i="11"/>
  <c r="O191" i="11"/>
  <c r="L191" i="11"/>
  <c r="T191" i="11"/>
  <c r="S191" i="11" s="1"/>
  <c r="M191" i="11"/>
  <c r="J191" i="11"/>
  <c r="U191" i="11"/>
  <c r="K191" i="11"/>
  <c r="N191" i="11"/>
  <c r="L501" i="11"/>
  <c r="N501" i="11"/>
  <c r="E501" i="11"/>
  <c r="J501" i="11"/>
  <c r="O501" i="11"/>
  <c r="M501" i="11"/>
  <c r="T501" i="11"/>
  <c r="S501" i="11" s="1"/>
  <c r="K501" i="11"/>
  <c r="U501" i="11"/>
  <c r="K282" i="11"/>
  <c r="N282" i="11"/>
  <c r="E282" i="11"/>
  <c r="M282" i="11"/>
  <c r="U282" i="11"/>
  <c r="J282" i="11"/>
  <c r="L282" i="11"/>
  <c r="O282" i="11"/>
  <c r="T282" i="11"/>
  <c r="S282" i="11" s="1"/>
  <c r="J384" i="11"/>
  <c r="U384" i="11"/>
  <c r="T384" i="11"/>
  <c r="S384" i="11" s="1"/>
  <c r="M384" i="11"/>
  <c r="N384" i="11"/>
  <c r="L384" i="11"/>
  <c r="K384" i="11"/>
  <c r="O384" i="11"/>
  <c r="E384" i="11"/>
  <c r="J234" i="11"/>
  <c r="L234" i="11"/>
  <c r="K234" i="11"/>
  <c r="O234" i="11"/>
  <c r="T234" i="11"/>
  <c r="S234" i="11" s="1"/>
  <c r="N234" i="11"/>
  <c r="E234" i="11"/>
  <c r="M234" i="11"/>
  <c r="U234" i="11"/>
  <c r="T424" i="11"/>
  <c r="S424" i="11" s="1"/>
  <c r="J424" i="11"/>
  <c r="E424" i="11"/>
  <c r="U424" i="11"/>
  <c r="N424" i="11"/>
  <c r="L424" i="11"/>
  <c r="K424" i="11"/>
  <c r="O424" i="11"/>
  <c r="M424" i="11"/>
  <c r="N532" i="11"/>
  <c r="T532" i="11"/>
  <c r="S532" i="11" s="1"/>
  <c r="E532" i="11"/>
  <c r="U532" i="11"/>
  <c r="K532" i="11"/>
  <c r="J532" i="11"/>
  <c r="L532" i="11"/>
  <c r="O532" i="11"/>
  <c r="M532" i="11"/>
  <c r="R532" i="11"/>
  <c r="J569" i="11"/>
  <c r="U569" i="11"/>
  <c r="N569" i="11"/>
  <c r="L569" i="11"/>
  <c r="T569" i="11"/>
  <c r="S569" i="11" s="1"/>
  <c r="O569" i="11"/>
  <c r="M569" i="11"/>
  <c r="K569" i="11"/>
  <c r="E569" i="11"/>
  <c r="E472" i="11"/>
  <c r="K472" i="11"/>
  <c r="N472" i="11"/>
  <c r="J472" i="11"/>
  <c r="L472" i="11"/>
  <c r="T472" i="11"/>
  <c r="S472" i="11" s="1"/>
  <c r="O472" i="11"/>
  <c r="M472" i="11"/>
  <c r="U472" i="11"/>
  <c r="J556" i="11"/>
  <c r="E556" i="11"/>
  <c r="T593" i="11"/>
  <c r="S593" i="11" s="1"/>
  <c r="N593" i="11"/>
  <c r="J593" i="11"/>
  <c r="M593" i="11"/>
  <c r="O593" i="11"/>
  <c r="K593" i="11"/>
  <c r="E593" i="11"/>
  <c r="L593" i="11"/>
  <c r="U593" i="11"/>
  <c r="E456" i="11"/>
  <c r="N456" i="11"/>
  <c r="O456" i="11"/>
  <c r="T456" i="11"/>
  <c r="K456" i="11"/>
  <c r="U456" i="11"/>
  <c r="L456" i="11"/>
  <c r="M456" i="11"/>
  <c r="J456" i="11"/>
  <c r="L548" i="11"/>
  <c r="U548" i="11"/>
  <c r="T585" i="11"/>
  <c r="S585" i="11" s="1"/>
  <c r="L585" i="11"/>
  <c r="N585" i="11"/>
  <c r="M585" i="11"/>
  <c r="E585" i="11"/>
  <c r="O585" i="11"/>
  <c r="K585" i="11"/>
  <c r="J585" i="11"/>
  <c r="U585" i="11"/>
  <c r="U299" i="11"/>
  <c r="N299" i="11"/>
  <c r="J299" i="11"/>
  <c r="M299" i="11"/>
  <c r="E299" i="11"/>
  <c r="K299" i="11"/>
  <c r="O299" i="11"/>
  <c r="T299" i="11"/>
  <c r="S299" i="11" s="1"/>
  <c r="L299" i="11"/>
  <c r="E161" i="11"/>
  <c r="U161" i="11"/>
  <c r="T161" i="11"/>
  <c r="S161" i="11" s="1"/>
  <c r="M161" i="11"/>
  <c r="O161" i="11"/>
  <c r="L161" i="11"/>
  <c r="K161" i="11"/>
  <c r="N161" i="11"/>
  <c r="J161" i="11"/>
  <c r="J601" i="11"/>
  <c r="K601" i="11"/>
  <c r="M601" i="11"/>
  <c r="T601" i="11"/>
  <c r="S601" i="11" s="1"/>
  <c r="O601" i="11"/>
  <c r="E601" i="11"/>
  <c r="L601" i="11"/>
  <c r="N601" i="11"/>
  <c r="U601" i="11"/>
  <c r="J379" i="11"/>
  <c r="M379" i="11"/>
  <c r="U379" i="11"/>
  <c r="T379" i="11"/>
  <c r="S379" i="11" s="1"/>
  <c r="L379" i="11"/>
  <c r="O379" i="11"/>
  <c r="K379" i="11"/>
  <c r="N379" i="11"/>
  <c r="E379" i="11"/>
  <c r="U522" i="11"/>
  <c r="M522" i="11"/>
  <c r="K522" i="11"/>
  <c r="O522" i="11"/>
  <c r="T522" i="11"/>
  <c r="S522" i="11" s="1"/>
  <c r="J522" i="11"/>
  <c r="E522" i="11"/>
  <c r="N522" i="11"/>
  <c r="L522" i="11"/>
  <c r="L162" i="11"/>
  <c r="N162" i="11"/>
  <c r="T162" i="11"/>
  <c r="S162" i="11" s="1"/>
  <c r="M162" i="11"/>
  <c r="E162" i="11"/>
  <c r="U162" i="11"/>
  <c r="K162" i="11"/>
  <c r="O162" i="11"/>
  <c r="J162" i="11"/>
  <c r="U440" i="11"/>
  <c r="L440" i="11"/>
  <c r="E440" i="11"/>
  <c r="O440" i="11"/>
  <c r="M440" i="11"/>
  <c r="J440" i="11"/>
  <c r="N440" i="11"/>
  <c r="T440" i="11"/>
  <c r="S440" i="11" s="1"/>
  <c r="K440" i="11"/>
  <c r="J224" i="11"/>
  <c r="U224" i="11"/>
  <c r="T224" i="11"/>
  <c r="S224" i="11" s="1"/>
  <c r="K224" i="11"/>
  <c r="O224" i="11"/>
  <c r="M224" i="11"/>
  <c r="L224" i="11"/>
  <c r="N224" i="11"/>
  <c r="E224" i="11"/>
  <c r="E145" i="11"/>
  <c r="U145" i="11"/>
  <c r="K145" i="11"/>
  <c r="T145" i="11"/>
  <c r="S145" i="11" s="1"/>
  <c r="O145" i="11"/>
  <c r="J145" i="11"/>
  <c r="M145" i="11"/>
  <c r="N145" i="11"/>
  <c r="L145" i="11"/>
  <c r="Q69" i="11"/>
  <c r="E69" i="11"/>
  <c r="F69" i="11" s="1"/>
  <c r="P69" i="11"/>
  <c r="N405" i="11"/>
  <c r="L405" i="11"/>
  <c r="E405" i="11"/>
  <c r="O405" i="11"/>
  <c r="U405" i="11"/>
  <c r="J405" i="11"/>
  <c r="M405" i="11"/>
  <c r="T405" i="11"/>
  <c r="S405" i="11" s="1"/>
  <c r="K405" i="11"/>
  <c r="E429" i="11"/>
  <c r="U429" i="11"/>
  <c r="O429" i="11"/>
  <c r="J429" i="11"/>
  <c r="M429" i="11"/>
  <c r="T429" i="11"/>
  <c r="S429" i="11" s="1"/>
  <c r="L429" i="11"/>
  <c r="N429" i="11"/>
  <c r="K429" i="11"/>
  <c r="J239" i="11"/>
  <c r="L239" i="11"/>
  <c r="M239" i="11"/>
  <c r="O239" i="11"/>
  <c r="U239" i="11"/>
  <c r="T239" i="11"/>
  <c r="S239" i="11" s="1"/>
  <c r="E239" i="11"/>
  <c r="N239" i="11"/>
  <c r="K239" i="11"/>
  <c r="R239" i="11"/>
  <c r="P91" i="11"/>
  <c r="U91" i="11" s="1"/>
  <c r="Q91" i="11"/>
  <c r="E91" i="11"/>
  <c r="L91" i="11" s="1"/>
  <c r="J519" i="11"/>
  <c r="M519" i="11"/>
  <c r="U519" i="11"/>
  <c r="K519" i="11"/>
  <c r="L519" i="11"/>
  <c r="O519" i="11"/>
  <c r="N519" i="11"/>
  <c r="T519" i="11"/>
  <c r="S519" i="11" s="1"/>
  <c r="E519" i="11"/>
  <c r="L254" i="11"/>
  <c r="M254" i="11"/>
  <c r="U254" i="11"/>
  <c r="N254" i="11"/>
  <c r="K254" i="11"/>
  <c r="T254" i="11"/>
  <c r="S254" i="11" s="1"/>
  <c r="J254" i="11"/>
  <c r="E254" i="11"/>
  <c r="O254" i="11"/>
  <c r="Q70" i="11"/>
  <c r="P70" i="11"/>
  <c r="U70" i="11" s="1"/>
  <c r="E70" i="11"/>
  <c r="P99" i="11"/>
  <c r="U99" i="11" s="1"/>
  <c r="E99" i="11"/>
  <c r="L99" i="11" s="1"/>
  <c r="Q99" i="11"/>
  <c r="O414" i="11"/>
  <c r="K414" i="11"/>
  <c r="E414" i="11"/>
  <c r="N414" i="11"/>
  <c r="L414" i="11"/>
  <c r="J414" i="11"/>
  <c r="U414" i="11"/>
  <c r="T414" i="11"/>
  <c r="M414" i="11"/>
  <c r="U407" i="11"/>
  <c r="O407" i="11"/>
  <c r="E407" i="11"/>
  <c r="K407" i="11"/>
  <c r="M407" i="11"/>
  <c r="J407" i="11"/>
  <c r="L407" i="11"/>
  <c r="N407" i="11"/>
  <c r="T407" i="11"/>
  <c r="S407" i="11" s="1"/>
  <c r="E423" i="11"/>
  <c r="T423" i="11"/>
  <c r="S423" i="11" s="1"/>
  <c r="L423" i="11"/>
  <c r="K423" i="11"/>
  <c r="N423" i="11"/>
  <c r="J423" i="11"/>
  <c r="O423" i="11"/>
  <c r="U423" i="11"/>
  <c r="M423" i="11"/>
  <c r="R423" i="11"/>
  <c r="Q62" i="11"/>
  <c r="P62" i="11"/>
  <c r="U62" i="11" s="1"/>
  <c r="E62" i="11"/>
  <c r="K62" i="11" s="1"/>
  <c r="P46" i="11"/>
  <c r="U46" i="11" s="1"/>
  <c r="Q46" i="11"/>
  <c r="E46" i="11"/>
  <c r="E30" i="11"/>
  <c r="Q30" i="11"/>
  <c r="P30" i="11"/>
  <c r="U30" i="11" s="1"/>
  <c r="Q110" i="11"/>
  <c r="P110" i="11"/>
  <c r="U110" i="11" s="1"/>
  <c r="E110" i="11"/>
  <c r="O222" i="11"/>
  <c r="N222" i="11"/>
  <c r="M222" i="11"/>
  <c r="T222" i="11"/>
  <c r="S222" i="11" s="1"/>
  <c r="L222" i="11"/>
  <c r="E222" i="11"/>
  <c r="U222" i="11"/>
  <c r="J222" i="11"/>
  <c r="K222" i="11"/>
  <c r="U206" i="11"/>
  <c r="M206" i="11"/>
  <c r="E206" i="11"/>
  <c r="K206" i="11"/>
  <c r="L206" i="11"/>
  <c r="J206" i="11"/>
  <c r="O206" i="11"/>
  <c r="T206" i="11"/>
  <c r="S206" i="11" s="1"/>
  <c r="N206" i="11"/>
  <c r="T514" i="11"/>
  <c r="S514" i="11" s="1"/>
  <c r="O514" i="11"/>
  <c r="K514" i="11"/>
  <c r="N514" i="11"/>
  <c r="E514" i="11"/>
  <c r="L514" i="11"/>
  <c r="U514" i="11"/>
  <c r="J514" i="11"/>
  <c r="M514" i="11"/>
  <c r="K487" i="11"/>
  <c r="M487" i="11"/>
  <c r="O487" i="11"/>
  <c r="L487" i="11"/>
  <c r="E487" i="11"/>
  <c r="U487" i="11"/>
  <c r="T487" i="11"/>
  <c r="S487" i="11" s="1"/>
  <c r="J487" i="11"/>
  <c r="N487" i="11"/>
  <c r="J473" i="11"/>
  <c r="N473" i="11"/>
  <c r="T473" i="11"/>
  <c r="S473" i="11" s="1"/>
  <c r="M473" i="11"/>
  <c r="O473" i="11"/>
  <c r="K473" i="11"/>
  <c r="U473" i="11"/>
  <c r="L473" i="11"/>
  <c r="E473" i="11"/>
  <c r="E164" i="11"/>
  <c r="O164" i="11"/>
  <c r="L164" i="11"/>
  <c r="T164" i="11"/>
  <c r="S164" i="11" s="1"/>
  <c r="N164" i="11"/>
  <c r="U164" i="11"/>
  <c r="J164" i="11"/>
  <c r="K164" i="11"/>
  <c r="M164" i="11"/>
  <c r="E438" i="11"/>
  <c r="O438" i="11"/>
  <c r="K438" i="11"/>
  <c r="J438" i="11"/>
  <c r="N438" i="11"/>
  <c r="L438" i="11"/>
  <c r="U438" i="11"/>
  <c r="M438" i="11"/>
  <c r="T438" i="11"/>
  <c r="S438" i="11" s="1"/>
  <c r="M350" i="11"/>
  <c r="O350" i="11"/>
  <c r="E350" i="11"/>
  <c r="L350" i="11"/>
  <c r="N350" i="11"/>
  <c r="J350" i="11"/>
  <c r="K350" i="11"/>
  <c r="T350" i="11"/>
  <c r="S350" i="11" s="1"/>
  <c r="U350" i="11"/>
  <c r="T278" i="11"/>
  <c r="S278" i="11" s="1"/>
  <c r="M278" i="11"/>
  <c r="U278" i="11"/>
  <c r="L278" i="11"/>
  <c r="E278" i="11"/>
  <c r="K278" i="11"/>
  <c r="O278" i="11"/>
  <c r="J278" i="11"/>
  <c r="N278" i="11"/>
  <c r="N392" i="11"/>
  <c r="M392" i="11"/>
  <c r="K392" i="11"/>
  <c r="L392" i="11"/>
  <c r="E392" i="11"/>
  <c r="U392" i="11"/>
  <c r="O392" i="11"/>
  <c r="J392" i="11"/>
  <c r="T392" i="11"/>
  <c r="S392" i="11" s="1"/>
  <c r="T266" i="11"/>
  <c r="S266" i="11" s="1"/>
  <c r="N266" i="11"/>
  <c r="J266" i="11"/>
  <c r="M266" i="11"/>
  <c r="L266" i="11"/>
  <c r="U266" i="11"/>
  <c r="O266" i="11"/>
  <c r="K266" i="11"/>
  <c r="E266" i="11"/>
  <c r="E242" i="11"/>
  <c r="M242" i="11"/>
  <c r="U242" i="11"/>
  <c r="J242" i="11"/>
  <c r="L242" i="11"/>
  <c r="T242" i="11"/>
  <c r="S242" i="11" s="1"/>
  <c r="O242" i="11"/>
  <c r="K242" i="11"/>
  <c r="N242" i="11"/>
  <c r="T207" i="11"/>
  <c r="S207" i="11" s="1"/>
  <c r="N207" i="11"/>
  <c r="U207" i="11"/>
  <c r="O207" i="11"/>
  <c r="E207" i="11"/>
  <c r="K207" i="11"/>
  <c r="M207" i="11"/>
  <c r="L207" i="11"/>
  <c r="J207" i="11"/>
  <c r="J502" i="11"/>
  <c r="U502" i="11"/>
  <c r="T502" i="11"/>
  <c r="S502" i="11" s="1"/>
  <c r="K502" i="11"/>
  <c r="L502" i="11"/>
  <c r="M502" i="11"/>
  <c r="E502" i="11"/>
  <c r="N502" i="11"/>
  <c r="O502" i="11"/>
  <c r="J345" i="11"/>
  <c r="U345" i="11"/>
  <c r="O345" i="11"/>
  <c r="L345" i="11"/>
  <c r="E345" i="11"/>
  <c r="M345" i="11"/>
  <c r="K345" i="11"/>
  <c r="T345" i="11"/>
  <c r="S345" i="11" s="1"/>
  <c r="N345" i="11"/>
  <c r="T182" i="11"/>
  <c r="S182" i="11" s="1"/>
  <c r="O182" i="11"/>
  <c r="M182" i="11"/>
  <c r="U182" i="11"/>
  <c r="J182" i="11"/>
  <c r="N182" i="11"/>
  <c r="E182" i="11"/>
  <c r="L182" i="11"/>
  <c r="K182" i="11"/>
  <c r="Q65" i="11"/>
  <c r="E65" i="11"/>
  <c r="F65" i="11" s="1"/>
  <c r="P65" i="11"/>
  <c r="U65" i="11" s="1"/>
  <c r="E49" i="11"/>
  <c r="F49" i="11" s="1"/>
  <c r="Q49" i="11"/>
  <c r="P49" i="11"/>
  <c r="U49" i="11" s="1"/>
  <c r="Q33" i="11"/>
  <c r="P33" i="11"/>
  <c r="U33" i="11" s="1"/>
  <c r="E33" i="11"/>
  <c r="E113" i="11"/>
  <c r="L113" i="11" s="1"/>
  <c r="Q113" i="11"/>
  <c r="P113" i="11"/>
  <c r="U113" i="11" s="1"/>
  <c r="E225" i="11"/>
  <c r="T225" i="11"/>
  <c r="S225" i="11" s="1"/>
  <c r="U225" i="11"/>
  <c r="J225" i="11"/>
  <c r="O225" i="11"/>
  <c r="N225" i="11"/>
  <c r="K225" i="11"/>
  <c r="M225" i="11"/>
  <c r="L225" i="11"/>
  <c r="R225" i="11"/>
  <c r="N209" i="11"/>
  <c r="M209" i="11"/>
  <c r="E209" i="11"/>
  <c r="T209" i="11"/>
  <c r="S209" i="11" s="1"/>
  <c r="L209" i="11"/>
  <c r="J209" i="11"/>
  <c r="U209" i="11"/>
  <c r="O209" i="11"/>
  <c r="K209" i="11"/>
  <c r="Q122" i="11"/>
  <c r="E122" i="11"/>
  <c r="P122" i="11"/>
  <c r="U122" i="11" s="1"/>
  <c r="T188" i="11"/>
  <c r="S188" i="11" s="1"/>
  <c r="L188" i="11"/>
  <c r="N188" i="11"/>
  <c r="U188" i="11"/>
  <c r="E188" i="11"/>
  <c r="M188" i="11"/>
  <c r="O188" i="11"/>
  <c r="J188" i="11"/>
  <c r="K188" i="11"/>
  <c r="T402" i="11"/>
  <c r="S402" i="11" s="1"/>
  <c r="N402" i="11"/>
  <c r="J402" i="11"/>
  <c r="K402" i="11"/>
  <c r="U402" i="11"/>
  <c r="L402" i="11"/>
  <c r="O402" i="11"/>
  <c r="E402" i="11"/>
  <c r="M402" i="11"/>
  <c r="U503" i="11"/>
  <c r="K503" i="11"/>
  <c r="E503" i="11"/>
  <c r="N503" i="11"/>
  <c r="L503" i="11"/>
  <c r="T503" i="11"/>
  <c r="S503" i="11" s="1"/>
  <c r="J503" i="11"/>
  <c r="O503" i="11"/>
  <c r="M503" i="11"/>
  <c r="R503" i="11"/>
  <c r="K499" i="11"/>
  <c r="N499" i="11"/>
  <c r="E499" i="11"/>
  <c r="L499" i="11"/>
  <c r="O499" i="11"/>
  <c r="J499" i="11"/>
  <c r="T499" i="11"/>
  <c r="S499" i="11" s="1"/>
  <c r="U499" i="11"/>
  <c r="M499" i="11"/>
  <c r="T598" i="11"/>
  <c r="S598" i="11" s="1"/>
  <c r="K598" i="11"/>
  <c r="N598" i="11"/>
  <c r="L598" i="11"/>
  <c r="E598" i="11"/>
  <c r="M598" i="11"/>
  <c r="O598" i="11"/>
  <c r="J598" i="11"/>
  <c r="U598" i="11"/>
  <c r="T416" i="11"/>
  <c r="S416" i="11" s="1"/>
  <c r="U416" i="11"/>
  <c r="J416" i="11"/>
  <c r="M416" i="11"/>
  <c r="O416" i="11"/>
  <c r="L416" i="11"/>
  <c r="K416" i="11"/>
  <c r="E416" i="11"/>
  <c r="N416" i="11"/>
  <c r="E29" i="11"/>
  <c r="F29" i="11" s="1"/>
  <c r="Q29" i="11"/>
  <c r="P29" i="11"/>
  <c r="U29" i="11" s="1"/>
  <c r="T386" i="11"/>
  <c r="S386" i="11" s="1"/>
  <c r="N386" i="11"/>
  <c r="M386" i="11"/>
  <c r="U386" i="11"/>
  <c r="E386" i="11"/>
  <c r="L386" i="11"/>
  <c r="O386" i="11"/>
  <c r="J386" i="11"/>
  <c r="K386" i="11"/>
  <c r="T500" i="11"/>
  <c r="S500" i="11" s="1"/>
  <c r="U500" i="11"/>
  <c r="N500" i="11"/>
  <c r="E500" i="11"/>
  <c r="O500" i="11"/>
  <c r="M500" i="11"/>
  <c r="J500" i="11"/>
  <c r="K500" i="11"/>
  <c r="L500" i="11"/>
  <c r="P4" i="11"/>
  <c r="E4" i="11"/>
  <c r="L4" i="11" s="1"/>
  <c r="E410" i="11"/>
  <c r="M410" i="11"/>
  <c r="N410" i="11"/>
  <c r="T410" i="11"/>
  <c r="S410" i="11" s="1"/>
  <c r="L410" i="11"/>
  <c r="J410" i="11"/>
  <c r="U410" i="11"/>
  <c r="K410" i="11"/>
  <c r="O410" i="11"/>
  <c r="T141" i="11"/>
  <c r="S141" i="11" s="1"/>
  <c r="K141" i="11"/>
  <c r="N141" i="11"/>
  <c r="O141" i="11"/>
  <c r="E141" i="11"/>
  <c r="U141" i="11"/>
  <c r="M141" i="11"/>
  <c r="J141" i="11"/>
  <c r="L141" i="11"/>
  <c r="E149" i="11"/>
  <c r="M149" i="11"/>
  <c r="O149" i="11"/>
  <c r="T149" i="11"/>
  <c r="S149" i="11" s="1"/>
  <c r="L149" i="11"/>
  <c r="J149" i="11"/>
  <c r="K149" i="11"/>
  <c r="N149" i="11"/>
  <c r="U149" i="11"/>
  <c r="U307" i="11"/>
  <c r="M307" i="11"/>
  <c r="E307" i="11"/>
  <c r="O307" i="11"/>
  <c r="L307" i="11"/>
  <c r="T307" i="11"/>
  <c r="S307" i="11" s="1"/>
  <c r="N307" i="11"/>
  <c r="J307" i="11"/>
  <c r="K307" i="11"/>
  <c r="T419" i="11"/>
  <c r="S419" i="11" s="1"/>
  <c r="M419" i="11"/>
  <c r="J419" i="11"/>
  <c r="U419" i="11"/>
  <c r="K419" i="11"/>
  <c r="L419" i="11"/>
  <c r="E419" i="11"/>
  <c r="O419" i="11"/>
  <c r="N419" i="11"/>
  <c r="E211" i="11"/>
  <c r="K211" i="11"/>
  <c r="M211" i="11"/>
  <c r="J211" i="11"/>
  <c r="L211" i="11"/>
  <c r="T211" i="11"/>
  <c r="S211" i="11" s="1"/>
  <c r="N211" i="11"/>
  <c r="U211" i="11"/>
  <c r="O211" i="11"/>
  <c r="T249" i="11"/>
  <c r="S249" i="11" s="1"/>
  <c r="U249" i="11"/>
  <c r="K249" i="11"/>
  <c r="O249" i="11"/>
  <c r="E249" i="11"/>
  <c r="N249" i="11"/>
  <c r="L249" i="11"/>
  <c r="J249" i="11"/>
  <c r="M249" i="11"/>
  <c r="U201" i="11"/>
  <c r="K201" i="11"/>
  <c r="E201" i="11"/>
  <c r="J201" i="11"/>
  <c r="O201" i="11"/>
  <c r="T201" i="11"/>
  <c r="S201" i="11" s="1"/>
  <c r="M201" i="11"/>
  <c r="L201" i="11"/>
  <c r="N201" i="11"/>
  <c r="R201" i="11"/>
  <c r="P118" i="11"/>
  <c r="E118" i="11"/>
  <c r="K118" i="11" s="1"/>
  <c r="Q118" i="11"/>
  <c r="N230" i="11"/>
  <c r="O230" i="11"/>
  <c r="J230" i="11"/>
  <c r="M230" i="11"/>
  <c r="L230" i="11"/>
  <c r="K230" i="11"/>
  <c r="T230" i="11"/>
  <c r="S230" i="11" s="1"/>
  <c r="U230" i="11"/>
  <c r="E230" i="11"/>
  <c r="E9" i="11"/>
  <c r="L9" i="11" s="1"/>
  <c r="P9" i="11"/>
  <c r="U9" i="11" s="1"/>
  <c r="Q9" i="11"/>
  <c r="P125" i="11"/>
  <c r="U125" i="11" s="1"/>
  <c r="E125" i="11"/>
  <c r="F125" i="11" s="1"/>
  <c r="U406" i="11"/>
  <c r="L406" i="11"/>
  <c r="T406" i="11"/>
  <c r="S406" i="11" s="1"/>
  <c r="E406" i="11"/>
  <c r="M406" i="11"/>
  <c r="O406" i="11"/>
  <c r="K406" i="11"/>
  <c r="J406" i="11"/>
  <c r="N406" i="11"/>
  <c r="M368" i="11"/>
  <c r="U368" i="11"/>
  <c r="L368" i="11"/>
  <c r="O368" i="11"/>
  <c r="T368" i="11"/>
  <c r="N368" i="11"/>
  <c r="E368" i="11"/>
  <c r="K368" i="11"/>
  <c r="J368" i="11"/>
  <c r="J218" i="11"/>
  <c r="M218" i="11"/>
  <c r="U218" i="11"/>
  <c r="T218" i="11"/>
  <c r="S218" i="11" s="1"/>
  <c r="L218" i="11"/>
  <c r="E218" i="11"/>
  <c r="K218" i="11"/>
  <c r="O218" i="11"/>
  <c r="N218" i="11"/>
  <c r="K284" i="11"/>
  <c r="U284" i="11"/>
  <c r="E284" i="11"/>
  <c r="M284" i="11"/>
  <c r="N284" i="11"/>
  <c r="J284" i="11"/>
  <c r="L284" i="11"/>
  <c r="O284" i="11"/>
  <c r="T284" i="11"/>
  <c r="E394" i="11"/>
  <c r="N394" i="11"/>
  <c r="M394" i="11"/>
  <c r="J394" i="11"/>
  <c r="L394" i="11"/>
  <c r="U394" i="11"/>
  <c r="T394" i="11"/>
  <c r="S394" i="11" s="1"/>
  <c r="K394" i="11"/>
  <c r="O394" i="11"/>
  <c r="J540" i="11"/>
  <c r="M540" i="11"/>
  <c r="T540" i="11"/>
  <c r="S540" i="11" s="1"/>
  <c r="U540" i="11"/>
  <c r="K540" i="11"/>
  <c r="N540" i="11"/>
  <c r="E540" i="11"/>
  <c r="L540" i="11"/>
  <c r="O540" i="11"/>
  <c r="U296" i="11"/>
  <c r="L296" i="11"/>
  <c r="T296" i="11"/>
  <c r="S296" i="11" s="1"/>
  <c r="E296" i="11"/>
  <c r="K296" i="11"/>
  <c r="O296" i="11"/>
  <c r="J296" i="11"/>
  <c r="N296" i="11"/>
  <c r="M296" i="11"/>
  <c r="T369" i="11"/>
  <c r="L369" i="11"/>
  <c r="K369" i="11"/>
  <c r="N369" i="11"/>
  <c r="E369" i="11"/>
  <c r="O369" i="11"/>
  <c r="U369" i="11"/>
  <c r="J369" i="11"/>
  <c r="M369" i="11"/>
  <c r="E262" i="11"/>
  <c r="M262" i="11"/>
  <c r="U262" i="11"/>
  <c r="T262" i="11"/>
  <c r="S262" i="11" s="1"/>
  <c r="L262" i="11"/>
  <c r="J262" i="11"/>
  <c r="O262" i="11"/>
  <c r="N262" i="11"/>
  <c r="K262" i="11"/>
  <c r="E371" i="11"/>
  <c r="K371" i="11"/>
  <c r="N371" i="11"/>
  <c r="J371" i="11"/>
  <c r="L371" i="11"/>
  <c r="U371" i="11"/>
  <c r="O371" i="11"/>
  <c r="T371" i="11"/>
  <c r="S371" i="11" s="1"/>
  <c r="M371" i="11"/>
  <c r="T349" i="11"/>
  <c r="S349" i="11" s="1"/>
  <c r="N349" i="11"/>
  <c r="K349" i="11"/>
  <c r="L349" i="11"/>
  <c r="E349" i="11"/>
  <c r="O349" i="11"/>
  <c r="U349" i="11"/>
  <c r="M349" i="11"/>
  <c r="J349" i="11"/>
  <c r="E312" i="11"/>
  <c r="O312" i="11"/>
  <c r="M312" i="11"/>
  <c r="L312" i="11"/>
  <c r="J312" i="11"/>
  <c r="U312" i="11"/>
  <c r="N312" i="11"/>
  <c r="T312" i="11"/>
  <c r="S312" i="11" s="1"/>
  <c r="K312" i="11"/>
  <c r="T408" i="11"/>
  <c r="S408" i="11" s="1"/>
  <c r="U408" i="11"/>
  <c r="K408" i="11"/>
  <c r="M408" i="11"/>
  <c r="N408" i="11"/>
  <c r="J408" i="11"/>
  <c r="E408" i="11"/>
  <c r="L408" i="11"/>
  <c r="O408" i="11"/>
  <c r="T432" i="11"/>
  <c r="S432" i="11" s="1"/>
  <c r="U432" i="11"/>
  <c r="K432" i="11"/>
  <c r="E432" i="11"/>
  <c r="M432" i="11"/>
  <c r="N432" i="11"/>
  <c r="O432" i="11"/>
  <c r="J432" i="11"/>
  <c r="L432" i="11"/>
  <c r="O319" i="11"/>
  <c r="M319" i="11"/>
  <c r="E319" i="11"/>
  <c r="J319" i="11"/>
  <c r="L319" i="11"/>
  <c r="U319" i="11"/>
  <c r="T319" i="11"/>
  <c r="S319" i="11" s="1"/>
  <c r="N319" i="11"/>
  <c r="K319" i="11"/>
  <c r="J327" i="11"/>
  <c r="U327" i="11"/>
  <c r="N327" i="11"/>
  <c r="O327" i="11"/>
  <c r="K327" i="11"/>
  <c r="T327" i="11"/>
  <c r="S327" i="11" s="1"/>
  <c r="E327" i="11"/>
  <c r="M327" i="11"/>
  <c r="L327" i="11"/>
  <c r="R327" i="11"/>
  <c r="K231" i="11"/>
  <c r="N231" i="11"/>
  <c r="J231" i="11"/>
  <c r="O231" i="11"/>
  <c r="L231" i="11"/>
  <c r="E231" i="11"/>
  <c r="T231" i="11"/>
  <c r="S231" i="11" s="1"/>
  <c r="U231" i="11"/>
  <c r="M231" i="11"/>
  <c r="P82" i="11"/>
  <c r="U82" i="11" s="1"/>
  <c r="E82" i="11"/>
  <c r="L82" i="11" s="1"/>
  <c r="Q82" i="11"/>
  <c r="J295" i="11"/>
  <c r="K295" i="11"/>
  <c r="T295" i="11"/>
  <c r="S295" i="11" s="1"/>
  <c r="N295" i="11"/>
  <c r="L295" i="11"/>
  <c r="O295" i="11"/>
  <c r="M295" i="11"/>
  <c r="E295" i="11"/>
  <c r="U295" i="11"/>
  <c r="M391" i="11"/>
  <c r="K391" i="11"/>
  <c r="E391" i="11"/>
  <c r="L391" i="11"/>
  <c r="O391" i="11"/>
  <c r="J391" i="11"/>
  <c r="N391" i="11"/>
  <c r="U391" i="11"/>
  <c r="T391" i="11"/>
  <c r="S391" i="11" s="1"/>
  <c r="K443" i="11"/>
  <c r="L443" i="11"/>
  <c r="E443" i="11"/>
  <c r="O443" i="11"/>
  <c r="U443" i="11"/>
  <c r="J443" i="11"/>
  <c r="N443" i="11"/>
  <c r="T443" i="11"/>
  <c r="S443" i="11" s="1"/>
  <c r="M443" i="11"/>
  <c r="T489" i="11"/>
  <c r="S489" i="11" s="1"/>
  <c r="L489" i="11"/>
  <c r="M489" i="11"/>
  <c r="U489" i="11"/>
  <c r="K489" i="11"/>
  <c r="N489" i="11"/>
  <c r="O489" i="11"/>
  <c r="E489" i="11"/>
  <c r="J489" i="11"/>
  <c r="O361" i="11"/>
  <c r="U361" i="11"/>
  <c r="E361" i="11"/>
  <c r="M361" i="11"/>
  <c r="K361" i="11"/>
  <c r="T361" i="11"/>
  <c r="S361" i="11" s="1"/>
  <c r="L361" i="11"/>
  <c r="J361" i="11"/>
  <c r="N361" i="11"/>
  <c r="J459" i="11"/>
  <c r="N459" i="11"/>
  <c r="U459" i="11"/>
  <c r="M459" i="11"/>
  <c r="E459" i="11"/>
  <c r="K459" i="11"/>
  <c r="O459" i="11"/>
  <c r="T459" i="11"/>
  <c r="S459" i="11" s="1"/>
  <c r="L459" i="11"/>
  <c r="E520" i="11"/>
  <c r="K520" i="11"/>
  <c r="U520" i="11"/>
  <c r="J520" i="11"/>
  <c r="L520" i="11"/>
  <c r="T520" i="11"/>
  <c r="S520" i="11" s="1"/>
  <c r="O520" i="11"/>
  <c r="M520" i="11"/>
  <c r="N520" i="11"/>
  <c r="R520" i="11"/>
  <c r="K320" i="11"/>
  <c r="U320" i="11"/>
  <c r="O320" i="11"/>
  <c r="E320" i="11"/>
  <c r="M320" i="11"/>
  <c r="N320" i="11"/>
  <c r="J320" i="11"/>
  <c r="L320" i="11"/>
  <c r="T320" i="11"/>
  <c r="S320" i="11" s="1"/>
  <c r="J380" i="11"/>
  <c r="L380" i="11"/>
  <c r="E380" i="11"/>
  <c r="T380" i="11"/>
  <c r="S380" i="11" s="1"/>
  <c r="O380" i="11"/>
  <c r="N380" i="11"/>
  <c r="K380" i="11"/>
  <c r="U380" i="11"/>
  <c r="M380" i="11"/>
  <c r="J315" i="11"/>
  <c r="M315" i="11"/>
  <c r="E315" i="11"/>
  <c r="O315" i="11"/>
  <c r="T315" i="11"/>
  <c r="S315" i="11" s="1"/>
  <c r="L315" i="11"/>
  <c r="N315" i="11"/>
  <c r="K315" i="11"/>
  <c r="U315" i="11"/>
  <c r="K560" i="11"/>
  <c r="N560" i="11"/>
  <c r="E560" i="11"/>
  <c r="L560" i="11"/>
  <c r="U560" i="11"/>
  <c r="M560" i="11"/>
  <c r="J560" i="11"/>
  <c r="O560" i="11"/>
  <c r="T560" i="11"/>
  <c r="S560" i="11" s="1"/>
  <c r="U304" i="11"/>
  <c r="M304" i="11"/>
  <c r="T304" i="11"/>
  <c r="S304" i="11" s="1"/>
  <c r="K304" i="11"/>
  <c r="L304" i="11"/>
  <c r="J304" i="11"/>
  <c r="E304" i="11"/>
  <c r="N304" i="11"/>
  <c r="O304" i="11"/>
  <c r="E309" i="11"/>
  <c r="M309" i="11"/>
  <c r="L309" i="11"/>
  <c r="K309" i="11"/>
  <c r="J309" i="11"/>
  <c r="O309" i="11"/>
  <c r="N309" i="11"/>
  <c r="T309" i="11"/>
  <c r="S309" i="11" s="1"/>
  <c r="U309" i="11"/>
  <c r="L344" i="11"/>
  <c r="M344" i="11"/>
  <c r="U344" i="11"/>
  <c r="E344" i="11"/>
  <c r="O344" i="11"/>
  <c r="K344" i="11"/>
  <c r="T344" i="11"/>
  <c r="S344" i="11" s="1"/>
  <c r="N344" i="11"/>
  <c r="J344" i="11"/>
  <c r="Q10" i="11"/>
  <c r="P10" i="11"/>
  <c r="U10" i="11" s="1"/>
  <c r="E10" i="11"/>
  <c r="F10" i="11" s="1"/>
  <c r="T356" i="11"/>
  <c r="S356" i="11" s="1"/>
  <c r="U356" i="11"/>
  <c r="K356" i="11"/>
  <c r="J356" i="11"/>
  <c r="M356" i="11"/>
  <c r="N356" i="11"/>
  <c r="O356" i="11"/>
  <c r="L356" i="11"/>
  <c r="E356" i="11"/>
  <c r="E18" i="11"/>
  <c r="K18" i="11" s="1"/>
  <c r="Q18" i="11"/>
  <c r="P18" i="11"/>
  <c r="U18" i="11" s="1"/>
  <c r="E333" i="11"/>
  <c r="O333" i="11"/>
  <c r="K333" i="11"/>
  <c r="U333" i="11"/>
  <c r="T333" i="11"/>
  <c r="S333" i="11" s="1"/>
  <c r="M333" i="11"/>
  <c r="J333" i="11"/>
  <c r="L333" i="11"/>
  <c r="N333" i="11"/>
  <c r="U397" i="11"/>
  <c r="N397" i="11"/>
  <c r="E397" i="11"/>
  <c r="K397" i="11"/>
  <c r="M397" i="11"/>
  <c r="J397" i="11"/>
  <c r="T397" i="11"/>
  <c r="S397" i="11" s="1"/>
  <c r="L397" i="11"/>
  <c r="O397" i="11"/>
  <c r="Q58" i="11"/>
  <c r="P58" i="11"/>
  <c r="U58" i="11" s="1"/>
  <c r="E58" i="11"/>
  <c r="L58" i="11" s="1"/>
  <c r="O592" i="11"/>
  <c r="K592" i="11"/>
  <c r="U592" i="11"/>
  <c r="J592" i="11"/>
  <c r="T592" i="11"/>
  <c r="S592" i="11" s="1"/>
  <c r="M592" i="11"/>
  <c r="N592" i="11"/>
  <c r="L592" i="11"/>
  <c r="E592" i="11"/>
  <c r="E336" i="11"/>
  <c r="U336" i="11"/>
  <c r="J336" i="11"/>
  <c r="N336" i="11"/>
  <c r="L336" i="11"/>
  <c r="K336" i="11"/>
  <c r="O336" i="11"/>
  <c r="M336" i="11"/>
  <c r="T336" i="11"/>
  <c r="S336" i="11" s="1"/>
  <c r="K325" i="11"/>
  <c r="M325" i="11"/>
  <c r="O325" i="11"/>
  <c r="L325" i="11"/>
  <c r="N325" i="11"/>
  <c r="E325" i="11"/>
  <c r="J325" i="11"/>
  <c r="U325" i="11"/>
  <c r="T325" i="11"/>
  <c r="S325" i="11" s="1"/>
  <c r="J381" i="11"/>
  <c r="O381" i="11"/>
  <c r="E381" i="11"/>
  <c r="L381" i="11"/>
  <c r="T381" i="11"/>
  <c r="S381" i="11" s="1"/>
  <c r="M381" i="11"/>
  <c r="U381" i="11"/>
  <c r="N381" i="11"/>
  <c r="K381" i="11"/>
  <c r="Q42" i="11"/>
  <c r="E42" i="11"/>
  <c r="F42" i="11" s="1"/>
  <c r="P42" i="11"/>
  <c r="U42" i="11" s="1"/>
  <c r="E395" i="11"/>
  <c r="U395" i="11"/>
  <c r="M395" i="11"/>
  <c r="L395" i="11"/>
  <c r="T395" i="11"/>
  <c r="S395" i="11" s="1"/>
  <c r="K395" i="11"/>
  <c r="N395" i="11"/>
  <c r="J395" i="11"/>
  <c r="O395" i="11"/>
  <c r="K536" i="11"/>
  <c r="O536" i="11"/>
  <c r="E536" i="11"/>
  <c r="L536" i="11"/>
  <c r="N536" i="11"/>
  <c r="J536" i="11"/>
  <c r="M536" i="11"/>
  <c r="T536" i="11"/>
  <c r="S536" i="11" s="1"/>
  <c r="U536" i="11"/>
  <c r="K373" i="11"/>
  <c r="N373" i="11"/>
  <c r="T373" i="11"/>
  <c r="S373" i="11" s="1"/>
  <c r="E373" i="11"/>
  <c r="L373" i="11"/>
  <c r="O373" i="11"/>
  <c r="U373" i="11"/>
  <c r="M373" i="11"/>
  <c r="J373" i="11"/>
  <c r="K388" i="11"/>
  <c r="U388" i="11"/>
  <c r="T388" i="11"/>
  <c r="S388" i="11" s="1"/>
  <c r="O388" i="11"/>
  <c r="E388" i="11"/>
  <c r="M388" i="11"/>
  <c r="N388" i="11"/>
  <c r="L388" i="11"/>
  <c r="J388" i="11"/>
  <c r="J323" i="11"/>
  <c r="K323" i="11"/>
  <c r="T323" i="11"/>
  <c r="S323" i="11" s="1"/>
  <c r="O323" i="11"/>
  <c r="L323" i="11"/>
  <c r="M323" i="11"/>
  <c r="E323" i="11"/>
  <c r="U323" i="11"/>
  <c r="N323" i="11"/>
  <c r="N541" i="11"/>
  <c r="K541" i="11"/>
  <c r="T541" i="11"/>
  <c r="S541" i="11" s="1"/>
  <c r="E541" i="11"/>
  <c r="M541" i="11"/>
  <c r="O541" i="11"/>
  <c r="J541" i="11"/>
  <c r="U541" i="11"/>
  <c r="L541" i="11"/>
  <c r="P93" i="11"/>
  <c r="U93" i="11" s="1"/>
  <c r="E93" i="11"/>
  <c r="K93" i="11" s="1"/>
  <c r="Q93" i="11"/>
  <c r="E52" i="11"/>
  <c r="F52" i="11" s="1"/>
  <c r="Q52" i="11"/>
  <c r="P52" i="11"/>
  <c r="U52" i="11" s="1"/>
  <c r="J442" i="11"/>
  <c r="U442" i="11"/>
  <c r="L442" i="11"/>
  <c r="E442" i="11"/>
  <c r="K442" i="11"/>
  <c r="O442" i="11"/>
  <c r="M442" i="11"/>
  <c r="T442" i="11"/>
  <c r="S442" i="11" s="1"/>
  <c r="N442" i="11"/>
  <c r="L580" i="11"/>
  <c r="J580" i="11"/>
  <c r="N580" i="11"/>
  <c r="T580" i="11"/>
  <c r="S580" i="11" s="1"/>
  <c r="U580" i="11"/>
  <c r="K580" i="11"/>
  <c r="E580" i="11"/>
  <c r="M580" i="11"/>
  <c r="O580" i="11"/>
  <c r="J365" i="11"/>
  <c r="N365" i="11"/>
  <c r="T365" i="11"/>
  <c r="S365" i="11" s="1"/>
  <c r="U365" i="11"/>
  <c r="K365" i="11"/>
  <c r="M365" i="11"/>
  <c r="E365" i="11"/>
  <c r="O365" i="11"/>
  <c r="L365" i="11"/>
  <c r="M417" i="11"/>
  <c r="K417" i="11"/>
  <c r="E417" i="11"/>
  <c r="L417" i="11"/>
  <c r="O417" i="11"/>
  <c r="J417" i="11"/>
  <c r="N417" i="11"/>
  <c r="T417" i="11"/>
  <c r="S417" i="11" s="1"/>
  <c r="U417" i="11"/>
  <c r="E565" i="11"/>
  <c r="M565" i="11"/>
  <c r="U565" i="11"/>
  <c r="T565" i="11"/>
  <c r="S565" i="11" s="1"/>
  <c r="K565" i="11"/>
  <c r="O565" i="11"/>
  <c r="J565" i="11"/>
  <c r="N565" i="11"/>
  <c r="L565" i="11"/>
  <c r="L226" i="11"/>
  <c r="K226" i="11"/>
  <c r="E226" i="11"/>
  <c r="T226" i="11"/>
  <c r="N226" i="11"/>
  <c r="O226" i="11"/>
  <c r="U226" i="11"/>
  <c r="J226" i="11"/>
  <c r="M226" i="11"/>
  <c r="T334" i="11"/>
  <c r="S334" i="11" s="1"/>
  <c r="M334" i="11"/>
  <c r="O334" i="11"/>
  <c r="L334" i="11"/>
  <c r="E334" i="11"/>
  <c r="N334" i="11"/>
  <c r="K334" i="11"/>
  <c r="U334" i="11"/>
  <c r="J334" i="11"/>
  <c r="J605" i="11"/>
  <c r="M605" i="11"/>
  <c r="U605" i="11"/>
  <c r="K605" i="11"/>
  <c r="N605" i="11"/>
  <c r="T605" i="11"/>
  <c r="S605" i="11" s="1"/>
  <c r="E605" i="11"/>
  <c r="O605" i="11"/>
  <c r="L605" i="11"/>
  <c r="Q13" i="11"/>
  <c r="E13" i="11"/>
  <c r="K13" i="11" s="1"/>
  <c r="P13" i="11"/>
  <c r="U13" i="11" s="1"/>
  <c r="N358" i="11"/>
  <c r="L358" i="11"/>
  <c r="M358" i="11"/>
  <c r="E358" i="11"/>
  <c r="J358" i="11"/>
  <c r="K358" i="11"/>
  <c r="T358" i="11"/>
  <c r="U358" i="11"/>
  <c r="O358" i="11"/>
  <c r="P21" i="11"/>
  <c r="U21" i="11" s="1"/>
  <c r="Q21" i="11"/>
  <c r="E21" i="11"/>
  <c r="L21" i="11" s="1"/>
  <c r="T363" i="11"/>
  <c r="S363" i="11" s="1"/>
  <c r="M363" i="11"/>
  <c r="J363" i="11"/>
  <c r="L363" i="11"/>
  <c r="N363" i="11"/>
  <c r="U363" i="11"/>
  <c r="E363" i="11"/>
  <c r="K363" i="11"/>
  <c r="O363" i="11"/>
  <c r="T390" i="11"/>
  <c r="S390" i="11" s="1"/>
  <c r="M390" i="11"/>
  <c r="E61" i="11"/>
  <c r="K61" i="11" s="1"/>
  <c r="P61" i="11"/>
  <c r="U61" i="11" s="1"/>
  <c r="Q61" i="11"/>
  <c r="N597" i="11"/>
  <c r="M597" i="11"/>
  <c r="P5" i="11"/>
  <c r="U5" i="11" s="1"/>
  <c r="E5" i="11"/>
  <c r="Q5" i="11"/>
  <c r="T352" i="11"/>
  <c r="S352" i="11" s="1"/>
  <c r="J352" i="11"/>
  <c r="E352" i="11"/>
  <c r="L352" i="11"/>
  <c r="N352" i="11"/>
  <c r="K352" i="11"/>
  <c r="O352" i="11"/>
  <c r="M352" i="11"/>
  <c r="U352" i="11"/>
  <c r="T382" i="11"/>
  <c r="S382" i="11" s="1"/>
  <c r="O382" i="11"/>
  <c r="K382" i="11"/>
  <c r="U382" i="11"/>
  <c r="E382" i="11"/>
  <c r="M382" i="11"/>
  <c r="N382" i="11"/>
  <c r="L382" i="11"/>
  <c r="J382" i="11"/>
  <c r="Q45" i="11"/>
  <c r="M496" i="11"/>
  <c r="O496" i="11"/>
  <c r="E496" i="11"/>
  <c r="J496" i="11"/>
  <c r="N496" i="11"/>
  <c r="K496" i="11"/>
  <c r="T496" i="11"/>
  <c r="S496" i="11" s="1"/>
  <c r="L496" i="11"/>
  <c r="U496" i="11"/>
  <c r="P77" i="11"/>
  <c r="U77" i="11" s="1"/>
  <c r="Q77" i="11"/>
  <c r="E77" i="11"/>
  <c r="K546" i="11"/>
  <c r="N546" i="11"/>
  <c r="E546" i="11"/>
  <c r="L546" i="11"/>
  <c r="T546" i="11"/>
  <c r="S546" i="11" s="1"/>
  <c r="J546" i="11"/>
  <c r="O546" i="11"/>
  <c r="U546" i="11"/>
  <c r="M546" i="11"/>
  <c r="P20" i="11"/>
  <c r="E20" i="11"/>
  <c r="K20" i="11" s="1"/>
  <c r="Q20" i="11"/>
  <c r="K589" i="11"/>
  <c r="T589" i="11"/>
  <c r="S589" i="11" s="1"/>
  <c r="T537" i="11"/>
  <c r="S537" i="11" s="1"/>
  <c r="M537" i="11"/>
  <c r="U537" i="11"/>
  <c r="K537" i="11"/>
  <c r="E537" i="11"/>
  <c r="L537" i="11"/>
  <c r="O537" i="11"/>
  <c r="J537" i="11"/>
  <c r="N537" i="11"/>
  <c r="E603" i="11"/>
  <c r="K603" i="11"/>
  <c r="N603" i="11"/>
  <c r="J603" i="11"/>
  <c r="L603" i="11"/>
  <c r="T603" i="11"/>
  <c r="S603" i="11" s="1"/>
  <c r="O603" i="11"/>
  <c r="M603" i="11"/>
  <c r="U603" i="11"/>
  <c r="R603" i="11"/>
  <c r="T606" i="11"/>
  <c r="S606" i="11" s="1"/>
  <c r="M606" i="11"/>
  <c r="U606" i="11"/>
  <c r="K606" i="11"/>
  <c r="E606" i="11"/>
  <c r="O606" i="11"/>
  <c r="L606" i="11"/>
  <c r="J606" i="11"/>
  <c r="N606" i="11"/>
  <c r="T553" i="11"/>
  <c r="J553" i="11"/>
  <c r="K553" i="11"/>
  <c r="M553" i="11"/>
  <c r="O553" i="11"/>
  <c r="L553" i="11"/>
  <c r="N553" i="11"/>
  <c r="U553" i="11"/>
  <c r="E553" i="11"/>
  <c r="E151" i="11"/>
  <c r="M151" i="11"/>
  <c r="O151" i="11"/>
  <c r="T151" i="11"/>
  <c r="S151" i="11" s="1"/>
  <c r="L151" i="11"/>
  <c r="J151" i="11"/>
  <c r="K151" i="11"/>
  <c r="N151" i="11"/>
  <c r="U151" i="11"/>
  <c r="J550" i="11"/>
  <c r="M550" i="11"/>
  <c r="U550" i="11"/>
  <c r="K550" i="11"/>
  <c r="E550" i="11"/>
  <c r="O550" i="11"/>
  <c r="L550" i="11"/>
  <c r="T550" i="11"/>
  <c r="S550" i="11" s="1"/>
  <c r="N550" i="11"/>
  <c r="P28" i="11"/>
  <c r="U28" i="11" s="1"/>
  <c r="T265" i="11"/>
  <c r="S265" i="11" s="1"/>
  <c r="N265" i="11"/>
  <c r="U265" i="11"/>
  <c r="M265" i="11"/>
  <c r="E265" i="11"/>
  <c r="K265" i="11"/>
  <c r="O265" i="11"/>
  <c r="J265" i="11"/>
  <c r="L265" i="11"/>
  <c r="E538" i="11"/>
  <c r="U538" i="11"/>
  <c r="M538" i="11"/>
  <c r="T538" i="11"/>
  <c r="S538" i="11" s="1"/>
  <c r="K538" i="11"/>
  <c r="L538" i="11"/>
  <c r="J538" i="11"/>
  <c r="O538" i="11"/>
  <c r="N538" i="11"/>
  <c r="M531" i="11"/>
  <c r="J531" i="11"/>
  <c r="O558" i="11"/>
  <c r="N558" i="11"/>
  <c r="E558" i="11"/>
  <c r="U558" i="11"/>
  <c r="M558" i="11"/>
  <c r="T558" i="11"/>
  <c r="S558" i="11" s="1"/>
  <c r="J558" i="11"/>
  <c r="L558" i="11"/>
  <c r="K558" i="11"/>
  <c r="R558" i="11"/>
  <c r="J308" i="11"/>
  <c r="N308" i="11"/>
  <c r="U308" i="11"/>
  <c r="M308" i="11"/>
  <c r="K308" i="11"/>
  <c r="L308" i="11"/>
  <c r="E308" i="11"/>
  <c r="T308" i="11"/>
  <c r="S308" i="11" s="1"/>
  <c r="O308" i="11"/>
  <c r="J313" i="11"/>
  <c r="M313" i="11"/>
  <c r="J562" i="11"/>
  <c r="K562" i="11"/>
  <c r="O562" i="11"/>
  <c r="L562" i="11"/>
  <c r="E562" i="11"/>
  <c r="N562" i="11"/>
  <c r="M562" i="11"/>
  <c r="T562" i="11"/>
  <c r="S562" i="11" s="1"/>
  <c r="U562" i="11"/>
  <c r="E555" i="11"/>
  <c r="O555" i="11"/>
  <c r="K555" i="11"/>
  <c r="T555" i="11"/>
  <c r="S555" i="11" s="1"/>
  <c r="U555" i="11"/>
  <c r="J555" i="11"/>
  <c r="L555" i="11"/>
  <c r="N555" i="11"/>
  <c r="M555" i="11"/>
  <c r="J582" i="11"/>
  <c r="N582" i="11"/>
  <c r="M582" i="11"/>
  <c r="M332" i="11"/>
  <c r="N332" i="11"/>
  <c r="E332" i="11"/>
  <c r="U332" i="11"/>
  <c r="K332" i="11"/>
  <c r="T332" i="11"/>
  <c r="S332" i="11" s="1"/>
  <c r="L332" i="11"/>
  <c r="J332" i="11"/>
  <c r="O332" i="11"/>
  <c r="R332" i="11"/>
  <c r="O297" i="11"/>
  <c r="L297" i="11"/>
  <c r="N297" i="11"/>
  <c r="U297" i="11"/>
  <c r="E297" i="11"/>
  <c r="M297" i="11"/>
  <c r="K297" i="11"/>
  <c r="T297" i="11"/>
  <c r="S297" i="11" s="1"/>
  <c r="J297" i="11"/>
  <c r="J554" i="11"/>
  <c r="T554" i="11"/>
  <c r="S554" i="11" s="1"/>
  <c r="J547" i="11"/>
  <c r="M547" i="11"/>
  <c r="K547" i="11"/>
  <c r="N547" i="11"/>
  <c r="E547" i="11"/>
  <c r="O547" i="11"/>
  <c r="L547" i="11"/>
  <c r="T547" i="11"/>
  <c r="S547" i="11" s="1"/>
  <c r="U547" i="11"/>
  <c r="J574" i="11"/>
  <c r="M574" i="11"/>
  <c r="K574" i="11"/>
  <c r="U574" i="11"/>
  <c r="T574" i="11"/>
  <c r="S574" i="11" s="1"/>
  <c r="O574" i="11"/>
  <c r="L574" i="11"/>
  <c r="N574" i="11"/>
  <c r="E574" i="11"/>
  <c r="T260" i="11"/>
  <c r="S260" i="11" s="1"/>
  <c r="N260" i="11"/>
  <c r="L260" i="11"/>
  <c r="M260" i="11"/>
  <c r="O260" i="11"/>
  <c r="U260" i="11"/>
  <c r="J260" i="11"/>
  <c r="K260" i="11"/>
  <c r="E260" i="11"/>
  <c r="P3" i="11"/>
  <c r="U3" i="11" s="1"/>
  <c r="E3" i="11"/>
  <c r="K3" i="11" s="1"/>
  <c r="Q3" i="11"/>
  <c r="N289" i="11"/>
  <c r="K289" i="11"/>
  <c r="E289" i="11"/>
  <c r="M289" i="11"/>
  <c r="L289" i="11"/>
  <c r="T289" i="11"/>
  <c r="S289" i="11" s="1"/>
  <c r="O289" i="11"/>
  <c r="J289" i="11"/>
  <c r="U289" i="11"/>
  <c r="R289" i="11"/>
  <c r="J256" i="11"/>
  <c r="K256" i="11"/>
  <c r="T256" i="11"/>
  <c r="S256" i="11" s="1"/>
  <c r="N256" i="11"/>
  <c r="M256" i="11"/>
  <c r="U256" i="11"/>
  <c r="E256" i="11"/>
  <c r="L256" i="11"/>
  <c r="O256" i="11"/>
  <c r="E461" i="11"/>
  <c r="O461" i="11"/>
  <c r="K461" i="11"/>
  <c r="T461" i="11"/>
  <c r="S461" i="11" s="1"/>
  <c r="M461" i="11"/>
  <c r="J461" i="11"/>
  <c r="L461" i="11"/>
  <c r="U461" i="11"/>
  <c r="N461" i="11"/>
  <c r="L237" i="11"/>
  <c r="O237" i="11"/>
  <c r="E237" i="11"/>
  <c r="U237" i="11"/>
  <c r="M237" i="11"/>
  <c r="J237" i="11"/>
  <c r="K237" i="11"/>
  <c r="T237" i="11"/>
  <c r="N237" i="11"/>
  <c r="M194" i="11"/>
  <c r="L194" i="11"/>
  <c r="N194" i="11"/>
  <c r="E194" i="11"/>
  <c r="K194" i="11"/>
  <c r="O194" i="11"/>
  <c r="T194" i="11"/>
  <c r="S194" i="11" s="1"/>
  <c r="J194" i="11"/>
  <c r="U194" i="11"/>
  <c r="T465" i="11"/>
  <c r="S465" i="11" s="1"/>
  <c r="O465" i="11"/>
  <c r="M465" i="11"/>
  <c r="J465" i="11"/>
  <c r="U465" i="11"/>
  <c r="E465" i="11"/>
  <c r="N465" i="11"/>
  <c r="K465" i="11"/>
  <c r="L465" i="11"/>
  <c r="P22" i="11"/>
  <c r="U22" i="11" s="1"/>
  <c r="E22" i="11"/>
  <c r="F22" i="11" s="1"/>
  <c r="Q22" i="11"/>
  <c r="J251" i="11"/>
  <c r="K251" i="11"/>
  <c r="E251" i="11"/>
  <c r="O251" i="11"/>
  <c r="N251" i="11"/>
  <c r="L251" i="11"/>
  <c r="U251" i="11"/>
  <c r="M251" i="11"/>
  <c r="T251" i="11"/>
  <c r="S251" i="11" s="1"/>
  <c r="P94" i="11"/>
  <c r="U94" i="11" s="1"/>
  <c r="Q94" i="11"/>
  <c r="E94" i="11"/>
  <c r="L94" i="11" s="1"/>
  <c r="O272" i="11"/>
  <c r="K272" i="11"/>
  <c r="E272" i="11"/>
  <c r="J272" i="11"/>
  <c r="N272" i="11"/>
  <c r="T272" i="11"/>
  <c r="S272" i="11" s="1"/>
  <c r="M272" i="11"/>
  <c r="L272" i="11"/>
  <c r="U272" i="11"/>
  <c r="R272" i="11"/>
  <c r="P50" i="11"/>
  <c r="E50" i="11"/>
  <c r="L50" i="11" s="1"/>
  <c r="Q50" i="11"/>
  <c r="J566" i="11"/>
  <c r="N566" i="11"/>
  <c r="E566" i="11"/>
  <c r="M566" i="11"/>
  <c r="T566" i="11"/>
  <c r="U566" i="11"/>
  <c r="O566" i="11"/>
  <c r="L566" i="11"/>
  <c r="K566" i="11"/>
  <c r="J441" i="11"/>
  <c r="M441" i="11"/>
  <c r="T441" i="11"/>
  <c r="S441" i="11" s="1"/>
  <c r="K441" i="11"/>
  <c r="N441" i="11"/>
  <c r="E441" i="11"/>
  <c r="O441" i="11"/>
  <c r="L441" i="11"/>
  <c r="U441" i="11"/>
  <c r="N217" i="11"/>
  <c r="M217" i="11"/>
  <c r="O217" i="11"/>
  <c r="K217" i="11"/>
  <c r="U217" i="11"/>
  <c r="E217" i="11"/>
  <c r="L217" i="11"/>
  <c r="J217" i="11"/>
  <c r="T217" i="11"/>
  <c r="S217" i="11" s="1"/>
  <c r="Q8" i="11"/>
  <c r="E8" i="11"/>
  <c r="P8" i="11"/>
  <c r="U8" i="11" s="1"/>
  <c r="P72" i="11"/>
  <c r="U72" i="11" s="1"/>
  <c r="E72" i="11"/>
  <c r="L72" i="11" s="1"/>
  <c r="Q72" i="11"/>
  <c r="J168" i="11"/>
  <c r="N168" i="11"/>
  <c r="K168" i="11"/>
  <c r="M168" i="11"/>
  <c r="E168" i="11"/>
  <c r="U168" i="11"/>
  <c r="L168" i="11"/>
  <c r="T168" i="11"/>
  <c r="S168" i="11" s="1"/>
  <c r="O168" i="11"/>
  <c r="K535" i="11"/>
  <c r="O535" i="11"/>
  <c r="E535" i="11"/>
  <c r="L535" i="11"/>
  <c r="U535" i="11"/>
  <c r="J535" i="11"/>
  <c r="T535" i="11"/>
  <c r="S535" i="11" s="1"/>
  <c r="N535" i="11"/>
  <c r="M535" i="11"/>
  <c r="T433" i="11"/>
  <c r="S433" i="11" s="1"/>
  <c r="L433" i="11"/>
  <c r="K433" i="11"/>
  <c r="N433" i="11"/>
  <c r="E433" i="11"/>
  <c r="O433" i="11"/>
  <c r="U433" i="11"/>
  <c r="J433" i="11"/>
  <c r="M433" i="11"/>
  <c r="T175" i="11"/>
  <c r="S175" i="11" s="1"/>
  <c r="N175" i="11"/>
  <c r="K175" i="11"/>
  <c r="J175" i="11"/>
  <c r="U175" i="11"/>
  <c r="E175" i="11"/>
  <c r="M175" i="11"/>
  <c r="O175" i="11"/>
  <c r="L175" i="11"/>
  <c r="T275" i="11"/>
  <c r="S275" i="11" s="1"/>
  <c r="M275" i="11"/>
  <c r="O275" i="11"/>
  <c r="K275" i="11"/>
  <c r="E275" i="11"/>
  <c r="U275" i="11"/>
  <c r="L275" i="11"/>
  <c r="N275" i="11"/>
  <c r="J275" i="11"/>
  <c r="U241" i="11"/>
  <c r="M241" i="11"/>
  <c r="N241" i="11"/>
  <c r="E241" i="11"/>
  <c r="O241" i="11"/>
  <c r="L241" i="11"/>
  <c r="T241" i="11"/>
  <c r="S241" i="11" s="1"/>
  <c r="J241" i="11"/>
  <c r="K241" i="11"/>
  <c r="J216" i="11"/>
  <c r="E216" i="11"/>
  <c r="O216" i="11"/>
  <c r="L216" i="11"/>
  <c r="T216" i="11"/>
  <c r="S216" i="11" s="1"/>
  <c r="M216" i="11"/>
  <c r="N216" i="11"/>
  <c r="U216" i="11"/>
  <c r="K216" i="11"/>
  <c r="L240" i="11"/>
  <c r="K240" i="11"/>
  <c r="E240" i="11"/>
  <c r="O240" i="11"/>
  <c r="M240" i="11"/>
  <c r="T240" i="11"/>
  <c r="S240" i="11" s="1"/>
  <c r="U240" i="11"/>
  <c r="J240" i="11"/>
  <c r="N240" i="11"/>
  <c r="U243" i="11"/>
  <c r="M243" i="11"/>
  <c r="E243" i="11"/>
  <c r="N243" i="11"/>
  <c r="J243" i="11"/>
  <c r="O243" i="11"/>
  <c r="L243" i="11"/>
  <c r="T243" i="11"/>
  <c r="S243" i="11" s="1"/>
  <c r="K243" i="11"/>
  <c r="P25" i="11"/>
  <c r="U25" i="11" s="1"/>
  <c r="Q25" i="11"/>
  <c r="E25" i="11"/>
  <c r="T577" i="11"/>
  <c r="S577" i="11" s="1"/>
  <c r="O577" i="11"/>
  <c r="L577" i="11"/>
  <c r="N577" i="11"/>
  <c r="E577" i="11"/>
  <c r="M577" i="11"/>
  <c r="U577" i="11"/>
  <c r="K577" i="11"/>
  <c r="J577" i="11"/>
  <c r="T393" i="11"/>
  <c r="S393" i="11" s="1"/>
  <c r="N393" i="11"/>
  <c r="J393" i="11"/>
  <c r="U393" i="11"/>
  <c r="M393" i="11"/>
  <c r="K393" i="11"/>
  <c r="O393" i="11"/>
  <c r="E393" i="11"/>
  <c r="L393" i="11"/>
  <c r="E17" i="11"/>
  <c r="Q17" i="11"/>
  <c r="P17" i="11"/>
  <c r="U17" i="11" s="1"/>
  <c r="E152" i="11"/>
  <c r="U152" i="11"/>
  <c r="K152" i="11"/>
  <c r="J152" i="11"/>
  <c r="T152" i="11"/>
  <c r="S152" i="11" s="1"/>
  <c r="L152" i="11"/>
  <c r="N152" i="11"/>
  <c r="M152" i="11"/>
  <c r="O152" i="11"/>
  <c r="T136" i="11"/>
  <c r="S136" i="11" s="1"/>
  <c r="U136" i="11"/>
  <c r="J136" i="11"/>
  <c r="K136" i="11"/>
  <c r="L136" i="11"/>
  <c r="N136" i="11"/>
  <c r="O136" i="11"/>
  <c r="E136" i="11"/>
  <c r="M136" i="11"/>
  <c r="E120" i="11"/>
  <c r="Q120" i="11"/>
  <c r="P120" i="11"/>
  <c r="U120" i="11" s="1"/>
  <c r="E200" i="11"/>
  <c r="K200" i="11"/>
  <c r="L200" i="11"/>
  <c r="J200" i="11"/>
  <c r="N200" i="11"/>
  <c r="T200" i="11"/>
  <c r="S200" i="11" s="1"/>
  <c r="O200" i="11"/>
  <c r="M200" i="11"/>
  <c r="U200" i="11"/>
  <c r="P59" i="11"/>
  <c r="E59" i="11"/>
  <c r="K59" i="11" s="1"/>
  <c r="Q59" i="11"/>
  <c r="Q43" i="11"/>
  <c r="E43" i="11"/>
  <c r="F43" i="11" s="1"/>
  <c r="P43" i="11"/>
  <c r="U43" i="11" s="1"/>
  <c r="E87" i="11"/>
  <c r="L87" i="11" s="1"/>
  <c r="Q87" i="11"/>
  <c r="P87" i="11"/>
  <c r="U87" i="11" s="1"/>
  <c r="T343" i="11"/>
  <c r="S343" i="11" s="1"/>
  <c r="O343" i="11"/>
  <c r="E343" i="11"/>
  <c r="U343" i="11"/>
  <c r="K343" i="11"/>
  <c r="J343" i="11"/>
  <c r="M343" i="11"/>
  <c r="N343" i="11"/>
  <c r="L343" i="11"/>
  <c r="J504" i="11"/>
  <c r="K504" i="11"/>
  <c r="O504" i="11"/>
  <c r="L504" i="11"/>
  <c r="E504" i="11"/>
  <c r="N504" i="11"/>
  <c r="M504" i="11"/>
  <c r="T504" i="11"/>
  <c r="S504" i="11" s="1"/>
  <c r="U504" i="11"/>
  <c r="J288" i="11"/>
  <c r="K288" i="11"/>
  <c r="N288" i="11"/>
  <c r="L288" i="11"/>
  <c r="T288" i="11"/>
  <c r="S288" i="11" s="1"/>
  <c r="E288" i="11"/>
  <c r="O288" i="11"/>
  <c r="M288" i="11"/>
  <c r="U288" i="11"/>
  <c r="L372" i="11"/>
  <c r="N372" i="11"/>
  <c r="U372" i="11"/>
  <c r="J372" i="11"/>
  <c r="K372" i="11"/>
  <c r="M372" i="11"/>
  <c r="T372" i="11"/>
  <c r="S372" i="11" s="1"/>
  <c r="E372" i="11"/>
  <c r="O372" i="11"/>
  <c r="K283" i="11"/>
  <c r="L283" i="11"/>
  <c r="N283" i="11"/>
  <c r="T283" i="11"/>
  <c r="S283" i="11" s="1"/>
  <c r="E283" i="11"/>
  <c r="O283" i="11"/>
  <c r="U283" i="11"/>
  <c r="J283" i="11"/>
  <c r="M283" i="11"/>
  <c r="L543" i="11"/>
  <c r="U543" i="11"/>
  <c r="E543" i="11"/>
  <c r="M543" i="11"/>
  <c r="N543" i="11"/>
  <c r="T543" i="11"/>
  <c r="S543" i="11" s="1"/>
  <c r="J543" i="11"/>
  <c r="K543" i="11"/>
  <c r="O543" i="11"/>
  <c r="R543" i="11"/>
  <c r="J154" i="11"/>
  <c r="K154" i="11"/>
  <c r="T154" i="11"/>
  <c r="S154" i="11" s="1"/>
  <c r="N154" i="11"/>
  <c r="M154" i="11"/>
  <c r="O154" i="11"/>
  <c r="E154" i="11"/>
  <c r="L154" i="11"/>
  <c r="U154" i="11"/>
  <c r="T527" i="11"/>
  <c r="S527" i="11" s="1"/>
  <c r="U527" i="11"/>
  <c r="O527" i="11"/>
  <c r="J527" i="11"/>
  <c r="M527" i="11"/>
  <c r="N527" i="11"/>
  <c r="K527" i="11"/>
  <c r="E527" i="11"/>
  <c r="L527" i="11"/>
  <c r="K578" i="11"/>
  <c r="U578" i="11"/>
  <c r="E578" i="11"/>
  <c r="L578" i="11"/>
  <c r="N578" i="11"/>
  <c r="J578" i="11"/>
  <c r="M578" i="11"/>
  <c r="T578" i="11"/>
  <c r="S578" i="11" s="1"/>
  <c r="O578" i="11"/>
  <c r="T449" i="11"/>
  <c r="S449" i="11" s="1"/>
  <c r="M449" i="11"/>
  <c r="N449" i="11"/>
  <c r="K449" i="11"/>
  <c r="E449" i="11"/>
  <c r="U449" i="11"/>
  <c r="L449" i="11"/>
  <c r="J449" i="11"/>
  <c r="O449" i="11"/>
  <c r="E570" i="11"/>
  <c r="J570" i="11"/>
  <c r="N570" i="11"/>
  <c r="K570" i="11"/>
  <c r="T570" i="11"/>
  <c r="S570" i="11" s="1"/>
  <c r="U570" i="11"/>
  <c r="O570" i="11"/>
  <c r="L570" i="11"/>
  <c r="M570" i="11"/>
  <c r="E36" i="11"/>
  <c r="P36" i="11"/>
  <c r="U36" i="11" s="1"/>
  <c r="Q36" i="11"/>
  <c r="J366" i="11"/>
  <c r="U366" i="11"/>
  <c r="T366" i="11"/>
  <c r="S366" i="11" s="1"/>
  <c r="M366" i="11"/>
  <c r="L366" i="11"/>
  <c r="N366" i="11"/>
  <c r="E366" i="11"/>
  <c r="O366" i="11"/>
  <c r="K366" i="11"/>
  <c r="E545" i="11"/>
  <c r="L545" i="11"/>
  <c r="U545" i="11"/>
  <c r="J545" i="11"/>
  <c r="T545" i="11"/>
  <c r="S545" i="11" s="1"/>
  <c r="M545" i="11"/>
  <c r="N545" i="11"/>
  <c r="O545" i="11"/>
  <c r="K545" i="11"/>
  <c r="L571" i="11"/>
  <c r="N571" i="11"/>
  <c r="E571" i="11"/>
  <c r="M571" i="11"/>
  <c r="U571" i="11"/>
  <c r="J571" i="11"/>
  <c r="K571" i="11"/>
  <c r="T571" i="11"/>
  <c r="S571" i="11" s="1"/>
  <c r="O571" i="11"/>
  <c r="O250" i="11"/>
  <c r="J250" i="11"/>
  <c r="M250" i="11"/>
  <c r="U250" i="11"/>
  <c r="L250" i="11"/>
  <c r="T250" i="11"/>
  <c r="S250" i="11" s="1"/>
  <c r="E250" i="11"/>
  <c r="N250" i="11"/>
  <c r="K250" i="11"/>
  <c r="R250" i="11"/>
  <c r="J335" i="11"/>
  <c r="M335" i="11"/>
  <c r="T335" i="11"/>
  <c r="S335" i="11" s="1"/>
  <c r="U335" i="11"/>
  <c r="K335" i="11"/>
  <c r="L335" i="11"/>
  <c r="N335" i="11"/>
  <c r="E335" i="11"/>
  <c r="O335" i="11"/>
  <c r="J147" i="11"/>
  <c r="U147" i="11"/>
  <c r="L147" i="11"/>
  <c r="T147" i="11"/>
  <c r="S147" i="11" s="1"/>
  <c r="K147" i="11"/>
  <c r="O147" i="11"/>
  <c r="N147" i="11"/>
  <c r="M147" i="11"/>
  <c r="E147" i="11"/>
  <c r="T305" i="11"/>
  <c r="S305" i="11" s="1"/>
  <c r="L305" i="11"/>
  <c r="K305" i="11"/>
  <c r="O305" i="11"/>
  <c r="E305" i="11"/>
  <c r="N305" i="11"/>
  <c r="U305" i="11"/>
  <c r="J305" i="11"/>
  <c r="M305" i="11"/>
  <c r="T155" i="11"/>
  <c r="S155" i="11" s="1"/>
  <c r="O155" i="11"/>
  <c r="E155" i="11"/>
  <c r="K155" i="11"/>
  <c r="L155" i="11"/>
  <c r="M155" i="11"/>
  <c r="N155" i="11"/>
  <c r="J155" i="11"/>
  <c r="U155" i="11"/>
  <c r="E139" i="11"/>
  <c r="U139" i="11"/>
  <c r="M139" i="11"/>
  <c r="T139" i="11"/>
  <c r="S139" i="11" s="1"/>
  <c r="O139" i="11"/>
  <c r="J139" i="11"/>
  <c r="L139" i="11"/>
  <c r="N139" i="11"/>
  <c r="K139" i="11"/>
  <c r="E123" i="11"/>
  <c r="L123" i="11" s="1"/>
  <c r="P123" i="11"/>
  <c r="U123" i="11" s="1"/>
  <c r="Q123" i="11"/>
  <c r="T203" i="11"/>
  <c r="S203" i="11" s="1"/>
  <c r="O203" i="11"/>
  <c r="N203" i="11"/>
  <c r="M203" i="11"/>
  <c r="E203" i="11"/>
  <c r="U203" i="11"/>
  <c r="L203" i="11"/>
  <c r="K203" i="11"/>
  <c r="J203" i="11"/>
  <c r="E418" i="11"/>
  <c r="M418" i="11"/>
  <c r="U418" i="11"/>
  <c r="J418" i="11"/>
  <c r="L418" i="11"/>
  <c r="T418" i="11"/>
  <c r="S418" i="11" s="1"/>
  <c r="O418" i="11"/>
  <c r="K418" i="11"/>
  <c r="N418" i="11"/>
  <c r="R418" i="11"/>
  <c r="T572" i="11"/>
  <c r="S572" i="11" s="1"/>
  <c r="U572" i="11"/>
  <c r="E572" i="11"/>
  <c r="K572" i="11"/>
  <c r="N572" i="11"/>
  <c r="J572" i="11"/>
  <c r="L572" i="11"/>
  <c r="M572" i="11"/>
  <c r="O572" i="11"/>
  <c r="J328" i="11"/>
  <c r="M328" i="11"/>
  <c r="O328" i="11"/>
  <c r="L328" i="11"/>
  <c r="E328" i="11"/>
  <c r="N328" i="11"/>
  <c r="K328" i="11"/>
  <c r="T328" i="11"/>
  <c r="S328" i="11" s="1"/>
  <c r="U328" i="11"/>
  <c r="E409" i="11"/>
  <c r="O409" i="11"/>
  <c r="M409" i="11"/>
  <c r="J409" i="11"/>
  <c r="N409" i="11"/>
  <c r="T409" i="11"/>
  <c r="S409" i="11" s="1"/>
  <c r="L409" i="11"/>
  <c r="U409" i="11"/>
  <c r="K409" i="11"/>
  <c r="K144" i="11"/>
  <c r="J144" i="11"/>
  <c r="E144" i="11"/>
  <c r="N144" i="11"/>
  <c r="O144" i="11"/>
  <c r="T144" i="11"/>
  <c r="S144" i="11" s="1"/>
  <c r="M144" i="11"/>
  <c r="U144" i="11"/>
  <c r="L144" i="11"/>
  <c r="R144" i="11"/>
  <c r="J448" i="11"/>
  <c r="U448" i="11"/>
  <c r="T448" i="11"/>
  <c r="S448" i="11" s="1"/>
  <c r="M448" i="11"/>
  <c r="L448" i="11"/>
  <c r="K448" i="11"/>
  <c r="N448" i="11"/>
  <c r="E448" i="11"/>
  <c r="O448" i="11"/>
  <c r="P106" i="11"/>
  <c r="U106" i="11" s="1"/>
  <c r="Q106" i="11"/>
  <c r="E106" i="11"/>
  <c r="L106" i="11" s="1"/>
  <c r="L183" i="11"/>
  <c r="M183" i="11"/>
  <c r="E183" i="11"/>
  <c r="U183" i="11"/>
  <c r="N183" i="11"/>
  <c r="J183" i="11"/>
  <c r="K183" i="11"/>
  <c r="T183" i="11"/>
  <c r="S183" i="11" s="1"/>
  <c r="O183" i="11"/>
  <c r="J590" i="11"/>
  <c r="N590" i="11"/>
  <c r="T590" i="11"/>
  <c r="S590" i="11" s="1"/>
  <c r="M590" i="11"/>
  <c r="U590" i="11"/>
  <c r="O590" i="11"/>
  <c r="L590" i="11"/>
  <c r="E590" i="11"/>
  <c r="K590" i="11"/>
  <c r="Q60" i="11"/>
  <c r="E60" i="11"/>
  <c r="F60" i="11" s="1"/>
  <c r="P60" i="11"/>
  <c r="U60" i="11" s="1"/>
  <c r="T511" i="11"/>
  <c r="S511" i="11" s="1"/>
  <c r="U511" i="11"/>
  <c r="E511" i="11"/>
  <c r="J511" i="11"/>
  <c r="L511" i="11"/>
  <c r="O511" i="11"/>
  <c r="N511" i="11"/>
  <c r="M511" i="11"/>
  <c r="K511" i="11"/>
  <c r="E287" i="11"/>
  <c r="M287" i="11"/>
  <c r="L287" i="11"/>
  <c r="J287" i="11"/>
  <c r="O287" i="11"/>
  <c r="T287" i="11"/>
  <c r="S287" i="11" s="1"/>
  <c r="U287" i="11"/>
  <c r="N287" i="11"/>
  <c r="K287" i="11"/>
  <c r="T215" i="11"/>
  <c r="S215" i="11" s="1"/>
  <c r="N215" i="11"/>
  <c r="L215" i="11"/>
  <c r="J215" i="11"/>
  <c r="U215" i="11"/>
  <c r="M215" i="11"/>
  <c r="O215" i="11"/>
  <c r="K215" i="11"/>
  <c r="E215" i="11"/>
  <c r="N573" i="11"/>
  <c r="M573" i="11"/>
  <c r="T573" i="11"/>
  <c r="S573" i="11" s="1"/>
  <c r="E573" i="11"/>
  <c r="O573" i="11"/>
  <c r="K573" i="11"/>
  <c r="J573" i="11"/>
  <c r="U573" i="11"/>
  <c r="L573" i="11"/>
  <c r="P101" i="11"/>
  <c r="U101" i="11" s="1"/>
  <c r="E101" i="11"/>
  <c r="L101" i="11" s="1"/>
  <c r="Q101" i="11"/>
  <c r="M267" i="11"/>
  <c r="K267" i="11"/>
  <c r="L267" i="11"/>
  <c r="N267" i="11"/>
  <c r="E267" i="11"/>
  <c r="O267" i="11"/>
  <c r="J267" i="11"/>
  <c r="T267" i="11"/>
  <c r="S267" i="11" s="1"/>
  <c r="U267" i="11"/>
  <c r="J427" i="11"/>
  <c r="U427" i="11"/>
  <c r="N427" i="11"/>
  <c r="O427" i="11"/>
  <c r="L427" i="11"/>
  <c r="T427" i="11"/>
  <c r="S427" i="11" s="1"/>
  <c r="E427" i="11"/>
  <c r="M427" i="11"/>
  <c r="K427" i="11"/>
  <c r="M446" i="11"/>
  <c r="N446" i="11"/>
  <c r="T446" i="11"/>
  <c r="S446" i="11" s="1"/>
  <c r="L446" i="11"/>
  <c r="U446" i="11"/>
  <c r="J446" i="11"/>
  <c r="E446" i="11"/>
  <c r="K446" i="11"/>
  <c r="O446" i="11"/>
  <c r="N166" i="11"/>
  <c r="O166" i="11"/>
  <c r="T166" i="11"/>
  <c r="S166" i="11" s="1"/>
  <c r="E166" i="11"/>
  <c r="K166" i="11"/>
  <c r="J166" i="11"/>
  <c r="M166" i="11"/>
  <c r="L166" i="11"/>
  <c r="U166" i="11"/>
  <c r="L190" i="11"/>
  <c r="M190" i="11"/>
  <c r="N190" i="11"/>
  <c r="U190" i="11"/>
  <c r="J190" i="11"/>
  <c r="E190" i="11"/>
  <c r="K190" i="11"/>
  <c r="T190" i="11"/>
  <c r="S190" i="11" s="1"/>
  <c r="O190" i="11"/>
  <c r="T174" i="11"/>
  <c r="S174" i="11" s="1"/>
  <c r="M174" i="11"/>
  <c r="E174" i="11"/>
  <c r="J174" i="11"/>
  <c r="O174" i="11"/>
  <c r="U174" i="11"/>
  <c r="K174" i="11"/>
  <c r="L174" i="11"/>
  <c r="N174" i="11"/>
  <c r="E158" i="11"/>
  <c r="N158" i="11"/>
  <c r="T158" i="11"/>
  <c r="S158" i="11" s="1"/>
  <c r="K158" i="11"/>
  <c r="L158" i="11"/>
  <c r="M158" i="11"/>
  <c r="J158" i="11"/>
  <c r="O158" i="11"/>
  <c r="U158" i="11"/>
  <c r="T291" i="11"/>
  <c r="S291" i="11" s="1"/>
  <c r="U291" i="11"/>
  <c r="L291" i="11"/>
  <c r="O291" i="11"/>
  <c r="E291" i="11"/>
  <c r="N291" i="11"/>
  <c r="K291" i="11"/>
  <c r="J291" i="11"/>
  <c r="M291" i="11"/>
  <c r="E238" i="11"/>
  <c r="U238" i="11"/>
  <c r="L238" i="11"/>
  <c r="O238" i="11"/>
  <c r="J238" i="11"/>
  <c r="K238" i="11"/>
  <c r="T238" i="11"/>
  <c r="S238" i="11" s="1"/>
  <c r="N238" i="11"/>
  <c r="M238" i="11"/>
  <c r="P97" i="11"/>
  <c r="U97" i="11" s="1"/>
  <c r="Q97" i="11"/>
  <c r="E97" i="11"/>
  <c r="L97" i="11" s="1"/>
  <c r="F97" i="11"/>
  <c r="P81" i="11"/>
  <c r="U81" i="11" s="1"/>
  <c r="Q81" i="11"/>
  <c r="E81" i="11"/>
  <c r="F81" i="11" s="1"/>
  <c r="T257" i="11"/>
  <c r="S257" i="11" s="1"/>
  <c r="N257" i="11"/>
  <c r="L257" i="11"/>
  <c r="M257" i="11"/>
  <c r="K257" i="11"/>
  <c r="E257" i="11"/>
  <c r="U257" i="11"/>
  <c r="O257" i="11"/>
  <c r="J257" i="11"/>
  <c r="P108" i="11"/>
  <c r="U108" i="11" s="1"/>
  <c r="E108" i="11"/>
  <c r="Q108" i="11"/>
  <c r="I135" i="11"/>
  <c r="H135" i="11"/>
  <c r="G135" i="11"/>
  <c r="J135" i="11"/>
  <c r="P135" i="11"/>
  <c r="Q135" i="11"/>
  <c r="M135" i="11"/>
  <c r="T135" i="11"/>
  <c r="S135" i="11" s="1"/>
  <c r="L135" i="11"/>
  <c r="N135" i="11"/>
  <c r="O135" i="11"/>
  <c r="E135" i="11"/>
  <c r="U135" i="11"/>
  <c r="K135" i="11"/>
  <c r="F135" i="11"/>
  <c r="T542" i="11"/>
  <c r="S542" i="11" s="1"/>
  <c r="K542" i="11"/>
  <c r="U542" i="11"/>
  <c r="O542" i="11"/>
  <c r="M542" i="11"/>
  <c r="J542" i="11"/>
  <c r="E542" i="11"/>
  <c r="N542" i="11"/>
  <c r="L542" i="11"/>
  <c r="J274" i="11"/>
  <c r="K274" i="11"/>
  <c r="L274" i="11"/>
  <c r="T274" i="11"/>
  <c r="S274" i="11" s="1"/>
  <c r="N274" i="11"/>
  <c r="U274" i="11"/>
  <c r="M274" i="11"/>
  <c r="O274" i="11"/>
  <c r="E274" i="11"/>
  <c r="E387" i="11"/>
  <c r="U387" i="11"/>
  <c r="O387" i="11"/>
  <c r="K387" i="11"/>
  <c r="J387" i="11"/>
  <c r="M387" i="11"/>
  <c r="T387" i="11"/>
  <c r="S387" i="11" s="1"/>
  <c r="L387" i="11"/>
  <c r="N387" i="11"/>
  <c r="T445" i="11"/>
  <c r="S445" i="11" s="1"/>
  <c r="U445" i="11"/>
  <c r="J445" i="11"/>
  <c r="O445" i="11"/>
  <c r="K445" i="11"/>
  <c r="N445" i="11"/>
  <c r="E445" i="11"/>
  <c r="M445" i="11"/>
  <c r="L445" i="11"/>
  <c r="E495" i="11"/>
  <c r="L495" i="11"/>
  <c r="T495" i="11"/>
  <c r="S495" i="11" s="1"/>
  <c r="K495" i="11"/>
  <c r="M495" i="11"/>
  <c r="U495" i="11"/>
  <c r="J495" i="11"/>
  <c r="N495" i="11"/>
  <c r="O495" i="11"/>
  <c r="T197" i="11"/>
  <c r="S197" i="11" s="1"/>
  <c r="L197" i="11"/>
  <c r="J197" i="11"/>
  <c r="N197" i="11"/>
  <c r="O197" i="11"/>
  <c r="E197" i="11"/>
  <c r="U197" i="11"/>
  <c r="K197" i="11"/>
  <c r="M197" i="11"/>
  <c r="Q90" i="11"/>
  <c r="E90" i="11"/>
  <c r="F90" i="11" s="1"/>
  <c r="P90" i="11"/>
  <c r="U90" i="11" s="1"/>
  <c r="M326" i="11"/>
  <c r="N326" i="11"/>
  <c r="T326" i="11"/>
  <c r="J326" i="11"/>
  <c r="U326" i="11"/>
  <c r="E326" i="11"/>
  <c r="L326" i="11"/>
  <c r="O326" i="11"/>
  <c r="K326" i="11"/>
  <c r="J523" i="11"/>
  <c r="M523" i="11"/>
  <c r="N523" i="11"/>
  <c r="O523" i="11"/>
  <c r="K523" i="11"/>
  <c r="T523" i="11"/>
  <c r="S523" i="11" s="1"/>
  <c r="E523" i="11"/>
  <c r="U523" i="11"/>
  <c r="L523" i="11"/>
  <c r="M279" i="11"/>
  <c r="U279" i="11"/>
  <c r="T279" i="11"/>
  <c r="L279" i="11"/>
  <c r="K279" i="11"/>
  <c r="E279" i="11"/>
  <c r="J279" i="11"/>
  <c r="N279" i="11"/>
  <c r="O279" i="11"/>
  <c r="L223" i="11"/>
  <c r="N223" i="11"/>
  <c r="J223" i="11"/>
  <c r="U223" i="11"/>
  <c r="M223" i="11"/>
  <c r="E223" i="11"/>
  <c r="K223" i="11"/>
  <c r="T223" i="11"/>
  <c r="S223" i="11" s="1"/>
  <c r="O223" i="11"/>
  <c r="J247" i="11"/>
  <c r="L247" i="11"/>
  <c r="E247" i="11"/>
  <c r="K247" i="11"/>
  <c r="M247" i="11"/>
  <c r="T247" i="11"/>
  <c r="S247" i="11" s="1"/>
  <c r="O247" i="11"/>
  <c r="U247" i="11"/>
  <c r="N247" i="11"/>
  <c r="K261" i="11"/>
  <c r="L261" i="11"/>
  <c r="E261" i="11"/>
  <c r="N261" i="11"/>
  <c r="U261" i="11"/>
  <c r="O261" i="11"/>
  <c r="T261" i="11"/>
  <c r="S261" i="11" s="1"/>
  <c r="M261" i="11"/>
  <c r="J261" i="11"/>
  <c r="T202" i="11"/>
  <c r="S202" i="11" s="1"/>
  <c r="O202" i="11"/>
  <c r="M202" i="11"/>
  <c r="N202" i="11"/>
  <c r="L202" i="11"/>
  <c r="J202" i="11"/>
  <c r="E202" i="11"/>
  <c r="U202" i="11"/>
  <c r="K202" i="11"/>
  <c r="J221" i="11"/>
  <c r="O221" i="11"/>
  <c r="T221" i="11"/>
  <c r="S221" i="11" s="1"/>
  <c r="U221" i="11"/>
  <c r="K221" i="11"/>
  <c r="M221" i="11"/>
  <c r="L221" i="11"/>
  <c r="E221" i="11"/>
  <c r="N221" i="11"/>
  <c r="U306" i="11"/>
  <c r="M306" i="11"/>
  <c r="E306" i="11"/>
  <c r="O306" i="11"/>
  <c r="L306" i="11"/>
  <c r="J306" i="11"/>
  <c r="N306" i="11"/>
  <c r="K306" i="11"/>
  <c r="T306" i="11"/>
  <c r="S306" i="11" s="1"/>
  <c r="J482" i="11"/>
  <c r="L482" i="11"/>
  <c r="T482" i="11"/>
  <c r="S482" i="11" s="1"/>
  <c r="O482" i="11"/>
  <c r="M482" i="11"/>
  <c r="U482" i="11"/>
  <c r="K482" i="11"/>
  <c r="N482" i="11"/>
  <c r="E482" i="11"/>
  <c r="E439" i="11"/>
  <c r="O439" i="11"/>
  <c r="K439" i="11"/>
  <c r="J439" i="11"/>
  <c r="M439" i="11"/>
  <c r="T439" i="11"/>
  <c r="S439" i="11" s="1"/>
  <c r="L439" i="11"/>
  <c r="N439" i="11"/>
  <c r="U439" i="11"/>
  <c r="R439" i="11"/>
  <c r="J486" i="11"/>
  <c r="K486" i="11"/>
  <c r="O486" i="11"/>
  <c r="L486" i="11"/>
  <c r="E486" i="11"/>
  <c r="N486" i="11"/>
  <c r="M486" i="11"/>
  <c r="T486" i="11"/>
  <c r="S486" i="11" s="1"/>
  <c r="U486" i="11"/>
  <c r="N317" i="11"/>
  <c r="K317" i="11"/>
  <c r="E317" i="11"/>
  <c r="U317" i="11"/>
  <c r="O317" i="11"/>
  <c r="J317" i="11"/>
  <c r="M317" i="11"/>
  <c r="T317" i="11"/>
  <c r="S317" i="11" s="1"/>
  <c r="L317" i="11"/>
  <c r="E298" i="11"/>
  <c r="N298" i="11"/>
  <c r="O298" i="11"/>
  <c r="J298" i="11"/>
  <c r="M298" i="11"/>
  <c r="U298" i="11"/>
  <c r="L298" i="11"/>
  <c r="K298" i="11"/>
  <c r="T298" i="11"/>
  <c r="S298" i="11" s="1"/>
  <c r="E68" i="11"/>
  <c r="L68" i="11" s="1"/>
  <c r="Q68" i="11"/>
  <c r="P68" i="11"/>
  <c r="U68" i="11" s="1"/>
  <c r="F68" i="11"/>
  <c r="Q92" i="11"/>
  <c r="E92" i="11"/>
  <c r="K92" i="11" s="1"/>
  <c r="P92" i="11"/>
  <c r="U92" i="11" s="1"/>
  <c r="E346" i="11"/>
  <c r="L346" i="11"/>
  <c r="N346" i="11"/>
  <c r="J346" i="11"/>
  <c r="K346" i="11"/>
  <c r="T346" i="11"/>
  <c r="S346" i="11" s="1"/>
  <c r="U346" i="11"/>
  <c r="O346" i="11"/>
  <c r="M346" i="11"/>
  <c r="R346" i="11"/>
  <c r="E116" i="11"/>
  <c r="K116" i="11" s="1"/>
  <c r="Q116" i="11"/>
  <c r="P116" i="11"/>
  <c r="J140" i="11"/>
  <c r="K140" i="11"/>
  <c r="T140" i="11"/>
  <c r="S140" i="11" s="1"/>
  <c r="O140" i="11"/>
  <c r="M140" i="11"/>
  <c r="U140" i="11"/>
  <c r="E140" i="11"/>
  <c r="L140" i="11"/>
  <c r="N140" i="11"/>
  <c r="O330" i="11"/>
  <c r="M330" i="11"/>
  <c r="E330" i="11"/>
  <c r="U330" i="11"/>
  <c r="N330" i="11"/>
  <c r="L330" i="11"/>
  <c r="K330" i="11"/>
  <c r="J330" i="11"/>
  <c r="T330" i="11"/>
  <c r="S330" i="11" s="1"/>
  <c r="P100" i="11"/>
  <c r="U100" i="11" s="1"/>
  <c r="E100" i="11"/>
  <c r="Q100" i="11"/>
  <c r="E124" i="11"/>
  <c r="F124" i="11" s="1"/>
  <c r="P124" i="11"/>
  <c r="U124" i="11" s="1"/>
  <c r="J475" i="11"/>
  <c r="U475" i="11"/>
  <c r="T475" i="11"/>
  <c r="L475" i="11"/>
  <c r="N475" i="11"/>
  <c r="O475" i="11"/>
  <c r="E475" i="11"/>
  <c r="M475" i="11"/>
  <c r="K475" i="11"/>
  <c r="E341" i="11"/>
  <c r="L341" i="11"/>
  <c r="M341" i="11"/>
  <c r="J341" i="11"/>
  <c r="T341" i="11"/>
  <c r="S341" i="11" s="1"/>
  <c r="U341" i="11"/>
  <c r="N341" i="11"/>
  <c r="K341" i="11"/>
  <c r="O341" i="11"/>
  <c r="J375" i="11"/>
  <c r="U375" i="11"/>
  <c r="O375" i="11"/>
  <c r="K375" i="11"/>
  <c r="E375" i="11"/>
  <c r="M375" i="11"/>
  <c r="L375" i="11"/>
  <c r="T375" i="11"/>
  <c r="N375" i="11"/>
  <c r="L435" i="11"/>
  <c r="N435" i="11"/>
  <c r="E435" i="11"/>
  <c r="U435" i="11"/>
  <c r="M435" i="11"/>
  <c r="J435" i="11"/>
  <c r="K435" i="11"/>
  <c r="T435" i="11"/>
  <c r="S435" i="11" s="1"/>
  <c r="O435" i="11"/>
  <c r="J559" i="11"/>
  <c r="K559" i="11"/>
  <c r="T559" i="11"/>
  <c r="S559" i="11" s="1"/>
  <c r="O559" i="11"/>
  <c r="L559" i="11"/>
  <c r="N559" i="11"/>
  <c r="U559" i="11"/>
  <c r="E559" i="11"/>
  <c r="M559" i="11"/>
  <c r="E71" i="11"/>
  <c r="L71" i="11" s="1"/>
  <c r="P71" i="11"/>
  <c r="Q71" i="11"/>
  <c r="E95" i="11"/>
  <c r="L95" i="11" s="1"/>
  <c r="Q95" i="11"/>
  <c r="P95" i="11"/>
  <c r="U95" i="11" s="1"/>
  <c r="Q2" i="11"/>
  <c r="P2" i="11"/>
  <c r="U2" i="11" s="1"/>
  <c r="E2" i="11"/>
  <c r="L2" i="11" s="1"/>
  <c r="F2" i="11"/>
  <c r="E119" i="11"/>
  <c r="F119" i="11" s="1"/>
  <c r="P119" i="11"/>
  <c r="Q119" i="11"/>
  <c r="K119" i="11"/>
  <c r="K143" i="11"/>
  <c r="N143" i="11"/>
  <c r="E143" i="11"/>
  <c r="U143" i="11"/>
  <c r="L143" i="11"/>
  <c r="J143" i="11"/>
  <c r="O143" i="11"/>
  <c r="T143" i="11"/>
  <c r="S143" i="11" s="1"/>
  <c r="M143" i="11"/>
  <c r="J591" i="11"/>
  <c r="K591" i="11"/>
  <c r="M591" i="11"/>
  <c r="E103" i="11"/>
  <c r="P103" i="11"/>
  <c r="U103" i="11" s="1"/>
  <c r="Q103" i="11"/>
  <c r="Q127" i="11"/>
  <c r="E127" i="11"/>
  <c r="P127" i="11"/>
  <c r="U127" i="11" s="1"/>
  <c r="K127" i="11"/>
  <c r="M127" i="11" s="1"/>
  <c r="F127" i="11"/>
  <c r="L127" i="11"/>
  <c r="G127" i="11"/>
  <c r="J127" i="11"/>
  <c r="N127" i="11" s="1"/>
  <c r="I127" i="11"/>
  <c r="T127" i="11"/>
  <c r="S127" i="11" s="1"/>
  <c r="H127" i="11"/>
  <c r="O127" i="11"/>
  <c r="T466" i="11"/>
  <c r="S466" i="11" s="1"/>
  <c r="N466" i="11"/>
  <c r="J466" i="11"/>
  <c r="M466" i="11"/>
  <c r="U466" i="11"/>
  <c r="K466" i="11"/>
  <c r="L466" i="11"/>
  <c r="E466" i="11"/>
  <c r="O466" i="11"/>
  <c r="E360" i="11"/>
  <c r="T360" i="11"/>
  <c r="S360" i="11" s="1"/>
  <c r="U360" i="11"/>
  <c r="J360" i="11"/>
  <c r="N360" i="11"/>
  <c r="L360" i="11"/>
  <c r="M360" i="11"/>
  <c r="O360" i="11"/>
  <c r="K360" i="11"/>
  <c r="R360" i="11"/>
  <c r="L539" i="11"/>
  <c r="O539" i="11"/>
  <c r="P63" i="11"/>
  <c r="U63" i="11" s="1"/>
  <c r="K516" i="11"/>
  <c r="O516" i="11"/>
  <c r="L516" i="11"/>
  <c r="T516" i="11"/>
  <c r="S516" i="11" s="1"/>
  <c r="E516" i="11"/>
  <c r="U516" i="11"/>
  <c r="N516" i="11"/>
  <c r="M516" i="11"/>
  <c r="J516" i="11"/>
  <c r="E533" i="11"/>
  <c r="O533" i="11"/>
  <c r="L533" i="11"/>
  <c r="J533" i="11"/>
  <c r="U533" i="11"/>
  <c r="T533" i="11"/>
  <c r="S533" i="11" s="1"/>
  <c r="M533" i="11"/>
  <c r="N533" i="11"/>
  <c r="K533" i="11"/>
  <c r="K476" i="11"/>
  <c r="O476" i="11"/>
  <c r="E476" i="11"/>
  <c r="L476" i="11"/>
  <c r="N476" i="11"/>
  <c r="J476" i="11"/>
  <c r="M476" i="11"/>
  <c r="T476" i="11"/>
  <c r="S476" i="11" s="1"/>
  <c r="U476" i="11"/>
  <c r="T271" i="11"/>
  <c r="L271" i="11"/>
  <c r="O271" i="11"/>
  <c r="K271" i="11"/>
  <c r="E271" i="11"/>
  <c r="U271" i="11"/>
  <c r="N271" i="11"/>
  <c r="J271" i="11"/>
  <c r="M271" i="11"/>
  <c r="E300" i="11"/>
  <c r="U300" i="11"/>
  <c r="O300" i="11"/>
  <c r="L437" i="11"/>
  <c r="N437" i="11"/>
  <c r="U437" i="11"/>
  <c r="O437" i="11"/>
  <c r="E437" i="11"/>
  <c r="K437" i="11"/>
  <c r="M437" i="11"/>
  <c r="J437" i="11"/>
  <c r="T437" i="11"/>
  <c r="Q98" i="11"/>
  <c r="P98" i="11"/>
  <c r="U98" i="11" s="1"/>
  <c r="E98" i="11"/>
  <c r="M270" i="11"/>
  <c r="K270" i="11"/>
  <c r="O477" i="11"/>
  <c r="M477" i="11"/>
  <c r="E477" i="11"/>
  <c r="N477" i="11"/>
  <c r="U477" i="11"/>
  <c r="T477" i="11"/>
  <c r="S477" i="11" s="1"/>
  <c r="L477" i="11"/>
  <c r="J477" i="11"/>
  <c r="K477" i="11"/>
  <c r="R477" i="11"/>
  <c r="T138" i="11"/>
  <c r="S138" i="11" s="1"/>
  <c r="K138" i="11"/>
  <c r="N138" i="11"/>
  <c r="O138" i="11"/>
  <c r="E138" i="11"/>
  <c r="M138" i="11"/>
  <c r="L138" i="11"/>
  <c r="J138" i="11"/>
  <c r="U138" i="11"/>
  <c r="O485" i="11"/>
  <c r="L485" i="11"/>
  <c r="E485" i="11"/>
  <c r="U485" i="11"/>
  <c r="K485" i="11"/>
  <c r="T485" i="11"/>
  <c r="S485" i="11" s="1"/>
  <c r="N485" i="11"/>
  <c r="J485" i="11"/>
  <c r="M485" i="11"/>
  <c r="O146" i="11"/>
  <c r="K146" i="11"/>
  <c r="U146" i="11"/>
  <c r="J146" i="11"/>
  <c r="E146" i="11"/>
  <c r="N146" i="11"/>
  <c r="L146" i="11"/>
  <c r="T146" i="11"/>
  <c r="S146" i="11" s="1"/>
  <c r="M146" i="11"/>
  <c r="E294" i="11"/>
  <c r="U294" i="11"/>
  <c r="L294" i="11"/>
  <c r="T294" i="11"/>
  <c r="N294" i="11"/>
  <c r="J294" i="11"/>
  <c r="M294" i="11"/>
  <c r="K294" i="11"/>
  <c r="O294" i="11"/>
  <c r="N525" i="11"/>
  <c r="T525" i="11"/>
  <c r="S525" i="11" s="1"/>
  <c r="J186" i="11"/>
  <c r="K186" i="11"/>
  <c r="O186" i="11"/>
  <c r="N186" i="11"/>
  <c r="E186" i="11"/>
  <c r="L186" i="11"/>
  <c r="M186" i="11"/>
  <c r="U186" i="11"/>
  <c r="T186" i="11"/>
  <c r="S186" i="11" s="1"/>
  <c r="T469" i="11"/>
  <c r="S469" i="11" s="1"/>
  <c r="U469" i="11"/>
  <c r="I130" i="11"/>
  <c r="G130" i="11"/>
  <c r="H130" i="11"/>
  <c r="K130" i="11"/>
  <c r="J130" i="11"/>
  <c r="Q130" i="11"/>
  <c r="F130" i="11"/>
  <c r="N130" i="11"/>
  <c r="U130" i="11"/>
  <c r="T130" i="11"/>
  <c r="S130" i="11" s="1"/>
  <c r="M130" i="11"/>
  <c r="O130" i="11"/>
  <c r="E130" i="11"/>
  <c r="L130" i="11"/>
  <c r="P130" i="11"/>
  <c r="T286" i="11"/>
  <c r="U286" i="11"/>
  <c r="J286" i="11"/>
  <c r="M286" i="11"/>
  <c r="L286" i="11"/>
  <c r="K286" i="11"/>
  <c r="E286" i="11"/>
  <c r="O286" i="11"/>
  <c r="N286" i="11"/>
  <c r="E509" i="11"/>
  <c r="K509" i="11"/>
  <c r="U509" i="11"/>
  <c r="J509" i="11"/>
  <c r="L509" i="11"/>
  <c r="M509" i="11"/>
  <c r="N509" i="11"/>
  <c r="T509" i="11"/>
  <c r="S509" i="11" s="1"/>
  <c r="O509" i="11"/>
  <c r="O170" i="11"/>
  <c r="M170" i="11"/>
  <c r="E170" i="11"/>
  <c r="L170" i="11"/>
  <c r="N170" i="11"/>
  <c r="J170" i="11"/>
  <c r="U170" i="11"/>
  <c r="T170" i="11"/>
  <c r="K170" i="11"/>
  <c r="E54" i="11"/>
  <c r="K54" i="11" s="1"/>
  <c r="P54" i="11"/>
  <c r="Q54" i="11"/>
  <c r="K219" i="11"/>
  <c r="T219" i="11"/>
  <c r="S219" i="11" s="1"/>
  <c r="M219" i="11"/>
  <c r="L219" i="11"/>
  <c r="E219" i="11"/>
  <c r="J219" i="11"/>
  <c r="U219" i="11"/>
  <c r="N219" i="11"/>
  <c r="O219" i="11"/>
  <c r="R219" i="11"/>
  <c r="N178" i="11"/>
  <c r="L178" i="11"/>
  <c r="T178" i="11"/>
  <c r="U178" i="11"/>
  <c r="E178" i="11"/>
  <c r="M178" i="11"/>
  <c r="O178" i="11"/>
  <c r="J178" i="11"/>
  <c r="K178" i="11"/>
  <c r="T587" i="11"/>
  <c r="N587" i="11"/>
  <c r="J587" i="11"/>
  <c r="M587" i="11"/>
  <c r="O587" i="11"/>
  <c r="L587" i="11"/>
  <c r="E587" i="11"/>
  <c r="U587" i="11"/>
  <c r="K587" i="11"/>
  <c r="P19" i="11"/>
  <c r="E19" i="11"/>
  <c r="F19" i="11" s="1"/>
  <c r="Q19" i="11"/>
  <c r="E420" i="11"/>
  <c r="J420" i="11"/>
  <c r="K420" i="11"/>
  <c r="L420" i="11"/>
  <c r="T420" i="11"/>
  <c r="S420" i="11" s="1"/>
  <c r="U420" i="11"/>
  <c r="N420" i="11"/>
  <c r="O420" i="11"/>
  <c r="M420" i="11"/>
  <c r="E232" i="11"/>
  <c r="O232" i="11"/>
  <c r="U232" i="11"/>
  <c r="J232" i="11"/>
  <c r="M232" i="11"/>
  <c r="T232" i="11"/>
  <c r="S232" i="11" s="1"/>
  <c r="L232" i="11"/>
  <c r="K232" i="11"/>
  <c r="N232" i="11"/>
  <c r="E557" i="11"/>
  <c r="L557" i="11"/>
  <c r="O557" i="11"/>
  <c r="J557" i="11"/>
  <c r="N557" i="11"/>
  <c r="T557" i="11"/>
  <c r="S557" i="11" s="1"/>
  <c r="M557" i="11"/>
  <c r="K557" i="11"/>
  <c r="U557" i="11"/>
  <c r="R557" i="11"/>
  <c r="E374" i="11"/>
  <c r="K374" i="11"/>
  <c r="U374" i="11"/>
  <c r="M374" i="11"/>
  <c r="O374" i="11"/>
  <c r="J374" i="11"/>
  <c r="L374" i="11"/>
  <c r="N374" i="11"/>
  <c r="T374" i="11"/>
  <c r="S374" i="11" s="1"/>
  <c r="E428" i="11"/>
  <c r="J428" i="11"/>
  <c r="L428" i="11"/>
  <c r="T428" i="11"/>
  <c r="S428" i="11" s="1"/>
  <c r="N428" i="11"/>
  <c r="O428" i="11"/>
  <c r="U428" i="11"/>
  <c r="K428" i="11"/>
  <c r="M428" i="11"/>
  <c r="E104" i="11"/>
  <c r="G104" i="11" s="1"/>
  <c r="P104" i="11"/>
  <c r="U104" i="11" s="1"/>
  <c r="Q104" i="11"/>
  <c r="F104" i="11"/>
  <c r="P88" i="11"/>
  <c r="U88" i="11" s="1"/>
  <c r="Q88" i="11"/>
  <c r="E88" i="11"/>
  <c r="K88" i="11" s="1"/>
  <c r="T169" i="11"/>
  <c r="S169" i="11" s="1"/>
  <c r="K169" i="11"/>
  <c r="J169" i="11"/>
  <c r="U169" i="11"/>
  <c r="N169" i="11"/>
  <c r="M169" i="11"/>
  <c r="O169" i="11"/>
  <c r="E169" i="11"/>
  <c r="L169" i="11"/>
  <c r="P126" i="11"/>
  <c r="U126" i="11" s="1"/>
  <c r="E126" i="11"/>
  <c r="L126" i="11" s="1"/>
  <c r="Q126" i="11"/>
  <c r="I126" i="11"/>
  <c r="F126" i="11"/>
  <c r="J126" i="11"/>
  <c r="T126" i="11"/>
  <c r="S126" i="11" s="1"/>
  <c r="K126" i="11"/>
  <c r="M126" i="11" s="1"/>
  <c r="H126" i="11"/>
  <c r="G126" i="11"/>
  <c r="N126" i="11"/>
  <c r="O126" i="11" s="1"/>
  <c r="E107" i="11"/>
  <c r="L107" i="11" s="1"/>
  <c r="P107" i="11"/>
  <c r="Q107" i="11"/>
  <c r="O458" i="11"/>
  <c r="K458" i="11"/>
  <c r="N458" i="11"/>
  <c r="T458" i="11"/>
  <c r="S458" i="11" s="1"/>
  <c r="E458" i="11"/>
  <c r="M458" i="11"/>
  <c r="J458" i="11"/>
  <c r="L458" i="11"/>
  <c r="U458" i="11"/>
  <c r="E404" i="11"/>
  <c r="U404" i="11"/>
  <c r="O404" i="11"/>
  <c r="L404" i="11"/>
  <c r="T404" i="11"/>
  <c r="S404" i="11" s="1"/>
  <c r="M404" i="11"/>
  <c r="K404" i="11"/>
  <c r="N404" i="11"/>
  <c r="J404" i="11"/>
  <c r="E38" i="11"/>
  <c r="F38" i="11" s="1"/>
  <c r="P38" i="11"/>
  <c r="U38" i="11" s="1"/>
  <c r="Q38" i="11"/>
  <c r="E102" i="11"/>
  <c r="K102" i="11" s="1"/>
  <c r="Q102" i="11"/>
  <c r="P102" i="11"/>
  <c r="P67" i="11"/>
  <c r="U67" i="11" s="1"/>
  <c r="E67" i="11"/>
  <c r="T67" i="11" s="1"/>
  <c r="S67" i="11" s="1"/>
  <c r="R67" i="11" s="1"/>
  <c r="Q67" i="11"/>
  <c r="T594" i="11"/>
  <c r="S594" i="11" s="1"/>
  <c r="N594" i="11"/>
  <c r="J594" i="11"/>
  <c r="M594" i="11"/>
  <c r="U594" i="11"/>
  <c r="K594" i="11"/>
  <c r="E594" i="11"/>
  <c r="O594" i="11"/>
  <c r="L594" i="11"/>
  <c r="E39" i="11"/>
  <c r="F39" i="11" s="1"/>
  <c r="Q39" i="11"/>
  <c r="P39" i="11"/>
  <c r="U39" i="11" s="1"/>
  <c r="M451" i="11"/>
  <c r="K451" i="11"/>
  <c r="E451" i="11"/>
  <c r="L451" i="11"/>
  <c r="O451" i="11"/>
  <c r="J451" i="11"/>
  <c r="N451" i="11"/>
  <c r="T451" i="11"/>
  <c r="S451" i="11" s="1"/>
  <c r="U451" i="11"/>
  <c r="Q85" i="11"/>
  <c r="E85" i="11"/>
  <c r="L85" i="11" s="1"/>
  <c r="P85" i="11"/>
  <c r="U85" i="11" s="1"/>
  <c r="H131" i="11"/>
  <c r="I131" i="11"/>
  <c r="K131" i="11"/>
  <c r="N131" i="11"/>
  <c r="J131" i="11"/>
  <c r="U131" i="11"/>
  <c r="F131" i="11"/>
  <c r="T131" i="11"/>
  <c r="S131" i="11" s="1"/>
  <c r="M131" i="11"/>
  <c r="O131" i="11"/>
  <c r="P131" i="11"/>
  <c r="E131" i="11"/>
  <c r="L131" i="11"/>
  <c r="G131" i="11"/>
  <c r="Q131" i="11"/>
  <c r="R131" i="11"/>
  <c r="T214" i="11"/>
  <c r="S214" i="11" s="1"/>
  <c r="M214" i="11"/>
  <c r="O214" i="11"/>
  <c r="U214" i="11"/>
  <c r="E214" i="11"/>
  <c r="J214" i="11"/>
  <c r="L214" i="11"/>
  <c r="K214" i="11"/>
  <c r="N214" i="11"/>
  <c r="T163" i="11"/>
  <c r="N163" i="11"/>
  <c r="O163" i="11"/>
  <c r="L163" i="11"/>
  <c r="M163" i="11"/>
  <c r="K163" i="11"/>
  <c r="J163" i="11"/>
  <c r="U163" i="11"/>
  <c r="E163" i="11"/>
  <c r="E150" i="11"/>
  <c r="K150" i="11"/>
  <c r="O150" i="11"/>
  <c r="J150" i="11"/>
  <c r="N150" i="11"/>
  <c r="T150" i="11"/>
  <c r="S150" i="11" s="1"/>
  <c r="M150" i="11"/>
  <c r="U150" i="11"/>
  <c r="L150" i="11"/>
  <c r="R150" i="11"/>
  <c r="U195" i="11"/>
  <c r="L195" i="11"/>
  <c r="E195" i="11"/>
  <c r="O195" i="11"/>
  <c r="J195" i="11"/>
  <c r="M195" i="11"/>
  <c r="K195" i="11"/>
  <c r="T195" i="11"/>
  <c r="S195" i="11" s="1"/>
  <c r="N195" i="11"/>
  <c r="P86" i="11"/>
  <c r="U86" i="11" s="1"/>
  <c r="Q86" i="11"/>
  <c r="E86" i="11"/>
  <c r="Q35" i="11"/>
  <c r="P35" i="11"/>
  <c r="E35" i="11"/>
  <c r="F35" i="11" s="1"/>
  <c r="M153" i="11"/>
  <c r="U153" i="11"/>
  <c r="L153" i="11"/>
  <c r="O153" i="11"/>
  <c r="E153" i="11"/>
  <c r="N153" i="11"/>
  <c r="K153" i="11"/>
  <c r="J153" i="11"/>
  <c r="T153" i="11"/>
  <c r="S153" i="11" s="1"/>
  <c r="E64" i="11"/>
  <c r="K64" i="11" s="1"/>
  <c r="P64" i="11"/>
  <c r="U64" i="11" s="1"/>
  <c r="Q64" i="11"/>
  <c r="Q96" i="11"/>
  <c r="P96" i="11"/>
  <c r="U96" i="11" s="1"/>
  <c r="E96" i="11"/>
  <c r="U534" i="11"/>
  <c r="L534" i="11"/>
  <c r="E534" i="11"/>
  <c r="K534" i="11"/>
  <c r="O534" i="11"/>
  <c r="J534" i="11"/>
  <c r="N534" i="11"/>
  <c r="M534" i="11"/>
  <c r="T534" i="11"/>
  <c r="J579" i="11"/>
  <c r="N579" i="11"/>
  <c r="T579" i="11"/>
  <c r="M579" i="11"/>
  <c r="U579" i="11"/>
  <c r="K579" i="11"/>
  <c r="E579" i="11"/>
  <c r="L579" i="11"/>
  <c r="O579" i="11"/>
  <c r="U301" i="11"/>
  <c r="M301" i="11"/>
  <c r="E301" i="11"/>
  <c r="K301" i="11"/>
  <c r="N301" i="11"/>
  <c r="T301" i="11"/>
  <c r="S301" i="11" s="1"/>
  <c r="L301" i="11"/>
  <c r="J301" i="11"/>
  <c r="O301" i="11"/>
  <c r="P55" i="11"/>
  <c r="U55" i="11" s="1"/>
  <c r="Q55" i="11"/>
  <c r="E55" i="11"/>
  <c r="L55" i="11" s="1"/>
  <c r="N526" i="11"/>
  <c r="L526" i="11"/>
  <c r="E526" i="11"/>
  <c r="M526" i="11"/>
  <c r="O526" i="11"/>
  <c r="J526" i="11"/>
  <c r="U526" i="11"/>
  <c r="T526" i="11"/>
  <c r="S526" i="11" s="1"/>
  <c r="K526" i="11"/>
  <c r="J245" i="11"/>
  <c r="L245" i="11"/>
  <c r="T245" i="11"/>
  <c r="N245" i="11"/>
  <c r="U245" i="11"/>
  <c r="O245" i="11"/>
  <c r="E245" i="11"/>
  <c r="K245" i="11"/>
  <c r="M245" i="11"/>
  <c r="Q37" i="11"/>
  <c r="P37" i="11"/>
  <c r="U37" i="11" s="1"/>
  <c r="E37" i="11"/>
  <c r="T376" i="11"/>
  <c r="S376" i="11" s="1"/>
  <c r="U376" i="11"/>
  <c r="J376" i="11"/>
  <c r="M376" i="11"/>
  <c r="O376" i="11"/>
  <c r="L376" i="11"/>
  <c r="E376" i="11"/>
  <c r="N376" i="11"/>
  <c r="K376" i="11"/>
  <c r="E263" i="11"/>
  <c r="N263" i="11"/>
  <c r="K263" i="11"/>
  <c r="T263" i="11"/>
  <c r="S263" i="11" s="1"/>
  <c r="M263" i="11"/>
  <c r="J263" i="11"/>
  <c r="L263" i="11"/>
  <c r="U263" i="11"/>
  <c r="O263" i="11"/>
  <c r="M563" i="11"/>
  <c r="U563" i="11"/>
  <c r="E563" i="11"/>
  <c r="K563" i="11"/>
  <c r="T563" i="11"/>
  <c r="S563" i="11" s="1"/>
  <c r="J563" i="11"/>
  <c r="O563" i="11"/>
  <c r="L563" i="11"/>
  <c r="N563" i="11"/>
  <c r="T400" i="11"/>
  <c r="K400" i="11"/>
  <c r="U400" i="11"/>
  <c r="L400" i="11"/>
  <c r="O400" i="11"/>
  <c r="J400" i="11"/>
  <c r="N400" i="11"/>
  <c r="M400" i="11"/>
  <c r="E400" i="11"/>
  <c r="J528" i="11"/>
  <c r="K528" i="11"/>
  <c r="E528" i="11"/>
  <c r="O528" i="11"/>
  <c r="L528" i="11"/>
  <c r="T528" i="11"/>
  <c r="S528" i="11" s="1"/>
  <c r="N528" i="11"/>
  <c r="M528" i="11"/>
  <c r="U528" i="11"/>
  <c r="Q57" i="11"/>
  <c r="P57" i="11"/>
  <c r="E57" i="11"/>
  <c r="K57" i="11" s="1"/>
  <c r="J321" i="11"/>
  <c r="L321" i="11"/>
  <c r="T321" i="11"/>
  <c r="O321" i="11"/>
  <c r="U321" i="11"/>
  <c r="N321" i="11"/>
  <c r="K321" i="11"/>
  <c r="M321" i="11"/>
  <c r="E321" i="11"/>
  <c r="P56" i="11"/>
  <c r="U56" i="11" s="1"/>
  <c r="E56" i="11"/>
  <c r="L56" i="11" s="1"/>
  <c r="Q56" i="11"/>
  <c r="P40" i="11"/>
  <c r="U40" i="11" s="1"/>
  <c r="Q40" i="11"/>
  <c r="E40" i="11"/>
  <c r="L40" i="11" s="1"/>
  <c r="M302" i="11"/>
  <c r="N302" i="11"/>
  <c r="E302" i="11"/>
  <c r="L302" i="11"/>
  <c r="U302" i="11"/>
  <c r="J302" i="11"/>
  <c r="O302" i="11"/>
  <c r="K302" i="11"/>
  <c r="T302" i="11"/>
  <c r="S302" i="11" s="1"/>
  <c r="P53" i="11"/>
  <c r="U53" i="11" s="1"/>
  <c r="E53" i="11"/>
  <c r="F53" i="11" s="1"/>
  <c r="Q53" i="11"/>
  <c r="E359" i="11"/>
  <c r="O359" i="11"/>
  <c r="L359" i="11"/>
  <c r="J359" i="11"/>
  <c r="M359" i="11"/>
  <c r="T359" i="11"/>
  <c r="S359" i="11" s="1"/>
  <c r="N359" i="11"/>
  <c r="K359" i="11"/>
  <c r="U359" i="11"/>
  <c r="M411" i="11"/>
  <c r="K411" i="11"/>
  <c r="E411" i="11"/>
  <c r="L411" i="11"/>
  <c r="O411" i="11"/>
  <c r="J411" i="11"/>
  <c r="N411" i="11"/>
  <c r="U411" i="11"/>
  <c r="T411" i="11"/>
  <c r="E422" i="11"/>
  <c r="N422" i="11"/>
  <c r="L422" i="11"/>
  <c r="T422" i="11"/>
  <c r="S422" i="11" s="1"/>
  <c r="J422" i="11"/>
  <c r="U422" i="11"/>
  <c r="K422" i="11"/>
  <c r="O422" i="11"/>
  <c r="M422" i="11"/>
  <c r="E114" i="11"/>
  <c r="K114" i="11" s="1"/>
  <c r="Q114" i="11"/>
  <c r="P114" i="11"/>
  <c r="U114" i="11" s="1"/>
  <c r="L114" i="11"/>
  <c r="P79" i="11"/>
  <c r="E79" i="11"/>
  <c r="L79" i="11" s="1"/>
  <c r="Q79" i="11"/>
  <c r="N421" i="11"/>
  <c r="U421" i="11"/>
  <c r="E421" i="11"/>
  <c r="O421" i="11"/>
  <c r="K421" i="11"/>
  <c r="T421" i="11"/>
  <c r="S421" i="11" s="1"/>
  <c r="M421" i="11"/>
  <c r="L421" i="11"/>
  <c r="J421" i="11"/>
  <c r="R421" i="11"/>
  <c r="E581" i="11"/>
  <c r="K581" i="11"/>
  <c r="N581" i="11"/>
  <c r="J581" i="11"/>
  <c r="T581" i="11"/>
  <c r="S581" i="11" s="1"/>
  <c r="L581" i="11"/>
  <c r="O581" i="11"/>
  <c r="M581" i="11"/>
  <c r="U581" i="11"/>
  <c r="M508" i="11"/>
  <c r="U508" i="11"/>
  <c r="E508" i="11"/>
  <c r="K508" i="11"/>
  <c r="N508" i="11"/>
  <c r="J508" i="11"/>
  <c r="L508" i="11"/>
  <c r="O508" i="11"/>
  <c r="T508" i="11"/>
  <c r="S508" i="11" s="1"/>
  <c r="J303" i="11"/>
  <c r="L303" i="11"/>
  <c r="O303" i="11"/>
  <c r="K303" i="11"/>
  <c r="E303" i="11"/>
  <c r="N303" i="11"/>
  <c r="U303" i="11"/>
  <c r="T303" i="11"/>
  <c r="S303" i="11" s="1"/>
  <c r="M303" i="11"/>
  <c r="T340" i="11"/>
  <c r="S340" i="11" s="1"/>
  <c r="O340" i="11"/>
  <c r="M340" i="11"/>
  <c r="N340" i="11"/>
  <c r="E340" i="11"/>
  <c r="L340" i="11"/>
  <c r="U340" i="11"/>
  <c r="J340" i="11"/>
  <c r="K340" i="11"/>
  <c r="E316" i="11"/>
  <c r="M316" i="11"/>
  <c r="N316" i="11"/>
  <c r="J316" i="11"/>
  <c r="L316" i="11"/>
  <c r="T316" i="11"/>
  <c r="S316" i="11" s="1"/>
  <c r="O316" i="11"/>
  <c r="U316" i="11"/>
  <c r="K316" i="11"/>
  <c r="O339" i="11"/>
  <c r="U339" i="11"/>
  <c r="E339" i="11"/>
  <c r="M339" i="11"/>
  <c r="K339" i="11"/>
  <c r="J339" i="11"/>
  <c r="L339" i="11"/>
  <c r="T339" i="11"/>
  <c r="S339" i="11" s="1"/>
  <c r="N339" i="11"/>
  <c r="L513" i="11"/>
  <c r="N513" i="11"/>
  <c r="E513" i="11"/>
  <c r="M513" i="11"/>
  <c r="U513" i="11"/>
  <c r="J513" i="11"/>
  <c r="K513" i="11"/>
  <c r="O513" i="11"/>
  <c r="T513" i="11"/>
  <c r="S513" i="11" s="1"/>
  <c r="N403" i="11"/>
  <c r="U403" i="11"/>
  <c r="T403" i="11"/>
  <c r="S403" i="11" s="1"/>
  <c r="E403" i="11"/>
  <c r="O403" i="11"/>
  <c r="K403" i="11"/>
  <c r="J403" i="11"/>
  <c r="M403" i="11"/>
  <c r="L403" i="11"/>
  <c r="K454" i="11"/>
  <c r="N454" i="11"/>
  <c r="E454" i="11"/>
  <c r="M454" i="11"/>
  <c r="U454" i="11"/>
  <c r="T454" i="11"/>
  <c r="S454" i="11" s="1"/>
  <c r="L454" i="11"/>
  <c r="J454" i="11"/>
  <c r="O454" i="11"/>
  <c r="E426" i="11"/>
  <c r="U426" i="11"/>
  <c r="L426" i="11"/>
  <c r="T426" i="11"/>
  <c r="S426" i="11" s="1"/>
  <c r="J426" i="11"/>
  <c r="O426" i="11"/>
  <c r="K426" i="11"/>
  <c r="M426" i="11"/>
  <c r="N426" i="11"/>
  <c r="N173" i="11"/>
  <c r="U173" i="11"/>
  <c r="E173" i="11"/>
  <c r="M173" i="11"/>
  <c r="O173" i="11"/>
  <c r="J173" i="11"/>
  <c r="L173" i="11"/>
  <c r="T173" i="11"/>
  <c r="S173" i="11" s="1"/>
  <c r="K173" i="11"/>
  <c r="E48" i="11"/>
  <c r="K48" i="11" s="1"/>
  <c r="Q48" i="11"/>
  <c r="P48" i="11"/>
  <c r="F48" i="11"/>
  <c r="Q27" i="11"/>
  <c r="E27" i="11"/>
  <c r="F27" i="11" s="1"/>
  <c r="P27" i="11"/>
  <c r="E11" i="11"/>
  <c r="K11" i="11" s="1"/>
  <c r="P11" i="11"/>
  <c r="Q11" i="11"/>
  <c r="M248" i="11"/>
  <c r="K248" i="11"/>
  <c r="E248" i="11"/>
  <c r="U248" i="11"/>
  <c r="N248" i="11"/>
  <c r="T248" i="11"/>
  <c r="S248" i="11" s="1"/>
  <c r="L248" i="11"/>
  <c r="O248" i="11"/>
  <c r="J248" i="11"/>
  <c r="E75" i="11"/>
  <c r="L75" i="11" s="1"/>
  <c r="P75" i="11"/>
  <c r="Q75" i="11"/>
  <c r="L187" i="11"/>
  <c r="O187" i="11"/>
  <c r="N187" i="11"/>
  <c r="U187" i="11"/>
  <c r="K187" i="11"/>
  <c r="J187" i="11"/>
  <c r="E187" i="11"/>
  <c r="M187" i="11"/>
  <c r="T187" i="11"/>
  <c r="J171" i="11"/>
  <c r="L171" i="11"/>
  <c r="N171" i="11"/>
  <c r="K171" i="11"/>
  <c r="E171" i="11"/>
  <c r="O171" i="11"/>
  <c r="M171" i="11"/>
  <c r="U171" i="11"/>
  <c r="T171" i="11"/>
  <c r="K586" i="11"/>
  <c r="M586" i="11"/>
  <c r="J586" i="11"/>
  <c r="L586" i="11"/>
  <c r="E586" i="11"/>
  <c r="N586" i="11"/>
  <c r="O586" i="11"/>
  <c r="T586" i="11"/>
  <c r="S586" i="11" s="1"/>
  <c r="U586" i="11"/>
  <c r="E16" i="11"/>
  <c r="Q16" i="11"/>
  <c r="P16" i="11"/>
  <c r="U16" i="11" s="1"/>
  <c r="E517" i="11"/>
  <c r="K517" i="11"/>
  <c r="N517" i="11"/>
  <c r="J517" i="11"/>
  <c r="L517" i="11"/>
  <c r="T517" i="11"/>
  <c r="S517" i="11" s="1"/>
  <c r="O517" i="11"/>
  <c r="M517" i="11"/>
  <c r="U517" i="11"/>
  <c r="J460" i="11"/>
  <c r="M460" i="11"/>
  <c r="U460" i="11"/>
  <c r="O460" i="11"/>
  <c r="L460" i="11"/>
  <c r="E460" i="11"/>
  <c r="N460" i="11"/>
  <c r="K460" i="11"/>
  <c r="T460" i="11"/>
  <c r="E255" i="11"/>
  <c r="L255" i="11"/>
  <c r="N255" i="11"/>
  <c r="J255" i="11"/>
  <c r="O255" i="11"/>
  <c r="T255" i="11"/>
  <c r="S255" i="11" s="1"/>
  <c r="U255" i="11"/>
  <c r="M255" i="11"/>
  <c r="K255" i="11"/>
  <c r="T292" i="11"/>
  <c r="U292" i="11"/>
  <c r="L292" i="11"/>
  <c r="K292" i="11"/>
  <c r="J292" i="11"/>
  <c r="N292" i="11"/>
  <c r="E292" i="11"/>
  <c r="O292" i="11"/>
  <c r="M292" i="11"/>
  <c r="T507" i="11"/>
  <c r="O507" i="11"/>
  <c r="L507" i="11"/>
  <c r="N507" i="11"/>
  <c r="E507" i="11"/>
  <c r="M507" i="11"/>
  <c r="U507" i="11"/>
  <c r="J507" i="11"/>
  <c r="K507" i="11"/>
  <c r="E512" i="11"/>
  <c r="K512" i="11"/>
  <c r="O512" i="11"/>
  <c r="J512" i="11"/>
  <c r="N512" i="11"/>
  <c r="U512" i="11"/>
  <c r="T512" i="11"/>
  <c r="M512" i="11"/>
  <c r="L512" i="11"/>
  <c r="P109" i="11"/>
  <c r="U109" i="11" s="1"/>
  <c r="Q109" i="11"/>
  <c r="E109" i="11"/>
  <c r="E76" i="11"/>
  <c r="F76" i="11" s="1"/>
  <c r="P76" i="11"/>
  <c r="Q76" i="11"/>
  <c r="Q7" i="11"/>
  <c r="E7" i="11"/>
  <c r="L7" i="11" s="1"/>
  <c r="P7" i="11"/>
  <c r="U478" i="11"/>
  <c r="K478" i="11"/>
  <c r="E478" i="11"/>
  <c r="O478" i="11"/>
  <c r="L478" i="11"/>
  <c r="J478" i="11"/>
  <c r="N478" i="11"/>
  <c r="M478" i="11"/>
  <c r="T478" i="11"/>
  <c r="N357" i="11"/>
  <c r="O357" i="11"/>
  <c r="T357" i="11"/>
  <c r="E357" i="11"/>
  <c r="U357" i="11"/>
  <c r="K357" i="11"/>
  <c r="J357" i="11"/>
  <c r="M357" i="11"/>
  <c r="L357" i="11"/>
  <c r="O199" i="11"/>
  <c r="T199" i="11"/>
  <c r="S199" i="11" s="1"/>
  <c r="N199" i="11"/>
  <c r="M199" i="11"/>
  <c r="U199" i="11"/>
  <c r="E199" i="11"/>
  <c r="J199" i="11"/>
  <c r="K199" i="11"/>
  <c r="L199" i="11"/>
  <c r="R199" i="11"/>
  <c r="M269" i="11"/>
  <c r="L269" i="11"/>
  <c r="N269" i="11"/>
  <c r="E269" i="11"/>
  <c r="O269" i="11"/>
  <c r="J269" i="11"/>
  <c r="K269" i="11"/>
  <c r="T269" i="11"/>
  <c r="S269" i="11" s="1"/>
  <c r="U269" i="11"/>
  <c r="O464" i="11"/>
  <c r="L464" i="11"/>
  <c r="E464" i="11"/>
  <c r="N464" i="11"/>
  <c r="M464" i="11"/>
  <c r="K464" i="11"/>
  <c r="J464" i="11"/>
  <c r="U464" i="11"/>
  <c r="T464" i="11"/>
  <c r="U351" i="11"/>
  <c r="N351" i="11"/>
  <c r="J351" i="11"/>
  <c r="K351" i="11"/>
  <c r="O351" i="11"/>
  <c r="E351" i="11"/>
  <c r="L351" i="11"/>
  <c r="M351" i="11"/>
  <c r="T351" i="11"/>
  <c r="T575" i="11"/>
  <c r="N575" i="11"/>
  <c r="J575" i="11"/>
  <c r="M575" i="11"/>
  <c r="O575" i="11"/>
  <c r="K575" i="11"/>
  <c r="L575" i="11"/>
  <c r="E575" i="11"/>
  <c r="U575" i="11"/>
  <c r="E398" i="11"/>
  <c r="K398" i="11"/>
  <c r="O398" i="11"/>
  <c r="J398" i="11"/>
  <c r="U398" i="11"/>
  <c r="T398" i="11"/>
  <c r="S398" i="11" s="1"/>
  <c r="M398" i="11"/>
  <c r="N398" i="11"/>
  <c r="L398" i="11"/>
  <c r="E34" i="11"/>
  <c r="F34" i="11" s="1"/>
  <c r="P34" i="11"/>
  <c r="U34" i="11" s="1"/>
  <c r="Q34" i="11"/>
  <c r="J236" i="11"/>
  <c r="M236" i="11"/>
  <c r="O236" i="11"/>
  <c r="L236" i="11"/>
  <c r="E236" i="11"/>
  <c r="U236" i="11"/>
  <c r="K236" i="11"/>
  <c r="N236" i="11"/>
  <c r="T236" i="11"/>
  <c r="E524" i="11"/>
  <c r="N524" i="11"/>
  <c r="M524" i="11"/>
  <c r="T524" i="11"/>
  <c r="S524" i="11" s="1"/>
  <c r="U524" i="11"/>
  <c r="J524" i="11"/>
  <c r="K524" i="11"/>
  <c r="O524" i="11"/>
  <c r="L524" i="11"/>
  <c r="T253" i="11"/>
  <c r="L253" i="11"/>
  <c r="J253" i="11"/>
  <c r="N253" i="11"/>
  <c r="U253" i="11"/>
  <c r="M253" i="11"/>
  <c r="O253" i="11"/>
  <c r="E253" i="11"/>
  <c r="K253" i="11"/>
  <c r="L415" i="11"/>
  <c r="E415" i="11"/>
  <c r="J415" i="11"/>
  <c r="U415" i="11"/>
  <c r="M415" i="11"/>
  <c r="T415" i="11"/>
  <c r="S415" i="11" s="1"/>
  <c r="K415" i="11"/>
  <c r="N415" i="11"/>
  <c r="O415" i="11"/>
  <c r="J165" i="11"/>
  <c r="T165" i="11"/>
  <c r="S165" i="11" s="1"/>
  <c r="M165" i="11"/>
  <c r="U165" i="11"/>
  <c r="O165" i="11"/>
  <c r="E165" i="11"/>
  <c r="N165" i="11"/>
  <c r="L165" i="11"/>
  <c r="K165" i="11"/>
  <c r="R165" i="11"/>
  <c r="P26" i="11"/>
  <c r="U26" i="11" s="1"/>
  <c r="Q26" i="11"/>
  <c r="E26" i="11"/>
  <c r="E551" i="11"/>
  <c r="O551" i="11"/>
  <c r="M551" i="11"/>
  <c r="L551" i="11"/>
  <c r="J551" i="11"/>
  <c r="N551" i="11"/>
  <c r="T551" i="11"/>
  <c r="K551" i="11"/>
  <c r="U551" i="11"/>
  <c r="J468" i="11"/>
  <c r="N468" i="11"/>
  <c r="K468" i="11"/>
  <c r="T468" i="11"/>
  <c r="S468" i="11" s="1"/>
  <c r="M468" i="11"/>
  <c r="U468" i="11"/>
  <c r="O468" i="11"/>
  <c r="E468" i="11"/>
  <c r="L468" i="11"/>
  <c r="O505" i="11"/>
  <c r="T505" i="11"/>
  <c r="S505" i="11" s="1"/>
  <c r="N505" i="11"/>
  <c r="E505" i="11"/>
  <c r="U505" i="11"/>
  <c r="K505" i="11"/>
  <c r="J505" i="11"/>
  <c r="L505" i="11"/>
  <c r="M505" i="11"/>
  <c r="T599" i="11"/>
  <c r="O599" i="11"/>
  <c r="K599" i="11"/>
  <c r="L599" i="11"/>
  <c r="N599" i="11"/>
  <c r="J599" i="11"/>
  <c r="E599" i="11"/>
  <c r="M599" i="11"/>
  <c r="U599" i="11"/>
  <c r="T492" i="11"/>
  <c r="N492" i="11"/>
  <c r="O492" i="11"/>
  <c r="J492" i="11"/>
  <c r="M492" i="11"/>
  <c r="L492" i="11"/>
  <c r="U492" i="11"/>
  <c r="K492" i="11"/>
  <c r="E492" i="11"/>
  <c r="U529" i="11"/>
  <c r="L529" i="11"/>
  <c r="E529" i="11"/>
  <c r="N529" i="11"/>
  <c r="K529" i="11"/>
  <c r="O529" i="11"/>
  <c r="T529" i="11"/>
  <c r="J529" i="11"/>
  <c r="M529" i="11"/>
  <c r="J583" i="11"/>
  <c r="L583" i="11"/>
  <c r="T583" i="11"/>
  <c r="N583" i="11"/>
  <c r="K583" i="11"/>
  <c r="U583" i="11"/>
  <c r="E583" i="11"/>
  <c r="M583" i="11"/>
  <c r="O583" i="11"/>
  <c r="O484" i="11"/>
  <c r="M484" i="11"/>
  <c r="L484" i="11"/>
  <c r="E484" i="11"/>
  <c r="N484" i="11"/>
  <c r="K484" i="11"/>
  <c r="U484" i="11"/>
  <c r="T484" i="11"/>
  <c r="S484" i="11" s="1"/>
  <c r="J484" i="11"/>
  <c r="J521" i="11"/>
  <c r="U521" i="11"/>
  <c r="E521" i="11"/>
  <c r="T521" i="11"/>
  <c r="S521" i="11" s="1"/>
  <c r="N521" i="11"/>
  <c r="L521" i="11"/>
  <c r="K521" i="11"/>
  <c r="M521" i="11"/>
  <c r="O521" i="11"/>
  <c r="N385" i="11"/>
  <c r="L385" i="11"/>
  <c r="E385" i="11"/>
  <c r="U385" i="11"/>
  <c r="M385" i="11"/>
  <c r="J385" i="11"/>
  <c r="K385" i="11"/>
  <c r="T385" i="11"/>
  <c r="S385" i="11" s="1"/>
  <c r="O385" i="11"/>
  <c r="E280" i="11"/>
  <c r="M280" i="11"/>
  <c r="O280" i="11"/>
  <c r="J280" i="11"/>
  <c r="U280" i="11"/>
  <c r="T280" i="11"/>
  <c r="S280" i="11" s="1"/>
  <c r="K280" i="11"/>
  <c r="L280" i="11"/>
  <c r="N280" i="11"/>
  <c r="J447" i="11"/>
  <c r="U447" i="11"/>
  <c r="O447" i="11"/>
  <c r="K447" i="11"/>
  <c r="E447" i="11"/>
  <c r="M447" i="11"/>
  <c r="L447" i="11"/>
  <c r="N447" i="11"/>
  <c r="T447" i="11"/>
  <c r="J181" i="11"/>
  <c r="K181" i="11"/>
  <c r="T181" i="11"/>
  <c r="O181" i="11"/>
  <c r="L181" i="11"/>
  <c r="M181" i="11"/>
  <c r="E181" i="11"/>
  <c r="U181" i="11"/>
  <c r="N181" i="11"/>
  <c r="P74" i="11"/>
  <c r="E74" i="11"/>
  <c r="F74" i="11" s="1"/>
  <c r="Q74" i="11"/>
  <c r="E576" i="11"/>
  <c r="O576" i="11"/>
  <c r="K576" i="11"/>
  <c r="J576" i="11"/>
  <c r="N576" i="11"/>
  <c r="T576" i="11"/>
  <c r="S576" i="11" s="1"/>
  <c r="M576" i="11"/>
  <c r="L576" i="11"/>
  <c r="U576" i="11"/>
  <c r="T205" i="11"/>
  <c r="M205" i="11"/>
  <c r="L205" i="11"/>
  <c r="J205" i="11"/>
  <c r="N205" i="11"/>
  <c r="O205" i="11"/>
  <c r="K205" i="11"/>
  <c r="U205" i="11"/>
  <c r="E205" i="11"/>
  <c r="E552" i="11"/>
  <c r="U552" i="11"/>
  <c r="M552" i="11"/>
  <c r="T552" i="11"/>
  <c r="S552" i="11" s="1"/>
  <c r="J552" i="11"/>
  <c r="O552" i="11"/>
  <c r="K552" i="11"/>
  <c r="L552" i="11"/>
  <c r="N552" i="11"/>
  <c r="K596" i="11"/>
  <c r="T596" i="11"/>
  <c r="S596" i="11" s="1"/>
  <c r="J596" i="11"/>
  <c r="E596" i="11"/>
  <c r="N596" i="11"/>
  <c r="L596" i="11"/>
  <c r="U596" i="11"/>
  <c r="M596" i="11"/>
  <c r="O596" i="11"/>
  <c r="J378" i="11"/>
  <c r="K378" i="11"/>
  <c r="N378" i="11"/>
  <c r="T378" i="11"/>
  <c r="S378" i="11" s="1"/>
  <c r="U378" i="11"/>
  <c r="L378" i="11"/>
  <c r="M378" i="11"/>
  <c r="O378" i="11"/>
  <c r="E378" i="11"/>
  <c r="E600" i="11"/>
  <c r="K600" i="11"/>
  <c r="U600" i="11"/>
  <c r="N600" i="11"/>
  <c r="J600" i="11"/>
  <c r="L600" i="11"/>
  <c r="M600" i="11"/>
  <c r="T600" i="11"/>
  <c r="S600" i="11" s="1"/>
  <c r="O600" i="11"/>
  <c r="L584" i="11"/>
  <c r="N584" i="11"/>
  <c r="E584" i="11"/>
  <c r="M584" i="11"/>
  <c r="U584" i="11"/>
  <c r="T584" i="11"/>
  <c r="S584" i="11" s="1"/>
  <c r="J584" i="11"/>
  <c r="K584" i="11"/>
  <c r="O584" i="11"/>
  <c r="T277" i="11"/>
  <c r="N277" i="11"/>
  <c r="L277" i="11"/>
  <c r="M277" i="11"/>
  <c r="E277" i="11"/>
  <c r="U277" i="11"/>
  <c r="O277" i="11"/>
  <c r="K277" i="11"/>
  <c r="J277" i="11"/>
  <c r="P66" i="11"/>
  <c r="E66" i="11"/>
  <c r="L66" i="11" s="1"/>
  <c r="Q66" i="11"/>
  <c r="J185" i="11"/>
  <c r="N185" i="11"/>
  <c r="K185" i="11"/>
  <c r="U185" i="11"/>
  <c r="O185" i="11"/>
  <c r="M185" i="11"/>
  <c r="L185" i="11"/>
  <c r="E185" i="11"/>
  <c r="T185" i="11"/>
  <c r="S185" i="11" s="1"/>
  <c r="N314" i="11"/>
  <c r="K314" i="11"/>
  <c r="E314" i="11"/>
  <c r="U314" i="11"/>
  <c r="L314" i="11"/>
  <c r="T314" i="11"/>
  <c r="S314" i="11" s="1"/>
  <c r="M314" i="11"/>
  <c r="J314" i="11"/>
  <c r="O314" i="11"/>
  <c r="N318" i="11"/>
  <c r="L318" i="11"/>
  <c r="E318" i="11"/>
  <c r="K318" i="11"/>
  <c r="O318" i="11"/>
  <c r="J318" i="11"/>
  <c r="U318" i="11"/>
  <c r="T318" i="11"/>
  <c r="S318" i="11" s="1"/>
  <c r="M318" i="11"/>
  <c r="J431" i="11"/>
  <c r="T431" i="11"/>
  <c r="S431" i="11" s="1"/>
  <c r="M431" i="11"/>
  <c r="U431" i="11"/>
  <c r="L431" i="11"/>
  <c r="K431" i="11"/>
  <c r="N431" i="11"/>
  <c r="O431" i="11"/>
  <c r="E431" i="11"/>
  <c r="J196" i="11"/>
  <c r="N196" i="11"/>
  <c r="E196" i="11"/>
  <c r="T196" i="11"/>
  <c r="S196" i="11" s="1"/>
  <c r="U196" i="11"/>
  <c r="M196" i="11"/>
  <c r="O196" i="11"/>
  <c r="L196" i="11"/>
  <c r="K196" i="11"/>
  <c r="O220" i="11"/>
  <c r="K220" i="11"/>
  <c r="L220" i="11"/>
  <c r="N220" i="11"/>
  <c r="E220" i="11"/>
  <c r="U220" i="11"/>
  <c r="M220" i="11"/>
  <c r="J220" i="11"/>
  <c r="T220" i="11"/>
  <c r="S220" i="11" s="1"/>
  <c r="M479" i="11"/>
  <c r="O479" i="11"/>
  <c r="E479" i="11"/>
  <c r="K479" i="11"/>
  <c r="U479" i="11"/>
  <c r="J479" i="11"/>
  <c r="L479" i="11"/>
  <c r="T479" i="11"/>
  <c r="S479" i="11" s="1"/>
  <c r="N479" i="11"/>
  <c r="J244" i="11"/>
  <c r="L244" i="11"/>
  <c r="K244" i="11"/>
  <c r="N244" i="11"/>
  <c r="M244" i="11"/>
  <c r="E15" i="11"/>
  <c r="K15" i="11" s="1"/>
  <c r="P15" i="11"/>
  <c r="Q15" i="11"/>
  <c r="L15" i="11"/>
  <c r="F15" i="11"/>
  <c r="O463" i="11"/>
  <c r="L463" i="11"/>
  <c r="U463" i="11"/>
  <c r="J463" i="11"/>
  <c r="T463" i="11"/>
  <c r="S463" i="11" s="1"/>
  <c r="M463" i="11"/>
  <c r="K463" i="11"/>
  <c r="E463" i="11"/>
  <c r="N463" i="11"/>
  <c r="U228" i="11"/>
  <c r="T228" i="11"/>
  <c r="S228" i="11" s="1"/>
  <c r="E228" i="11"/>
  <c r="K228" i="11"/>
  <c r="M228" i="11"/>
  <c r="O228" i="11"/>
  <c r="L228" i="11"/>
  <c r="J228" i="11"/>
  <c r="N228" i="11"/>
  <c r="R228" i="11"/>
  <c r="E252" i="11"/>
  <c r="T252" i="11"/>
  <c r="S252" i="11" s="1"/>
  <c r="U252" i="11"/>
  <c r="J252" i="11"/>
  <c r="L252" i="11"/>
  <c r="K252" i="11"/>
  <c r="O252" i="11"/>
  <c r="M252" i="11"/>
  <c r="N252" i="11"/>
  <c r="T457" i="11"/>
  <c r="S457" i="11" s="1"/>
  <c r="K457" i="11"/>
  <c r="J457" i="11"/>
  <c r="L457" i="11"/>
  <c r="O457" i="11"/>
  <c r="E457" i="11"/>
  <c r="U457" i="11"/>
  <c r="M457" i="11"/>
  <c r="N457" i="11"/>
  <c r="F87" i="18"/>
  <c r="D86" i="18"/>
  <c r="E86" i="18"/>
  <c r="F87" i="11" l="1"/>
  <c r="R576" i="11"/>
  <c r="K75" i="11"/>
  <c r="R427" i="11"/>
  <c r="I63" i="11"/>
  <c r="F75" i="11"/>
  <c r="K81" i="11"/>
  <c r="R589" i="11"/>
  <c r="R533" i="11"/>
  <c r="I26" i="11"/>
  <c r="R523" i="11"/>
  <c r="R605" i="11"/>
  <c r="R211" i="11"/>
  <c r="E244" i="11"/>
  <c r="O244" i="11"/>
  <c r="F56" i="11"/>
  <c r="F54" i="11"/>
  <c r="N469" i="11"/>
  <c r="E469" i="11"/>
  <c r="O525" i="11"/>
  <c r="U525" i="11"/>
  <c r="L525" i="11"/>
  <c r="T270" i="11"/>
  <c r="S270" i="11" s="1"/>
  <c r="O270" i="11"/>
  <c r="M300" i="11"/>
  <c r="J300" i="11"/>
  <c r="E539" i="11"/>
  <c r="M539" i="11"/>
  <c r="J539" i="11"/>
  <c r="U591" i="11"/>
  <c r="N591" i="11"/>
  <c r="F71" i="11"/>
  <c r="K554" i="11"/>
  <c r="O554" i="11"/>
  <c r="O582" i="11"/>
  <c r="K582" i="11"/>
  <c r="U313" i="11"/>
  <c r="N313" i="11"/>
  <c r="K531" i="11"/>
  <c r="N531" i="11"/>
  <c r="M589" i="11"/>
  <c r="L589" i="11"/>
  <c r="O589" i="11"/>
  <c r="P45" i="11"/>
  <c r="U45" i="11" s="1"/>
  <c r="T597" i="11"/>
  <c r="S597" i="11" s="1"/>
  <c r="E597" i="11"/>
  <c r="U390" i="11"/>
  <c r="N390" i="11"/>
  <c r="L52" i="11"/>
  <c r="M548" i="11"/>
  <c r="O548" i="11"/>
  <c r="L556" i="11"/>
  <c r="N556" i="11"/>
  <c r="R135" i="11"/>
  <c r="R200" i="11"/>
  <c r="R240" i="11"/>
  <c r="I15" i="11"/>
  <c r="U244" i="11"/>
  <c r="O469" i="11"/>
  <c r="K469" i="11"/>
  <c r="J525" i="11"/>
  <c r="M525" i="11"/>
  <c r="L270" i="11"/>
  <c r="U270" i="11"/>
  <c r="E270" i="11"/>
  <c r="N300" i="11"/>
  <c r="L300" i="11"/>
  <c r="Q63" i="11"/>
  <c r="U539" i="11"/>
  <c r="N539" i="11"/>
  <c r="T591" i="11"/>
  <c r="S591" i="11" s="1"/>
  <c r="E591" i="11"/>
  <c r="F92" i="11"/>
  <c r="N554" i="11"/>
  <c r="M554" i="11"/>
  <c r="L582" i="11"/>
  <c r="E582" i="11"/>
  <c r="T313" i="11"/>
  <c r="S313" i="11" s="1"/>
  <c r="L313" i="11"/>
  <c r="O531" i="11"/>
  <c r="L531" i="11"/>
  <c r="E28" i="11"/>
  <c r="G28" i="11" s="1"/>
  <c r="J589" i="11"/>
  <c r="U589" i="11"/>
  <c r="I77" i="11"/>
  <c r="K45" i="11"/>
  <c r="O597" i="11"/>
  <c r="K597" i="11"/>
  <c r="J390" i="11"/>
  <c r="L390" i="11"/>
  <c r="N548" i="11"/>
  <c r="K548" i="11"/>
  <c r="K556" i="11"/>
  <c r="U556" i="11"/>
  <c r="T556" i="11"/>
  <c r="S556" i="11" s="1"/>
  <c r="R485" i="11"/>
  <c r="R361" i="11"/>
  <c r="M469" i="11"/>
  <c r="L469" i="11"/>
  <c r="K525" i="11"/>
  <c r="N270" i="11"/>
  <c r="R300" i="11"/>
  <c r="T300" i="11"/>
  <c r="S300" i="11" s="1"/>
  <c r="K539" i="11"/>
  <c r="O591" i="11"/>
  <c r="K68" i="11"/>
  <c r="L554" i="11"/>
  <c r="U554" i="11"/>
  <c r="R582" i="11"/>
  <c r="T582" i="11"/>
  <c r="S582" i="11" s="1"/>
  <c r="K313" i="11"/>
  <c r="O313" i="11"/>
  <c r="U531" i="11"/>
  <c r="E531" i="11"/>
  <c r="N589" i="11"/>
  <c r="U597" i="11"/>
  <c r="L597" i="11"/>
  <c r="O390" i="11"/>
  <c r="K390" i="11"/>
  <c r="T548" i="11"/>
  <c r="S548" i="11" s="1"/>
  <c r="E548" i="11"/>
  <c r="O556" i="11"/>
  <c r="R431" i="11"/>
  <c r="G82" i="11"/>
  <c r="K29" i="11"/>
  <c r="M29" i="11" s="1"/>
  <c r="J122" i="11"/>
  <c r="L80" i="11"/>
  <c r="T121" i="11"/>
  <c r="S121" i="11" s="1"/>
  <c r="I103" i="11"/>
  <c r="L119" i="11"/>
  <c r="K124" i="11"/>
  <c r="M124" i="11" s="1"/>
  <c r="M81" i="11"/>
  <c r="R255" i="11"/>
  <c r="R316" i="11"/>
  <c r="G56" i="11"/>
  <c r="H37" i="11"/>
  <c r="L19" i="11"/>
  <c r="L124" i="11"/>
  <c r="L59" i="11"/>
  <c r="L125" i="11"/>
  <c r="I125" i="11"/>
  <c r="J56" i="11"/>
  <c r="K19" i="11"/>
  <c r="T59" i="11"/>
  <c r="S59" i="11" s="1"/>
  <c r="I31" i="11"/>
  <c r="H78" i="11"/>
  <c r="R307" i="11"/>
  <c r="R353" i="11"/>
  <c r="R329" i="11"/>
  <c r="R172" i="11"/>
  <c r="R129" i="11"/>
  <c r="H7" i="11"/>
  <c r="T75" i="11"/>
  <c r="S75" i="11" s="1"/>
  <c r="T53" i="11"/>
  <c r="S53" i="11" s="1"/>
  <c r="G40" i="11"/>
  <c r="T85" i="11"/>
  <c r="S85" i="11" s="1"/>
  <c r="T119" i="11"/>
  <c r="S119" i="11" s="1"/>
  <c r="H50" i="11"/>
  <c r="L3" i="11"/>
  <c r="T125" i="11"/>
  <c r="S125" i="11" s="1"/>
  <c r="F118" i="11"/>
  <c r="K4" i="11"/>
  <c r="T30" i="11"/>
  <c r="S30" i="11" s="1"/>
  <c r="J73" i="11"/>
  <c r="I12" i="11"/>
  <c r="K44" i="11"/>
  <c r="M44" i="11" s="1"/>
  <c r="R247" i="11"/>
  <c r="R290" i="11"/>
  <c r="G16" i="11"/>
  <c r="F7" i="11"/>
  <c r="I75" i="11"/>
  <c r="H75" i="11"/>
  <c r="H54" i="11"/>
  <c r="G101" i="11"/>
  <c r="T118" i="11"/>
  <c r="S118" i="11" s="1"/>
  <c r="R118" i="11" s="1"/>
  <c r="G112" i="11"/>
  <c r="R301" i="11"/>
  <c r="R232" i="11"/>
  <c r="R525" i="11"/>
  <c r="R287" i="11"/>
  <c r="R242" i="11"/>
  <c r="R254" i="11"/>
  <c r="R429" i="11"/>
  <c r="R472" i="11"/>
  <c r="R302" i="11"/>
  <c r="K28" i="11"/>
  <c r="M28" i="11" s="1"/>
  <c r="I5" i="11"/>
  <c r="J12" i="11"/>
  <c r="H111" i="11"/>
  <c r="R409" i="11"/>
  <c r="R313" i="11"/>
  <c r="L76" i="11"/>
  <c r="R528" i="11"/>
  <c r="L103" i="11"/>
  <c r="K76" i="11"/>
  <c r="L11" i="11"/>
  <c r="L27" i="11"/>
  <c r="F114" i="11"/>
  <c r="G53" i="11"/>
  <c r="K56" i="11"/>
  <c r="M56" i="11" s="1"/>
  <c r="N56" i="11" s="1"/>
  <c r="G64" i="11"/>
  <c r="H104" i="11"/>
  <c r="T63" i="11"/>
  <c r="S63" i="11" s="1"/>
  <c r="H124" i="11"/>
  <c r="I124" i="11"/>
  <c r="H100" i="11"/>
  <c r="G106" i="11"/>
  <c r="T87" i="11"/>
  <c r="S87" i="11" s="1"/>
  <c r="K22" i="11"/>
  <c r="M22" i="11" s="1"/>
  <c r="G45" i="11"/>
  <c r="H21" i="11"/>
  <c r="R231" i="11"/>
  <c r="R319" i="11"/>
  <c r="G125" i="11"/>
  <c r="J125" i="11"/>
  <c r="H9" i="11"/>
  <c r="T99" i="11"/>
  <c r="S99" i="11" s="1"/>
  <c r="K51" i="11"/>
  <c r="T51" i="11"/>
  <c r="H14" i="11"/>
  <c r="L44" i="11"/>
  <c r="F64" i="11"/>
  <c r="G124" i="11"/>
  <c r="T124" i="11"/>
  <c r="R124" i="11" s="1"/>
  <c r="J22" i="11"/>
  <c r="J28" i="11"/>
  <c r="M18" i="11"/>
  <c r="T33" i="11"/>
  <c r="S33" i="11" s="1"/>
  <c r="R258" i="11"/>
  <c r="L115" i="11"/>
  <c r="K41" i="11"/>
  <c r="J23" i="11"/>
  <c r="R454" i="11"/>
  <c r="T76" i="11"/>
  <c r="S76" i="11" s="1"/>
  <c r="K27" i="11"/>
  <c r="H96" i="11"/>
  <c r="T64" i="11"/>
  <c r="S64" i="11" s="1"/>
  <c r="R64" i="11" s="1"/>
  <c r="T15" i="11"/>
  <c r="K7" i="11"/>
  <c r="T7" i="11"/>
  <c r="S7" i="11" s="1"/>
  <c r="R7" i="11" s="1"/>
  <c r="I48" i="11"/>
  <c r="J64" i="11"/>
  <c r="J107" i="11"/>
  <c r="J124" i="11"/>
  <c r="T106" i="11"/>
  <c r="S106" i="11" s="1"/>
  <c r="R572" i="11"/>
  <c r="R203" i="11"/>
  <c r="J87" i="11"/>
  <c r="R168" i="11"/>
  <c r="G50" i="11"/>
  <c r="T21" i="11"/>
  <c r="S21" i="11" s="1"/>
  <c r="R21" i="11" s="1"/>
  <c r="M13" i="11"/>
  <c r="I42" i="11"/>
  <c r="H125" i="11"/>
  <c r="K125" i="11"/>
  <c r="M125" i="11" s="1"/>
  <c r="N125" i="11" s="1"/>
  <c r="L118" i="11"/>
  <c r="F4" i="11"/>
  <c r="L47" i="11"/>
  <c r="F83" i="11"/>
  <c r="I80" i="11"/>
  <c r="T41" i="11"/>
  <c r="S41" i="11" s="1"/>
  <c r="R41" i="11" s="1"/>
  <c r="H12" i="11"/>
  <c r="T34" i="11"/>
  <c r="G48" i="11"/>
  <c r="I40" i="11"/>
  <c r="T37" i="11"/>
  <c r="T102" i="11"/>
  <c r="M88" i="11"/>
  <c r="T104" i="11"/>
  <c r="S104" i="11" s="1"/>
  <c r="T19" i="11"/>
  <c r="L54" i="11"/>
  <c r="H95" i="11"/>
  <c r="K90" i="11"/>
  <c r="M90" i="11" s="1"/>
  <c r="L60" i="11"/>
  <c r="F106" i="11"/>
  <c r="G87" i="11"/>
  <c r="L22" i="11"/>
  <c r="T22" i="11"/>
  <c r="S22" i="11" s="1"/>
  <c r="R22" i="11" s="1"/>
  <c r="F28" i="11"/>
  <c r="H45" i="11"/>
  <c r="I45" i="11"/>
  <c r="J61" i="11"/>
  <c r="K42" i="11"/>
  <c r="I58" i="11"/>
  <c r="T58" i="11"/>
  <c r="R58" i="11" s="1"/>
  <c r="T69" i="11"/>
  <c r="S69" i="11" s="1"/>
  <c r="R69" i="11" s="1"/>
  <c r="T115" i="11"/>
  <c r="S115" i="11" s="1"/>
  <c r="R115" i="11" s="1"/>
  <c r="G6" i="11"/>
  <c r="F111" i="11"/>
  <c r="L23" i="11"/>
  <c r="L89" i="11"/>
  <c r="I51" i="11"/>
  <c r="F44" i="11"/>
  <c r="I68" i="11"/>
  <c r="R217" i="11"/>
  <c r="J58" i="11"/>
  <c r="I10" i="11"/>
  <c r="T49" i="11"/>
  <c r="I62" i="11"/>
  <c r="T47" i="11"/>
  <c r="R47" i="11" s="1"/>
  <c r="M6" i="11"/>
  <c r="H83" i="11"/>
  <c r="K112" i="11"/>
  <c r="M112" i="11" s="1"/>
  <c r="G111" i="11"/>
  <c r="F23" i="11"/>
  <c r="H51" i="11"/>
  <c r="L102" i="11"/>
  <c r="J15" i="11"/>
  <c r="T26" i="11"/>
  <c r="J11" i="11"/>
  <c r="J27" i="11"/>
  <c r="H48" i="11"/>
  <c r="F79" i="11"/>
  <c r="M114" i="11"/>
  <c r="I53" i="11"/>
  <c r="J40" i="11"/>
  <c r="H64" i="11"/>
  <c r="J35" i="11"/>
  <c r="K104" i="11"/>
  <c r="M104" i="11" s="1"/>
  <c r="T54" i="11"/>
  <c r="S54" i="11" s="1"/>
  <c r="G119" i="11"/>
  <c r="K2" i="11"/>
  <c r="I95" i="11"/>
  <c r="G68" i="11"/>
  <c r="T68" i="11"/>
  <c r="R306" i="11"/>
  <c r="T90" i="11"/>
  <c r="S90" i="11" s="1"/>
  <c r="T101" i="11"/>
  <c r="S101" i="11" s="1"/>
  <c r="K60" i="11"/>
  <c r="T60" i="11"/>
  <c r="H106" i="11"/>
  <c r="I8" i="11"/>
  <c r="T50" i="11"/>
  <c r="S50" i="11" s="1"/>
  <c r="J45" i="11"/>
  <c r="G61" i="11"/>
  <c r="M61" i="11"/>
  <c r="N61" i="11" s="1"/>
  <c r="J42" i="11"/>
  <c r="T82" i="11"/>
  <c r="S82" i="11" s="1"/>
  <c r="T29" i="11"/>
  <c r="S29" i="11" s="1"/>
  <c r="L49" i="11"/>
  <c r="T65" i="11"/>
  <c r="S65" i="11" s="1"/>
  <c r="T62" i="11"/>
  <c r="S62" i="11" s="1"/>
  <c r="F115" i="11"/>
  <c r="I83" i="11"/>
  <c r="T80" i="11"/>
  <c r="J112" i="11"/>
  <c r="K111" i="11"/>
  <c r="M111" i="11" s="1"/>
  <c r="F14" i="11"/>
  <c r="T24" i="11"/>
  <c r="S24" i="11" s="1"/>
  <c r="K78" i="11"/>
  <c r="M78" i="11" s="1"/>
  <c r="R441" i="11"/>
  <c r="R132" i="11"/>
  <c r="R505" i="11"/>
  <c r="R269" i="11"/>
  <c r="R408" i="11"/>
  <c r="R517" i="11"/>
  <c r="R458" i="11"/>
  <c r="R428" i="11"/>
  <c r="R432" i="11"/>
  <c r="R602" i="11"/>
  <c r="R212" i="11"/>
  <c r="R584" i="11"/>
  <c r="R248" i="11"/>
  <c r="R359" i="11"/>
  <c r="R594" i="11"/>
  <c r="R154" i="11"/>
  <c r="R296" i="11"/>
  <c r="R184" i="11"/>
  <c r="R415" i="11"/>
  <c r="R422" i="11"/>
  <c r="R547" i="11"/>
  <c r="R596" i="11"/>
  <c r="R527" i="11"/>
  <c r="R382" i="11"/>
  <c r="R348" i="11"/>
  <c r="R463" i="11"/>
  <c r="R340" i="11"/>
  <c r="R539" i="11"/>
  <c r="R466" i="11"/>
  <c r="R202" i="11"/>
  <c r="R218" i="11"/>
  <c r="R149" i="11"/>
  <c r="R514" i="11"/>
  <c r="R405" i="11"/>
  <c r="R362" i="11"/>
  <c r="R264" i="11"/>
  <c r="R444" i="11"/>
  <c r="R580" i="11"/>
  <c r="R333" i="11"/>
  <c r="R394" i="11"/>
  <c r="R377" i="11"/>
  <c r="R370" i="11"/>
  <c r="R398" i="11"/>
  <c r="R130" i="11"/>
  <c r="R469" i="11"/>
  <c r="R127" i="11"/>
  <c r="R352" i="11"/>
  <c r="R244" i="11"/>
  <c r="R586" i="11"/>
  <c r="R508" i="11"/>
  <c r="R420" i="11"/>
  <c r="R509" i="11"/>
  <c r="R262" i="11"/>
  <c r="R222" i="11"/>
  <c r="T74" i="11"/>
  <c r="R74" i="11" s="1"/>
  <c r="K79" i="11"/>
  <c r="L57" i="11"/>
  <c r="S400" i="11"/>
  <c r="R400" i="11"/>
  <c r="L100" i="11"/>
  <c r="J100" i="11"/>
  <c r="S279" i="11"/>
  <c r="R279" i="11"/>
  <c r="F108" i="11"/>
  <c r="K108" i="11"/>
  <c r="K36" i="11"/>
  <c r="M36" i="11" s="1"/>
  <c r="L36" i="11"/>
  <c r="U59" i="11"/>
  <c r="I59" i="11"/>
  <c r="L17" i="11"/>
  <c r="K17" i="11"/>
  <c r="M17" i="11" s="1"/>
  <c r="S237" i="11"/>
  <c r="R237" i="11"/>
  <c r="U20" i="11"/>
  <c r="M20" i="11" s="1"/>
  <c r="G20" i="11"/>
  <c r="H66" i="11"/>
  <c r="H74" i="11"/>
  <c r="J74" i="11"/>
  <c r="L96" i="11"/>
  <c r="G96" i="11"/>
  <c r="F96" i="11"/>
  <c r="H39" i="11"/>
  <c r="G67" i="11"/>
  <c r="U102" i="11"/>
  <c r="M102" i="11" s="1"/>
  <c r="G102" i="11"/>
  <c r="F107" i="11"/>
  <c r="U19" i="11"/>
  <c r="H19" i="11"/>
  <c r="R220" i="11"/>
  <c r="K66" i="11"/>
  <c r="L74" i="11"/>
  <c r="K74" i="11"/>
  <c r="I7" i="11"/>
  <c r="J76" i="11"/>
  <c r="F11" i="11"/>
  <c r="G27" i="11"/>
  <c r="L48" i="11"/>
  <c r="T48" i="11"/>
  <c r="F40" i="11"/>
  <c r="T57" i="11"/>
  <c r="S57" i="11" s="1"/>
  <c r="L37" i="11"/>
  <c r="K55" i="11"/>
  <c r="M55" i="11" s="1"/>
  <c r="T96" i="11"/>
  <c r="S96" i="11" s="1"/>
  <c r="R96" i="11" s="1"/>
  <c r="T86" i="11"/>
  <c r="K85" i="11"/>
  <c r="M85" i="11" s="1"/>
  <c r="G85" i="11"/>
  <c r="K39" i="11"/>
  <c r="M39" i="11" s="1"/>
  <c r="H102" i="11"/>
  <c r="S102" i="11"/>
  <c r="R102" i="11"/>
  <c r="R374" i="11"/>
  <c r="J19" i="11"/>
  <c r="G63" i="11"/>
  <c r="L63" i="11"/>
  <c r="K63" i="11"/>
  <c r="M63" i="11" s="1"/>
  <c r="G95" i="11"/>
  <c r="K71" i="11"/>
  <c r="R341" i="11"/>
  <c r="S475" i="11"/>
  <c r="R475" i="11"/>
  <c r="K100" i="11"/>
  <c r="M100" i="11" s="1"/>
  <c r="L92" i="11"/>
  <c r="I92" i="11"/>
  <c r="J68" i="11"/>
  <c r="G90" i="11"/>
  <c r="I90" i="11"/>
  <c r="J108" i="11"/>
  <c r="G81" i="11"/>
  <c r="G97" i="11"/>
  <c r="T97" i="11"/>
  <c r="S97" i="11" s="1"/>
  <c r="F101" i="11"/>
  <c r="K101" i="11"/>
  <c r="M101" i="11" s="1"/>
  <c r="F36" i="11"/>
  <c r="M59" i="11"/>
  <c r="T17" i="11"/>
  <c r="G72" i="11"/>
  <c r="S566" i="11"/>
  <c r="R566" i="11"/>
  <c r="R314" i="11"/>
  <c r="F66" i="11"/>
  <c r="R280" i="11"/>
  <c r="G39" i="11"/>
  <c r="T66" i="11"/>
  <c r="R524" i="11"/>
  <c r="J16" i="11"/>
  <c r="U48" i="11"/>
  <c r="M48" i="11" s="1"/>
  <c r="R303" i="11"/>
  <c r="R581" i="11"/>
  <c r="T79" i="11"/>
  <c r="K40" i="11"/>
  <c r="H40" i="11"/>
  <c r="F57" i="11"/>
  <c r="R263" i="11"/>
  <c r="K96" i="11"/>
  <c r="M96" i="11" s="1"/>
  <c r="L35" i="11"/>
  <c r="K35" i="11"/>
  <c r="J85" i="11"/>
  <c r="L39" i="11"/>
  <c r="H67" i="11"/>
  <c r="L67" i="11"/>
  <c r="F67" i="11"/>
  <c r="K67" i="11"/>
  <c r="I102" i="11"/>
  <c r="J104" i="11"/>
  <c r="L104" i="11"/>
  <c r="T98" i="11"/>
  <c r="R98" i="11" s="1"/>
  <c r="F103" i="11"/>
  <c r="H103" i="11"/>
  <c r="T95" i="11"/>
  <c r="S95" i="11" s="1"/>
  <c r="R95" i="11" s="1"/>
  <c r="Q49" i="12" s="1"/>
  <c r="T71" i="11"/>
  <c r="R71" i="11" s="1"/>
  <c r="R435" i="11"/>
  <c r="G100" i="11"/>
  <c r="T108" i="11"/>
  <c r="S108" i="11" s="1"/>
  <c r="L81" i="11"/>
  <c r="K123" i="11"/>
  <c r="M123" i="11" s="1"/>
  <c r="G123" i="11"/>
  <c r="F123" i="11"/>
  <c r="T36" i="11"/>
  <c r="S36" i="11" s="1"/>
  <c r="L43" i="11"/>
  <c r="K43" i="11"/>
  <c r="M43" i="11" s="1"/>
  <c r="L120" i="11"/>
  <c r="T120" i="11"/>
  <c r="S120" i="11" s="1"/>
  <c r="K120" i="11"/>
  <c r="M120" i="11" s="1"/>
  <c r="F94" i="11"/>
  <c r="H94" i="11"/>
  <c r="K94" i="11"/>
  <c r="M94" i="11" s="1"/>
  <c r="S553" i="11"/>
  <c r="R553" i="11"/>
  <c r="T39" i="11"/>
  <c r="S39" i="11" s="1"/>
  <c r="R39" i="11" s="1"/>
  <c r="K107" i="11"/>
  <c r="T107" i="11"/>
  <c r="M19" i="11"/>
  <c r="S286" i="11"/>
  <c r="R286" i="11"/>
  <c r="F95" i="11"/>
  <c r="K95" i="11"/>
  <c r="M95" i="11" s="1"/>
  <c r="F116" i="11"/>
  <c r="G116" i="11"/>
  <c r="M92" i="11"/>
  <c r="S326" i="11"/>
  <c r="R326" i="11"/>
  <c r="T81" i="11"/>
  <c r="S81" i="11" s="1"/>
  <c r="I81" i="11"/>
  <c r="I43" i="11"/>
  <c r="F120" i="11"/>
  <c r="F25" i="11"/>
  <c r="G25" i="11"/>
  <c r="K8" i="11"/>
  <c r="M8" i="11" s="1"/>
  <c r="F8" i="11"/>
  <c r="G3" i="11"/>
  <c r="F3" i="11"/>
  <c r="H5" i="11"/>
  <c r="L5" i="11"/>
  <c r="R417" i="11"/>
  <c r="S368" i="11"/>
  <c r="R368" i="11"/>
  <c r="I113" i="11"/>
  <c r="K113" i="11"/>
  <c r="M113" i="11" s="1"/>
  <c r="H30" i="11"/>
  <c r="J30" i="11"/>
  <c r="J70" i="11"/>
  <c r="F70" i="11"/>
  <c r="T70" i="11"/>
  <c r="S70" i="11" s="1"/>
  <c r="R70" i="11" s="1"/>
  <c r="S210" i="11"/>
  <c r="R210" i="11"/>
  <c r="S160" i="11"/>
  <c r="R160" i="11"/>
  <c r="H105" i="11"/>
  <c r="T105" i="11"/>
  <c r="S105" i="11" s="1"/>
  <c r="R105" i="11" s="1"/>
  <c r="U41" i="11"/>
  <c r="J41" i="11"/>
  <c r="H41" i="11"/>
  <c r="F117" i="11"/>
  <c r="G117" i="11"/>
  <c r="I117" i="11"/>
  <c r="T117" i="11"/>
  <c r="S117" i="11" s="1"/>
  <c r="H117" i="11"/>
  <c r="L117" i="11"/>
  <c r="T43" i="11"/>
  <c r="S43" i="11" s="1"/>
  <c r="R43" i="11" s="1"/>
  <c r="T3" i="11"/>
  <c r="S3" i="11" s="1"/>
  <c r="R3" i="11" s="1"/>
  <c r="L28" i="11"/>
  <c r="H28" i="11"/>
  <c r="T20" i="11"/>
  <c r="S20" i="11" s="1"/>
  <c r="R20" i="11" s="1"/>
  <c r="L20" i="11"/>
  <c r="K77" i="11"/>
  <c r="M77" i="11" s="1"/>
  <c r="L77" i="11"/>
  <c r="F21" i="11"/>
  <c r="I21" i="11"/>
  <c r="G21" i="11"/>
  <c r="G13" i="11"/>
  <c r="L13" i="11"/>
  <c r="J13" i="11"/>
  <c r="L42" i="11"/>
  <c r="T42" i="11"/>
  <c r="S284" i="11"/>
  <c r="R284" i="11"/>
  <c r="R406" i="11"/>
  <c r="U4" i="11"/>
  <c r="M4" i="11" s="1"/>
  <c r="H4" i="11"/>
  <c r="G113" i="11"/>
  <c r="I49" i="11"/>
  <c r="F110" i="11"/>
  <c r="K110" i="11"/>
  <c r="M110" i="11" s="1"/>
  <c r="L110" i="11"/>
  <c r="L30" i="11"/>
  <c r="K46" i="11"/>
  <c r="M46" i="11" s="1"/>
  <c r="J46" i="11"/>
  <c r="T46" i="11"/>
  <c r="R46" i="11" s="1"/>
  <c r="K91" i="11"/>
  <c r="M91" i="11" s="1"/>
  <c r="J91" i="11"/>
  <c r="I91" i="11"/>
  <c r="U47" i="11"/>
  <c r="G47" i="11"/>
  <c r="S483" i="11"/>
  <c r="R483" i="11"/>
  <c r="K84" i="11"/>
  <c r="M84" i="11" s="1"/>
  <c r="L84" i="11"/>
  <c r="R192" i="11"/>
  <c r="S488" i="11"/>
  <c r="R488" i="11"/>
  <c r="G73" i="11"/>
  <c r="U73" i="11"/>
  <c r="S358" i="11"/>
  <c r="R358" i="11"/>
  <c r="L93" i="11"/>
  <c r="F93" i="11"/>
  <c r="G58" i="11"/>
  <c r="K58" i="11"/>
  <c r="M58" i="11" s="1"/>
  <c r="H82" i="11"/>
  <c r="I82" i="11"/>
  <c r="U118" i="11"/>
  <c r="M118" i="11" s="1"/>
  <c r="J118" i="11"/>
  <c r="I4" i="11"/>
  <c r="K122" i="11"/>
  <c r="M122" i="11" s="1"/>
  <c r="N122" i="11" s="1"/>
  <c r="T122" i="11"/>
  <c r="S122" i="11" s="1"/>
  <c r="I122" i="11"/>
  <c r="F33" i="11"/>
  <c r="K33" i="11"/>
  <c r="M33" i="11" s="1"/>
  <c r="L33" i="11"/>
  <c r="G49" i="11"/>
  <c r="S414" i="11"/>
  <c r="R414" i="11"/>
  <c r="G99" i="11"/>
  <c r="F99" i="11"/>
  <c r="J99" i="11"/>
  <c r="K99" i="11"/>
  <c r="M99" i="11" s="1"/>
  <c r="H91" i="11"/>
  <c r="S456" i="11"/>
  <c r="R456" i="11"/>
  <c r="S530" i="11"/>
  <c r="R530" i="11"/>
  <c r="J105" i="11"/>
  <c r="L73" i="11"/>
  <c r="H73" i="11"/>
  <c r="U80" i="11"/>
  <c r="M80" i="11" s="1"/>
  <c r="H80" i="11"/>
  <c r="T40" i="11"/>
  <c r="S40" i="11" s="1"/>
  <c r="R40" i="11" s="1"/>
  <c r="H57" i="11"/>
  <c r="M64" i="11"/>
  <c r="N64" i="11" s="1"/>
  <c r="J71" i="11"/>
  <c r="M68" i="11"/>
  <c r="K106" i="11"/>
  <c r="M106" i="11" s="1"/>
  <c r="R504" i="11"/>
  <c r="I87" i="11"/>
  <c r="H87" i="11"/>
  <c r="J59" i="11"/>
  <c r="K72" i="11"/>
  <c r="M72" i="11" s="1"/>
  <c r="U50" i="11"/>
  <c r="I50" i="11"/>
  <c r="I28" i="11"/>
  <c r="H20" i="11"/>
  <c r="K21" i="11"/>
  <c r="M21" i="11" s="1"/>
  <c r="T13" i="11"/>
  <c r="S13" i="11" s="1"/>
  <c r="S226" i="11"/>
  <c r="R226" i="11"/>
  <c r="K52" i="11"/>
  <c r="M52" i="11" s="1"/>
  <c r="T93" i="11"/>
  <c r="S93" i="11" s="1"/>
  <c r="H42" i="11"/>
  <c r="F58" i="11"/>
  <c r="T18" i="11"/>
  <c r="G18" i="11"/>
  <c r="S369" i="11"/>
  <c r="R369" i="11"/>
  <c r="K9" i="11"/>
  <c r="M9" i="11" s="1"/>
  <c r="G9" i="11"/>
  <c r="L122" i="11"/>
  <c r="F113" i="11"/>
  <c r="R182" i="11"/>
  <c r="R392" i="11"/>
  <c r="L62" i="11"/>
  <c r="F62" i="11"/>
  <c r="G62" i="11"/>
  <c r="F91" i="11"/>
  <c r="U69" i="11"/>
  <c r="J69" i="11"/>
  <c r="H47" i="11"/>
  <c r="J47" i="11"/>
  <c r="S268" i="11"/>
  <c r="R268" i="11"/>
  <c r="R462" i="11"/>
  <c r="R293" i="11"/>
  <c r="S434" i="11"/>
  <c r="R434" i="11"/>
  <c r="H6" i="11"/>
  <c r="L6" i="11"/>
  <c r="F6" i="11"/>
  <c r="K73" i="11"/>
  <c r="K117" i="11"/>
  <c r="M117" i="11" s="1"/>
  <c r="M45" i="11"/>
  <c r="N45" i="11" s="1"/>
  <c r="T45" i="11"/>
  <c r="S45" i="11" s="1"/>
  <c r="R540" i="11"/>
  <c r="G4" i="11"/>
  <c r="T113" i="11"/>
  <c r="S113" i="11" s="1"/>
  <c r="R113" i="11" s="1"/>
  <c r="J49" i="11"/>
  <c r="K49" i="11"/>
  <c r="M49" i="11" s="1"/>
  <c r="I65" i="11"/>
  <c r="R487" i="11"/>
  <c r="G69" i="11"/>
  <c r="K47" i="11"/>
  <c r="M47" i="11" s="1"/>
  <c r="R311" i="11"/>
  <c r="R480" i="11"/>
  <c r="M32" i="11"/>
  <c r="M115" i="11"/>
  <c r="F80" i="11"/>
  <c r="T112" i="11"/>
  <c r="S112" i="11" s="1"/>
  <c r="R112" i="11" s="1"/>
  <c r="G12" i="11"/>
  <c r="T111" i="11"/>
  <c r="S111" i="11" s="1"/>
  <c r="R111" i="11" s="1"/>
  <c r="J121" i="11"/>
  <c r="T23" i="11"/>
  <c r="S23" i="11" s="1"/>
  <c r="T89" i="11"/>
  <c r="S89" i="11" s="1"/>
  <c r="R176" i="11"/>
  <c r="J44" i="11"/>
  <c r="N44" i="11" s="1"/>
  <c r="R604" i="11"/>
  <c r="L24" i="11"/>
  <c r="J78" i="11"/>
  <c r="N78" i="11" s="1"/>
  <c r="T78" i="11"/>
  <c r="N112" i="11"/>
  <c r="I111" i="11"/>
  <c r="F89" i="11"/>
  <c r="M89" i="11"/>
  <c r="F24" i="11"/>
  <c r="T9" i="11"/>
  <c r="S9" i="11" s="1"/>
  <c r="R9" i="11" s="1"/>
  <c r="G110" i="11"/>
  <c r="T91" i="11"/>
  <c r="R91" i="11" s="1"/>
  <c r="T83" i="11"/>
  <c r="R83" i="11" s="1"/>
  <c r="T73" i="11"/>
  <c r="S73" i="11" s="1"/>
  <c r="L112" i="11"/>
  <c r="H112" i="11"/>
  <c r="I121" i="11"/>
  <c r="G23" i="11"/>
  <c r="H89" i="11"/>
  <c r="G14" i="11"/>
  <c r="I44" i="11"/>
  <c r="R515" i="11"/>
  <c r="R142" i="11"/>
  <c r="H31" i="11"/>
  <c r="F78" i="11"/>
  <c r="R76" i="11"/>
  <c r="R513" i="11"/>
  <c r="R486" i="11"/>
  <c r="R482" i="11"/>
  <c r="R221" i="11"/>
  <c r="R261" i="11"/>
  <c r="R223" i="11"/>
  <c r="R494" i="11"/>
  <c r="R413" i="11"/>
  <c r="R396" i="11"/>
  <c r="R233" i="11"/>
  <c r="R521" i="11"/>
  <c r="R173" i="11"/>
  <c r="R85" i="11"/>
  <c r="R451" i="11"/>
  <c r="R126" i="11"/>
  <c r="R169" i="11"/>
  <c r="R140" i="11"/>
  <c r="R298" i="11"/>
  <c r="R570" i="11"/>
  <c r="R372" i="11"/>
  <c r="R562" i="11"/>
  <c r="R308" i="11"/>
  <c r="R546" i="11"/>
  <c r="R349" i="11"/>
  <c r="R502" i="11"/>
  <c r="R473" i="11"/>
  <c r="R252" i="11"/>
  <c r="R479" i="11"/>
  <c r="R196" i="11"/>
  <c r="R318" i="11"/>
  <c r="R185" i="11"/>
  <c r="R600" i="11"/>
  <c r="R403" i="11"/>
  <c r="R57" i="11"/>
  <c r="R563" i="11"/>
  <c r="R376" i="11"/>
  <c r="R186" i="11"/>
  <c r="R243" i="11"/>
  <c r="R297" i="11"/>
  <c r="R151" i="11"/>
  <c r="R606" i="11"/>
  <c r="R537" i="11"/>
  <c r="R365" i="11"/>
  <c r="R536" i="11"/>
  <c r="R209" i="11"/>
  <c r="R438" i="11"/>
  <c r="R407" i="11"/>
  <c r="R379" i="11"/>
  <c r="R364" i="11"/>
  <c r="R490" i="11"/>
  <c r="R347" i="11"/>
  <c r="R467" i="11"/>
  <c r="R331" i="11"/>
  <c r="R389" i="11"/>
  <c r="R457" i="11"/>
  <c r="R153" i="11"/>
  <c r="R195" i="11"/>
  <c r="R54" i="11"/>
  <c r="R146" i="11"/>
  <c r="R138" i="11"/>
  <c r="R559" i="11"/>
  <c r="R330" i="11"/>
  <c r="R448" i="11"/>
  <c r="R139" i="11"/>
  <c r="R571" i="11"/>
  <c r="R449" i="11"/>
  <c r="R288" i="11"/>
  <c r="R343" i="11"/>
  <c r="R334" i="11"/>
  <c r="R397" i="11"/>
  <c r="R459" i="11"/>
  <c r="R410" i="11"/>
  <c r="R345" i="11"/>
  <c r="R207" i="11"/>
  <c r="R266" i="11"/>
  <c r="R278" i="11"/>
  <c r="R322" i="11"/>
  <c r="R561" i="11"/>
  <c r="R567" i="11"/>
  <c r="R273" i="11"/>
  <c r="R453" i="11"/>
  <c r="R399" i="11"/>
  <c r="R367" i="11"/>
  <c r="R452" i="11"/>
  <c r="R24" i="11"/>
  <c r="F109" i="11"/>
  <c r="I109" i="11"/>
  <c r="G109" i="11"/>
  <c r="L109" i="11"/>
  <c r="J109" i="11"/>
  <c r="S507" i="11"/>
  <c r="R507" i="11"/>
  <c r="S460" i="11"/>
  <c r="R460" i="11"/>
  <c r="S171" i="11"/>
  <c r="R171" i="11"/>
  <c r="U66" i="11"/>
  <c r="M66" i="11" s="1"/>
  <c r="I66" i="11"/>
  <c r="G66" i="11"/>
  <c r="S447" i="11"/>
  <c r="R447" i="11"/>
  <c r="S551" i="11"/>
  <c r="R551" i="11"/>
  <c r="S26" i="11"/>
  <c r="R26" i="11"/>
  <c r="L34" i="11"/>
  <c r="H34" i="11"/>
  <c r="K34" i="11"/>
  <c r="M34" i="11" s="1"/>
  <c r="G34" i="11"/>
  <c r="I34" i="11"/>
  <c r="S351" i="11"/>
  <c r="R351" i="11"/>
  <c r="S357" i="11"/>
  <c r="R357" i="11"/>
  <c r="T109" i="11"/>
  <c r="S109" i="11" s="1"/>
  <c r="R109" i="11" s="1"/>
  <c r="I27" i="11"/>
  <c r="U79" i="11"/>
  <c r="M79" i="11" s="1"/>
  <c r="G79" i="11"/>
  <c r="I79" i="11"/>
  <c r="J79" i="11"/>
  <c r="I114" i="11"/>
  <c r="S245" i="11"/>
  <c r="R245" i="11"/>
  <c r="S86" i="11"/>
  <c r="R86" i="11"/>
  <c r="S163" i="11"/>
  <c r="R163" i="11"/>
  <c r="S178" i="11"/>
  <c r="R178" i="11"/>
  <c r="S437" i="11"/>
  <c r="R437" i="11"/>
  <c r="R73" i="11"/>
  <c r="S78" i="11"/>
  <c r="R78" i="11"/>
  <c r="R15" i="11"/>
  <c r="S15" i="11"/>
  <c r="S277" i="11"/>
  <c r="R277" i="11"/>
  <c r="S181" i="11"/>
  <c r="R181" i="11"/>
  <c r="S583" i="11"/>
  <c r="R583" i="11"/>
  <c r="S492" i="11"/>
  <c r="R492" i="11"/>
  <c r="U27" i="11"/>
  <c r="H27" i="11"/>
  <c r="S534" i="11"/>
  <c r="R534" i="11"/>
  <c r="U35" i="11"/>
  <c r="I35" i="11"/>
  <c r="G35" i="11"/>
  <c r="K86" i="11"/>
  <c r="F86" i="11"/>
  <c r="I86" i="11"/>
  <c r="G86" i="11"/>
  <c r="L86" i="11"/>
  <c r="H86" i="11"/>
  <c r="F88" i="11"/>
  <c r="I88" i="11"/>
  <c r="J88" i="11"/>
  <c r="G88" i="11"/>
  <c r="T88" i="11"/>
  <c r="L88" i="11"/>
  <c r="H88" i="11"/>
  <c r="S587" i="11"/>
  <c r="R587" i="11"/>
  <c r="S294" i="11"/>
  <c r="R294" i="11"/>
  <c r="F98" i="11"/>
  <c r="H98" i="11"/>
  <c r="K98" i="11"/>
  <c r="M98" i="11" s="1"/>
  <c r="G98" i="11"/>
  <c r="J98" i="11"/>
  <c r="I98" i="11"/>
  <c r="U119" i="11"/>
  <c r="M119" i="11" s="1"/>
  <c r="I119" i="11"/>
  <c r="J119" i="11"/>
  <c r="H119" i="11"/>
  <c r="M2" i="11"/>
  <c r="U116" i="11"/>
  <c r="H116" i="11"/>
  <c r="R90" i="11"/>
  <c r="S47" i="11"/>
  <c r="S236" i="11"/>
  <c r="R236" i="11"/>
  <c r="S34" i="11"/>
  <c r="R34" i="11"/>
  <c r="S464" i="11"/>
  <c r="R464" i="11"/>
  <c r="U15" i="11"/>
  <c r="G15" i="11"/>
  <c r="H15" i="11"/>
  <c r="S66" i="11"/>
  <c r="R66" i="11"/>
  <c r="S205" i="11"/>
  <c r="R205" i="11"/>
  <c r="L16" i="11"/>
  <c r="H16" i="11"/>
  <c r="T16" i="11"/>
  <c r="F16" i="11"/>
  <c r="K16" i="11"/>
  <c r="M16" i="11" s="1"/>
  <c r="N16" i="11" s="1"/>
  <c r="S187" i="11"/>
  <c r="R187" i="11"/>
  <c r="G75" i="11"/>
  <c r="U75" i="11"/>
  <c r="M75" i="11" s="1"/>
  <c r="J75" i="11"/>
  <c r="H79" i="11"/>
  <c r="S411" i="11"/>
  <c r="R411" i="11"/>
  <c r="I38" i="11"/>
  <c r="K38" i="11"/>
  <c r="M38" i="11" s="1"/>
  <c r="L38" i="11"/>
  <c r="H38" i="11"/>
  <c r="T38" i="11"/>
  <c r="G38" i="11"/>
  <c r="S107" i="11"/>
  <c r="R107" i="11"/>
  <c r="S19" i="11"/>
  <c r="R19" i="11"/>
  <c r="S170" i="11"/>
  <c r="R170" i="11"/>
  <c r="S71" i="11"/>
  <c r="S375" i="11"/>
  <c r="R375" i="11"/>
  <c r="R36" i="11"/>
  <c r="S58" i="11"/>
  <c r="S49" i="11"/>
  <c r="R49" i="11"/>
  <c r="S51" i="11"/>
  <c r="R51" i="11"/>
  <c r="U11" i="11"/>
  <c r="M11" i="11" s="1"/>
  <c r="N11" i="11" s="1"/>
  <c r="I11" i="11"/>
  <c r="U74" i="11"/>
  <c r="M74" i="11" s="1"/>
  <c r="N74" i="11" s="1"/>
  <c r="G74" i="11"/>
  <c r="S529" i="11"/>
  <c r="R529" i="11"/>
  <c r="S599" i="11"/>
  <c r="R599" i="11"/>
  <c r="G26" i="11"/>
  <c r="S253" i="11"/>
  <c r="R253" i="11"/>
  <c r="U7" i="11"/>
  <c r="M7" i="11" s="1"/>
  <c r="J7" i="11"/>
  <c r="G7" i="11"/>
  <c r="K109" i="11"/>
  <c r="M109" i="11" s="1"/>
  <c r="S512" i="11"/>
  <c r="R512" i="11"/>
  <c r="S292" i="11"/>
  <c r="R292" i="11"/>
  <c r="U57" i="11"/>
  <c r="M57" i="11" s="1"/>
  <c r="J57" i="11"/>
  <c r="I57" i="11"/>
  <c r="S37" i="11"/>
  <c r="R37" i="11"/>
  <c r="S579" i="11"/>
  <c r="R579" i="11"/>
  <c r="J66" i="11"/>
  <c r="I74" i="11"/>
  <c r="F26" i="11"/>
  <c r="K26" i="11"/>
  <c r="M26" i="11" s="1"/>
  <c r="L26" i="11"/>
  <c r="H26" i="11"/>
  <c r="J26" i="11"/>
  <c r="J34" i="11"/>
  <c r="N34" i="11" s="1"/>
  <c r="S575" i="11"/>
  <c r="R575" i="11"/>
  <c r="S478" i="11"/>
  <c r="R478" i="11"/>
  <c r="U76" i="11"/>
  <c r="M76" i="11" s="1"/>
  <c r="N76" i="11" s="1"/>
  <c r="I76" i="11"/>
  <c r="G76" i="11"/>
  <c r="H109" i="11"/>
  <c r="I16" i="11"/>
  <c r="H11" i="11"/>
  <c r="G11" i="11"/>
  <c r="S48" i="11"/>
  <c r="R48" i="11"/>
  <c r="R426" i="11"/>
  <c r="R339" i="11"/>
  <c r="H114" i="11"/>
  <c r="T114" i="11"/>
  <c r="S114" i="11" s="1"/>
  <c r="R114" i="11" s="1"/>
  <c r="G114" i="11"/>
  <c r="J114" i="11"/>
  <c r="N114" i="11" s="1"/>
  <c r="L53" i="11"/>
  <c r="J53" i="11"/>
  <c r="K53" i="11"/>
  <c r="M53" i="11" s="1"/>
  <c r="H53" i="11"/>
  <c r="I56" i="11"/>
  <c r="H56" i="11"/>
  <c r="S321" i="11"/>
  <c r="R321" i="11"/>
  <c r="G57" i="11"/>
  <c r="F37" i="11"/>
  <c r="J37" i="11"/>
  <c r="G37" i="11"/>
  <c r="I37" i="11"/>
  <c r="K37" i="11"/>
  <c r="M37" i="11" s="1"/>
  <c r="F55" i="11"/>
  <c r="J55" i="11"/>
  <c r="N55" i="11" s="1"/>
  <c r="I55" i="11"/>
  <c r="G55" i="11"/>
  <c r="H55" i="11"/>
  <c r="T55" i="11"/>
  <c r="J86" i="11"/>
  <c r="M86" i="11"/>
  <c r="J38" i="11"/>
  <c r="U107" i="11"/>
  <c r="M107" i="11" s="1"/>
  <c r="N107" i="11" s="1"/>
  <c r="G107" i="11"/>
  <c r="I107" i="11"/>
  <c r="H107" i="11"/>
  <c r="U54" i="11"/>
  <c r="M54" i="11" s="1"/>
  <c r="J54" i="11"/>
  <c r="G54" i="11"/>
  <c r="I54" i="11"/>
  <c r="L98" i="11"/>
  <c r="S271" i="11"/>
  <c r="R271" i="11"/>
  <c r="Q46" i="12"/>
  <c r="Q73" i="12"/>
  <c r="H73" i="12" s="1"/>
  <c r="Q71" i="12"/>
  <c r="H71" i="12" s="1"/>
  <c r="Q47" i="12"/>
  <c r="Q48" i="12"/>
  <c r="Q72" i="12"/>
  <c r="H72" i="12" s="1"/>
  <c r="I2" i="11"/>
  <c r="J2" i="11"/>
  <c r="H2" i="11"/>
  <c r="U71" i="11"/>
  <c r="G71" i="11"/>
  <c r="H71" i="11"/>
  <c r="I71" i="11"/>
  <c r="R101" i="11"/>
  <c r="S60" i="11"/>
  <c r="R60" i="11"/>
  <c r="R45" i="11"/>
  <c r="S18" i="11"/>
  <c r="R18" i="11"/>
  <c r="S91" i="11"/>
  <c r="S80" i="11"/>
  <c r="R80" i="11"/>
  <c r="M116" i="11"/>
  <c r="R317" i="11"/>
  <c r="M15" i="11"/>
  <c r="N15" i="11" s="1"/>
  <c r="M27" i="11"/>
  <c r="J96" i="11"/>
  <c r="N96" i="11" s="1"/>
  <c r="I64" i="11"/>
  <c r="F85" i="11"/>
  <c r="I85" i="11"/>
  <c r="J67" i="11"/>
  <c r="I19" i="11"/>
  <c r="R63" i="11"/>
  <c r="F63" i="11"/>
  <c r="H63" i="11"/>
  <c r="K103" i="11"/>
  <c r="M103" i="11" s="1"/>
  <c r="G103" i="11"/>
  <c r="R591" i="11"/>
  <c r="R119" i="11"/>
  <c r="T100" i="11"/>
  <c r="F100" i="11"/>
  <c r="L116" i="11"/>
  <c r="I116" i="11"/>
  <c r="J92" i="11"/>
  <c r="N92" i="11" s="1"/>
  <c r="H92" i="11"/>
  <c r="H90" i="11"/>
  <c r="J90" i="11"/>
  <c r="R495" i="11"/>
  <c r="R387" i="11"/>
  <c r="R542" i="11"/>
  <c r="H108" i="11"/>
  <c r="I108" i="11"/>
  <c r="R81" i="11"/>
  <c r="J97" i="11"/>
  <c r="K97" i="11"/>
  <c r="M97" i="11" s="1"/>
  <c r="R291" i="11"/>
  <c r="R174" i="11"/>
  <c r="R166" i="11"/>
  <c r="H101" i="11"/>
  <c r="I101" i="11"/>
  <c r="R573" i="11"/>
  <c r="H60" i="11"/>
  <c r="R590" i="11"/>
  <c r="J123" i="11"/>
  <c r="N123" i="11" s="1"/>
  <c r="H123" i="11"/>
  <c r="R305" i="11"/>
  <c r="R335" i="11"/>
  <c r="R366" i="11"/>
  <c r="H36" i="11"/>
  <c r="G36" i="11"/>
  <c r="H43" i="11"/>
  <c r="R59" i="11"/>
  <c r="G59" i="11"/>
  <c r="H59" i="11"/>
  <c r="J120" i="11"/>
  <c r="N120" i="11" s="1"/>
  <c r="I120" i="11"/>
  <c r="R136" i="11"/>
  <c r="H17" i="11"/>
  <c r="I17" i="11"/>
  <c r="R393" i="11"/>
  <c r="L25" i="11"/>
  <c r="I25" i="11"/>
  <c r="R216" i="11"/>
  <c r="R275" i="11"/>
  <c r="R433" i="11"/>
  <c r="J72" i="11"/>
  <c r="I72" i="11"/>
  <c r="G8" i="11"/>
  <c r="H8" i="11"/>
  <c r="J50" i="11"/>
  <c r="K50" i="11"/>
  <c r="M50" i="11" s="1"/>
  <c r="T94" i="11"/>
  <c r="S94" i="11" s="1"/>
  <c r="J94" i="11"/>
  <c r="N94" i="11" s="1"/>
  <c r="I22" i="11"/>
  <c r="R465" i="11"/>
  <c r="R256" i="11"/>
  <c r="I3" i="11"/>
  <c r="M3" i="11"/>
  <c r="R260" i="11"/>
  <c r="R531" i="11"/>
  <c r="R265" i="11"/>
  <c r="I20" i="11"/>
  <c r="F20" i="11"/>
  <c r="H77" i="11"/>
  <c r="F77" i="11"/>
  <c r="R496" i="11"/>
  <c r="J5" i="11"/>
  <c r="K5" i="11"/>
  <c r="M5" i="11" s="1"/>
  <c r="F61" i="11"/>
  <c r="I61" i="11"/>
  <c r="R363" i="11"/>
  <c r="I13" i="11"/>
  <c r="H52" i="11"/>
  <c r="I52" i="11"/>
  <c r="J93" i="11"/>
  <c r="G93" i="11"/>
  <c r="R541" i="11"/>
  <c r="R388" i="11"/>
  <c r="G42" i="11"/>
  <c r="R381" i="11"/>
  <c r="R336" i="11"/>
  <c r="H58" i="11"/>
  <c r="J18" i="11"/>
  <c r="N18" i="11" s="1"/>
  <c r="I18" i="11"/>
  <c r="L10" i="11"/>
  <c r="G10" i="11"/>
  <c r="R344" i="11"/>
  <c r="R304" i="11"/>
  <c r="R315" i="11"/>
  <c r="R320" i="11"/>
  <c r="R489" i="11"/>
  <c r="R391" i="11"/>
  <c r="R82" i="11"/>
  <c r="K82" i="11"/>
  <c r="M82" i="11" s="1"/>
  <c r="J82" i="11"/>
  <c r="R125" i="11"/>
  <c r="I9" i="11"/>
  <c r="R230" i="11"/>
  <c r="R249" i="11"/>
  <c r="R419" i="11"/>
  <c r="J4" i="11"/>
  <c r="R386" i="11"/>
  <c r="J29" i="11"/>
  <c r="I29" i="11"/>
  <c r="R598" i="11"/>
  <c r="R188" i="11"/>
  <c r="G122" i="11"/>
  <c r="H122" i="11"/>
  <c r="R65" i="11"/>
  <c r="H65" i="11"/>
  <c r="H110" i="11"/>
  <c r="K30" i="11"/>
  <c r="M30" i="11" s="1"/>
  <c r="G30" i="11"/>
  <c r="F46" i="11"/>
  <c r="H46" i="11"/>
  <c r="R62" i="11"/>
  <c r="H62" i="11"/>
  <c r="I99" i="11"/>
  <c r="H70" i="11"/>
  <c r="G70" i="11"/>
  <c r="H69" i="11"/>
  <c r="I69" i="11"/>
  <c r="R224" i="11"/>
  <c r="R162" i="11"/>
  <c r="R161" i="11"/>
  <c r="R585" i="11"/>
  <c r="R556" i="11"/>
  <c r="R569" i="11"/>
  <c r="R424" i="11"/>
  <c r="R384" i="11"/>
  <c r="R501" i="11"/>
  <c r="T84" i="11"/>
  <c r="I84" i="11"/>
  <c r="T32" i="11"/>
  <c r="R137" i="11"/>
  <c r="R436" i="11"/>
  <c r="R493" i="11"/>
  <c r="R544" i="11"/>
  <c r="G115" i="11"/>
  <c r="I6" i="11"/>
  <c r="T6" i="11"/>
  <c r="S6" i="11" s="1"/>
  <c r="R6" i="11" s="1"/>
  <c r="R198" i="11"/>
  <c r="G83" i="11"/>
  <c r="L105" i="11"/>
  <c r="F105" i="11"/>
  <c r="G41" i="11"/>
  <c r="T12" i="11"/>
  <c r="S12" i="11" s="1"/>
  <c r="R12" i="11" s="1"/>
  <c r="K12" i="11"/>
  <c r="M12" i="11" s="1"/>
  <c r="N12" i="11" s="1"/>
  <c r="J111" i="11"/>
  <c r="H121" i="11"/>
  <c r="F121" i="11"/>
  <c r="R246" i="11"/>
  <c r="R337" i="11"/>
  <c r="I23" i="11"/>
  <c r="H23" i="11"/>
  <c r="J89" i="11"/>
  <c r="N89" i="11" s="1"/>
  <c r="I89" i="11"/>
  <c r="J51" i="11"/>
  <c r="G51" i="11"/>
  <c r="R193" i="11"/>
  <c r="J14" i="11"/>
  <c r="L14" i="11"/>
  <c r="H44" i="11"/>
  <c r="K24" i="11"/>
  <c r="M24" i="11" s="1"/>
  <c r="I24" i="11"/>
  <c r="R259" i="11"/>
  <c r="R455" i="11"/>
  <c r="T31" i="11"/>
  <c r="L31" i="11"/>
  <c r="R497" i="11"/>
  <c r="I78" i="11"/>
  <c r="G78" i="11"/>
  <c r="R134" i="11"/>
  <c r="R167" i="11"/>
  <c r="R177" i="11"/>
  <c r="R156" i="11"/>
  <c r="F84" i="11"/>
  <c r="M108" i="11"/>
  <c r="R565" i="11"/>
  <c r="R442" i="11"/>
  <c r="G52" i="11"/>
  <c r="T52" i="11"/>
  <c r="M93" i="11"/>
  <c r="S46" i="11"/>
  <c r="R491" i="11"/>
  <c r="R474" i="11"/>
  <c r="R450" i="11"/>
  <c r="F32" i="11"/>
  <c r="L32" i="11"/>
  <c r="R378" i="11"/>
  <c r="R552" i="11"/>
  <c r="R385" i="11"/>
  <c r="R484" i="11"/>
  <c r="R468" i="11"/>
  <c r="H76" i="11"/>
  <c r="T11" i="11"/>
  <c r="S11" i="11" s="1"/>
  <c r="R11" i="11" s="1"/>
  <c r="T27" i="11"/>
  <c r="J48" i="11"/>
  <c r="N48" i="11" s="1"/>
  <c r="M40" i="11"/>
  <c r="N40" i="11" s="1"/>
  <c r="O40" i="11" s="1"/>
  <c r="T56" i="11"/>
  <c r="R526" i="11"/>
  <c r="I96" i="11"/>
  <c r="L64" i="11"/>
  <c r="T35" i="11"/>
  <c r="H35" i="11"/>
  <c r="R214" i="11"/>
  <c r="H85" i="11"/>
  <c r="J39" i="11"/>
  <c r="N39" i="11" s="1"/>
  <c r="I39" i="11"/>
  <c r="M67" i="11"/>
  <c r="I67" i="11"/>
  <c r="J102" i="11"/>
  <c r="N102" i="11" s="1"/>
  <c r="F102" i="11"/>
  <c r="R404" i="11"/>
  <c r="I104" i="11"/>
  <c r="G19" i="11"/>
  <c r="R476" i="11"/>
  <c r="R516" i="11"/>
  <c r="J63" i="11"/>
  <c r="N63" i="11" s="1"/>
  <c r="J103" i="11"/>
  <c r="N103" i="11" s="1"/>
  <c r="T103" i="11"/>
  <c r="R143" i="11"/>
  <c r="T2" i="11"/>
  <c r="S2" i="11" s="1"/>
  <c r="G2" i="11"/>
  <c r="J95" i="11"/>
  <c r="I100" i="11"/>
  <c r="J116" i="11"/>
  <c r="T116" i="11"/>
  <c r="S116" i="11" s="1"/>
  <c r="R116" i="11" s="1"/>
  <c r="T92" i="11"/>
  <c r="G92" i="11"/>
  <c r="H68" i="11"/>
  <c r="L90" i="11"/>
  <c r="R197" i="11"/>
  <c r="R445" i="11"/>
  <c r="R274" i="11"/>
  <c r="R108" i="11"/>
  <c r="G108" i="11"/>
  <c r="L108" i="11"/>
  <c r="R257" i="11"/>
  <c r="J81" i="11"/>
  <c r="N81" i="11" s="1"/>
  <c r="H81" i="11"/>
  <c r="R97" i="11"/>
  <c r="H97" i="11"/>
  <c r="R238" i="11"/>
  <c r="R158" i="11"/>
  <c r="R190" i="11"/>
  <c r="R446" i="11"/>
  <c r="R267" i="11"/>
  <c r="J101" i="11"/>
  <c r="N101" i="11" s="1"/>
  <c r="R215" i="11"/>
  <c r="R511" i="11"/>
  <c r="J60" i="11"/>
  <c r="G60" i="11"/>
  <c r="R183" i="11"/>
  <c r="J106" i="11"/>
  <c r="I106" i="11"/>
  <c r="I123" i="11"/>
  <c r="T123" i="11"/>
  <c r="R155" i="11"/>
  <c r="R147" i="11"/>
  <c r="R545" i="11"/>
  <c r="K87" i="11"/>
  <c r="M87" i="11" s="1"/>
  <c r="N87" i="11" s="1"/>
  <c r="G43" i="11"/>
  <c r="F59" i="11"/>
  <c r="H120" i="11"/>
  <c r="R152" i="11"/>
  <c r="F17" i="11"/>
  <c r="G17" i="11"/>
  <c r="R577" i="11"/>
  <c r="H25" i="11"/>
  <c r="K25" i="11"/>
  <c r="M25" i="11" s="1"/>
  <c r="R241" i="11"/>
  <c r="R175" i="11"/>
  <c r="R535" i="11"/>
  <c r="T72" i="11"/>
  <c r="F72" i="11"/>
  <c r="L8" i="11"/>
  <c r="T8" i="11"/>
  <c r="F50" i="11"/>
  <c r="I94" i="11"/>
  <c r="G94" i="11"/>
  <c r="R251" i="11"/>
  <c r="G22" i="11"/>
  <c r="H22" i="11"/>
  <c r="R194" i="11"/>
  <c r="R461" i="11"/>
  <c r="J3" i="11"/>
  <c r="N3" i="11" s="1"/>
  <c r="H3" i="11"/>
  <c r="R574" i="11"/>
  <c r="R554" i="11"/>
  <c r="R555" i="11"/>
  <c r="R538" i="11"/>
  <c r="T28" i="11"/>
  <c r="J20" i="11"/>
  <c r="T77" i="11"/>
  <c r="J77" i="11"/>
  <c r="N77" i="11" s="1"/>
  <c r="L45" i="11"/>
  <c r="G5" i="11"/>
  <c r="T5" i="11"/>
  <c r="S5" i="11" s="1"/>
  <c r="R5" i="11" s="1"/>
  <c r="L61" i="11"/>
  <c r="T61" i="11"/>
  <c r="R390" i="11"/>
  <c r="J21" i="11"/>
  <c r="N21" i="11" s="1"/>
  <c r="O21" i="11" s="1"/>
  <c r="H13" i="11"/>
  <c r="F13" i="11"/>
  <c r="J52" i="11"/>
  <c r="N52" i="11" s="1"/>
  <c r="I93" i="11"/>
  <c r="H93" i="11"/>
  <c r="R323" i="11"/>
  <c r="R373" i="11"/>
  <c r="R395" i="11"/>
  <c r="R325" i="11"/>
  <c r="R592" i="11"/>
  <c r="F18" i="11"/>
  <c r="H18" i="11"/>
  <c r="R356" i="11"/>
  <c r="T10" i="11"/>
  <c r="S10" i="11" s="1"/>
  <c r="R10" i="11" s="1"/>
  <c r="H10" i="11"/>
  <c r="R309" i="11"/>
  <c r="R560" i="11"/>
  <c r="R380" i="11"/>
  <c r="R443" i="11"/>
  <c r="R295" i="11"/>
  <c r="F82" i="11"/>
  <c r="J9" i="11"/>
  <c r="N9" i="11" s="1"/>
  <c r="F9" i="11"/>
  <c r="G118" i="11"/>
  <c r="H118" i="11"/>
  <c r="R141" i="11"/>
  <c r="T4" i="11"/>
  <c r="S4" i="11" s="1"/>
  <c r="R4" i="11" s="1"/>
  <c r="R500" i="11"/>
  <c r="G29" i="11"/>
  <c r="L29" i="11"/>
  <c r="R416" i="11"/>
  <c r="R499" i="11"/>
  <c r="R402" i="11"/>
  <c r="F122" i="11"/>
  <c r="H113" i="11"/>
  <c r="J113" i="11"/>
  <c r="N113" i="11" s="1"/>
  <c r="J33" i="11"/>
  <c r="H33" i="11"/>
  <c r="H49" i="11"/>
  <c r="J65" i="11"/>
  <c r="K65" i="11"/>
  <c r="M65" i="11" s="1"/>
  <c r="T110" i="11"/>
  <c r="S110" i="11" s="1"/>
  <c r="R110" i="11" s="1"/>
  <c r="I110" i="11"/>
  <c r="F30" i="11"/>
  <c r="L46" i="11"/>
  <c r="I46" i="11"/>
  <c r="J62" i="11"/>
  <c r="M62" i="11"/>
  <c r="H99" i="11"/>
  <c r="K70" i="11"/>
  <c r="M70" i="11" s="1"/>
  <c r="N70" i="11" s="1"/>
  <c r="L70" i="11"/>
  <c r="R519" i="11"/>
  <c r="G91" i="11"/>
  <c r="K69" i="11"/>
  <c r="L69" i="11"/>
  <c r="R145" i="11"/>
  <c r="R440" i="11"/>
  <c r="R522" i="11"/>
  <c r="R601" i="11"/>
  <c r="R299" i="11"/>
  <c r="R548" i="11"/>
  <c r="R593" i="11"/>
  <c r="R234" i="11"/>
  <c r="R282" i="11"/>
  <c r="R191" i="11"/>
  <c r="R354" i="11"/>
  <c r="R401" i="11"/>
  <c r="R338" i="11"/>
  <c r="R595" i="11"/>
  <c r="I47" i="11"/>
  <c r="H84" i="11"/>
  <c r="G84" i="11"/>
  <c r="H32" i="11"/>
  <c r="J32" i="11"/>
  <c r="R133" i="11"/>
  <c r="R189" i="11"/>
  <c r="R549" i="11"/>
  <c r="R342" i="11"/>
  <c r="R157" i="11"/>
  <c r="J115" i="11"/>
  <c r="N115" i="11" s="1"/>
  <c r="J6" i="11"/>
  <c r="N6" i="11" s="1"/>
  <c r="R179" i="11"/>
  <c r="K83" i="11"/>
  <c r="M83" i="11" s="1"/>
  <c r="K105" i="11"/>
  <c r="M105" i="11" s="1"/>
  <c r="G105" i="11"/>
  <c r="I73" i="11"/>
  <c r="F73" i="11"/>
  <c r="G80" i="11"/>
  <c r="J80" i="11"/>
  <c r="F41" i="11"/>
  <c r="I41" i="11"/>
  <c r="I112" i="11"/>
  <c r="L12" i="11"/>
  <c r="R117" i="11"/>
  <c r="J117" i="11"/>
  <c r="N117" i="11" s="1"/>
  <c r="G121" i="11"/>
  <c r="L121" i="11"/>
  <c r="K23" i="11"/>
  <c r="M23" i="11" s="1"/>
  <c r="N23" i="11" s="1"/>
  <c r="R89" i="11"/>
  <c r="G89" i="11"/>
  <c r="M51" i="11"/>
  <c r="R235" i="11"/>
  <c r="T14" i="11"/>
  <c r="K14" i="11"/>
  <c r="M14" i="11" s="1"/>
  <c r="G44" i="11"/>
  <c r="J24" i="11"/>
  <c r="K31" i="11"/>
  <c r="M31" i="11" s="1"/>
  <c r="G31" i="11"/>
  <c r="R355" i="11"/>
  <c r="I97" i="11"/>
  <c r="M60" i="11"/>
  <c r="I60" i="11"/>
  <c r="R328" i="11"/>
  <c r="J36" i="11"/>
  <c r="I36" i="11"/>
  <c r="R578" i="11"/>
  <c r="R283" i="11"/>
  <c r="J43" i="11"/>
  <c r="G120" i="11"/>
  <c r="J17" i="11"/>
  <c r="J25" i="11"/>
  <c r="T25" i="11"/>
  <c r="H72" i="11"/>
  <c r="J8" i="11"/>
  <c r="N8" i="11" s="1"/>
  <c r="R550" i="11"/>
  <c r="G77" i="11"/>
  <c r="F5" i="11"/>
  <c r="H61" i="11"/>
  <c r="M42" i="11"/>
  <c r="N42" i="11" s="1"/>
  <c r="L18" i="11"/>
  <c r="K10" i="11"/>
  <c r="M10" i="11" s="1"/>
  <c r="J10" i="11"/>
  <c r="R312" i="11"/>
  <c r="R371" i="11"/>
  <c r="I118" i="11"/>
  <c r="R29" i="11"/>
  <c r="H29" i="11"/>
  <c r="I33" i="11"/>
  <c r="G33" i="11"/>
  <c r="G65" i="11"/>
  <c r="L65" i="11"/>
  <c r="R350" i="11"/>
  <c r="R164" i="11"/>
  <c r="R206" i="11"/>
  <c r="J110" i="11"/>
  <c r="R30" i="11"/>
  <c r="I30" i="11"/>
  <c r="G46" i="11"/>
  <c r="I70" i="11"/>
  <c r="R510" i="11"/>
  <c r="R518" i="11"/>
  <c r="R425" i="11"/>
  <c r="R281" i="11"/>
  <c r="R568" i="11"/>
  <c r="J84" i="11"/>
  <c r="N84" i="11" s="1"/>
  <c r="G32" i="11"/>
  <c r="I32" i="11"/>
  <c r="I115" i="11"/>
  <c r="H115" i="11"/>
  <c r="J83" i="11"/>
  <c r="I105" i="11"/>
  <c r="R208" i="11"/>
  <c r="M41" i="11"/>
  <c r="N41" i="11" s="1"/>
  <c r="R383" i="11"/>
  <c r="R121" i="11"/>
  <c r="K121" i="11"/>
  <c r="M121" i="11" s="1"/>
  <c r="N121" i="11" s="1"/>
  <c r="R23" i="11"/>
  <c r="I14" i="11"/>
  <c r="R471" i="11"/>
  <c r="H24" i="11"/>
  <c r="J31" i="11"/>
  <c r="N31" i="11" s="1"/>
  <c r="F88" i="18"/>
  <c r="D87" i="18"/>
  <c r="E87" i="18"/>
  <c r="M35" i="11" l="1"/>
  <c r="N35" i="11" s="1"/>
  <c r="N20" i="11"/>
  <c r="S83" i="11"/>
  <c r="N22" i="11"/>
  <c r="N36" i="11"/>
  <c r="N32" i="11"/>
  <c r="M69" i="11"/>
  <c r="O52" i="11"/>
  <c r="O20" i="11"/>
  <c r="N29" i="11"/>
  <c r="M71" i="11"/>
  <c r="O16" i="11"/>
  <c r="R597" i="11"/>
  <c r="O42" i="11"/>
  <c r="N25" i="11"/>
  <c r="O44" i="11"/>
  <c r="R122" i="11"/>
  <c r="R99" i="11"/>
  <c r="R106" i="11"/>
  <c r="R104" i="11"/>
  <c r="R50" i="11"/>
  <c r="O103" i="11"/>
  <c r="N72" i="11"/>
  <c r="N90" i="11"/>
  <c r="R75" i="11"/>
  <c r="R270" i="11"/>
  <c r="N83" i="11"/>
  <c r="O83" i="11" s="1"/>
  <c r="N38" i="11"/>
  <c r="N24" i="11"/>
  <c r="O34" i="11"/>
  <c r="N47" i="11"/>
  <c r="N59" i="11"/>
  <c r="O59" i="11" s="1"/>
  <c r="N99" i="11"/>
  <c r="N104" i="11"/>
  <c r="R94" i="11"/>
  <c r="Q69" i="12" s="1"/>
  <c r="S42" i="11"/>
  <c r="R42" i="11" s="1"/>
  <c r="S68" i="11"/>
  <c r="R68" i="11" s="1"/>
  <c r="O25" i="11"/>
  <c r="N50" i="11"/>
  <c r="O50" i="11" s="1"/>
  <c r="N124" i="11"/>
  <c r="O124" i="11" s="1"/>
  <c r="R2" i="11"/>
  <c r="O15" i="11"/>
  <c r="N17" i="11"/>
  <c r="O17" i="11" s="1"/>
  <c r="O6" i="11"/>
  <c r="N33" i="11"/>
  <c r="O33" i="11" s="1"/>
  <c r="O9" i="11"/>
  <c r="O101" i="11"/>
  <c r="S124" i="11"/>
  <c r="O63" i="11"/>
  <c r="R93" i="11"/>
  <c r="R13" i="11"/>
  <c r="O74" i="11"/>
  <c r="S74" i="11"/>
  <c r="R87" i="11"/>
  <c r="R53" i="11"/>
  <c r="O61" i="11"/>
  <c r="N110" i="11"/>
  <c r="R33" i="11"/>
  <c r="O112" i="11"/>
  <c r="O48" i="11"/>
  <c r="N58" i="11"/>
  <c r="N13" i="11"/>
  <c r="O13" i="11" s="1"/>
  <c r="N28" i="11"/>
  <c r="O28" i="11" s="1"/>
  <c r="N106" i="11"/>
  <c r="O106" i="11" s="1"/>
  <c r="N116" i="11"/>
  <c r="N95" i="11"/>
  <c r="O95" i="11" s="1"/>
  <c r="I71" i="12" s="1"/>
  <c r="N111" i="11"/>
  <c r="O111" i="11" s="1"/>
  <c r="N27" i="11"/>
  <c r="O27" i="11" s="1"/>
  <c r="N88" i="11"/>
  <c r="O125" i="11"/>
  <c r="O110" i="11"/>
  <c r="O113" i="11"/>
  <c r="O56" i="11"/>
  <c r="O31" i="11"/>
  <c r="M73" i="11"/>
  <c r="N73" i="11" s="1"/>
  <c r="O73" i="11" s="1"/>
  <c r="N118" i="11"/>
  <c r="N46" i="11"/>
  <c r="N85" i="11"/>
  <c r="O85" i="11" s="1"/>
  <c r="O41" i="11"/>
  <c r="O39" i="11"/>
  <c r="O117" i="11"/>
  <c r="O116" i="11"/>
  <c r="O23" i="11"/>
  <c r="O87" i="11"/>
  <c r="O102" i="11"/>
  <c r="O84" i="11"/>
  <c r="Q70" i="12"/>
  <c r="H70" i="12" s="1"/>
  <c r="O38" i="11"/>
  <c r="O114" i="11"/>
  <c r="S98" i="11"/>
  <c r="R120" i="11"/>
  <c r="Q85" i="12" s="1"/>
  <c r="O47" i="11"/>
  <c r="O104" i="11"/>
  <c r="O122" i="11"/>
  <c r="N108" i="11"/>
  <c r="O108" i="11" s="1"/>
  <c r="N30" i="11"/>
  <c r="O30" i="11" s="1"/>
  <c r="N69" i="11"/>
  <c r="O69" i="11" s="1"/>
  <c r="N105" i="11"/>
  <c r="O105" i="11" s="1"/>
  <c r="N71" i="11"/>
  <c r="N100" i="11"/>
  <c r="O100" i="11" s="1"/>
  <c r="N75" i="11"/>
  <c r="O75" i="11" s="1"/>
  <c r="N10" i="11"/>
  <c r="O10" i="11" s="1"/>
  <c r="N65" i="11"/>
  <c r="O65" i="11" s="1"/>
  <c r="O78" i="11"/>
  <c r="O58" i="11"/>
  <c r="O64" i="11"/>
  <c r="O71" i="11"/>
  <c r="N68" i="11"/>
  <c r="O68" i="11" s="1"/>
  <c r="N19" i="11"/>
  <c r="O19" i="11" s="1"/>
  <c r="N80" i="11"/>
  <c r="O80" i="11" s="1"/>
  <c r="N54" i="11"/>
  <c r="O54" i="11" s="1"/>
  <c r="N86" i="11"/>
  <c r="O86" i="11" s="1"/>
  <c r="N37" i="11"/>
  <c r="O37" i="11" s="1"/>
  <c r="N53" i="11"/>
  <c r="O53" i="11" s="1"/>
  <c r="O76" i="11"/>
  <c r="N66" i="11"/>
  <c r="O66" i="11" s="1"/>
  <c r="N49" i="11"/>
  <c r="O49" i="11" s="1"/>
  <c r="S79" i="11"/>
  <c r="R79" i="11"/>
  <c r="S17" i="11"/>
  <c r="R17" i="11"/>
  <c r="O121" i="11"/>
  <c r="O8" i="11"/>
  <c r="O70" i="11"/>
  <c r="O107" i="11"/>
  <c r="O35" i="11"/>
  <c r="N91" i="11"/>
  <c r="O91" i="11" s="1"/>
  <c r="O45" i="11"/>
  <c r="O22" i="11"/>
  <c r="O11" i="11"/>
  <c r="S61" i="11"/>
  <c r="R61" i="11"/>
  <c r="S28" i="11"/>
  <c r="R28" i="11"/>
  <c r="S92" i="11"/>
  <c r="R92" i="11"/>
  <c r="S31" i="11"/>
  <c r="R31" i="11"/>
  <c r="O89" i="11"/>
  <c r="O12" i="11"/>
  <c r="S84" i="11"/>
  <c r="R84" i="11"/>
  <c r="O29" i="11"/>
  <c r="N82" i="11"/>
  <c r="O82" i="11" s="1"/>
  <c r="O18" i="11"/>
  <c r="N93" i="11"/>
  <c r="O93" i="11" s="1"/>
  <c r="O72" i="11"/>
  <c r="O92" i="11"/>
  <c r="S100" i="11"/>
  <c r="R100" i="11"/>
  <c r="Q50" i="12" s="1"/>
  <c r="Q43" i="12"/>
  <c r="Q66" i="12"/>
  <c r="Q44" i="12"/>
  <c r="Q45" i="12"/>
  <c r="N26" i="11"/>
  <c r="O26" i="11" s="1"/>
  <c r="N57" i="11"/>
  <c r="O57" i="11" s="1"/>
  <c r="N7" i="11"/>
  <c r="O7" i="11" s="1"/>
  <c r="O46" i="11"/>
  <c r="O118" i="11"/>
  <c r="N119" i="11"/>
  <c r="O119" i="11" s="1"/>
  <c r="N98" i="11"/>
  <c r="O98" i="11" s="1"/>
  <c r="R88" i="11"/>
  <c r="S88" i="11"/>
  <c r="S25" i="11"/>
  <c r="R25" i="11"/>
  <c r="O115" i="11"/>
  <c r="O77" i="11"/>
  <c r="N60" i="11"/>
  <c r="O60" i="11" s="1"/>
  <c r="O81" i="11"/>
  <c r="O94" i="11"/>
  <c r="O90" i="11"/>
  <c r="Q68" i="12"/>
  <c r="Q77" i="12"/>
  <c r="Q67" i="12"/>
  <c r="Q42" i="12"/>
  <c r="S38" i="11"/>
  <c r="R38" i="11"/>
  <c r="N43" i="11"/>
  <c r="O43" i="11" s="1"/>
  <c r="O36" i="11"/>
  <c r="S14" i="11"/>
  <c r="R14" i="11"/>
  <c r="N62" i="11"/>
  <c r="O62" i="11" s="1"/>
  <c r="S77" i="11"/>
  <c r="R77" i="11"/>
  <c r="O3" i="11"/>
  <c r="S72" i="11"/>
  <c r="R72" i="11"/>
  <c r="S103" i="11"/>
  <c r="R103" i="11"/>
  <c r="Q80" i="12" s="1"/>
  <c r="H80" i="12" s="1"/>
  <c r="S27" i="11"/>
  <c r="R27" i="11"/>
  <c r="N51" i="11"/>
  <c r="O51" i="11" s="1"/>
  <c r="S32" i="11"/>
  <c r="R32" i="11"/>
  <c r="N4" i="11"/>
  <c r="O4" i="11" s="1"/>
  <c r="N5" i="11"/>
  <c r="O5" i="11" s="1"/>
  <c r="N97" i="11"/>
  <c r="O97" i="11" s="1"/>
  <c r="N67" i="11"/>
  <c r="O67" i="11" s="1"/>
  <c r="O96" i="11"/>
  <c r="N2" i="11"/>
  <c r="O2" i="11" s="1"/>
  <c r="O88" i="11"/>
  <c r="O24" i="11"/>
  <c r="O32" i="11"/>
  <c r="S8" i="11"/>
  <c r="R8" i="11"/>
  <c r="Q8" i="12" s="1"/>
  <c r="H8" i="12" s="1"/>
  <c r="S123" i="11"/>
  <c r="R123" i="11"/>
  <c r="Q65" i="12" s="1"/>
  <c r="S35" i="11"/>
  <c r="R35" i="11"/>
  <c r="S56" i="11"/>
  <c r="R56" i="11"/>
  <c r="S52" i="11"/>
  <c r="R52" i="11"/>
  <c r="N14" i="11"/>
  <c r="O14" i="11" s="1"/>
  <c r="O99" i="11"/>
  <c r="O120" i="11"/>
  <c r="O123" i="11"/>
  <c r="I65" i="12" s="1"/>
  <c r="H65" i="12" s="1"/>
  <c r="I73" i="12"/>
  <c r="S55" i="11"/>
  <c r="R55" i="11"/>
  <c r="O55" i="11"/>
  <c r="S16" i="11"/>
  <c r="R16" i="11" s="1"/>
  <c r="N79" i="11"/>
  <c r="O79" i="11" s="1"/>
  <c r="N109" i="11"/>
  <c r="O109" i="11" s="1"/>
  <c r="F89" i="18"/>
  <c r="E88" i="18"/>
  <c r="D88" i="18"/>
  <c r="Q83" i="12" l="1"/>
  <c r="Q55" i="12"/>
  <c r="Q78" i="12"/>
  <c r="H78" i="12" s="1"/>
  <c r="Q81" i="12"/>
  <c r="H81" i="12" s="1"/>
  <c r="Q58" i="12"/>
  <c r="I59" i="12"/>
  <c r="H59" i="12" s="1"/>
  <c r="Q61" i="12"/>
  <c r="I72" i="12"/>
  <c r="I70" i="12"/>
  <c r="I48" i="12"/>
  <c r="H48" i="12" s="1"/>
  <c r="Q35" i="12"/>
  <c r="I49" i="12"/>
  <c r="H49" i="12" s="1"/>
  <c r="I47" i="12"/>
  <c r="H47" i="12" s="1"/>
  <c r="Q59" i="12"/>
  <c r="I46" i="12"/>
  <c r="H46" i="12" s="1"/>
  <c r="Q84" i="12"/>
  <c r="Q82" i="12"/>
  <c r="Q60" i="12"/>
  <c r="I81" i="12"/>
  <c r="Q2" i="12"/>
  <c r="Q12" i="12"/>
  <c r="Q37" i="12"/>
  <c r="I20" i="12"/>
  <c r="H20" i="12" s="1"/>
  <c r="I32" i="12"/>
  <c r="I86" i="12"/>
  <c r="Q14" i="12"/>
  <c r="H14" i="12" s="1"/>
  <c r="I85" i="12"/>
  <c r="H85" i="12" s="1"/>
  <c r="I30" i="12"/>
  <c r="I79" i="12"/>
  <c r="I56" i="12"/>
  <c r="I22" i="12"/>
  <c r="I55" i="12"/>
  <c r="H55" i="12" s="1"/>
  <c r="I27" i="12"/>
  <c r="H27" i="12" s="1"/>
  <c r="I89" i="12"/>
  <c r="Q6" i="12"/>
  <c r="H6" i="12" s="1"/>
  <c r="Q11" i="12"/>
  <c r="Q40" i="12"/>
  <c r="H40" i="12" s="1"/>
  <c r="Q62" i="12"/>
  <c r="Q22" i="12"/>
  <c r="H22" i="12" s="1"/>
  <c r="Q25" i="12"/>
  <c r="H25" i="12" s="1"/>
  <c r="Q21" i="12"/>
  <c r="Q88" i="12"/>
  <c r="Q7" i="12"/>
  <c r="H7" i="12" s="1"/>
  <c r="Q13" i="12"/>
  <c r="Q5" i="12"/>
  <c r="Q79" i="12"/>
  <c r="H79" i="12" s="1"/>
  <c r="Q89" i="12"/>
  <c r="I78" i="12"/>
  <c r="Q16" i="12"/>
  <c r="H16" i="12" s="1"/>
  <c r="Q41" i="12"/>
  <c r="H41" i="12" s="1"/>
  <c r="I19" i="12"/>
  <c r="H19" i="12" s="1"/>
  <c r="I84" i="12"/>
  <c r="Q56" i="12"/>
  <c r="I5" i="12"/>
  <c r="H5" i="12" s="1"/>
  <c r="I3" i="12"/>
  <c r="H3" i="12" s="1"/>
  <c r="I7" i="12"/>
  <c r="I8" i="12"/>
  <c r="I9" i="12"/>
  <c r="I4" i="12"/>
  <c r="H4" i="12" s="1"/>
  <c r="I6" i="12"/>
  <c r="I2" i="12"/>
  <c r="H2" i="12" s="1"/>
  <c r="Q18" i="12"/>
  <c r="I57" i="12"/>
  <c r="Q19" i="12"/>
  <c r="Q23" i="12"/>
  <c r="H23" i="12" s="1"/>
  <c r="I50" i="12"/>
  <c r="H50" i="12" s="1"/>
  <c r="I76" i="12"/>
  <c r="I77" i="12"/>
  <c r="H77" i="12" s="1"/>
  <c r="I51" i="12"/>
  <c r="H51" i="12" s="1"/>
  <c r="I74" i="12"/>
  <c r="I75" i="12"/>
  <c r="I53" i="12"/>
  <c r="H53" i="12" s="1"/>
  <c r="I52" i="12"/>
  <c r="H52" i="12" s="1"/>
  <c r="Q20" i="12"/>
  <c r="Q24" i="12"/>
  <c r="H24" i="12" s="1"/>
  <c r="Q17" i="12"/>
  <c r="H17" i="12" s="1"/>
  <c r="Q86" i="12"/>
  <c r="Q4" i="12"/>
  <c r="Q36" i="12"/>
  <c r="Q15" i="12"/>
  <c r="H15" i="12" s="1"/>
  <c r="Q39" i="12"/>
  <c r="H39" i="12" s="1"/>
  <c r="I54" i="12"/>
  <c r="Q76" i="12"/>
  <c r="H76" i="12" s="1"/>
  <c r="I64" i="12"/>
  <c r="I88" i="12"/>
  <c r="I33" i="12"/>
  <c r="I28" i="12"/>
  <c r="H28" i="12" s="1"/>
  <c r="I18" i="12"/>
  <c r="H18" i="12" s="1"/>
  <c r="I24" i="12"/>
  <c r="Q75" i="12"/>
  <c r="H75" i="12" s="1"/>
  <c r="Q53" i="12"/>
  <c r="I80" i="12"/>
  <c r="Q26" i="12"/>
  <c r="Q32" i="12"/>
  <c r="H32" i="12" s="1"/>
  <c r="Q27" i="12"/>
  <c r="Q31" i="12"/>
  <c r="H31" i="12" s="1"/>
  <c r="Q30" i="12"/>
  <c r="H30" i="12" s="1"/>
  <c r="Q28" i="12"/>
  <c r="Q29" i="12"/>
  <c r="Q33" i="12"/>
  <c r="H33" i="12" s="1"/>
  <c r="Q74" i="12"/>
  <c r="H74" i="12" s="1"/>
  <c r="Q52" i="12"/>
  <c r="Q38" i="12"/>
  <c r="H38" i="12" s="1"/>
  <c r="Q57" i="12"/>
  <c r="Q51" i="12"/>
  <c r="Q63" i="12"/>
  <c r="Q54" i="12"/>
  <c r="Q9" i="12"/>
  <c r="H9" i="12" s="1"/>
  <c r="I12" i="12"/>
  <c r="H12" i="12" s="1"/>
  <c r="I14" i="12"/>
  <c r="I11" i="12"/>
  <c r="H11" i="12" s="1"/>
  <c r="I10" i="12"/>
  <c r="H10" i="12" s="1"/>
  <c r="I16" i="12"/>
  <c r="I17" i="12"/>
  <c r="I13" i="12"/>
  <c r="H13" i="12" s="1"/>
  <c r="I15" i="12"/>
  <c r="Q87" i="12"/>
  <c r="I62" i="12"/>
  <c r="H62" i="12" s="1"/>
  <c r="I63" i="12"/>
  <c r="H63" i="12" s="1"/>
  <c r="I26" i="12"/>
  <c r="H26" i="12" s="1"/>
  <c r="I31" i="12"/>
  <c r="I21" i="12"/>
  <c r="H21" i="12" s="1"/>
  <c r="I23" i="12"/>
  <c r="Q34" i="12"/>
  <c r="Q10" i="12"/>
  <c r="I37" i="12"/>
  <c r="H37" i="12" s="1"/>
  <c r="I34" i="12"/>
  <c r="H34" i="12" s="1"/>
  <c r="I40" i="12"/>
  <c r="I38" i="12"/>
  <c r="I39" i="12"/>
  <c r="I35" i="12"/>
  <c r="H35" i="12" s="1"/>
  <c r="I41" i="12"/>
  <c r="I36" i="12"/>
  <c r="H36" i="12" s="1"/>
  <c r="I60" i="12"/>
  <c r="H60" i="12" s="1"/>
  <c r="I82" i="12"/>
  <c r="I83" i="12"/>
  <c r="H83" i="12" s="1"/>
  <c r="I61" i="12"/>
  <c r="H61" i="12" s="1"/>
  <c r="I58" i="12"/>
  <c r="H58" i="12" s="1"/>
  <c r="Q3" i="12"/>
  <c r="Q64" i="12"/>
  <c r="I69" i="12"/>
  <c r="H69" i="12" s="1"/>
  <c r="I67" i="12"/>
  <c r="H67" i="12" s="1"/>
  <c r="I45" i="12"/>
  <c r="H45" i="12" s="1"/>
  <c r="I68" i="12"/>
  <c r="H68" i="12" s="1"/>
  <c r="I44" i="12"/>
  <c r="H44" i="12" s="1"/>
  <c r="I42" i="12"/>
  <c r="H42" i="12" s="1"/>
  <c r="I66" i="12"/>
  <c r="H66" i="12" s="1"/>
  <c r="I43" i="12"/>
  <c r="H43" i="12" s="1"/>
  <c r="I87" i="12"/>
  <c r="I29" i="12"/>
  <c r="H29" i="12" s="1"/>
  <c r="I25" i="12"/>
  <c r="E89" i="18"/>
  <c r="D89" i="18"/>
  <c r="H64" i="12" l="1"/>
  <c r="H84" i="12"/>
  <c r="H57" i="12"/>
  <c r="H54" i="12"/>
  <c r="H56" i="12"/>
  <c r="H82" i="12"/>
</calcChain>
</file>

<file path=xl/comments1.xml><?xml version="1.0" encoding="utf-8"?>
<comments xmlns="http://schemas.openxmlformats.org/spreadsheetml/2006/main">
  <authors>
    <author>HUU MINH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HUU MINH:</t>
        </r>
        <r>
          <rPr>
            <sz val="9"/>
            <color indexed="81"/>
            <rFont val="Tahoma"/>
            <family val="2"/>
          </rPr>
          <t xml:space="preserve">
NEW COLUMN, TO USE FOR DISTINGUISH STOCKS IN OR OUT THE INDEXES
</t>
        </r>
      </text>
    </comment>
  </commentList>
</comments>
</file>

<file path=xl/comments2.xml><?xml version="1.0" encoding="utf-8"?>
<comments xmlns="http://schemas.openxmlformats.org/spreadsheetml/2006/main">
  <authors>
    <author>THIENHOA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=1 tinh, =0 suspend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Khong show ra ngoai, chi de trong database, ko ra website, files cho users
</t>
        </r>
      </text>
    </comment>
  </commentList>
</comments>
</file>

<file path=xl/comments3.xml><?xml version="1.0" encoding="utf-8"?>
<comments xmlns="http://schemas.openxmlformats.org/spreadsheetml/2006/main">
  <authors>
    <author>THIENHOA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input from tables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CALCULATE FROM STK_RLAST, STK_LAST
</t>
        </r>
      </text>
    </comment>
  </commentList>
</comments>
</file>

<file path=xl/comments4.xml><?xml version="1.0" encoding="utf-8"?>
<comments xmlns="http://schemas.openxmlformats.org/spreadsheetml/2006/main">
  <authors>
    <author>THIENHOA</author>
  </authors>
  <commentList>
    <comment ref="S2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sửa lại, vlookup từ CUR_RATES</t>
        </r>
      </text>
    </comment>
  </commentList>
</comments>
</file>

<file path=xl/comments5.xml><?xml version="1.0" encoding="utf-8"?>
<comments xmlns="http://schemas.openxmlformats.org/spreadsheetml/2006/main">
  <authors>
    <author>THIENHOA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sửa lại, vlookup từ CUR_RATES</t>
        </r>
      </text>
    </comment>
  </commentList>
</comments>
</file>

<file path=xl/comments6.xml><?xml version="1.0" encoding="utf-8"?>
<comments xmlns="http://schemas.openxmlformats.org/spreadsheetml/2006/main">
  <authors>
    <author>THIENHOA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MCAP calcul by currencies
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change chỉ số</t>
        </r>
      </text>
    </comment>
  </commentList>
</comments>
</file>

<file path=xl/comments7.xml><?xml version="1.0" encoding="utf-8"?>
<comments xmlns="http://schemas.openxmlformats.org/spreadsheetml/2006/main">
  <authors>
    <author>THIENHOA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change chỉ số</t>
        </r>
      </text>
    </comment>
  </commentList>
</comments>
</file>

<file path=xl/comments8.xml><?xml version="1.0" encoding="utf-8"?>
<comments xmlns="http://schemas.openxmlformats.org/spreadsheetml/2006/main">
  <authors>
    <author>THIENHOA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MCAP calcul by currencies
</t>
        </r>
      </text>
    </comment>
  </commentList>
</comments>
</file>

<file path=xl/comments9.xml><?xml version="1.0" encoding="utf-8"?>
<comments xmlns="http://schemas.openxmlformats.org/spreadsheetml/2006/main">
  <authors>
    <author>IFRC-PV</author>
    <author>THIENHOA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Number of decimals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1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MCAP calcul by currencies
</t>
        </r>
      </text>
    </comment>
  </commentList>
</comments>
</file>

<file path=xl/sharedStrings.xml><?xml version="1.0" encoding="utf-8"?>
<sst xmlns="http://schemas.openxmlformats.org/spreadsheetml/2006/main" count="4247" uniqueCount="1615">
  <si>
    <t>id</t>
  </si>
  <si>
    <t>STK_CODE</t>
  </si>
  <si>
    <t>STK_NAME</t>
  </si>
  <si>
    <t>STK_MARKET</t>
  </si>
  <si>
    <t>STK_SECTOR</t>
  </si>
  <si>
    <t>STK_RLAST</t>
  </si>
  <si>
    <t>STK_LAST</t>
  </si>
  <si>
    <t>STK_PRICE</t>
  </si>
  <si>
    <t>STK_CURR</t>
  </si>
  <si>
    <t>STK_MULT</t>
  </si>
  <si>
    <t>DATES</t>
  </si>
  <si>
    <t>TIMES</t>
  </si>
  <si>
    <t>POV</t>
  </si>
  <si>
    <t>Vung Ang Petroleum Joint Stock Co</t>
  </si>
  <si>
    <t>VND</t>
  </si>
  <si>
    <t>PCT</t>
  </si>
  <si>
    <t>Cuu Long Petro Gas Service Transportation JSC</t>
  </si>
  <si>
    <t>PTT</t>
  </si>
  <si>
    <t>Indochina Petroleum Transportation Joint Stock Com</t>
  </si>
  <si>
    <t>PSP</t>
  </si>
  <si>
    <t>Dinh Vu Petroleum Service Port Joint Stock Co</t>
  </si>
  <si>
    <t>NT2</t>
  </si>
  <si>
    <t>PTL</t>
  </si>
  <si>
    <t xml:space="preserve">Petro Capital and Infrastructure Investment Joint </t>
  </si>
  <si>
    <t>PVX</t>
  </si>
  <si>
    <t>HNX</t>
  </si>
  <si>
    <t>PXM</t>
  </si>
  <si>
    <t>Mientrung Petroleum Construction Joint Stock Compa</t>
  </si>
  <si>
    <t>PXI</t>
  </si>
  <si>
    <t xml:space="preserve">Petroleum Industrial and Civil Construction Joint </t>
  </si>
  <si>
    <t>PXS</t>
  </si>
  <si>
    <t>Petroleum Equipment Assembly and Metal Structure J</t>
  </si>
  <si>
    <t>PXT</t>
  </si>
  <si>
    <t>Petroleum Pipeline and Tank Construction Joint Sto</t>
  </si>
  <si>
    <t>PGD</t>
  </si>
  <si>
    <t>PVF</t>
  </si>
  <si>
    <t>DPM</t>
  </si>
  <si>
    <t>PVT</t>
  </si>
  <si>
    <t>PET</t>
  </si>
  <si>
    <t>PVD</t>
  </si>
  <si>
    <t>PSI</t>
  </si>
  <si>
    <t>PVR</t>
  </si>
  <si>
    <t>PVG</t>
  </si>
  <si>
    <t>PVE</t>
  </si>
  <si>
    <t>PGS</t>
  </si>
  <si>
    <t>PVC</t>
  </si>
  <si>
    <t>Drilling Mud Corp</t>
  </si>
  <si>
    <t>PVS</t>
  </si>
  <si>
    <t>PVI</t>
  </si>
  <si>
    <t>TABLE</t>
  </si>
  <si>
    <t>TYPE</t>
  </si>
  <si>
    <t>UPDATE</t>
  </si>
  <si>
    <t>STK_PRICES</t>
  </si>
  <si>
    <t>DESCRIPTION</t>
  </si>
  <si>
    <t>STK_SHARES_IDX</t>
  </si>
  <si>
    <t>STK_FLOAT_IDX</t>
  </si>
  <si>
    <t>STK_CAPP_IDX</t>
  </si>
  <si>
    <t>IDX_CODE</t>
  </si>
  <si>
    <t>PVN Northern Gas</t>
  </si>
  <si>
    <t>PVN Southern Gas</t>
  </si>
  <si>
    <t>PVN General Services</t>
  </si>
  <si>
    <t>Mientrung Petroleum Construction</t>
  </si>
  <si>
    <t>PVN Transportation</t>
  </si>
  <si>
    <t>PVN Construction</t>
  </si>
  <si>
    <t>PVN Finance</t>
  </si>
  <si>
    <t>PVN Premier Recreation</t>
  </si>
  <si>
    <t>PVN Insurance</t>
  </si>
  <si>
    <t>PVN Low Pressure Gas Distribution</t>
  </si>
  <si>
    <t>PVN Drilling &amp; Well Services</t>
  </si>
  <si>
    <t>PVN Technical Services</t>
  </si>
  <si>
    <t>REAL TIME</t>
  </si>
  <si>
    <t>IDX_COMPO</t>
  </si>
  <si>
    <t>DAILY</t>
  </si>
  <si>
    <t>IDX_NAME</t>
  </si>
  <si>
    <t>IDX_CURR</t>
  </si>
  <si>
    <t>IDX_BASE</t>
  </si>
  <si>
    <t>IDX_TYPE</t>
  </si>
  <si>
    <t>IDX_MOTHER</t>
  </si>
  <si>
    <t>IDX_DIVISOR</t>
  </si>
  <si>
    <t>IDX_MCAP</t>
  </si>
  <si>
    <t>P</t>
  </si>
  <si>
    <t>CODE</t>
  </si>
  <si>
    <t>CURR_CONV</t>
  </si>
  <si>
    <t>EUR</t>
  </si>
  <si>
    <t>USD</t>
  </si>
  <si>
    <t>JPY</t>
  </si>
  <si>
    <t>CALCULS</t>
  </si>
  <si>
    <t>PUBLICATIONS</t>
  </si>
  <si>
    <t>IDX_PLAST</t>
  </si>
  <si>
    <t>IDX_DCAP</t>
  </si>
  <si>
    <t>IDX_BBS</t>
  </si>
  <si>
    <t>Benchmark</t>
  </si>
  <si>
    <t>Blue Chips</t>
  </si>
  <si>
    <t>Sectors</t>
  </si>
  <si>
    <t>R</t>
  </si>
  <si>
    <t>PVN 10 (EUR)</t>
  </si>
  <si>
    <t>PVN 10 (USD)</t>
  </si>
  <si>
    <t>PVN 10 (JPY)</t>
  </si>
  <si>
    <t>PVN OIL &amp; GAS (EUR)</t>
  </si>
  <si>
    <t>PVN OIL &amp; GAS (USD)</t>
  </si>
  <si>
    <t>PVN OIL &amp; GAS (JPY)</t>
  </si>
  <si>
    <t>PVN FINANCIALS (EUR)</t>
  </si>
  <si>
    <t>PVN FINANCIALS (USD)</t>
  </si>
  <si>
    <t>PVN FINANCIALS (JPY)</t>
  </si>
  <si>
    <t>PVN INDUSTRIALS (EUR)</t>
  </si>
  <si>
    <t>PVN INDUSTRIALS (USD)</t>
  </si>
  <si>
    <t>PVN INDUSTRIALS (JPY)</t>
  </si>
  <si>
    <t>PVN CONSUMER SERVICES (EUR)</t>
  </si>
  <si>
    <t>PVN CONSUMER SERVICES (USD)</t>
  </si>
  <si>
    <t>PVN CONSUMER SERVICES (JPY)</t>
  </si>
  <si>
    <t>STK_HISTODAY</t>
  </si>
  <si>
    <t>STK_LOW</t>
  </si>
  <si>
    <t>STK_HIGH</t>
  </si>
  <si>
    <t>STK_OPEN</t>
  </si>
  <si>
    <t>IDX_INTRADAY</t>
  </si>
  <si>
    <t>TO_ADJUST</t>
  </si>
  <si>
    <t>IDX_LAST</t>
  </si>
  <si>
    <t>IDX_SPECS</t>
  </si>
  <si>
    <t>CUR_RATES</t>
  </si>
  <si>
    <t>STK_DCAP_IDX</t>
  </si>
  <si>
    <t>STK_DCURR_CONV</t>
  </si>
  <si>
    <t>STK_DPRICE</t>
  </si>
  <si>
    <t>STK_WGT</t>
  </si>
  <si>
    <t>NXT_SHARES_IDX</t>
  </si>
  <si>
    <t>NXT_FLOAT_IDX</t>
  </si>
  <si>
    <t>IDX_COMPOSITION</t>
  </si>
  <si>
    <t>RECORDS</t>
  </si>
  <si>
    <t>STK_MCAP_IDX</t>
  </si>
  <si>
    <t>NXT_CAPP_IDX</t>
  </si>
  <si>
    <t>NXT_PRICE</t>
  </si>
  <si>
    <t>NXT_ADJUST</t>
  </si>
  <si>
    <t>IDX_CA</t>
  </si>
  <si>
    <t>STK_DIV</t>
  </si>
  <si>
    <t>EXDATE</t>
  </si>
  <si>
    <t>STK_DIVNET</t>
  </si>
  <si>
    <t>STK_DIVGROSS</t>
  </si>
  <si>
    <t>STK_CURR_CONV</t>
  </si>
  <si>
    <t>IDX_MCAP_NXT</t>
  </si>
  <si>
    <t>IDX_DIVISOR_NXT</t>
  </si>
  <si>
    <t>idx_files</t>
  </si>
  <si>
    <t>SEC_NAME</t>
  </si>
  <si>
    <t>SEC_CODE</t>
  </si>
  <si>
    <t>MAR_CODE</t>
  </si>
  <si>
    <t>HOSE</t>
  </si>
  <si>
    <t>UPCOM</t>
  </si>
  <si>
    <t>PVN Securities Incorporated</t>
  </si>
  <si>
    <t>STK_NAME_SN</t>
  </si>
  <si>
    <t>PVN Investment Consultancy and Engineering</t>
  </si>
  <si>
    <t>Petro Capital and Infrastructure Investment</t>
  </si>
  <si>
    <t>Petroleum Industrial and Civil Construction</t>
  </si>
  <si>
    <t>Petroleum Equipment Assembly and Metal Structure</t>
  </si>
  <si>
    <t>Petroleum Pipeline and Tank Construction</t>
  </si>
  <si>
    <t>PVN Fertilizer and Chemicals</t>
  </si>
  <si>
    <t>Cuu Long Petro Gas Service Transportation</t>
  </si>
  <si>
    <t>Indochina Petroleum Transportation</t>
  </si>
  <si>
    <t>Dinh Vu Petroleum Service Port</t>
  </si>
  <si>
    <t>PVN Power NhonTrach 2</t>
  </si>
  <si>
    <t>IPO</t>
  </si>
  <si>
    <t>Vung Ang Petroleum</t>
  </si>
  <si>
    <t>IDX_NAME_SN</t>
  </si>
  <si>
    <t>PVN 10 TR (EUR)</t>
  </si>
  <si>
    <t>PVN 10 TR (USD)</t>
  </si>
  <si>
    <t>PVN 10 TR (JPY)</t>
  </si>
  <si>
    <t>PVN OIL &amp; GAS TR (EUR)</t>
  </si>
  <si>
    <t>PVN OIL &amp; GAS TR (USD)</t>
  </si>
  <si>
    <t>PVN OIL &amp; GAS TR (JPY)</t>
  </si>
  <si>
    <t>PVN FINANCIALS TR (EUR)</t>
  </si>
  <si>
    <t>PVN FINANCIALS TR (USD)</t>
  </si>
  <si>
    <t>PVN FINANCIALS TR (JPY)</t>
  </si>
  <si>
    <t>PVN INDUSTRIALS TR (EUR)</t>
  </si>
  <si>
    <t>PVN INDUSTRIALS TR (USD)</t>
  </si>
  <si>
    <t>PVN INDUSTRIALS TR (JPY)</t>
  </si>
  <si>
    <t>PVN CONSUMER SERVICES TR (EUR)</t>
  </si>
  <si>
    <t>PVN CONSUMER SERVICES TR (USD)</t>
  </si>
  <si>
    <t>PVN CONSUMER SERVICES TR (JPY)</t>
  </si>
  <si>
    <t>PVN BASIC MATERIALS (EUR)</t>
  </si>
  <si>
    <t>PVN BASIC MATERIALS (JPY)</t>
  </si>
  <si>
    <t>PVN BASIC MATERIALS (USD)</t>
  </si>
  <si>
    <t>PVN BASIC MATERIALS TR (EUR)</t>
  </si>
  <si>
    <t>PVN BASIC MATERIALS TR (JPY)</t>
  </si>
  <si>
    <t>PVN BASIC MATERIALS TR (USD)</t>
  </si>
  <si>
    <t>PVN UTILITIES (EUR)</t>
  </si>
  <si>
    <t>PVN UTILITIES (JPY)</t>
  </si>
  <si>
    <t>PVN UTILITIES (USD)</t>
  </si>
  <si>
    <t>PVN UTILITIES TR (EUR)</t>
  </si>
  <si>
    <t>PVN UTILITIES TR (JPY)</t>
  </si>
  <si>
    <t>PVN UTILITIES TR (USD)</t>
  </si>
  <si>
    <t>IDX_DTBASE</t>
  </si>
  <si>
    <t>MAR_REF</t>
  </si>
  <si>
    <t>Nr</t>
  </si>
  <si>
    <t>REFERENCES</t>
  </si>
  <si>
    <t>ONCE</t>
  </si>
  <si>
    <t>MARKETS REFERENCES (HOSE, HNX, UPCOM)</t>
  </si>
  <si>
    <t>SEC_REF</t>
  </si>
  <si>
    <t>SECTORS REFERENCES (10 ICB INDUSTRIES, LEVEL 1)</t>
  </si>
  <si>
    <t>STK_REF</t>
  </si>
  <si>
    <t>STOCKS REFERENCES (STOCKS SPECIFICATIONS)</t>
  </si>
  <si>
    <t>FEED, LINK, CALCULATION</t>
  </si>
  <si>
    <t>PRICES OF STOCKS (LAST UPDATED)</t>
  </si>
  <si>
    <t>FEED</t>
  </si>
  <si>
    <t>CURRENCIES FOR CONVERSION</t>
  </si>
  <si>
    <t>DIVIDENDS FOR TOTAL RETURN INDEXES</t>
  </si>
  <si>
    <t>CALCUL</t>
  </si>
  <si>
    <t>CORPORATE ACTIONS</t>
  </si>
  <si>
    <t>STATISTICS FOR STOCKS</t>
  </si>
  <si>
    <t>IDX_HISTODAY</t>
  </si>
  <si>
    <t>CUR_CODE</t>
  </si>
  <si>
    <t>CUR_FROM</t>
  </si>
  <si>
    <t>CUR_TO</t>
  </si>
  <si>
    <t>CUR_PRICES</t>
  </si>
  <si>
    <t>CUR_DATE</t>
  </si>
  <si>
    <t>CUR_TIME</t>
  </si>
  <si>
    <t>EURVND</t>
  </si>
  <si>
    <t>USDVND</t>
  </si>
  <si>
    <t>JPYVND</t>
  </si>
  <si>
    <t>IDX_DAY</t>
  </si>
  <si>
    <t>CALCULATION OF THE INDEXES</t>
  </si>
  <si>
    <t>STATISTICS FOR INDEXES FOR THE DAY</t>
  </si>
  <si>
    <t>IDX_REF</t>
  </si>
  <si>
    <t>INDEXES REFERENCES</t>
  </si>
  <si>
    <t>CMP_INTRADAY</t>
  </si>
  <si>
    <t>HISTORY OF THE INDEXES COMPOSITION INTRADAY</t>
  </si>
  <si>
    <t>SUMMARISE</t>
  </si>
  <si>
    <t>PREPARATION FOR THE INDEXES CALCULATION</t>
  </si>
  <si>
    <t>INDEXES CALCULATION</t>
  </si>
  <si>
    <t>INPUT / OUTPUT</t>
  </si>
  <si>
    <t>CALCULATION</t>
  </si>
  <si>
    <t>WEBSITE</t>
  </si>
  <si>
    <t>x</t>
  </si>
  <si>
    <t>SEC_NAME_VN</t>
  </si>
  <si>
    <t>STK_NAME_SN_VN</t>
  </si>
  <si>
    <t>INPUT</t>
  </si>
  <si>
    <t>DATE</t>
  </si>
  <si>
    <t>TIME</t>
  </si>
  <si>
    <t>OPEN</t>
  </si>
  <si>
    <t>HIGH</t>
  </si>
  <si>
    <t>LOW</t>
  </si>
  <si>
    <t>CLOSE</t>
  </si>
  <si>
    <t>FREQUENCY</t>
  </si>
  <si>
    <t>Tổng CTCP khoan và dịch vụ khoan Dầu khí</t>
  </si>
  <si>
    <t xml:space="preserve"> Tổng CTCP Bảo hiểm Dầu khí</t>
  </si>
  <si>
    <t>Tổng CTCP Dịch vụ Tổng hợp Dầu khí</t>
  </si>
  <si>
    <t>Tổng CTCP Dịch vụ Kỹ thuật Dầu khí</t>
  </si>
  <si>
    <t>Tổng công ty Phân bón và Hóa chất Dầu khí</t>
  </si>
  <si>
    <t>CTCP Kinh doanh Khí hóa lỏng Miền Nam</t>
  </si>
  <si>
    <t>Tổng CTCP Dung dịch khoan và Hóa phẩm Dầu khí</t>
  </si>
  <si>
    <t>Tổng CTCP vận tải Dầu khí</t>
  </si>
  <si>
    <t>Tổng công ty Tư vấn và Thiết kế Dầu khí</t>
  </si>
  <si>
    <t>Tổng CTCP Tài chính Dầu khí</t>
  </si>
  <si>
    <t>CTCP Kinh doanh khí hóa lỏng Miền Bắc</t>
  </si>
  <si>
    <t>Tổng CTCP Xây lắp Dầu khí VN</t>
  </si>
  <si>
    <t>CTCP Phân phối khí thấp áp Dầu khí VN</t>
  </si>
  <si>
    <t>CTCP Điện lực Dầu khí Nhơn Trạch 2</t>
  </si>
  <si>
    <t>CTCP Vận tải Dầu khí Đông Dương</t>
  </si>
  <si>
    <t>CTCP Xây lắp Đường ống Bể chứa Dầu khí</t>
  </si>
  <si>
    <t>CTCP Kết cấu Kim loại và Lắp máy Dầu khí</t>
  </si>
  <si>
    <t>CTCP Kinh doanh Dịch vụ cao cấp Dầu khí VN</t>
  </si>
  <si>
    <t>CTCP Xây dựng công nghiệp &amp; dân dụng dầu khí</t>
  </si>
  <si>
    <t>CTCP Xây lắp Dầu khí Miền Trung</t>
  </si>
  <si>
    <t>CTCP Chứng Khoán Dầu khí</t>
  </si>
  <si>
    <t>CTCP Vận tải Dầu khí Cửu Long</t>
  </si>
  <si>
    <t xml:space="preserve">CTCP Đầu tư Hạ tầng và Đô thị Dầu khí </t>
  </si>
  <si>
    <t>CTCP Xăng dầu Dầu khí Vũng Áng</t>
  </si>
  <si>
    <t>PFL</t>
  </si>
  <si>
    <t>CTCP Bất động sản Tài chính Dầu khí VN</t>
  </si>
  <si>
    <t>PCG</t>
  </si>
  <si>
    <t>CTCP Đầu tư và phát triển Gas Đô thị</t>
  </si>
  <si>
    <t>PPS</t>
  </si>
  <si>
    <t>CTCP Dịch vụ Kỹ thuật Điện lực Dầu khí VN</t>
  </si>
  <si>
    <t>PSG</t>
  </si>
  <si>
    <t>CTCP Đầu tư và Xây lắp Dầu khí Sài Gòn</t>
  </si>
  <si>
    <t>PPE</t>
  </si>
  <si>
    <t>CTCP Tư vấn Điện lực Dầu khí Việt Nam</t>
  </si>
  <si>
    <t>PetroVietnam Gas City Investment and Development JSC</t>
  </si>
  <si>
    <t>Petro Dong Do Joint Stock Company</t>
  </si>
  <si>
    <t>PetroVietnam Power Engineering Consulting JSC</t>
  </si>
  <si>
    <t>Petro Vietnam Power Services Joint Stock Company</t>
  </si>
  <si>
    <t>Saigon Petroleum Constrution And Investment JSC</t>
  </si>
  <si>
    <t>PVN10PRVND</t>
  </si>
  <si>
    <t>PVN10PRUSD</t>
  </si>
  <si>
    <t>PVN10PRJPY</t>
  </si>
  <si>
    <t>PVN10PREUR</t>
  </si>
  <si>
    <t>PVN10TRVND</t>
  </si>
  <si>
    <t>PVN10TRUSD</t>
  </si>
  <si>
    <t>PVN10TRJPY</t>
  </si>
  <si>
    <t>PVN10TREUR</t>
  </si>
  <si>
    <t>PVNASPRVND</t>
  </si>
  <si>
    <t>PVNASPRUSD</t>
  </si>
  <si>
    <t>PVN ALLSHARE (USD)</t>
  </si>
  <si>
    <t>PVNASPRJPY</t>
  </si>
  <si>
    <t>PVN ALLSHARE (JPY)</t>
  </si>
  <si>
    <t>PVNASPREUR</t>
  </si>
  <si>
    <t>PVN ALLSHARE TR (EUR)</t>
  </si>
  <si>
    <t>PVNASTRVND</t>
  </si>
  <si>
    <t>PVNASTRUSD</t>
  </si>
  <si>
    <t>PVN ALLSHARE TR (USD)</t>
  </si>
  <si>
    <t>PVNASTRJPY</t>
  </si>
  <si>
    <t>PVN ALLSHARE TR (JPY)</t>
  </si>
  <si>
    <t>PVNASTREUR</t>
  </si>
  <si>
    <t>PVN ALLSHARE (EUR)</t>
  </si>
  <si>
    <t>PVNHSXPRVND</t>
  </si>
  <si>
    <t>PVNHSXPRUSD</t>
  </si>
  <si>
    <t>PVN ALLSHARE HSX (USD)</t>
  </si>
  <si>
    <t>PVNHSXPRJPY</t>
  </si>
  <si>
    <t>PVN ALLSHARE HSX (JPY)</t>
  </si>
  <si>
    <t>PVNHSXPREUR</t>
  </si>
  <si>
    <t>PVN ALLSHARE HSX TR (EUR)</t>
  </si>
  <si>
    <t>PVNHSXTRVND</t>
  </si>
  <si>
    <t>PVNHSXTRUSD</t>
  </si>
  <si>
    <t>PVN ALLSHARE HSX TR (USD)</t>
  </si>
  <si>
    <t>PVNHSXTRJPY</t>
  </si>
  <si>
    <t>PVN ALLSHARE HSX TR (JPY)</t>
  </si>
  <si>
    <t>PVNHSXTREUR</t>
  </si>
  <si>
    <t>PVN ALLSHARE HSX (EUR)</t>
  </si>
  <si>
    <t>PVNHNXPRVND</t>
  </si>
  <si>
    <t>PVNHNXPRUSD</t>
  </si>
  <si>
    <t>PVN ALLSHARE HNX (USD)</t>
  </si>
  <si>
    <t>PVNHNXPRJPY</t>
  </si>
  <si>
    <t>PVN ALLSHARE HNX (JPY)</t>
  </si>
  <si>
    <t>PVNHNXPREUR</t>
  </si>
  <si>
    <t>PVN ALLSHARE HNX TR (EUR)</t>
  </si>
  <si>
    <t>PVNHNXTRVND</t>
  </si>
  <si>
    <t>PVNHNXTRUSD</t>
  </si>
  <si>
    <t>PVN ALLSHARE HNX TR (USD)</t>
  </si>
  <si>
    <t>PVNHNXTRJPY</t>
  </si>
  <si>
    <t>PVN ALLSHARE HNX TR (JPY)</t>
  </si>
  <si>
    <t>PVNHNXTREUR</t>
  </si>
  <si>
    <t>PVN ALLSHARE HNX (EUR)</t>
  </si>
  <si>
    <t>PVNBMPRVND</t>
  </si>
  <si>
    <t>PVNBMPRUSD</t>
  </si>
  <si>
    <t>PVNBMPRJPY</t>
  </si>
  <si>
    <t>PVNBMPREUR</t>
  </si>
  <si>
    <t>PVNCSPRVND</t>
  </si>
  <si>
    <t>PVNCSPRUSD</t>
  </si>
  <si>
    <t>PVNCSPRJPY</t>
  </si>
  <si>
    <t>PVNCSPREUR</t>
  </si>
  <si>
    <t>PVNFIPRVND</t>
  </si>
  <si>
    <t>PVNFIPRUSD</t>
  </si>
  <si>
    <t>PVNFIPRJPY</t>
  </si>
  <si>
    <t>PVNFIPREUR</t>
  </si>
  <si>
    <t>PVNINPRVND</t>
  </si>
  <si>
    <t>PVNINPRUSD</t>
  </si>
  <si>
    <t>PVNINPRJPY</t>
  </si>
  <si>
    <t>PVNINPREUR</t>
  </si>
  <si>
    <t>PVNOGPRVND</t>
  </si>
  <si>
    <t>PVNOGPRUSD</t>
  </si>
  <si>
    <t>PVNOGPRJPY</t>
  </si>
  <si>
    <t>PVNOGPREUR</t>
  </si>
  <si>
    <t>PVNUTPRVND</t>
  </si>
  <si>
    <t>PVNUTPRUSD</t>
  </si>
  <si>
    <t>PVNUTPRJPY</t>
  </si>
  <si>
    <t>PVNUTPREUR</t>
  </si>
  <si>
    <t>PVNBMTRVND</t>
  </si>
  <si>
    <t>PVNBMTRUSD</t>
  </si>
  <si>
    <t>PVNBMTRJPY</t>
  </si>
  <si>
    <t>PVNBMTREUR</t>
  </si>
  <si>
    <t>PVNCSTRVND</t>
  </si>
  <si>
    <t>PVNCSTRUSD</t>
  </si>
  <si>
    <t>PVNCSTRJPY</t>
  </si>
  <si>
    <t>PVNCSTREUR</t>
  </si>
  <si>
    <t>PVNFITRVND</t>
  </si>
  <si>
    <t>PVNFITRUSD</t>
  </si>
  <si>
    <t>PVNFITRJPY</t>
  </si>
  <si>
    <t>PVNFITREUR</t>
  </si>
  <si>
    <t>PVNINTRVND</t>
  </si>
  <si>
    <t>PVNINTRUSD</t>
  </si>
  <si>
    <t>PVNINTRJPY</t>
  </si>
  <si>
    <t>PVNINTREUR</t>
  </si>
  <si>
    <t>PVNOGTRVND</t>
  </si>
  <si>
    <t>PVNOGTRUSD</t>
  </si>
  <si>
    <t>PVNOGTRJPY</t>
  </si>
  <si>
    <t>PVNOGTREUR</t>
  </si>
  <si>
    <t>PVNUTTRVND</t>
  </si>
  <si>
    <t>PVNUTTRUSD</t>
  </si>
  <si>
    <t>PVNUTTRJPY</t>
  </si>
  <si>
    <t>PVNUTTREUR</t>
  </si>
  <si>
    <t>SPECIFICATIONS OF THE INDEXES COMPOSTION (SHARES, FLOATS, CAPPING)</t>
  </si>
  <si>
    <t>CTCP Cảng dịch vụ dầu khí Đình Vũ</t>
  </si>
  <si>
    <t>PVNCOPRVND</t>
  </si>
  <si>
    <t>PVN ALL SHARE CONTINUOUS</t>
  </si>
  <si>
    <t>PVNCOPRUSD</t>
  </si>
  <si>
    <t>PVN ALL SHARE CONTINUOUS (USD)</t>
  </si>
  <si>
    <t>PVNCOPRJPY</t>
  </si>
  <si>
    <t>PVN ALL SHARE CONTINUOUS (JPY)</t>
  </si>
  <si>
    <t>PVNCOPREUR</t>
  </si>
  <si>
    <t>PVN ALL SHARE CONTINUOUS (EUR)</t>
  </si>
  <si>
    <t>PVNCOTRVND</t>
  </si>
  <si>
    <t>PVN ALL SHARE TR CONTINUOUS</t>
  </si>
  <si>
    <t>PVNCOTRUSD</t>
  </si>
  <si>
    <t>PVN ALL SHARE TR CONTINUOUS (USD)</t>
  </si>
  <si>
    <t>PVNCOTRJPY</t>
  </si>
  <si>
    <t>PVN ALL SHARE TR CONTINUOUS (JPY)</t>
  </si>
  <si>
    <t>PVNCOTREUR</t>
  </si>
  <si>
    <t>PVN ALL SHARE TR CONTINUOUS (EUR)</t>
  </si>
  <si>
    <t>START_TIME</t>
  </si>
  <si>
    <t>END_TIME</t>
  </si>
  <si>
    <t>CALCUL_TYPES</t>
  </si>
  <si>
    <t>IDX_CONV</t>
  </si>
  <si>
    <t>BASE</t>
  </si>
  <si>
    <t>No</t>
  </si>
  <si>
    <t>CURR</t>
  </si>
  <si>
    <t>LAST (CALCULATED)</t>
  </si>
  <si>
    <t>PR_INDEX</t>
  </si>
  <si>
    <t>NAME</t>
  </si>
  <si>
    <t>SHARES</t>
  </si>
  <si>
    <t>FLOAT</t>
  </si>
  <si>
    <t>CAPPING</t>
  </si>
  <si>
    <t>CHECK</t>
  </si>
  <si>
    <t>PREVIOUS CLOSE</t>
  </si>
  <si>
    <t>Composition</t>
  </si>
  <si>
    <t>PREVIOUS DAY CLOSE PRICE, PI(d-1)</t>
  </si>
  <si>
    <t>DIVISOR (t)</t>
  </si>
  <si>
    <t>DIVIDENDS, GD(t)</t>
  </si>
  <si>
    <t>MARKET CAPITALISATION, CAPI (t)</t>
  </si>
  <si>
    <t>SEQUENCE</t>
  </si>
  <si>
    <t/>
  </si>
  <si>
    <t>NXT_DATE</t>
  </si>
  <si>
    <t>NEW_SHARES</t>
  </si>
  <si>
    <t>ADJ_CLOSE</t>
  </si>
  <si>
    <t>INTRO</t>
  </si>
  <si>
    <t>REMOVAL</t>
  </si>
  <si>
    <t>NXT_FREE_FLOAT</t>
  </si>
  <si>
    <t>NXT_CAPPING</t>
  </si>
  <si>
    <t>CMP_DAY</t>
  </si>
  <si>
    <t>HISTORY OF THE INDEXES COMPOSITION FOR THE WHOLE DAY</t>
  </si>
  <si>
    <t>STATISTICS FOR INDEXES FOR THE BACK HISTORY</t>
  </si>
  <si>
    <t>SUMMARY</t>
  </si>
  <si>
    <t>TEST AN INDEX</t>
  </si>
  <si>
    <t>MAR_NAME</t>
  </si>
  <si>
    <t>No Compo pre</t>
  </si>
  <si>
    <t>No Compo intro</t>
  </si>
  <si>
    <t>No Compo removal</t>
  </si>
  <si>
    <t>No Compo next</t>
  </si>
  <si>
    <t>No_list</t>
  </si>
  <si>
    <t>IDX_DATE</t>
  </si>
  <si>
    <t>TICKER</t>
  </si>
  <si>
    <t>AAM</t>
  </si>
  <si>
    <t>ABT</t>
  </si>
  <si>
    <t>ACB</t>
  </si>
  <si>
    <t>ACC</t>
  </si>
  <si>
    <t>ACL</t>
  </si>
  <si>
    <t>ADC</t>
  </si>
  <si>
    <t>AGD</t>
  </si>
  <si>
    <t>AGF</t>
  </si>
  <si>
    <t>AGR</t>
  </si>
  <si>
    <t>ALP</t>
  </si>
  <si>
    <t>ALT</t>
  </si>
  <si>
    <t>ALV</t>
  </si>
  <si>
    <t>AMC</t>
  </si>
  <si>
    <t>AME</t>
  </si>
  <si>
    <t>AMV</t>
  </si>
  <si>
    <t>ANV</t>
  </si>
  <si>
    <t>APC</t>
  </si>
  <si>
    <t>APG</t>
  </si>
  <si>
    <t>API</t>
  </si>
  <si>
    <t>APP</t>
  </si>
  <si>
    <t>APS</t>
  </si>
  <si>
    <t>ARM</t>
  </si>
  <si>
    <t>ASA</t>
  </si>
  <si>
    <t>ASIAGF</t>
  </si>
  <si>
    <t>ASM</t>
  </si>
  <si>
    <t>ASP</t>
  </si>
  <si>
    <t>ATA</t>
  </si>
  <si>
    <t>AVF</t>
  </si>
  <si>
    <t>AVS</t>
  </si>
  <si>
    <t>B82</t>
  </si>
  <si>
    <t>BBC</t>
  </si>
  <si>
    <t>BBS</t>
  </si>
  <si>
    <t>BCC</t>
  </si>
  <si>
    <t>BCE</t>
  </si>
  <si>
    <t>BCI</t>
  </si>
  <si>
    <t>BDB</t>
  </si>
  <si>
    <t>BED</t>
  </si>
  <si>
    <t>BGM</t>
  </si>
  <si>
    <t>BHC</t>
  </si>
  <si>
    <t>BHS</t>
  </si>
  <si>
    <t>BHT</t>
  </si>
  <si>
    <t>BHV</t>
  </si>
  <si>
    <t>BIC</t>
  </si>
  <si>
    <t>BKC</t>
  </si>
  <si>
    <t>BLF</t>
  </si>
  <si>
    <t>BMC</t>
  </si>
  <si>
    <t>BMI</t>
  </si>
  <si>
    <t>BMP</t>
  </si>
  <si>
    <t>BPC</t>
  </si>
  <si>
    <t>BRC</t>
  </si>
  <si>
    <t>BSC</t>
  </si>
  <si>
    <t>BSI</t>
  </si>
  <si>
    <t>BST</t>
  </si>
  <si>
    <t>BT6</t>
  </si>
  <si>
    <t>BTH</t>
  </si>
  <si>
    <t>BTP</t>
  </si>
  <si>
    <t>BTS</t>
  </si>
  <si>
    <t>BTT</t>
  </si>
  <si>
    <t>BVG</t>
  </si>
  <si>
    <t>BVH</t>
  </si>
  <si>
    <t>BVS</t>
  </si>
  <si>
    <t>BXH</t>
  </si>
  <si>
    <t>C21</t>
  </si>
  <si>
    <t>C47</t>
  </si>
  <si>
    <t>C92</t>
  </si>
  <si>
    <t>CAN</t>
  </si>
  <si>
    <t>CAP</t>
  </si>
  <si>
    <t>CCI</t>
  </si>
  <si>
    <t>CCL</t>
  </si>
  <si>
    <t>CCM</t>
  </si>
  <si>
    <t>CDC</t>
  </si>
  <si>
    <t>CIC</t>
  </si>
  <si>
    <t>CID</t>
  </si>
  <si>
    <t>CIG</t>
  </si>
  <si>
    <t>CII</t>
  </si>
  <si>
    <t>CJC</t>
  </si>
  <si>
    <t>CKV</t>
  </si>
  <si>
    <t>CLC</t>
  </si>
  <si>
    <t>CLG</t>
  </si>
  <si>
    <t>CLW</t>
  </si>
  <si>
    <t>CMC</t>
  </si>
  <si>
    <t>CMG</t>
  </si>
  <si>
    <t>CMI</t>
  </si>
  <si>
    <t>CMS</t>
  </si>
  <si>
    <t>CMT</t>
  </si>
  <si>
    <t>CMV</t>
  </si>
  <si>
    <t>CMX</t>
  </si>
  <si>
    <t>CNG</t>
  </si>
  <si>
    <t>CNT</t>
  </si>
  <si>
    <t>COM</t>
  </si>
  <si>
    <t>CPC</t>
  </si>
  <si>
    <t>CSC</t>
  </si>
  <si>
    <t>CSG</t>
  </si>
  <si>
    <t>CSM</t>
  </si>
  <si>
    <t>CT6</t>
  </si>
  <si>
    <t>CTA</t>
  </si>
  <si>
    <t>CTB</t>
  </si>
  <si>
    <t>CTC</t>
  </si>
  <si>
    <t>CTD</t>
  </si>
  <si>
    <t>CTG</t>
  </si>
  <si>
    <t>CTI</t>
  </si>
  <si>
    <t>CTM</t>
  </si>
  <si>
    <t>CTN</t>
  </si>
  <si>
    <t>CTS</t>
  </si>
  <si>
    <t>CTV</t>
  </si>
  <si>
    <t>CTX</t>
  </si>
  <si>
    <t>CVN</t>
  </si>
  <si>
    <t>CVT</t>
  </si>
  <si>
    <t>CX8</t>
  </si>
  <si>
    <t>CYC</t>
  </si>
  <si>
    <t>D11</t>
  </si>
  <si>
    <t>D2D</t>
  </si>
  <si>
    <t>DAC</t>
  </si>
  <si>
    <t>DAD</t>
  </si>
  <si>
    <t>DAE</t>
  </si>
  <si>
    <t>DAG</t>
  </si>
  <si>
    <t>DBC</t>
  </si>
  <si>
    <t>DBT</t>
  </si>
  <si>
    <t>DC2</t>
  </si>
  <si>
    <t>DC4</t>
  </si>
  <si>
    <t>DCL</t>
  </si>
  <si>
    <t>DCS</t>
  </si>
  <si>
    <t>DCT</t>
  </si>
  <si>
    <t>DDM</t>
  </si>
  <si>
    <t>DHA</t>
  </si>
  <si>
    <t>DHC</t>
  </si>
  <si>
    <t>DHG</t>
  </si>
  <si>
    <t>DHI</t>
  </si>
  <si>
    <t>DHL</t>
  </si>
  <si>
    <t>DHM</t>
  </si>
  <si>
    <t>DHT</t>
  </si>
  <si>
    <t>DIC</t>
  </si>
  <si>
    <t>DID</t>
  </si>
  <si>
    <t>DIG</t>
  </si>
  <si>
    <t>DIH</t>
  </si>
  <si>
    <t>DL1</t>
  </si>
  <si>
    <t>DLG</t>
  </si>
  <si>
    <t>DLR</t>
  </si>
  <si>
    <t>DMC</t>
  </si>
  <si>
    <t>DNC</t>
  </si>
  <si>
    <t>DNM</t>
  </si>
  <si>
    <t>DNP</t>
  </si>
  <si>
    <t>DNY</t>
  </si>
  <si>
    <t>DPC</t>
  </si>
  <si>
    <t>DPR</t>
  </si>
  <si>
    <t>DQC</t>
  </si>
  <si>
    <t>DRC</t>
  </si>
  <si>
    <t>DRH</t>
  </si>
  <si>
    <t>DRL</t>
  </si>
  <si>
    <t>DSN</t>
  </si>
  <si>
    <t>DST</t>
  </si>
  <si>
    <t>DTA</t>
  </si>
  <si>
    <t>DTC</t>
  </si>
  <si>
    <t>DTL</t>
  </si>
  <si>
    <t>DTT</t>
  </si>
  <si>
    <t>DVP</t>
  </si>
  <si>
    <t>DXG</t>
  </si>
  <si>
    <t>DXP</t>
  </si>
  <si>
    <t>DXV</t>
  </si>
  <si>
    <t>DZM</t>
  </si>
  <si>
    <t>EBS</t>
  </si>
  <si>
    <t>ECI</t>
  </si>
  <si>
    <t>EFI</t>
  </si>
  <si>
    <t>EIB</t>
  </si>
  <si>
    <t>EID</t>
  </si>
  <si>
    <t>ELC</t>
  </si>
  <si>
    <t>EVE</t>
  </si>
  <si>
    <t>FBT</t>
  </si>
  <si>
    <t>FCN</t>
  </si>
  <si>
    <t>FDC</t>
  </si>
  <si>
    <t>FDG</t>
  </si>
  <si>
    <t>FDT</t>
  </si>
  <si>
    <t>FLC</t>
  </si>
  <si>
    <t>FMC</t>
  </si>
  <si>
    <t>FPT</t>
  </si>
  <si>
    <t>GAS</t>
  </si>
  <si>
    <t>GBS</t>
  </si>
  <si>
    <t>GDT</t>
  </si>
  <si>
    <t>GFC</t>
  </si>
  <si>
    <t>GGG</t>
  </si>
  <si>
    <t>GIL</t>
  </si>
  <si>
    <t>GLT</t>
  </si>
  <si>
    <t>GMC</t>
  </si>
  <si>
    <t>GMD</t>
  </si>
  <si>
    <t>GMX</t>
  </si>
  <si>
    <t>GSP</t>
  </si>
  <si>
    <t>GTA</t>
  </si>
  <si>
    <t>GTT</t>
  </si>
  <si>
    <t>HAD</t>
  </si>
  <si>
    <t>HAG</t>
  </si>
  <si>
    <t>HAI</t>
  </si>
  <si>
    <t>HAP</t>
  </si>
  <si>
    <t>HAS</t>
  </si>
  <si>
    <t>HAT</t>
  </si>
  <si>
    <t>HAX</t>
  </si>
  <si>
    <t>HBC</t>
  </si>
  <si>
    <t>HBD</t>
  </si>
  <si>
    <t>HBE</t>
  </si>
  <si>
    <t>HBS</t>
  </si>
  <si>
    <t>HCC</t>
  </si>
  <si>
    <t>HCM</t>
  </si>
  <si>
    <t>HCT</t>
  </si>
  <si>
    <t>HDA</t>
  </si>
  <si>
    <t>HDC</t>
  </si>
  <si>
    <t>HDG</t>
  </si>
  <si>
    <t>HDO</t>
  </si>
  <si>
    <t>HEV</t>
  </si>
  <si>
    <t>HGM</t>
  </si>
  <si>
    <t>HHC</t>
  </si>
  <si>
    <t>HHG</t>
  </si>
  <si>
    <t>HHL</t>
  </si>
  <si>
    <t>HHS</t>
  </si>
  <si>
    <t>HJS</t>
  </si>
  <si>
    <t>HLA</t>
  </si>
  <si>
    <t>HLC</t>
  </si>
  <si>
    <t>HLG</t>
  </si>
  <si>
    <t>HLY</t>
  </si>
  <si>
    <t>HMC</t>
  </si>
  <si>
    <t>HMH</t>
  </si>
  <si>
    <t>HNM</t>
  </si>
  <si>
    <t>HOM</t>
  </si>
  <si>
    <t>HOT</t>
  </si>
  <si>
    <t>HPB</t>
  </si>
  <si>
    <t>HPC</t>
  </si>
  <si>
    <t>HPG</t>
  </si>
  <si>
    <t>HPR</t>
  </si>
  <si>
    <t>HPS</t>
  </si>
  <si>
    <t>HQC</t>
  </si>
  <si>
    <t>HRC</t>
  </si>
  <si>
    <t>HSG</t>
  </si>
  <si>
    <t>HSI</t>
  </si>
  <si>
    <t>HST</t>
  </si>
  <si>
    <t>HT1</t>
  </si>
  <si>
    <t>HTB</t>
  </si>
  <si>
    <t>HTC</t>
  </si>
  <si>
    <t>HTI</t>
  </si>
  <si>
    <t>HTL</t>
  </si>
  <si>
    <t>HTP</t>
  </si>
  <si>
    <t>HTV</t>
  </si>
  <si>
    <t>HU1</t>
  </si>
  <si>
    <t>HU3</t>
  </si>
  <si>
    <t>HUT</t>
  </si>
  <si>
    <t>HVG</t>
  </si>
  <si>
    <t>HVT</t>
  </si>
  <si>
    <t>HVX</t>
  </si>
  <si>
    <t>ICF</t>
  </si>
  <si>
    <t>ICG</t>
  </si>
  <si>
    <t>IDI</t>
  </si>
  <si>
    <t>IDJ</t>
  </si>
  <si>
    <t>IDV</t>
  </si>
  <si>
    <t>IFS</t>
  </si>
  <si>
    <t>IJC</t>
  </si>
  <si>
    <t>ILC</t>
  </si>
  <si>
    <t>IMP</t>
  </si>
  <si>
    <t>INC</t>
  </si>
  <si>
    <t>INN</t>
  </si>
  <si>
    <t>ITA</t>
  </si>
  <si>
    <t>ITC</t>
  </si>
  <si>
    <t>ITD</t>
  </si>
  <si>
    <t>IVS</t>
  </si>
  <si>
    <t>JVC</t>
  </si>
  <si>
    <t>KAC</t>
  </si>
  <si>
    <t>KBC</t>
  </si>
  <si>
    <t>KBT</t>
  </si>
  <si>
    <t>KDC</t>
  </si>
  <si>
    <t>KDH</t>
  </si>
  <si>
    <t>KHA</t>
  </si>
  <si>
    <t>KHB</t>
  </si>
  <si>
    <t>KHL</t>
  </si>
  <si>
    <t>KHP</t>
  </si>
  <si>
    <t>KKC</t>
  </si>
  <si>
    <t>KLS</t>
  </si>
  <si>
    <t>KMR</t>
  </si>
  <si>
    <t>KMT</t>
  </si>
  <si>
    <t>KSA</t>
  </si>
  <si>
    <t>KSB</t>
  </si>
  <si>
    <t>KSD</t>
  </si>
  <si>
    <t>KSH</t>
  </si>
  <si>
    <t>KSS</t>
  </si>
  <si>
    <t>KST</t>
  </si>
  <si>
    <t>KTB</t>
  </si>
  <si>
    <t>KTS</t>
  </si>
  <si>
    <t>KTT</t>
  </si>
  <si>
    <t>L10</t>
  </si>
  <si>
    <t>L14</t>
  </si>
  <si>
    <t>L18</t>
  </si>
  <si>
    <t>L35</t>
  </si>
  <si>
    <t>L43</t>
  </si>
  <si>
    <t>L44</t>
  </si>
  <si>
    <t>L61</t>
  </si>
  <si>
    <t>L62</t>
  </si>
  <si>
    <t>LAF</t>
  </si>
  <si>
    <t>LAS</t>
  </si>
  <si>
    <t>LBE</t>
  </si>
  <si>
    <t>LBM</t>
  </si>
  <si>
    <t>LCD</t>
  </si>
  <si>
    <t>LCG</t>
  </si>
  <si>
    <t>LCM</t>
  </si>
  <si>
    <t>LCS</t>
  </si>
  <si>
    <t>LDP</t>
  </si>
  <si>
    <t>LGC</t>
  </si>
  <si>
    <t>LGL</t>
  </si>
  <si>
    <t>LHC</t>
  </si>
  <si>
    <t>LHG</t>
  </si>
  <si>
    <t>LIG</t>
  </si>
  <si>
    <t>LIX</t>
  </si>
  <si>
    <t>LM3</t>
  </si>
  <si>
    <t>LM7</t>
  </si>
  <si>
    <t>LM8</t>
  </si>
  <si>
    <t>LO5</t>
  </si>
  <si>
    <t>LSS</t>
  </si>
  <si>
    <t>LTC</t>
  </si>
  <si>
    <t>LUT</t>
  </si>
  <si>
    <t>MAC</t>
  </si>
  <si>
    <t>MAFPF1</t>
  </si>
  <si>
    <t>MAX</t>
  </si>
  <si>
    <t>MBB</t>
  </si>
  <si>
    <t>MCC</t>
  </si>
  <si>
    <t>MCF</t>
  </si>
  <si>
    <t>MCG</t>
  </si>
  <si>
    <t>MCL</t>
  </si>
  <si>
    <t>MCO</t>
  </si>
  <si>
    <t>MCP</t>
  </si>
  <si>
    <t>MDC</t>
  </si>
  <si>
    <t>MDG</t>
  </si>
  <si>
    <t>MEC</t>
  </si>
  <si>
    <t>MHC</t>
  </si>
  <si>
    <t>MHL</t>
  </si>
  <si>
    <t>MIC</t>
  </si>
  <si>
    <t>MIH</t>
  </si>
  <si>
    <t>MIM</t>
  </si>
  <si>
    <t>MKV</t>
  </si>
  <si>
    <t>MMC</t>
  </si>
  <si>
    <t>MNC</t>
  </si>
  <si>
    <t>MPC</t>
  </si>
  <si>
    <t>MSN</t>
  </si>
  <si>
    <t>MTG</t>
  </si>
  <si>
    <t>NAG</t>
  </si>
  <si>
    <t>NAV</t>
  </si>
  <si>
    <t>NBB</t>
  </si>
  <si>
    <t>NBC</t>
  </si>
  <si>
    <t>NBP</t>
  </si>
  <si>
    <t>NDN</t>
  </si>
  <si>
    <t>NET</t>
  </si>
  <si>
    <t>NGC</t>
  </si>
  <si>
    <t>NHA</t>
  </si>
  <si>
    <t>NHC</t>
  </si>
  <si>
    <t>NHS</t>
  </si>
  <si>
    <t>NHW</t>
  </si>
  <si>
    <t>NIS</t>
  </si>
  <si>
    <t>NKG</t>
  </si>
  <si>
    <t>NLC</t>
  </si>
  <si>
    <t>NNC</t>
  </si>
  <si>
    <t>NPS</t>
  </si>
  <si>
    <t>NSC</t>
  </si>
  <si>
    <t>NSN</t>
  </si>
  <si>
    <t>NST</t>
  </si>
  <si>
    <t>NTB</t>
  </si>
  <si>
    <t>NTL</t>
  </si>
  <si>
    <t>NTP</t>
  </si>
  <si>
    <t>NVB</t>
  </si>
  <si>
    <t>NVC</t>
  </si>
  <si>
    <t>NVN</t>
  </si>
  <si>
    <t>NVT</t>
  </si>
  <si>
    <t>OCH</t>
  </si>
  <si>
    <t>OGC</t>
  </si>
  <si>
    <t>ONE</t>
  </si>
  <si>
    <t>OPC</t>
  </si>
  <si>
    <t>ORS</t>
  </si>
  <si>
    <t>PAC</t>
  </si>
  <si>
    <t>PAN</t>
  </si>
  <si>
    <t>PDC</t>
  </si>
  <si>
    <t>PDN</t>
  </si>
  <si>
    <t>PDR</t>
  </si>
  <si>
    <t>PGC</t>
  </si>
  <si>
    <t>PGI</t>
  </si>
  <si>
    <t>PGT</t>
  </si>
  <si>
    <t>PHC</t>
  </si>
  <si>
    <t>PHH</t>
  </si>
  <si>
    <t>PHR</t>
  </si>
  <si>
    <t>PHS</t>
  </si>
  <si>
    <t>PHT</t>
  </si>
  <si>
    <t>PIT</t>
  </si>
  <si>
    <t>PIV</t>
  </si>
  <si>
    <t>PJC</t>
  </si>
  <si>
    <t>PJT</t>
  </si>
  <si>
    <t>PLC</t>
  </si>
  <si>
    <t>PMC</t>
  </si>
  <si>
    <t>PMS</t>
  </si>
  <si>
    <t>PNC</t>
  </si>
  <si>
    <t>PNJ</t>
  </si>
  <si>
    <t>POM</t>
  </si>
  <si>
    <t>POT</t>
  </si>
  <si>
    <t>PPC</t>
  </si>
  <si>
    <t>PPG</t>
  </si>
  <si>
    <t>PPI</t>
  </si>
  <si>
    <t>PPP</t>
  </si>
  <si>
    <t>PRC</t>
  </si>
  <si>
    <t>PRUBF1</t>
  </si>
  <si>
    <t>PSC</t>
  </si>
  <si>
    <t>PTB</t>
  </si>
  <si>
    <t>PTC</t>
  </si>
  <si>
    <t>PTI</t>
  </si>
  <si>
    <t>PTM</t>
  </si>
  <si>
    <t>PTS</t>
  </si>
  <si>
    <t>PV2</t>
  </si>
  <si>
    <t>PVA</t>
  </si>
  <si>
    <t>PVL</t>
  </si>
  <si>
    <t>PVV</t>
  </si>
  <si>
    <t>PXA</t>
  </si>
  <si>
    <t>PXL</t>
  </si>
  <si>
    <t>QCC</t>
  </si>
  <si>
    <t>QCG</t>
  </si>
  <si>
    <t>QHD</t>
  </si>
  <si>
    <t>QNC</t>
  </si>
  <si>
    <t>QST</t>
  </si>
  <si>
    <t>QTC</t>
  </si>
  <si>
    <t>RAL</t>
  </si>
  <si>
    <t>RCL</t>
  </si>
  <si>
    <t>RDP</t>
  </si>
  <si>
    <t>REE</t>
  </si>
  <si>
    <t>RHC</t>
  </si>
  <si>
    <t>RIC</t>
  </si>
  <si>
    <t>S12</t>
  </si>
  <si>
    <t>S27</t>
  </si>
  <si>
    <t>S55</t>
  </si>
  <si>
    <t>S74</t>
  </si>
  <si>
    <t>S91</t>
  </si>
  <si>
    <t>S96</t>
  </si>
  <si>
    <t>S99</t>
  </si>
  <si>
    <t>SAF</t>
  </si>
  <si>
    <t>SAM</t>
  </si>
  <si>
    <t>SAP</t>
  </si>
  <si>
    <t>SAV</t>
  </si>
  <si>
    <t>SBA</t>
  </si>
  <si>
    <t>SBC</t>
  </si>
  <si>
    <t>SBS</t>
  </si>
  <si>
    <t>SBT</t>
  </si>
  <si>
    <t>SC5</t>
  </si>
  <si>
    <t>SCC</t>
  </si>
  <si>
    <t>SCD</t>
  </si>
  <si>
    <t>SCJ</t>
  </si>
  <si>
    <t>SCL</t>
  </si>
  <si>
    <t>SCR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</si>
  <si>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</si>
  <si>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</si>
  <si>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</si>
  <si>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</si>
  <si>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</si>
  <si>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</si>
  <si>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</si>
  <si>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</si>
  <si>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</si>
  <si>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SDA</t>
  </si>
  <si>
    <t>SDB</t>
  </si>
  <si>
    <t>SDC</t>
  </si>
  <si>
    <t>SDD</t>
  </si>
  <si>
    <t>SDE</t>
  </si>
  <si>
    <t>SDG</t>
  </si>
  <si>
    <t>SDH</t>
  </si>
  <si>
    <t>SDJ</t>
  </si>
  <si>
    <t>SDN</t>
  </si>
  <si>
    <t>SDP</t>
  </si>
  <si>
    <t>SDS</t>
  </si>
  <si>
    <t>SDT</t>
  </si>
  <si>
    <t>SDU</t>
  </si>
  <si>
    <t>SDY</t>
  </si>
  <si>
    <t>SEB</t>
  </si>
  <si>
    <t>SEC</t>
  </si>
  <si>
    <t>SED</t>
  </si>
  <si>
    <t>SEL</t>
  </si>
  <si>
    <t>SFC</t>
  </si>
  <si>
    <t>SFI</t>
  </si>
  <si>
    <t>SFN</t>
  </si>
  <si>
    <t>SGC</t>
  </si>
  <si>
    <t>SGD</t>
  </si>
  <si>
    <t>SGH</t>
  </si>
  <si>
    <t>SGT</t>
  </si>
  <si>
    <t>SHB</t>
  </si>
  <si>
    <t>SHC</t>
  </si>
  <si>
    <t>SHI</t>
  </si>
  <si>
    <t>SHN</t>
  </si>
  <si>
    <t>SHS</t>
  </si>
  <si>
    <t>SIC</t>
  </si>
  <si>
    <t>SJ1</t>
  </si>
  <si>
    <t>SJC</t>
  </si>
  <si>
    <t>SJD</t>
  </si>
  <si>
    <t>SJE</t>
  </si>
  <si>
    <t>SJM</t>
  </si>
  <si>
    <t>SJS</t>
  </si>
  <si>
    <t>SKS</t>
  </si>
  <si>
    <t>SMA</t>
  </si>
  <si>
    <t>SMC</t>
  </si>
  <si>
    <t>SME</t>
  </si>
  <si>
    <t>SMT</t>
  </si>
  <si>
    <t>SNG</t>
  </si>
  <si>
    <t>SPM</t>
  </si>
  <si>
    <t>SPP</t>
  </si>
  <si>
    <t>SQC</t>
  </si>
  <si>
    <t>SRA</t>
  </si>
  <si>
    <t>SRB</t>
  </si>
  <si>
    <t>SRC</t>
  </si>
  <si>
    <t>SRF</t>
  </si>
  <si>
    <t>SSC</t>
  </si>
  <si>
    <t>SSG</t>
  </si>
  <si>
    <t>SSI</t>
  </si>
  <si>
    <t>SSM</t>
  </si>
  <si>
    <t>ST8</t>
  </si>
  <si>
    <t>STB</t>
  </si>
  <si>
    <t>STC</t>
  </si>
  <si>
    <t>STG</t>
  </si>
  <si>
    <t>STL</t>
  </si>
  <si>
    <t>STP</t>
  </si>
  <si>
    <t>STT</t>
  </si>
  <si>
    <t>SVC</t>
  </si>
  <si>
    <t>SVI</t>
  </si>
  <si>
    <t>SVN</t>
  </si>
  <si>
    <t>SVS</t>
  </si>
  <si>
    <t>SVT</t>
  </si>
  <si>
    <t>SZL</t>
  </si>
  <si>
    <t>TAC</t>
  </si>
  <si>
    <t>TAG</t>
  </si>
  <si>
    <t>TAS</t>
  </si>
  <si>
    <t>TBC</t>
  </si>
  <si>
    <t>TBX</t>
  </si>
  <si>
    <t>TC6</t>
  </si>
  <si>
    <t>TCL</t>
  </si>
  <si>
    <t>TCM</t>
  </si>
  <si>
    <t>TCO</t>
  </si>
  <si>
    <t>TCR</t>
  </si>
  <si>
    <t>TCS</t>
  </si>
  <si>
    <t>TCT</t>
  </si>
  <si>
    <t>TDC</t>
  </si>
  <si>
    <t>TDH</t>
  </si>
  <si>
    <t>TDN</t>
  </si>
  <si>
    <t>TDW</t>
  </si>
  <si>
    <t>TET</t>
  </si>
  <si>
    <t>TH1</t>
  </si>
  <si>
    <t>THB</t>
  </si>
  <si>
    <t>THG</t>
  </si>
  <si>
    <t>THT</t>
  </si>
  <si>
    <t>THV</t>
  </si>
  <si>
    <t>TIC</t>
  </si>
  <si>
    <t>TIE</t>
  </si>
  <si>
    <t>TIG</t>
  </si>
  <si>
    <t>TIX</t>
  </si>
  <si>
    <t>TJC</t>
  </si>
  <si>
    <t>TKC</t>
  </si>
  <si>
    <t>TKU</t>
  </si>
  <si>
    <t>TLC</t>
  </si>
  <si>
    <t>TLG</t>
  </si>
  <si>
    <t>TLH</t>
  </si>
  <si>
    <t>TLT</t>
  </si>
  <si>
    <t>TMC</t>
  </si>
  <si>
    <t>TMP</t>
  </si>
  <si>
    <t>TMS</t>
  </si>
  <si>
    <t>TMT</t>
  </si>
  <si>
    <t>TMX</t>
  </si>
  <si>
    <t>TNA</t>
  </si>
  <si>
    <t>TNC</t>
  </si>
  <si>
    <t>TNG</t>
  </si>
  <si>
    <t>TNT</t>
  </si>
  <si>
    <t>TPC</t>
  </si>
  <si>
    <t>TPH</t>
  </si>
  <si>
    <t>TPP</t>
  </si>
  <si>
    <t>TRA</t>
  </si>
  <si>
    <t>TRC</t>
  </si>
  <si>
    <t>TS4</t>
  </si>
  <si>
    <t>TSB</t>
  </si>
  <si>
    <t>TSC</t>
  </si>
  <si>
    <t>TSM</t>
  </si>
  <si>
    <t>TST</t>
  </si>
  <si>
    <t>TTC</t>
  </si>
  <si>
    <t>TTF</t>
  </si>
  <si>
    <t>TTP</t>
  </si>
  <si>
    <t>TV1</t>
  </si>
  <si>
    <t>TV2</t>
  </si>
  <si>
    <t>TV3</t>
  </si>
  <si>
    <t>TV4</t>
  </si>
  <si>
    <t>TVD</t>
  </si>
  <si>
    <t>TXM</t>
  </si>
  <si>
    <t>TYA</t>
  </si>
  <si>
    <t>UDC</t>
  </si>
  <si>
    <t>UIC</t>
  </si>
  <si>
    <t>UNI</t>
  </si>
  <si>
    <t>V12</t>
  </si>
  <si>
    <t>V15</t>
  </si>
  <si>
    <t>V21</t>
  </si>
  <si>
    <t>VAT</t>
  </si>
  <si>
    <t>VBC</t>
  </si>
  <si>
    <t>VBH</t>
  </si>
  <si>
    <t>VC1</t>
  </si>
  <si>
    <t>VC2</t>
  </si>
  <si>
    <t>VC3</t>
  </si>
  <si>
    <t>VC5</t>
  </si>
  <si>
    <t>VC6</t>
  </si>
  <si>
    <t>VC7</t>
  </si>
  <si>
    <t>VC9</t>
  </si>
  <si>
    <t>VCB</t>
  </si>
  <si>
    <t>VCC</t>
  </si>
  <si>
    <t>VCF</t>
  </si>
  <si>
    <t>VCG</t>
  </si>
  <si>
    <t>VCH</t>
  </si>
  <si>
    <t>VCM</t>
  </si>
  <si>
    <t>VCR</t>
  </si>
  <si>
    <t>VCS</t>
  </si>
  <si>
    <t>VCV</t>
  </si>
  <si>
    <t>VDL</t>
  </si>
  <si>
    <t>VDS</t>
  </si>
  <si>
    <t>VE1</t>
  </si>
  <si>
    <t>VE2</t>
  </si>
  <si>
    <t>VE3</t>
  </si>
  <si>
    <t>VE8</t>
  </si>
  <si>
    <t>VE9</t>
  </si>
  <si>
    <t>VES</t>
  </si>
  <si>
    <t>VFC</t>
  </si>
  <si>
    <t>VFG</t>
  </si>
  <si>
    <t>VFMVF1</t>
  </si>
  <si>
    <t>VFMVF4</t>
  </si>
  <si>
    <t>VFMVFA</t>
  </si>
  <si>
    <t>VFR</t>
  </si>
  <si>
    <t>VGP</t>
  </si>
  <si>
    <t>VGS</t>
  </si>
  <si>
    <t>VHC</t>
  </si>
  <si>
    <t>VHG</t>
  </si>
  <si>
    <t>VHH</t>
  </si>
  <si>
    <t>VHL</t>
  </si>
  <si>
    <t>VIC</t>
  </si>
  <si>
    <t>VID</t>
  </si>
  <si>
    <t>VIE</t>
  </si>
  <si>
    <t>VIG</t>
  </si>
  <si>
    <t>VIP</t>
  </si>
  <si>
    <t>VIS</t>
  </si>
  <si>
    <t>VIT</t>
  </si>
  <si>
    <t>VIX</t>
  </si>
  <si>
    <t>VKC</t>
  </si>
  <si>
    <t>VLA</t>
  </si>
  <si>
    <t>VLF</t>
  </si>
  <si>
    <t>VMC</t>
  </si>
  <si>
    <t>VMD</t>
  </si>
  <si>
    <t>VNA</t>
  </si>
  <si>
    <t>VNC</t>
  </si>
  <si>
    <t>VNE</t>
  </si>
  <si>
    <t>VNF</t>
  </si>
  <si>
    <t>VNG</t>
  </si>
  <si>
    <t>VNH</t>
  </si>
  <si>
    <t>VNI</t>
  </si>
  <si>
    <t>VNL</t>
  </si>
  <si>
    <t>VNM</t>
  </si>
  <si>
    <t>VNR</t>
  </si>
  <si>
    <t>VNS</t>
  </si>
  <si>
    <t>VNT</t>
  </si>
  <si>
    <t>VOS</t>
  </si>
  <si>
    <t>VPC</t>
  </si>
  <si>
    <t>VPH</t>
  </si>
  <si>
    <t>VPK</t>
  </si>
  <si>
    <t>VRC</t>
  </si>
  <si>
    <t>VSC</t>
  </si>
  <si>
    <t>VSG</t>
  </si>
  <si>
    <t>VSH</t>
  </si>
  <si>
    <t>VSI</t>
  </si>
  <si>
    <t>VST</t>
  </si>
  <si>
    <t>VTB</t>
  </si>
  <si>
    <t>VTC</t>
  </si>
  <si>
    <t>VTF</t>
  </si>
  <si>
    <t>VTL</t>
  </si>
  <si>
    <t>VTO</t>
  </si>
  <si>
    <t>VTS</t>
  </si>
  <si>
    <t>VTV</t>
  </si>
  <si>
    <t>VXB</t>
  </si>
  <si>
    <t>WCS</t>
  </si>
  <si>
    <t>WSS</t>
  </si>
  <si>
    <t>XMC</t>
  </si>
  <si>
    <t>YBC</t>
  </si>
  <si>
    <t>HBB</t>
  </si>
  <si>
    <t>S64</t>
  </si>
  <si>
    <t>SSS</t>
  </si>
  <si>
    <t>ABI</t>
  </si>
  <si>
    <t>ACE</t>
  </si>
  <si>
    <t>ADP</t>
  </si>
  <si>
    <t>BMJ</t>
  </si>
  <si>
    <t>BTC</t>
  </si>
  <si>
    <t>BTG</t>
  </si>
  <si>
    <t>BTW</t>
  </si>
  <si>
    <t>BVN</t>
  </si>
  <si>
    <t>BWA</t>
  </si>
  <si>
    <t>BXD</t>
  </si>
  <si>
    <t>C32</t>
  </si>
  <si>
    <t>CFC</t>
  </si>
  <si>
    <t>CHP</t>
  </si>
  <si>
    <t>CI5</t>
  </si>
  <si>
    <t>CLS</t>
  </si>
  <si>
    <t>CT3</t>
  </si>
  <si>
    <t>CZC</t>
  </si>
  <si>
    <t>D26</t>
  </si>
  <si>
    <t>DAP</t>
  </si>
  <si>
    <t>DBF</t>
  </si>
  <si>
    <t>DBM</t>
  </si>
  <si>
    <t>DDN</t>
  </si>
  <si>
    <t>DGT</t>
  </si>
  <si>
    <t>DLC</t>
  </si>
  <si>
    <t>DLD</t>
  </si>
  <si>
    <t>DNF</t>
  </si>
  <si>
    <t>DNL</t>
  </si>
  <si>
    <t>DNS</t>
  </si>
  <si>
    <t>DNT</t>
  </si>
  <si>
    <t>DPP</t>
  </si>
  <si>
    <t>DTV</t>
  </si>
  <si>
    <t>DVH</t>
  </si>
  <si>
    <t>DXL</t>
  </si>
  <si>
    <t>FBA</t>
  </si>
  <si>
    <t>GDW</t>
  </si>
  <si>
    <t>GER</t>
  </si>
  <si>
    <t>GHC</t>
  </si>
  <si>
    <t>GTH</t>
  </si>
  <si>
    <t>H11</t>
  </si>
  <si>
    <t>HCI</t>
  </si>
  <si>
    <t>HDM</t>
  </si>
  <si>
    <t>HFC</t>
  </si>
  <si>
    <t>HFX</t>
  </si>
  <si>
    <t>HIG</t>
  </si>
  <si>
    <t>HPL</t>
  </si>
  <si>
    <t>HPP</t>
  </si>
  <si>
    <t>HPT</t>
  </si>
  <si>
    <t>I40</t>
  </si>
  <si>
    <t>ICI</t>
  </si>
  <si>
    <t>IHK</t>
  </si>
  <si>
    <t>IME</t>
  </si>
  <si>
    <t>IN4</t>
  </si>
  <si>
    <t>JSC</t>
  </si>
  <si>
    <t>KBE</t>
  </si>
  <si>
    <t>KCE</t>
  </si>
  <si>
    <t>KSC</t>
  </si>
  <si>
    <t>LCC</t>
  </si>
  <si>
    <t>LKW</t>
  </si>
  <si>
    <t>MAS</t>
  </si>
  <si>
    <t>MDF</t>
  </si>
  <si>
    <t>MEF</t>
  </si>
  <si>
    <t>MTC</t>
  </si>
  <si>
    <t>MTH</t>
  </si>
  <si>
    <t>MTP</t>
  </si>
  <si>
    <t>NBW</t>
  </si>
  <si>
    <t>ND2</t>
  </si>
  <si>
    <t>NDC</t>
  </si>
  <si>
    <t>NHN</t>
  </si>
  <si>
    <t>NNT</t>
  </si>
  <si>
    <t>NOS</t>
  </si>
  <si>
    <t>NSP</t>
  </si>
  <si>
    <t>NTW</t>
  </si>
  <si>
    <t>PEC</t>
  </si>
  <si>
    <t>PFV</t>
  </si>
  <si>
    <t>PJS</t>
  </si>
  <si>
    <t>PMT</t>
  </si>
  <si>
    <t>PSB</t>
  </si>
  <si>
    <t>PSL</t>
  </si>
  <si>
    <t>PTD</t>
  </si>
  <si>
    <t>PTG</t>
  </si>
  <si>
    <t>PTH</t>
  </si>
  <si>
    <t>PTP</t>
  </si>
  <si>
    <t>PX1</t>
  </si>
  <si>
    <t>REM</t>
  </si>
  <si>
    <t>S33</t>
  </si>
  <si>
    <t>SCO</t>
  </si>
  <si>
    <t>SDI</t>
  </si>
  <si>
    <t>SDK</t>
  </si>
  <si>
    <t>SDV</t>
  </si>
  <si>
    <t>SGS</t>
  </si>
  <si>
    <t>SHP</t>
  </si>
  <si>
    <t>SHV</t>
  </si>
  <si>
    <t>SMB</t>
  </si>
  <si>
    <t>SPC</t>
  </si>
  <si>
    <t>SPD</t>
  </si>
  <si>
    <t>SSF</t>
  </si>
  <si>
    <t>STS</t>
  </si>
  <si>
    <t>STU</t>
  </si>
  <si>
    <t>STV</t>
  </si>
  <si>
    <t>SWC</t>
  </si>
  <si>
    <t>TBT</t>
  </si>
  <si>
    <t>TDS</t>
  </si>
  <si>
    <t>TGP</t>
  </si>
  <si>
    <t>TIS</t>
  </si>
  <si>
    <t>TMW</t>
  </si>
  <si>
    <t>TNB</t>
  </si>
  <si>
    <t>TNM</t>
  </si>
  <si>
    <t>TNY</t>
  </si>
  <si>
    <t>TTG</t>
  </si>
  <si>
    <t>TTR</t>
  </si>
  <si>
    <t>TVG</t>
  </si>
  <si>
    <t>UDJ</t>
  </si>
  <si>
    <t>VCA</t>
  </si>
  <si>
    <t>VCT</t>
  </si>
  <si>
    <t>VDN</t>
  </si>
  <si>
    <t>VDT</t>
  </si>
  <si>
    <t>VHF</t>
  </si>
  <si>
    <t>VIR</t>
  </si>
  <si>
    <t>VKD</t>
  </si>
  <si>
    <t>VNX</t>
  </si>
  <si>
    <t>VQC</t>
  </si>
  <si>
    <t>VSP</t>
  </si>
  <si>
    <t>VT1</t>
  </si>
  <si>
    <t>VTA</t>
  </si>
  <si>
    <t>VTI</t>
  </si>
  <si>
    <t>WSB</t>
  </si>
  <si>
    <t>WTC</t>
  </si>
  <si>
    <t>SOURCE</t>
  </si>
  <si>
    <t>MYSQL</t>
  </si>
  <si>
    <t>FILE</t>
  </si>
  <si>
    <t>ACTIVE</t>
  </si>
  <si>
    <t>EMPTY</t>
  </si>
  <si>
    <t>IDX_CALENDAR</t>
  </si>
  <si>
    <t>IDX_CALENDAR.txt</t>
  </si>
  <si>
    <t>MAR_REF.txt</t>
  </si>
  <si>
    <t>SEC_REF.txt</t>
  </si>
  <si>
    <t>STK_REF.txt</t>
  </si>
  <si>
    <t>IDX_REF.txt</t>
  </si>
  <si>
    <t>STK_PRICES.txt</t>
  </si>
  <si>
    <t>CUR_RATES.txt</t>
  </si>
  <si>
    <t>IDX_COMPO.txt</t>
  </si>
  <si>
    <t>IDX_COMPOSITION.txt</t>
  </si>
  <si>
    <t>IDX_SPECS.txt</t>
  </si>
  <si>
    <t>IDX_CA.txt</t>
  </si>
  <si>
    <t>STK_DIV.txt</t>
  </si>
  <si>
    <t>SUMMARY.txt</t>
  </si>
  <si>
    <t>FILESLIST</t>
  </si>
  <si>
    <t>IDX_FILES.txt</t>
  </si>
  <si>
    <t>SYS_FORMAT</t>
  </si>
  <si>
    <t>SYS_FORMAT.txt</t>
  </si>
  <si>
    <t xml:space="preserve"> </t>
  </si>
  <si>
    <t>SII</t>
  </si>
  <si>
    <t>AAA</t>
  </si>
  <si>
    <t>PREVDATE</t>
  </si>
  <si>
    <t>CURRDATE</t>
  </si>
  <si>
    <t>idx_code</t>
  </si>
  <si>
    <t>idx_name</t>
  </si>
  <si>
    <t>idx_curr</t>
  </si>
  <si>
    <t>idx_base</t>
  </si>
  <si>
    <t>idx_type</t>
  </si>
  <si>
    <t>idx_mother</t>
  </si>
  <si>
    <t>idx_divisor</t>
  </si>
  <si>
    <t>idx_mcap</t>
  </si>
  <si>
    <t>idx_last</t>
  </si>
  <si>
    <t>dates</t>
  </si>
  <si>
    <t>times</t>
  </si>
  <si>
    <t>records</t>
  </si>
  <si>
    <t>calculs</t>
  </si>
  <si>
    <t>publications</t>
  </si>
  <si>
    <t>idx_plast</t>
  </si>
  <si>
    <t>idx_dcap</t>
  </si>
  <si>
    <t>to_adjust</t>
  </si>
  <si>
    <t>idx_mcap_nxt</t>
  </si>
  <si>
    <t>idx_divisor_nxt</t>
  </si>
  <si>
    <t>idx_bbs</t>
  </si>
  <si>
    <t>idx_var</t>
  </si>
  <si>
    <t>idx_pclose</t>
  </si>
  <si>
    <t>PVN 10</t>
  </si>
  <si>
    <t>PVN 10 TR</t>
  </si>
  <si>
    <t>PVN ALLSHARE</t>
  </si>
  <si>
    <t>PVN ALLSHARE TR</t>
  </si>
  <si>
    <t>PVN ALLSHARE HSX</t>
  </si>
  <si>
    <t>PVN ALLSHARE HSX TR</t>
  </si>
  <si>
    <t>PVN ALLSHARE HNX</t>
  </si>
  <si>
    <t>PVN ALLSHARE HNX TR</t>
  </si>
  <si>
    <t>PVN BASIC MATERIALS</t>
  </si>
  <si>
    <t>PVN CONSUMER SERVICES</t>
  </si>
  <si>
    <t>PVN FINANCIALS</t>
  </si>
  <si>
    <t>PVN INDUSTRIALS</t>
  </si>
  <si>
    <t>PVN OIL &amp; GAS</t>
  </si>
  <si>
    <t>PVN UTILITIES</t>
  </si>
  <si>
    <t>PVN BASIC MATERIALS TR</t>
  </si>
  <si>
    <t>PVN CONSUMER SERVICES TR</t>
  </si>
  <si>
    <t>PVN FINANCIALS TR</t>
  </si>
  <si>
    <t>PVN INDUSTRIALS TR</t>
  </si>
  <si>
    <t>PVN OIL &amp; GAS TR</t>
  </si>
  <si>
    <t>PVN UTILITIES TR</t>
  </si>
  <si>
    <t>SAMPLE</t>
  </si>
  <si>
    <t>ims</t>
  </si>
  <si>
    <t>idx_conv</t>
  </si>
  <si>
    <t>idx_group</t>
  </si>
  <si>
    <t>ip_last</t>
  </si>
  <si>
    <t>ip_plast</t>
  </si>
  <si>
    <t>IDX_PCLOSE</t>
  </si>
  <si>
    <t>idx_dvar</t>
  </si>
  <si>
    <t>TEST</t>
  </si>
  <si>
    <t>PRICE INDEX</t>
  </si>
  <si>
    <t xml:space="preserve">TOTAL RETURN </t>
  </si>
  <si>
    <t>DIVISOR</t>
  </si>
  <si>
    <t>MARKET CAPITALISATION</t>
  </si>
  <si>
    <t>DIVIDEND</t>
  </si>
  <si>
    <t>IP (LAST CLOSE)</t>
  </si>
  <si>
    <t>IP (LAST)</t>
  </si>
  <si>
    <t>IR (LAST CLOSE)</t>
  </si>
  <si>
    <t>IMS</t>
  </si>
  <si>
    <t>IDX_GR</t>
  </si>
  <si>
    <t>IDX_GR_NAME</t>
  </si>
  <si>
    <t>IDX_SG</t>
  </si>
  <si>
    <t>IDX_SG_NAME</t>
  </si>
  <si>
    <t>TRAD</t>
  </si>
  <si>
    <t>Tradable</t>
  </si>
  <si>
    <t>BLCH</t>
  </si>
  <si>
    <t>BEMA</t>
  </si>
  <si>
    <t>ALSH</t>
  </si>
  <si>
    <t>Allshares</t>
  </si>
  <si>
    <t>SECT</t>
  </si>
  <si>
    <t>SIZE</t>
  </si>
  <si>
    <t>Size</t>
  </si>
  <si>
    <t>LVOL</t>
  </si>
  <si>
    <t>Low volatility</t>
  </si>
  <si>
    <t>EQWG</t>
  </si>
  <si>
    <t>Equa-weighted</t>
  </si>
  <si>
    <t>HDIV</t>
  </si>
  <si>
    <t>High dividend</t>
  </si>
  <si>
    <t>IDX_CAT</t>
  </si>
  <si>
    <t>IDX_CAT_NAME</t>
  </si>
  <si>
    <t>IDX_BBS_NAME</t>
  </si>
  <si>
    <t>EQUI</t>
  </si>
  <si>
    <t>Equity</t>
  </si>
  <si>
    <t>STAG</t>
  </si>
  <si>
    <t>Strategy</t>
  </si>
  <si>
    <t>STYL</t>
  </si>
  <si>
    <t>Style</t>
  </si>
  <si>
    <t>THEM</t>
  </si>
  <si>
    <t>Theme</t>
  </si>
  <si>
    <t>COMM</t>
  </si>
  <si>
    <t>Commodities</t>
  </si>
  <si>
    <t xml:space="preserve">NXT_STK_RLAST </t>
  </si>
  <si>
    <t>EVENT_CODE</t>
  </si>
  <si>
    <t>NSTK_CURR_CONV</t>
  </si>
  <si>
    <t>NSTK_MCAP_IDX</t>
  </si>
  <si>
    <t>IDX_START_DATE</t>
  </si>
  <si>
    <t>IDX_END_DATE</t>
  </si>
  <si>
    <t>nxt_date</t>
  </si>
  <si>
    <t>dvar</t>
  </si>
  <si>
    <t>EVENT_NAME</t>
  </si>
  <si>
    <t>STK_SPLIT</t>
  </si>
  <si>
    <t>VNXHM</t>
  </si>
  <si>
    <t>VNXHN</t>
  </si>
  <si>
    <t>VNXUC</t>
  </si>
  <si>
    <t>VNXBM</t>
  </si>
  <si>
    <t>VNXCS</t>
  </si>
  <si>
    <t>VNXFI</t>
  </si>
  <si>
    <t>VNXIN</t>
  </si>
  <si>
    <t>VNXOG</t>
  </si>
  <si>
    <t>VNXUT</t>
  </si>
  <si>
    <t>VN Basic Materials</t>
  </si>
  <si>
    <t>VN VẬT LIỆU CƠ BẢN</t>
  </si>
  <si>
    <t>VN Consumer Services</t>
  </si>
  <si>
    <t>VN DỊCH VỤ TIÊU DÙNG</t>
  </si>
  <si>
    <t>VN Financials</t>
  </si>
  <si>
    <t>VN DỊCH VỤ TÀI CHÍNH</t>
  </si>
  <si>
    <t>VN Industrials</t>
  </si>
  <si>
    <t>VN CÔNG NGHIỆP</t>
  </si>
  <si>
    <t>VN Oil &amp; Gas</t>
  </si>
  <si>
    <t>VN DẦU KHÍ</t>
  </si>
  <si>
    <t>VN Utilities</t>
  </si>
  <si>
    <t>VN TIỆN ÍCH</t>
  </si>
  <si>
    <t>VNX Fertilizer and Chemicals Corp</t>
  </si>
  <si>
    <t>VNX Fertilizer and Chemicals</t>
  </si>
  <si>
    <t>VNX General Services Joint Stock Corp</t>
  </si>
  <si>
    <t>VNX General Services</t>
  </si>
  <si>
    <t>VNX Finance Joint Stock Corp</t>
  </si>
  <si>
    <t>VNX Finance</t>
  </si>
  <si>
    <t>VNX Securities Incorporated</t>
  </si>
  <si>
    <t>VNX Insurance</t>
  </si>
  <si>
    <t>VNX Premier Recreation</t>
  </si>
  <si>
    <t>VNX Transportation Corp</t>
  </si>
  <si>
    <t>VNX Transportation</t>
  </si>
  <si>
    <t>VNX Investment Consultancy and Engineerin</t>
  </si>
  <si>
    <t>VNX Investment Consultancy and Engineering</t>
  </si>
  <si>
    <t>VNX Construction</t>
  </si>
  <si>
    <t>VNX Low Pressure Gas Distribution Joint S</t>
  </si>
  <si>
    <t>VNX Low Pressure Gas Distribution</t>
  </si>
  <si>
    <t xml:space="preserve">VNX Drilling &amp; Well Services Joint Stock </t>
  </si>
  <si>
    <t>VNX Drilling &amp; Well Services</t>
  </si>
  <si>
    <t>VNX Technical Services Corp</t>
  </si>
  <si>
    <t>VNX Technical Services</t>
  </si>
  <si>
    <t>VNX Southern Gas Joint Stock Co</t>
  </si>
  <si>
    <t>VNX Southern Gas</t>
  </si>
  <si>
    <t>VNX Northern Gas Joint Stock Co</t>
  </si>
  <si>
    <t>VNX Northern Gas</t>
  </si>
  <si>
    <t>VNX Power NhonTrach 2 Joint Stock Co</t>
  </si>
  <si>
    <t>VNX Power NhonTrach 2</t>
  </si>
  <si>
    <t>VNX10PRVND</t>
  </si>
  <si>
    <t>VNX 10 (VND)</t>
  </si>
  <si>
    <t xml:space="preserve">VNX 10 </t>
  </si>
  <si>
    <t>VNX10PRUSD</t>
  </si>
  <si>
    <t>VNX 10 (USD)</t>
  </si>
  <si>
    <t>VNX10PRJPY</t>
  </si>
  <si>
    <t>VNX 10 (JPY)</t>
  </si>
  <si>
    <t>VNX10PREUR</t>
  </si>
  <si>
    <t>VNX 10 (EUR)</t>
  </si>
  <si>
    <t>VNX10TRVND</t>
  </si>
  <si>
    <t>VNX 10 TR (VND)</t>
  </si>
  <si>
    <t xml:space="preserve">VNX 10 TR </t>
  </si>
  <si>
    <t>VNX10TRUSD</t>
  </si>
  <si>
    <t>VNX 10 TR (USD)</t>
  </si>
  <si>
    <t>VNX10TRJPY</t>
  </si>
  <si>
    <t>VNX 10 TR (JPY)</t>
  </si>
  <si>
    <t>VNX10TREUR</t>
  </si>
  <si>
    <t>VNX 10 TR (EUR)</t>
  </si>
  <si>
    <t>VNXASPRVND</t>
  </si>
  <si>
    <t>VNX ALLSHARE (VND)</t>
  </si>
  <si>
    <t xml:space="preserve">VNX ALLSHARE </t>
  </si>
  <si>
    <t>VNXASPRUSD</t>
  </si>
  <si>
    <t>VNX ALLSHARE (USD)</t>
  </si>
  <si>
    <t>VNXASPRJPY</t>
  </si>
  <si>
    <t>VNX ALLSHARE (JPY)</t>
  </si>
  <si>
    <t>VNXASPREUR</t>
  </si>
  <si>
    <t>VNX ALLSHARE (EUR)</t>
  </si>
  <si>
    <t>VNXASTRVND</t>
  </si>
  <si>
    <t>VNX ALLSHARE TR (VND)</t>
  </si>
  <si>
    <t xml:space="preserve">VNX ALLSHARE TR </t>
  </si>
  <si>
    <t>VNXASTRUSD</t>
  </si>
  <si>
    <t>VNX ALLSHARE TR (USD)</t>
  </si>
  <si>
    <t>VNXASTRJPY</t>
  </si>
  <si>
    <t>VNX ALLSHARE TR (JPY)</t>
  </si>
  <si>
    <t>VNXASTREUR</t>
  </si>
  <si>
    <t>VNX ALLSHARE TR (EUR)</t>
  </si>
  <si>
    <t>VNXCOPRVND</t>
  </si>
  <si>
    <t>VNXCOPRUSD</t>
  </si>
  <si>
    <t>VNXCOPRJPY</t>
  </si>
  <si>
    <t>VNXCOPREUR</t>
  </si>
  <si>
    <t>VNXCOTRVND</t>
  </si>
  <si>
    <t>VNXCOTRUSD</t>
  </si>
  <si>
    <t>VNXCOTRJPY</t>
  </si>
  <si>
    <t>VNXCOTREUR</t>
  </si>
  <si>
    <t>VNXHSXPRVND</t>
  </si>
  <si>
    <t>VNX ALLSHARE HSX (VND)</t>
  </si>
  <si>
    <t xml:space="preserve">VNX ALLSHARE HSX </t>
  </si>
  <si>
    <t>VNXHSXPRUSD</t>
  </si>
  <si>
    <t>VNX ALLSHARE HSX (USD)</t>
  </si>
  <si>
    <t>VNXHSXPRJPY</t>
  </si>
  <si>
    <t>VNX ALLSHARE HSX (JPY)</t>
  </si>
  <si>
    <t>VNXHSXPREUR</t>
  </si>
  <si>
    <t>VNX ALLSHARE HSX (EUR)</t>
  </si>
  <si>
    <t>VNXHSXTRVND</t>
  </si>
  <si>
    <t>VNX ALLSHARE HSX TR (VND)</t>
  </si>
  <si>
    <t xml:space="preserve">VNX ALLSHARE HSX TR </t>
  </si>
  <si>
    <t>VNXHSXTRUSD</t>
  </si>
  <si>
    <t>VNX ALLSHARE HSX TR (USD)</t>
  </si>
  <si>
    <t>VNXHSXTRJPY</t>
  </si>
  <si>
    <t>VNX ALLSHARE HSX TR (JPY)</t>
  </si>
  <si>
    <t>VNXHSXTREUR</t>
  </si>
  <si>
    <t>VNX ALLSHARE HSX TR (EUR)</t>
  </si>
  <si>
    <t>VNXHNXPRVND</t>
  </si>
  <si>
    <t>VNX ALLSHARE HNX (VND)</t>
  </si>
  <si>
    <t xml:space="preserve">VNX ALLSHARE HNX </t>
  </si>
  <si>
    <t>VNXHNXPRUSD</t>
  </si>
  <si>
    <t>VNX ALLSHARE HNX (USD)</t>
  </si>
  <si>
    <t>VNXHNXPRJPY</t>
  </si>
  <si>
    <t>VNX ALLSHARE HNX (JPY)</t>
  </si>
  <si>
    <t>VNXHNXPREUR</t>
  </si>
  <si>
    <t>VNX ALLSHARE HNX (EUR)</t>
  </si>
  <si>
    <t>VNXHNXTRVND</t>
  </si>
  <si>
    <t>VNX ALLSHARE HNX TR (VND)</t>
  </si>
  <si>
    <t xml:space="preserve">VNX ALLSHARE HNX TR </t>
  </si>
  <si>
    <t>VNXHNXTRUSD</t>
  </si>
  <si>
    <t>VNX ALLSHARE HNX TR (USD)</t>
  </si>
  <si>
    <t>VNXHNXTRJPY</t>
  </si>
  <si>
    <t>VNX ALLSHARE HNX TR (JPY)</t>
  </si>
  <si>
    <t>VNXHNXTREUR</t>
  </si>
  <si>
    <t>VNX ALLSHARE HNX TR (EUR)</t>
  </si>
  <si>
    <t>VNXBMPRVND</t>
  </si>
  <si>
    <t>VNX BASIC MATERIALS (VND)</t>
  </si>
  <si>
    <t xml:space="preserve">VNX BASIC MATERIALS </t>
  </si>
  <si>
    <t>VNXBMPRUSD</t>
  </si>
  <si>
    <t>VNX BASIC MATERIALS (USD)</t>
  </si>
  <si>
    <t>VNXBMPRJPY</t>
  </si>
  <si>
    <t>VNX BASIC MATERIALS (JPY)</t>
  </si>
  <si>
    <t>VNXBMPREUR</t>
  </si>
  <si>
    <t>VNX BASIC MATERIALS (EUR)</t>
  </si>
  <si>
    <t>VNXCSPRVND</t>
  </si>
  <si>
    <t>VNX CONSUMER SERVICES (VND)</t>
  </si>
  <si>
    <t xml:space="preserve">VNX CONSUMER SERVICES </t>
  </si>
  <si>
    <t>VNXCSPRUSD</t>
  </si>
  <si>
    <t>VNX CONSUMER SERVICES (USD)</t>
  </si>
  <si>
    <t>VNXCSPRJPY</t>
  </si>
  <si>
    <t>VNX CONSUMER SERVICES (JPY)</t>
  </si>
  <si>
    <t>VNXCSPREUR</t>
  </si>
  <si>
    <t>VNX CONSUMER SERVICES (EUR)</t>
  </si>
  <si>
    <t>VNXFIPRVND</t>
  </si>
  <si>
    <t>VNX FINANCIALS (VND)</t>
  </si>
  <si>
    <t xml:space="preserve">VNX FINANCIALS </t>
  </si>
  <si>
    <t>VNXFIPRUSD</t>
  </si>
  <si>
    <t>VNX FINANCIALS (USD)</t>
  </si>
  <si>
    <t>VNXFIPRJPY</t>
  </si>
  <si>
    <t>VNX FINANCIALS (JPY)</t>
  </si>
  <si>
    <t>VNXFIPREUR</t>
  </si>
  <si>
    <t>VNX FINANCIALS (EUR)</t>
  </si>
  <si>
    <t>VNXINPRVND</t>
  </si>
  <si>
    <t>VNX INDUSTRIALS (VND)</t>
  </si>
  <si>
    <t xml:space="preserve">VNX INDUSTRIALS </t>
  </si>
  <si>
    <t>VNXINPRUSD</t>
  </si>
  <si>
    <t>VNX INDUSTRIALS (USD)</t>
  </si>
  <si>
    <t>VNXINPRJPY</t>
  </si>
  <si>
    <t>VNX INDUSTRIALS (JPY)</t>
  </si>
  <si>
    <t>VNXINPREUR</t>
  </si>
  <si>
    <t>VNX INDUSTRIALS (EUR)</t>
  </si>
  <si>
    <t>VNXOGPRVND</t>
  </si>
  <si>
    <t>VNX OIL &amp; GAS (VND)</t>
  </si>
  <si>
    <t xml:space="preserve">VNX OIL &amp; GAS </t>
  </si>
  <si>
    <t>VNXOGPRUSD</t>
  </si>
  <si>
    <t>VNX OIL &amp; GAS (USD)</t>
  </si>
  <si>
    <t>VNXOGPRJPY</t>
  </si>
  <si>
    <t>VNX OIL &amp; GAS (JPY)</t>
  </si>
  <si>
    <t>VNXOGPREUR</t>
  </si>
  <si>
    <t>VNX OIL &amp; GAS (EUR)</t>
  </si>
  <si>
    <t>VNXUTPRVND</t>
  </si>
  <si>
    <t>VNX UTILITIES (VND)</t>
  </si>
  <si>
    <t xml:space="preserve">VNX UTILITIES </t>
  </si>
  <si>
    <t>VNXUTPRUSD</t>
  </si>
  <si>
    <t>VNX UTILITIES (USD)</t>
  </si>
  <si>
    <t>VNXUTPRJPY</t>
  </si>
  <si>
    <t>VNX UTILITIES (JPY)</t>
  </si>
  <si>
    <t>VNXUTPREUR</t>
  </si>
  <si>
    <t>VNX UTILITIES TR (EUR)</t>
  </si>
  <si>
    <t>VNXBMTRVND</t>
  </si>
  <si>
    <t>VNX BASIC MATERIALS TR (VND)</t>
  </si>
  <si>
    <t xml:space="preserve">VNX BASIC MATERIALS TR </t>
  </si>
  <si>
    <t>VNXBMTRUSD</t>
  </si>
  <si>
    <t>VNX BASIC MATERIALS TR (USD)</t>
  </si>
  <si>
    <t>VNXBMTRJPY</t>
  </si>
  <si>
    <t>VNX BASIC MATERIALS TR (JPY)</t>
  </si>
  <si>
    <t>VNXBMTREUR</t>
  </si>
  <si>
    <t>VNX BASIC MATERIALS TR (EUR)</t>
  </si>
  <si>
    <t>VNXCSTRVND</t>
  </si>
  <si>
    <t>VNX CONSUMER SERVICES TR (VND)</t>
  </si>
  <si>
    <t xml:space="preserve">VNX CONSUMER SERVICES TR </t>
  </si>
  <si>
    <t>VNXCSTRUSD</t>
  </si>
  <si>
    <t>VNX CONSUMER SERVICES TR (USD)</t>
  </si>
  <si>
    <t>VNXCSTRJPY</t>
  </si>
  <si>
    <t>VNX CONSUMER SERVICES TR (JPY)</t>
  </si>
  <si>
    <t>VNXCSTREUR</t>
  </si>
  <si>
    <t>VNX CONSUMER SERVICES TR (EUR)</t>
  </si>
  <si>
    <t>VNXFITRVND</t>
  </si>
  <si>
    <t>VNX FINANCIALS TR (VND)</t>
  </si>
  <si>
    <t xml:space="preserve">VNX FINANCIALS TR </t>
  </si>
  <si>
    <t>VNXFITRUSD</t>
  </si>
  <si>
    <t>VNX FINANCIALS TR (USD)</t>
  </si>
  <si>
    <t>VNXFITRJPY</t>
  </si>
  <si>
    <t>VNX FINANCIALS TR (JPY)</t>
  </si>
  <si>
    <t>VNXFITREUR</t>
  </si>
  <si>
    <t>VNX FINANCIALS TR (EUR)</t>
  </si>
  <si>
    <t>VNXINTRVND</t>
  </si>
  <si>
    <t>VNX INDUSTRIALS TR (VND)</t>
  </si>
  <si>
    <t xml:space="preserve">VNX INDUSTRIALS TR </t>
  </si>
  <si>
    <t>VNXINTRUSD</t>
  </si>
  <si>
    <t>VNX INDUSTRIALS TR (USD)</t>
  </si>
  <si>
    <t>VNXINTRJPY</t>
  </si>
  <si>
    <t>VNX INDUSTRIALS TR (JPY)</t>
  </si>
  <si>
    <t>VNXINTREUR</t>
  </si>
  <si>
    <t>VNX INDUSTRIALS TR (EUR)</t>
  </si>
  <si>
    <t>VNXOGTRVND</t>
  </si>
  <si>
    <t>VNX OIL &amp; GAS TR (VND)</t>
  </si>
  <si>
    <t xml:space="preserve">VNX OIL &amp; GAS TR </t>
  </si>
  <si>
    <t>VNXOGTRUSD</t>
  </si>
  <si>
    <t>VNX OIL &amp; GAS TR (USD)</t>
  </si>
  <si>
    <t>VNXOGTRJPY</t>
  </si>
  <si>
    <t>VNX OIL &amp; GAS TR (JPY)</t>
  </si>
  <si>
    <t>VNXOGTREUR</t>
  </si>
  <si>
    <t>VNX OIL &amp; GAS TR (EUR)</t>
  </si>
  <si>
    <t>VNXUTTRVND</t>
  </si>
  <si>
    <t>VNX UTILITIES TR (VND)</t>
  </si>
  <si>
    <t xml:space="preserve">VNX UTILITIES TR </t>
  </si>
  <si>
    <t>VNXUTTRUSD</t>
  </si>
  <si>
    <t>VNX UTILITIES TR (USD)</t>
  </si>
  <si>
    <t>VNXUTTRJPY</t>
  </si>
  <si>
    <t>VNX UTILITIES TR (JPY)</t>
  </si>
  <si>
    <t>VNXUTTREUR</t>
  </si>
  <si>
    <t>VNX UTILITIES (EUR)</t>
  </si>
  <si>
    <t>VNX ALLSHARE CONTINUOUS (VND)</t>
  </si>
  <si>
    <t>VNX ALLSHARE CONTINUOUS</t>
  </si>
  <si>
    <t>VNX ALLSHARE CONTINUOUS (USD)</t>
  </si>
  <si>
    <t>VNX ALLSHARE CONTINUOUS (JPY)</t>
  </si>
  <si>
    <t>VNX ALLSHARE CONTINUOUS (EUR)</t>
  </si>
  <si>
    <t>VNX ALLSHARE TR CONTINUOUS (VND)</t>
  </si>
  <si>
    <t>VNX ALLSHARE TR CONTINUOUS</t>
  </si>
  <si>
    <t>VNX ALLSHARE TR CONTINUOUS (USD)</t>
  </si>
  <si>
    <t>VNX ALLSHARE TR CONTINUOUS (JPY)</t>
  </si>
  <si>
    <t>VNX ALLSHARE TR CONTINUOUS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</si>
</sst>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0.000"/>
    <numFmt numFmtId="165" formatCode="0.000000"/>
    <numFmt numFmtId="166" formatCode="_-[$€]* #,##0.00_-;\-[$€]* #,##0.00_-;_-[$€]* &quot;-&quot;??_-;_-@_-"/>
    <numFmt numFmtId="167" formatCode="_(* #,##0_);_(* \(#,##0\);_(* &quot;-&quot;??_);_(@_)"/>
    <numFmt numFmtId="168" formatCode="_(* #,##0.000000_);_(* \(#,##0.000000\);_(* &quot;-&quot;??_);_(@_)"/>
    <numFmt numFmtId="169" formatCode="0.00000"/>
    <numFmt numFmtId="170" formatCode="mm\-dd\-yyyy"/>
    <numFmt numFmtId="171" formatCode="0_);\(0\)"/>
    <numFmt numFmtId="172" formatCode="0.00_);\(0.00\)"/>
    <numFmt numFmtId="173" formatCode="yyyy/mm/dd"/>
    <numFmt numFmtId="174" formatCode="#,##0.000000"/>
    <numFmt numFmtId="175" formatCode="0.000000000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6"/>
      <color rgb="FFFF0000"/>
      <name val="Arial"/>
      <family val="2"/>
    </font>
    <font>
      <sz val="9"/>
      <color rgb="FF454545"/>
      <name val="Courier New"/>
      <family val="3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6" fontId="3" fillId="0" borderId="0"/>
    <xf numFmtId="43" fontId="11" fillId="0" borderId="0" applyFont="0" applyFill="0" applyBorder="0" applyAlignment="0" applyProtection="0"/>
    <xf numFmtId="0" fontId="2" fillId="0" borderId="0"/>
    <xf numFmtId="0" fontId="1" fillId="0" borderId="0"/>
  </cellStyleXfs>
  <cellXfs count="84">
    <xf numFmtId="0" fontId="0" fillId="0" borderId="0" xfId="0"/>
    <xf numFmtId="21" fontId="0" fillId="0" borderId="0" xfId="0" applyNumberForma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6" fillId="4" borderId="0" xfId="0" applyFont="1" applyFill="1"/>
    <xf numFmtId="2" fontId="6" fillId="2" borderId="0" xfId="0" applyNumberFormat="1" applyFont="1" applyFill="1"/>
    <xf numFmtId="2" fontId="0" fillId="0" borderId="0" xfId="0" applyNumberFormat="1"/>
    <xf numFmtId="0" fontId="6" fillId="5" borderId="0" xfId="0" applyFont="1" applyFill="1"/>
    <xf numFmtId="164" fontId="0" fillId="0" borderId="0" xfId="0" applyNumberFormat="1"/>
    <xf numFmtId="0" fontId="6" fillId="6" borderId="0" xfId="0" applyFont="1" applyFill="1"/>
    <xf numFmtId="165" fontId="0" fillId="0" borderId="0" xfId="0" applyNumberFormat="1"/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6" fillId="7" borderId="0" xfId="0" applyFont="1" applyFill="1"/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6" fillId="5" borderId="0" xfId="0" applyNumberFormat="1" applyFont="1" applyFill="1"/>
    <xf numFmtId="165" fontId="6" fillId="5" borderId="0" xfId="0" applyNumberFormat="1" applyFont="1" applyFill="1"/>
    <xf numFmtId="14" fontId="0" fillId="0" borderId="0" xfId="0" applyNumberFormat="1"/>
    <xf numFmtId="167" fontId="0" fillId="0" borderId="0" xfId="0" applyNumberFormat="1"/>
    <xf numFmtId="0" fontId="7" fillId="0" borderId="0" xfId="0" applyFont="1" applyFill="1"/>
    <xf numFmtId="10" fontId="0" fillId="0" borderId="0" xfId="0" applyNumberFormat="1"/>
    <xf numFmtId="0" fontId="10" fillId="0" borderId="0" xfId="0" applyFont="1"/>
    <xf numFmtId="43" fontId="0" fillId="0" borderId="0" xfId="0" applyNumberFormat="1"/>
    <xf numFmtId="168" fontId="0" fillId="0" borderId="0" xfId="0" applyNumberFormat="1"/>
    <xf numFmtId="165" fontId="6" fillId="2" borderId="0" xfId="0" applyNumberFormat="1" applyFont="1" applyFill="1"/>
    <xf numFmtId="0" fontId="6" fillId="3" borderId="0" xfId="0" applyFont="1" applyFill="1" applyAlignment="1">
      <alignment vertical="center"/>
    </xf>
    <xf numFmtId="2" fontId="6" fillId="5" borderId="0" xfId="0" applyNumberFormat="1" applyFont="1" applyFill="1" applyAlignment="1">
      <alignment vertical="center"/>
    </xf>
    <xf numFmtId="4" fontId="0" fillId="0" borderId="0" xfId="0" applyNumberFormat="1" applyAlignment="1">
      <alignment vertical="center"/>
    </xf>
    <xf numFmtId="0" fontId="7" fillId="8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43" fontId="0" fillId="0" borderId="0" xfId="2" applyFont="1" applyAlignment="1">
      <alignment vertical="center"/>
    </xf>
    <xf numFmtId="43" fontId="12" fillId="0" borderId="0" xfId="2" applyFont="1" applyAlignment="1">
      <alignment vertical="center"/>
    </xf>
    <xf numFmtId="4" fontId="13" fillId="0" borderId="0" xfId="0" applyNumberFormat="1" applyFont="1" applyAlignment="1">
      <alignment vertical="center"/>
    </xf>
    <xf numFmtId="2" fontId="6" fillId="5" borderId="0" xfId="0" applyNumberFormat="1" applyFont="1" applyFill="1" applyAlignment="1">
      <alignment horizontal="center" vertical="center"/>
    </xf>
    <xf numFmtId="43" fontId="7" fillId="0" borderId="0" xfId="2" applyFont="1" applyAlignment="1">
      <alignment horizontal="right" vertical="center"/>
    </xf>
    <xf numFmtId="43" fontId="13" fillId="0" borderId="0" xfId="2" applyFont="1" applyAlignment="1">
      <alignment vertical="center"/>
    </xf>
    <xf numFmtId="4" fontId="7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7" fillId="9" borderId="0" xfId="0" applyFont="1" applyFill="1" applyAlignment="1">
      <alignment vertical="center"/>
    </xf>
    <xf numFmtId="0" fontId="7" fillId="9" borderId="0" xfId="0" applyFont="1" applyFill="1"/>
    <xf numFmtId="165" fontId="6" fillId="5" borderId="0" xfId="0" applyNumberFormat="1" applyFont="1" applyFill="1" applyAlignment="1">
      <alignment vertical="center"/>
    </xf>
    <xf numFmtId="168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14" fontId="7" fillId="0" borderId="0" xfId="0" applyNumberFormat="1" applyFont="1"/>
    <xf numFmtId="0" fontId="6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5" fillId="0" borderId="0" xfId="0" applyFont="1" applyAlignment="1">
      <alignment vertical="center"/>
    </xf>
    <xf numFmtId="14" fontId="7" fillId="0" borderId="0" xfId="0" applyNumberFormat="1" applyFont="1"/>
    <xf numFmtId="167" fontId="7" fillId="0" borderId="0" xfId="2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43" fontId="0" fillId="0" borderId="0" xfId="2" applyFont="1" applyAlignment="1">
      <alignment horizontal="left" vertical="center"/>
    </xf>
    <xf numFmtId="169" fontId="0" fillId="0" borderId="0" xfId="0" applyNumberFormat="1"/>
    <xf numFmtId="2" fontId="7" fillId="0" borderId="0" xfId="0" applyNumberFormat="1" applyFont="1"/>
    <xf numFmtId="43" fontId="7" fillId="0" borderId="0" xfId="2" applyNumberFormat="1" applyFont="1"/>
    <xf numFmtId="0" fontId="7" fillId="0" borderId="0" xfId="0" applyFont="1" applyAlignment="1">
      <alignment horizontal="right"/>
    </xf>
    <xf numFmtId="14" fontId="0" fillId="0" borderId="0" xfId="0" applyNumberFormat="1"/>
    <xf numFmtId="170" fontId="16" fillId="0" borderId="0" xfId="0" applyNumberFormat="1" applyFont="1"/>
    <xf numFmtId="171" fontId="0" fillId="0" borderId="0" xfId="0" applyNumberFormat="1"/>
    <xf numFmtId="172" fontId="0" fillId="0" borderId="0" xfId="0" applyNumberFormat="1"/>
    <xf numFmtId="2" fontId="7" fillId="0" borderId="0" xfId="2" applyNumberFormat="1" applyFont="1"/>
    <xf numFmtId="2" fontId="5" fillId="0" borderId="0" xfId="0" applyNumberFormat="1" applyFont="1"/>
    <xf numFmtId="2" fontId="0" fillId="0" borderId="0" xfId="2" applyNumberFormat="1" applyFont="1"/>
    <xf numFmtId="0" fontId="17" fillId="10" borderId="0" xfId="0" applyFont="1" applyFill="1"/>
    <xf numFmtId="0" fontId="17" fillId="5" borderId="0" xfId="0" applyFont="1" applyFill="1"/>
    <xf numFmtId="173" fontId="17" fillId="10" borderId="0" xfId="0" applyNumberFormat="1" applyFont="1" applyFill="1"/>
    <xf numFmtId="173" fontId="0" fillId="0" borderId="0" xfId="0" applyNumberFormat="1"/>
    <xf numFmtId="173" fontId="7" fillId="0" borderId="0" xfId="0" applyNumberFormat="1" applyFont="1"/>
    <xf numFmtId="4" fontId="0" fillId="0" borderId="0" xfId="0" applyNumberFormat="1"/>
    <xf numFmtId="11" fontId="0" fillId="0" borderId="0" xfId="0" applyNumberFormat="1"/>
    <xf numFmtId="1" fontId="0" fillId="9" borderId="0" xfId="0" applyNumberFormat="1" applyFill="1"/>
    <xf numFmtId="174" fontId="0" fillId="0" borderId="0" xfId="0" applyNumberFormat="1"/>
    <xf numFmtId="175" fontId="6" fillId="2" borderId="0" xfId="0" applyNumberFormat="1" applyFont="1" applyFill="1"/>
    <xf numFmtId="175" fontId="0" fillId="0" borderId="0" xfId="0" applyNumberFormat="1"/>
    <xf numFmtId="1" fontId="0" fillId="0" borderId="0" xfId="0" applyNumberFormat="1"/>
    <xf numFmtId="0" fontId="18" fillId="0" borderId="0" xfId="0" applyFont="1"/>
  </cellXfs>
  <cellStyles count="5">
    <cellStyle name="Comma" xfId="2" builtinId="3"/>
    <cellStyle name="Normal" xfId="0" builtinId="0"/>
    <cellStyle name="Normal 13" xfId="1"/>
    <cellStyle name="Normal 2" xfId="3"/>
    <cellStyle name="Normal 3" xfId="4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9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5" Type="http://schemas.openxmlformats.org/officeDocument/2006/relationships/comments" Target="../comments7.xml"/><Relationship Id="rId4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.bin"/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4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11" sqref="E11"/>
    </sheetView>
  </sheetViews>
  <sheetFormatPr defaultColWidth="11.42578125" defaultRowHeight="12.75" x14ac:dyDescent="0.2"/>
  <cols>
    <col min="1" max="1" width="6.85546875" customWidth="1"/>
    <col min="2" max="2" width="18.7109375" bestFit="1" customWidth="1"/>
    <col min="3" max="3" width="25.28515625" bestFit="1" customWidth="1"/>
    <col min="4" max="4" width="15.7109375" style="21" bestFit="1" customWidth="1"/>
    <col min="5" max="5" width="14.140625" style="21" bestFit="1" customWidth="1"/>
    <col min="6" max="6" width="12.42578125" style="21" customWidth="1"/>
    <col min="8" max="8" width="74.140625" bestFit="1" customWidth="1"/>
  </cols>
  <sheetData>
    <row r="1" spans="1:8" s="13" customFormat="1" ht="15.95" customHeight="1" x14ac:dyDescent="0.2">
      <c r="A1" s="14" t="s">
        <v>189</v>
      </c>
      <c r="B1" s="14" t="s">
        <v>49</v>
      </c>
      <c r="C1" s="14" t="s">
        <v>50</v>
      </c>
      <c r="D1" s="18" t="s">
        <v>225</v>
      </c>
      <c r="E1" s="18" t="s">
        <v>226</v>
      </c>
      <c r="F1" s="18" t="s">
        <v>227</v>
      </c>
      <c r="G1" s="14" t="s">
        <v>51</v>
      </c>
      <c r="H1" s="14" t="s">
        <v>53</v>
      </c>
    </row>
    <row r="2" spans="1:8" s="15" customFormat="1" ht="15.95" customHeight="1" x14ac:dyDescent="0.2">
      <c r="A2" s="15">
        <v>1</v>
      </c>
      <c r="B2" s="13" t="s">
        <v>188</v>
      </c>
      <c r="C2" s="16" t="s">
        <v>190</v>
      </c>
      <c r="D2" s="19" t="s">
        <v>231</v>
      </c>
      <c r="E2" s="19" t="s">
        <v>228</v>
      </c>
      <c r="F2" s="19" t="s">
        <v>228</v>
      </c>
      <c r="G2" s="16" t="s">
        <v>191</v>
      </c>
      <c r="H2" s="16" t="s">
        <v>192</v>
      </c>
    </row>
    <row r="3" spans="1:8" s="15" customFormat="1" ht="15.95" customHeight="1" x14ac:dyDescent="0.2">
      <c r="A3" s="15">
        <v>2</v>
      </c>
      <c r="B3" s="13" t="s">
        <v>193</v>
      </c>
      <c r="C3" s="16" t="s">
        <v>190</v>
      </c>
      <c r="D3" s="19"/>
      <c r="E3" s="19"/>
      <c r="F3" s="19"/>
      <c r="G3" s="16" t="s">
        <v>191</v>
      </c>
      <c r="H3" s="16" t="s">
        <v>194</v>
      </c>
    </row>
    <row r="4" spans="1:8" s="15" customFormat="1" ht="15.95" customHeight="1" x14ac:dyDescent="0.2">
      <c r="A4" s="15">
        <v>3</v>
      </c>
      <c r="B4" s="13" t="s">
        <v>195</v>
      </c>
      <c r="C4" s="16" t="s">
        <v>190</v>
      </c>
      <c r="D4" s="19"/>
      <c r="E4" s="19"/>
      <c r="F4" s="19"/>
      <c r="G4" s="16" t="s">
        <v>191</v>
      </c>
      <c r="H4" s="16" t="s">
        <v>196</v>
      </c>
    </row>
    <row r="5" spans="1:8" s="15" customFormat="1" ht="15.95" customHeight="1" x14ac:dyDescent="0.2">
      <c r="A5" s="15">
        <v>4</v>
      </c>
      <c r="B5" s="13" t="s">
        <v>218</v>
      </c>
      <c r="C5" s="16" t="s">
        <v>190</v>
      </c>
      <c r="D5" s="19"/>
      <c r="E5" s="19"/>
      <c r="F5" s="19"/>
      <c r="G5" s="16" t="s">
        <v>191</v>
      </c>
      <c r="H5" s="16" t="s">
        <v>219</v>
      </c>
    </row>
    <row r="6" spans="1:8" s="15" customFormat="1" ht="15.95" customHeight="1" x14ac:dyDescent="0.2">
      <c r="A6" s="15">
        <v>5</v>
      </c>
      <c r="B6" s="13" t="s">
        <v>52</v>
      </c>
      <c r="C6" s="16" t="s">
        <v>197</v>
      </c>
      <c r="D6" s="19"/>
      <c r="E6" s="19"/>
      <c r="F6" s="19"/>
      <c r="G6" s="15" t="s">
        <v>70</v>
      </c>
      <c r="H6" s="16" t="s">
        <v>198</v>
      </c>
    </row>
    <row r="7" spans="1:8" s="15" customFormat="1" ht="15.95" customHeight="1" x14ac:dyDescent="0.2">
      <c r="A7" s="15">
        <v>6</v>
      </c>
      <c r="B7" s="13" t="s">
        <v>118</v>
      </c>
      <c r="C7" s="15" t="s">
        <v>199</v>
      </c>
      <c r="D7" s="20"/>
      <c r="E7" s="20"/>
      <c r="F7" s="20"/>
      <c r="G7" s="15" t="s">
        <v>70</v>
      </c>
      <c r="H7" s="15" t="s">
        <v>200</v>
      </c>
    </row>
    <row r="8" spans="1:8" s="15" customFormat="1" ht="15.95" customHeight="1" x14ac:dyDescent="0.2">
      <c r="A8" s="15">
        <v>7</v>
      </c>
      <c r="B8" s="13" t="s">
        <v>71</v>
      </c>
      <c r="C8" s="16" t="s">
        <v>190</v>
      </c>
      <c r="D8" s="19"/>
      <c r="E8" s="19"/>
      <c r="F8" s="19"/>
      <c r="G8" s="15" t="s">
        <v>72</v>
      </c>
      <c r="H8" s="16" t="s">
        <v>376</v>
      </c>
    </row>
    <row r="9" spans="1:8" s="15" customFormat="1" ht="15.95" customHeight="1" x14ac:dyDescent="0.2">
      <c r="A9" s="15">
        <v>8</v>
      </c>
      <c r="B9" s="13" t="s">
        <v>125</v>
      </c>
      <c r="C9" s="15" t="s">
        <v>202</v>
      </c>
      <c r="D9" s="20"/>
      <c r="E9" s="20"/>
      <c r="F9" s="20"/>
      <c r="G9" s="15" t="s">
        <v>202</v>
      </c>
      <c r="H9" s="15" t="s">
        <v>223</v>
      </c>
    </row>
    <row r="10" spans="1:8" s="15" customFormat="1" ht="15.95" customHeight="1" x14ac:dyDescent="0.2">
      <c r="A10" s="15">
        <v>9</v>
      </c>
      <c r="B10" s="13" t="s">
        <v>117</v>
      </c>
      <c r="C10" s="15" t="s">
        <v>202</v>
      </c>
      <c r="D10" s="20"/>
      <c r="E10" s="20"/>
      <c r="F10" s="20"/>
      <c r="G10" s="15" t="s">
        <v>70</v>
      </c>
      <c r="H10" s="15" t="s">
        <v>224</v>
      </c>
    </row>
    <row r="11" spans="1:8" s="15" customFormat="1" ht="15.95" customHeight="1" x14ac:dyDescent="0.2">
      <c r="A11" s="15">
        <v>10</v>
      </c>
      <c r="B11" s="13" t="s">
        <v>114</v>
      </c>
      <c r="C11" s="15" t="s">
        <v>202</v>
      </c>
      <c r="D11" s="20"/>
      <c r="E11" s="20"/>
      <c r="F11" s="20"/>
      <c r="G11" s="15" t="s">
        <v>70</v>
      </c>
      <c r="H11" s="15" t="s">
        <v>216</v>
      </c>
    </row>
    <row r="12" spans="1:8" s="15" customFormat="1" ht="15.95" customHeight="1" x14ac:dyDescent="0.2">
      <c r="A12" s="15">
        <v>11</v>
      </c>
      <c r="B12" s="13" t="s">
        <v>215</v>
      </c>
      <c r="C12" s="15" t="s">
        <v>222</v>
      </c>
      <c r="D12" s="20"/>
      <c r="E12" s="20"/>
      <c r="F12" s="20"/>
      <c r="G12" s="15" t="s">
        <v>70</v>
      </c>
      <c r="H12" s="15" t="s">
        <v>217</v>
      </c>
    </row>
    <row r="13" spans="1:8" s="15" customFormat="1" ht="15.95" customHeight="1" x14ac:dyDescent="0.2">
      <c r="A13" s="15">
        <v>12</v>
      </c>
      <c r="B13" s="13" t="s">
        <v>205</v>
      </c>
      <c r="C13" s="15" t="s">
        <v>222</v>
      </c>
      <c r="D13" s="20"/>
      <c r="E13" s="20"/>
      <c r="F13" s="20"/>
      <c r="G13" s="15" t="s">
        <v>70</v>
      </c>
      <c r="H13" s="16" t="s">
        <v>425</v>
      </c>
    </row>
    <row r="14" spans="1:8" s="15" customFormat="1" ht="15.95" customHeight="1" x14ac:dyDescent="0.2">
      <c r="A14" s="15">
        <v>13</v>
      </c>
      <c r="B14" s="13" t="s">
        <v>220</v>
      </c>
      <c r="C14" s="15" t="s">
        <v>222</v>
      </c>
      <c r="D14" s="20"/>
      <c r="E14" s="20"/>
      <c r="F14" s="20"/>
      <c r="G14" s="15" t="s">
        <v>70</v>
      </c>
      <c r="H14" s="15" t="s">
        <v>221</v>
      </c>
    </row>
    <row r="15" spans="1:8" s="15" customFormat="1" ht="15.95" customHeight="1" x14ac:dyDescent="0.2">
      <c r="A15" s="15">
        <v>14</v>
      </c>
      <c r="B15" s="13" t="s">
        <v>423</v>
      </c>
      <c r="C15" s="15" t="s">
        <v>222</v>
      </c>
      <c r="D15" s="20"/>
      <c r="E15" s="20"/>
      <c r="F15" s="20"/>
      <c r="G15" s="15" t="s">
        <v>70</v>
      </c>
      <c r="H15" s="16" t="s">
        <v>424</v>
      </c>
    </row>
    <row r="16" spans="1:8" s="15" customFormat="1" ht="15.95" customHeight="1" x14ac:dyDescent="0.2">
      <c r="A16" s="15">
        <v>15</v>
      </c>
      <c r="B16" s="13" t="s">
        <v>110</v>
      </c>
      <c r="C16" s="15" t="s">
        <v>222</v>
      </c>
      <c r="D16" s="20"/>
      <c r="E16" s="20"/>
      <c r="F16" s="20"/>
      <c r="G16" s="15" t="s">
        <v>72</v>
      </c>
      <c r="H16" s="15" t="s">
        <v>204</v>
      </c>
    </row>
    <row r="17" spans="1:8" s="15" customFormat="1" ht="15.95" customHeight="1" x14ac:dyDescent="0.2">
      <c r="A17" s="15">
        <v>16</v>
      </c>
      <c r="B17" s="13" t="s">
        <v>132</v>
      </c>
      <c r="C17" s="15" t="s">
        <v>199</v>
      </c>
      <c r="D17" s="20"/>
      <c r="E17" s="20"/>
      <c r="F17" s="20"/>
      <c r="G17" s="15" t="s">
        <v>72</v>
      </c>
      <c r="H17" s="15" t="s">
        <v>201</v>
      </c>
    </row>
    <row r="18" spans="1:8" s="15" customFormat="1" ht="15.95" customHeight="1" x14ac:dyDescent="0.2">
      <c r="A18" s="15">
        <v>17</v>
      </c>
      <c r="B18" s="13" t="s">
        <v>131</v>
      </c>
      <c r="C18" s="15" t="s">
        <v>199</v>
      </c>
      <c r="D18" s="20"/>
      <c r="E18" s="20"/>
      <c r="F18" s="20"/>
      <c r="G18" s="15" t="s">
        <v>72</v>
      </c>
      <c r="H18" s="15" t="s">
        <v>203</v>
      </c>
    </row>
    <row r="19" spans="1:8" ht="15.95" customHeight="1" x14ac:dyDescent="0.2">
      <c r="A19" s="15">
        <v>18</v>
      </c>
      <c r="B19" s="13" t="s">
        <v>426</v>
      </c>
      <c r="C19" s="15" t="s">
        <v>222</v>
      </c>
      <c r="G19" s="15" t="s">
        <v>70</v>
      </c>
      <c r="H19" s="15" t="s">
        <v>427</v>
      </c>
    </row>
    <row r="20" spans="1:8" ht="15.95" customHeight="1" x14ac:dyDescent="0.2">
      <c r="A20" s="15"/>
      <c r="B20" s="13"/>
    </row>
  </sheetData>
  <customSheetViews>
    <customSheetView guid="{8EF2C042-D97C-40EA-9E42-A17331664713}">
      <selection activeCell="E11" sqref="E11"/>
      <pageMargins left="0.75" right="0.75" top="1" bottom="1" header="0.4921259845" footer="0.4921259845"/>
      <pageSetup orientation="portrait" verticalDpi="0" r:id="rId1"/>
      <headerFooter alignWithMargins="0"/>
    </customSheetView>
    <customSheetView guid="{E8497AD8-A45C-484D-A252-6E26647DB053}" topLeftCell="A10">
      <selection activeCell="H4" sqref="H4"/>
      <pageMargins left="0.75" right="0.75" top="1" bottom="1" header="0.4921259845" footer="0.4921259845"/>
      <pageSetup orientation="portrait" verticalDpi="0" r:id="rId2"/>
      <headerFooter alignWithMargins="0"/>
    </customSheetView>
    <customSheetView guid="{AAB8C83D-EE7C-4F2D-A040-F04A230A06FD}">
      <selection activeCell="G8" sqref="G8"/>
      <pageMargins left="0.75" right="0.75" top="1" bottom="1" header="0.4921259845" footer="0.4921259845"/>
      <pageSetup orientation="portrait" verticalDpi="0" r:id="rId3"/>
      <headerFooter alignWithMargins="0"/>
    </customSheetView>
    <customSheetView guid="{A93D23F5-27FE-48DF-A0DC-3D7A8C6F3CF5}">
      <selection activeCell="E11" sqref="E11"/>
      <pageMargins left="0.75" right="0.75" top="1" bottom="1" header="0.4921259845" footer="0.4921259845"/>
      <pageSetup orientation="portrait" verticalDpi="0" r:id="rId4"/>
      <headerFooter alignWithMargins="0"/>
    </customSheetView>
  </customSheetViews>
  <phoneticPr fontId="4" type="noConversion"/>
  <pageMargins left="0.75" right="0.75" top="1" bottom="1" header="0.4921259845" footer="0.4921259845"/>
  <pageSetup orientation="portrait" verticalDpi="0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2.75" x14ac:dyDescent="0.2"/>
  <cols>
    <col min="1" max="1" width="11.28515625" bestFit="1" customWidth="1"/>
    <col min="2" max="2" width="26.140625" customWidth="1"/>
  </cols>
  <sheetData>
    <row r="1" spans="1:2" x14ac:dyDescent="0.2">
      <c r="A1" s="3" t="s">
        <v>142</v>
      </c>
      <c r="B1" s="3" t="s">
        <v>428</v>
      </c>
    </row>
    <row r="2" spans="1:2" x14ac:dyDescent="0.2">
      <c r="A2" s="5" t="s">
        <v>1370</v>
      </c>
      <c r="B2" s="5" t="s">
        <v>143</v>
      </c>
    </row>
    <row r="3" spans="1:2" x14ac:dyDescent="0.2">
      <c r="A3" s="5" t="s">
        <v>1371</v>
      </c>
      <c r="B3" s="5" t="s">
        <v>25</v>
      </c>
    </row>
    <row r="4" spans="1:2" x14ac:dyDescent="0.2">
      <c r="A4" s="5" t="s">
        <v>1372</v>
      </c>
      <c r="B4" s="5" t="s">
        <v>144</v>
      </c>
    </row>
  </sheetData>
  <customSheetViews>
    <customSheetView guid="{8EF2C042-D97C-40EA-9E42-A17331664713}">
      <selection activeCell="B14" sqref="B14"/>
      <pageMargins left="0.7" right="0.7" top="0.75" bottom="0.75" header="0.3" footer="0.3"/>
    </customSheetView>
    <customSheetView guid="{E8497AD8-A45C-484D-A252-6E26647DB053}">
      <selection sqref="A1:B1"/>
      <pageMargins left="0.7" right="0.7" top="0.75" bottom="0.75" header="0.3" footer="0.3"/>
    </customSheetView>
    <customSheetView guid="{AAB8C83D-EE7C-4F2D-A040-F04A230A06FD}">
      <selection sqref="A1:B1"/>
      <pageMargins left="0.7" right="0.7" top="0.75" bottom="0.75" header="0.3" footer="0.3"/>
    </customSheetView>
    <customSheetView guid="{A93D23F5-27FE-48DF-A0DC-3D7A8C6F3CF5}">
      <selection activeCell="B14" sqref="B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2.75" x14ac:dyDescent="0.2"/>
  <cols>
    <col min="1" max="1" width="10.85546875" bestFit="1" customWidth="1"/>
    <col min="2" max="2" width="20.42578125" bestFit="1" customWidth="1"/>
    <col min="3" max="3" width="20.140625" bestFit="1" customWidth="1"/>
  </cols>
  <sheetData>
    <row r="1" spans="1:3" x14ac:dyDescent="0.2">
      <c r="A1" s="3" t="s">
        <v>141</v>
      </c>
      <c r="B1" s="3" t="s">
        <v>140</v>
      </c>
      <c r="C1" s="3" t="s">
        <v>229</v>
      </c>
    </row>
    <row r="2" spans="1:3" x14ac:dyDescent="0.2">
      <c r="A2" s="5" t="s">
        <v>1373</v>
      </c>
      <c r="B2" t="s">
        <v>1379</v>
      </c>
      <c r="C2" s="5" t="s">
        <v>1380</v>
      </c>
    </row>
    <row r="3" spans="1:3" x14ac:dyDescent="0.2">
      <c r="A3" s="5" t="s">
        <v>1374</v>
      </c>
      <c r="B3" t="s">
        <v>1381</v>
      </c>
      <c r="C3" s="5" t="s">
        <v>1382</v>
      </c>
    </row>
    <row r="4" spans="1:3" x14ac:dyDescent="0.2">
      <c r="A4" s="5" t="s">
        <v>1375</v>
      </c>
      <c r="B4" t="s">
        <v>1383</v>
      </c>
      <c r="C4" s="5" t="s">
        <v>1384</v>
      </c>
    </row>
    <row r="5" spans="1:3" x14ac:dyDescent="0.2">
      <c r="A5" s="5" t="s">
        <v>1376</v>
      </c>
      <c r="B5" s="5" t="s">
        <v>1385</v>
      </c>
      <c r="C5" s="5" t="s">
        <v>1386</v>
      </c>
    </row>
    <row r="6" spans="1:3" x14ac:dyDescent="0.2">
      <c r="A6" s="5" t="s">
        <v>1377</v>
      </c>
      <c r="B6" t="s">
        <v>1387</v>
      </c>
      <c r="C6" s="5" t="s">
        <v>1388</v>
      </c>
    </row>
    <row r="7" spans="1:3" x14ac:dyDescent="0.2">
      <c r="A7" s="5" t="s">
        <v>1378</v>
      </c>
      <c r="B7" t="s">
        <v>1389</v>
      </c>
      <c r="C7" s="5" t="s">
        <v>1390</v>
      </c>
    </row>
  </sheetData>
  <sortState ref="A2:B33">
    <sortCondition ref="B2:B33"/>
  </sortState>
  <customSheetViews>
    <customSheetView guid="{8EF2C042-D97C-40EA-9E42-A17331664713}">
      <selection activeCell="C19" sqref="C19"/>
      <pageMargins left="0.7" right="0.7" top="0.75" bottom="0.75" header="0.3" footer="0.3"/>
    </customSheetView>
    <customSheetView guid="{E8497AD8-A45C-484D-A252-6E26647DB053}">
      <selection activeCell="D19" sqref="D19"/>
      <pageMargins left="0.7" right="0.7" top="0.75" bottom="0.75" header="0.3" footer="0.3"/>
    </customSheetView>
    <customSheetView guid="{AAB8C83D-EE7C-4F2D-A040-F04A230A06FD}">
      <selection activeCell="A6" sqref="A6"/>
      <pageMargins left="0.7" right="0.7" top="0.75" bottom="0.75" header="0.3" footer="0.3"/>
    </customSheetView>
    <customSheetView guid="{A93D23F5-27FE-48DF-A0DC-3D7A8C6F3CF5}">
      <selection activeCell="C24" sqref="C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workbookViewId="0">
      <selection activeCell="B2" sqref="B2:F31"/>
    </sheetView>
  </sheetViews>
  <sheetFormatPr defaultRowHeight="12.75" x14ac:dyDescent="0.2"/>
  <cols>
    <col min="1" max="1" width="10.85546875" bestFit="1" customWidth="1"/>
    <col min="2" max="2" width="36.28515625" customWidth="1"/>
    <col min="3" max="3" width="16.42578125" customWidth="1"/>
    <col min="4" max="4" width="15.7109375" customWidth="1"/>
    <col min="5" max="5" width="13.28515625" bestFit="1" customWidth="1"/>
    <col min="6" max="6" width="15" customWidth="1"/>
    <col min="7" max="7" width="10.7109375" bestFit="1" customWidth="1"/>
    <col min="8" max="8" width="11.7109375" customWidth="1"/>
    <col min="9" max="9" width="13" customWidth="1"/>
    <col min="10" max="10" width="11.5703125" customWidth="1"/>
  </cols>
  <sheetData>
    <row r="1" spans="1:12" x14ac:dyDescent="0.2">
      <c r="A1" s="3" t="s">
        <v>1</v>
      </c>
      <c r="B1" s="3" t="s">
        <v>2</v>
      </c>
      <c r="C1" s="3" t="s">
        <v>146</v>
      </c>
      <c r="D1" s="3" t="s">
        <v>230</v>
      </c>
      <c r="E1" s="3" t="s">
        <v>3</v>
      </c>
      <c r="F1" s="6" t="s">
        <v>4</v>
      </c>
      <c r="G1" s="3" t="s">
        <v>8</v>
      </c>
      <c r="H1" s="3" t="s">
        <v>9</v>
      </c>
      <c r="I1" s="17" t="s">
        <v>1310</v>
      </c>
      <c r="J1" s="6" t="s">
        <v>157</v>
      </c>
      <c r="K1" s="3" t="s">
        <v>435</v>
      </c>
      <c r="L1" s="3" t="s">
        <v>1240</v>
      </c>
    </row>
    <row r="2" spans="1:12" x14ac:dyDescent="0.2">
      <c r="A2" s="2" t="s">
        <v>36</v>
      </c>
      <c r="B2" t="s">
        <v>1391</v>
      </c>
      <c r="C2" s="5" t="s">
        <v>1392</v>
      </c>
      <c r="D2" s="5" t="s">
        <v>243</v>
      </c>
      <c r="E2" s="5" t="s">
        <v>1370</v>
      </c>
      <c r="F2" s="5" t="s">
        <v>1373</v>
      </c>
      <c r="G2" s="5" t="s">
        <v>14</v>
      </c>
      <c r="H2">
        <v>1</v>
      </c>
      <c r="I2">
        <v>1</v>
      </c>
      <c r="J2" s="74">
        <v>39391</v>
      </c>
      <c r="K2" s="2" t="s">
        <v>36</v>
      </c>
      <c r="L2" s="5" t="s">
        <v>227</v>
      </c>
    </row>
    <row r="3" spans="1:12" x14ac:dyDescent="0.2">
      <c r="A3" s="2" t="s">
        <v>45</v>
      </c>
      <c r="B3" t="s">
        <v>46</v>
      </c>
      <c r="C3" t="s">
        <v>46</v>
      </c>
      <c r="D3" s="5" t="s">
        <v>245</v>
      </c>
      <c r="E3" s="5" t="s">
        <v>1371</v>
      </c>
      <c r="F3" s="5" t="s">
        <v>1373</v>
      </c>
      <c r="G3" t="s">
        <v>14</v>
      </c>
      <c r="H3">
        <v>1</v>
      </c>
      <c r="I3">
        <v>1</v>
      </c>
      <c r="J3" s="74">
        <v>39401</v>
      </c>
      <c r="K3" s="2" t="s">
        <v>45</v>
      </c>
      <c r="L3" s="5" t="s">
        <v>227</v>
      </c>
    </row>
    <row r="4" spans="1:12" x14ac:dyDescent="0.2">
      <c r="A4" s="2" t="s">
        <v>38</v>
      </c>
      <c r="B4" t="s">
        <v>1393</v>
      </c>
      <c r="C4" s="5" t="s">
        <v>1394</v>
      </c>
      <c r="D4" s="5" t="s">
        <v>241</v>
      </c>
      <c r="E4" s="5" t="s">
        <v>1370</v>
      </c>
      <c r="F4" s="5" t="s">
        <v>1374</v>
      </c>
      <c r="G4" t="s">
        <v>14</v>
      </c>
      <c r="H4">
        <v>1</v>
      </c>
      <c r="I4">
        <v>1</v>
      </c>
      <c r="J4" s="74">
        <v>39337</v>
      </c>
      <c r="K4" s="2" t="s">
        <v>38</v>
      </c>
      <c r="L4" s="5" t="s">
        <v>227</v>
      </c>
    </row>
    <row r="5" spans="1:12" x14ac:dyDescent="0.2">
      <c r="A5" s="2" t="s">
        <v>22</v>
      </c>
      <c r="B5" t="s">
        <v>23</v>
      </c>
      <c r="C5" s="5" t="s">
        <v>148</v>
      </c>
      <c r="D5" s="5" t="s">
        <v>261</v>
      </c>
      <c r="E5" s="5" t="s">
        <v>1370</v>
      </c>
      <c r="F5" s="5" t="s">
        <v>1375</v>
      </c>
      <c r="G5" t="s">
        <v>14</v>
      </c>
      <c r="H5">
        <v>1</v>
      </c>
      <c r="I5">
        <v>1</v>
      </c>
      <c r="J5" s="74">
        <v>40443</v>
      </c>
      <c r="K5" s="2" t="s">
        <v>22</v>
      </c>
      <c r="L5" s="5" t="s">
        <v>227</v>
      </c>
    </row>
    <row r="6" spans="1:12" x14ac:dyDescent="0.2">
      <c r="A6" s="2" t="s">
        <v>35</v>
      </c>
      <c r="B6" t="s">
        <v>1395</v>
      </c>
      <c r="C6" s="5" t="s">
        <v>1396</v>
      </c>
      <c r="D6" s="5" t="s">
        <v>248</v>
      </c>
      <c r="E6" s="5" t="s">
        <v>1370</v>
      </c>
      <c r="F6" s="5" t="s">
        <v>1375</v>
      </c>
      <c r="G6" t="s">
        <v>14</v>
      </c>
      <c r="H6">
        <v>1</v>
      </c>
      <c r="I6">
        <v>1</v>
      </c>
      <c r="J6" s="74">
        <v>39755</v>
      </c>
      <c r="K6" s="2" t="s">
        <v>35</v>
      </c>
      <c r="L6" s="5" t="s">
        <v>227</v>
      </c>
    </row>
    <row r="7" spans="1:12" x14ac:dyDescent="0.2">
      <c r="A7" s="2" t="s">
        <v>263</v>
      </c>
      <c r="B7" t="s">
        <v>274</v>
      </c>
      <c r="C7" t="s">
        <v>274</v>
      </c>
      <c r="D7" s="5" t="s">
        <v>264</v>
      </c>
      <c r="E7" s="5" t="s">
        <v>1371</v>
      </c>
      <c r="F7" s="26" t="s">
        <v>1375</v>
      </c>
      <c r="G7" t="s">
        <v>14</v>
      </c>
      <c r="H7">
        <v>1</v>
      </c>
      <c r="I7">
        <v>1</v>
      </c>
      <c r="J7" s="74">
        <v>40499</v>
      </c>
      <c r="K7" s="2" t="s">
        <v>263</v>
      </c>
      <c r="L7" s="5" t="s">
        <v>227</v>
      </c>
    </row>
    <row r="8" spans="1:12" x14ac:dyDescent="0.2">
      <c r="A8" s="2" t="s">
        <v>271</v>
      </c>
      <c r="B8" t="s">
        <v>275</v>
      </c>
      <c r="C8" t="s">
        <v>275</v>
      </c>
      <c r="D8" s="5" t="s">
        <v>272</v>
      </c>
      <c r="E8" s="5" t="s">
        <v>1371</v>
      </c>
      <c r="F8" s="5" t="s">
        <v>1375</v>
      </c>
      <c r="G8" t="s">
        <v>14</v>
      </c>
      <c r="H8">
        <v>1</v>
      </c>
      <c r="I8">
        <v>1</v>
      </c>
      <c r="J8" s="74">
        <v>40807</v>
      </c>
      <c r="K8" s="2" t="s">
        <v>271</v>
      </c>
      <c r="L8" s="5" t="s">
        <v>227</v>
      </c>
    </row>
    <row r="9" spans="1:12" x14ac:dyDescent="0.2">
      <c r="A9" s="2" t="s">
        <v>40</v>
      </c>
      <c r="B9" t="s">
        <v>1397</v>
      </c>
      <c r="C9" t="s">
        <v>1397</v>
      </c>
      <c r="D9" s="5" t="s">
        <v>259</v>
      </c>
      <c r="E9" s="5" t="s">
        <v>1371</v>
      </c>
      <c r="F9" s="5" t="s">
        <v>1375</v>
      </c>
      <c r="G9" t="s">
        <v>14</v>
      </c>
      <c r="H9">
        <v>1</v>
      </c>
      <c r="I9">
        <v>1</v>
      </c>
      <c r="J9" s="74">
        <v>40380</v>
      </c>
      <c r="K9" s="2" t="s">
        <v>40</v>
      </c>
      <c r="L9" s="5" t="s">
        <v>227</v>
      </c>
    </row>
    <row r="10" spans="1:12" x14ac:dyDescent="0.2">
      <c r="A10" s="2" t="s">
        <v>48</v>
      </c>
      <c r="B10" s="5" t="s">
        <v>1398</v>
      </c>
      <c r="C10" s="5" t="s">
        <v>1398</v>
      </c>
      <c r="D10" s="5" t="s">
        <v>240</v>
      </c>
      <c r="E10" s="5" t="s">
        <v>1371</v>
      </c>
      <c r="F10" s="5" t="s">
        <v>1375</v>
      </c>
      <c r="G10" t="s">
        <v>14</v>
      </c>
      <c r="H10">
        <v>1</v>
      </c>
      <c r="I10">
        <v>1</v>
      </c>
      <c r="J10" s="74">
        <v>39304</v>
      </c>
      <c r="K10" s="2" t="s">
        <v>48</v>
      </c>
      <c r="L10" s="5" t="s">
        <v>227</v>
      </c>
    </row>
    <row r="11" spans="1:12" x14ac:dyDescent="0.2">
      <c r="A11" s="2" t="s">
        <v>41</v>
      </c>
      <c r="B11" s="5" t="s">
        <v>1399</v>
      </c>
      <c r="C11" s="5" t="s">
        <v>1399</v>
      </c>
      <c r="D11" s="5" t="s">
        <v>256</v>
      </c>
      <c r="E11" s="5" t="s">
        <v>1371</v>
      </c>
      <c r="F11" s="5" t="s">
        <v>1375</v>
      </c>
      <c r="G11" t="s">
        <v>14</v>
      </c>
      <c r="H11">
        <v>1</v>
      </c>
      <c r="I11">
        <v>1</v>
      </c>
      <c r="J11" s="74">
        <v>40350</v>
      </c>
      <c r="K11" s="2" t="s">
        <v>41</v>
      </c>
      <c r="L11" s="5" t="s">
        <v>227</v>
      </c>
    </row>
    <row r="12" spans="1:12" x14ac:dyDescent="0.2">
      <c r="A12" s="2" t="s">
        <v>37</v>
      </c>
      <c r="B12" t="s">
        <v>1400</v>
      </c>
      <c r="C12" s="5" t="s">
        <v>1401</v>
      </c>
      <c r="D12" s="5" t="s">
        <v>246</v>
      </c>
      <c r="E12" s="5" t="s">
        <v>1370</v>
      </c>
      <c r="F12" s="26" t="s">
        <v>1376</v>
      </c>
      <c r="G12" t="s">
        <v>14</v>
      </c>
      <c r="H12">
        <v>1</v>
      </c>
      <c r="I12">
        <v>1</v>
      </c>
      <c r="J12" s="74">
        <v>39426</v>
      </c>
      <c r="K12" s="2" t="s">
        <v>37</v>
      </c>
      <c r="L12" s="5" t="s">
        <v>227</v>
      </c>
    </row>
    <row r="13" spans="1:12" x14ac:dyDescent="0.2">
      <c r="A13" s="2" t="s">
        <v>28</v>
      </c>
      <c r="B13" t="s">
        <v>29</v>
      </c>
      <c r="C13" s="5" t="s">
        <v>149</v>
      </c>
      <c r="D13" s="5" t="s">
        <v>257</v>
      </c>
      <c r="E13" s="5" t="s">
        <v>1370</v>
      </c>
      <c r="F13" s="26" t="s">
        <v>1376</v>
      </c>
      <c r="G13" t="s">
        <v>14</v>
      </c>
      <c r="H13">
        <v>1</v>
      </c>
      <c r="I13">
        <v>1</v>
      </c>
      <c r="J13" s="74">
        <v>40350</v>
      </c>
      <c r="K13" s="2" t="s">
        <v>28</v>
      </c>
      <c r="L13" s="5" t="s">
        <v>227</v>
      </c>
    </row>
    <row r="14" spans="1:12" x14ac:dyDescent="0.2">
      <c r="A14" s="2" t="s">
        <v>26</v>
      </c>
      <c r="B14" t="s">
        <v>27</v>
      </c>
      <c r="C14" s="5" t="s">
        <v>61</v>
      </c>
      <c r="D14" s="5" t="s">
        <v>258</v>
      </c>
      <c r="E14" s="5" t="s">
        <v>1370</v>
      </c>
      <c r="F14" s="26" t="s">
        <v>1376</v>
      </c>
      <c r="G14" t="s">
        <v>14</v>
      </c>
      <c r="H14">
        <v>1</v>
      </c>
      <c r="I14">
        <v>1</v>
      </c>
      <c r="J14" s="74">
        <v>40350</v>
      </c>
      <c r="K14" s="2" t="s">
        <v>26</v>
      </c>
      <c r="L14" s="5" t="s">
        <v>227</v>
      </c>
    </row>
    <row r="15" spans="1:12" x14ac:dyDescent="0.2">
      <c r="A15" s="2" t="s">
        <v>30</v>
      </c>
      <c r="B15" t="s">
        <v>31</v>
      </c>
      <c r="C15" s="5" t="s">
        <v>150</v>
      </c>
      <c r="D15" s="5" t="s">
        <v>255</v>
      </c>
      <c r="E15" s="5" t="s">
        <v>1370</v>
      </c>
      <c r="F15" s="26" t="s">
        <v>1376</v>
      </c>
      <c r="G15" t="s">
        <v>14</v>
      </c>
      <c r="H15">
        <v>1</v>
      </c>
      <c r="I15">
        <v>1</v>
      </c>
      <c r="J15" s="74">
        <v>40331</v>
      </c>
      <c r="K15" s="2" t="s">
        <v>30</v>
      </c>
      <c r="L15" s="5" t="s">
        <v>227</v>
      </c>
    </row>
    <row r="16" spans="1:12" x14ac:dyDescent="0.2">
      <c r="A16" s="2" t="s">
        <v>32</v>
      </c>
      <c r="B16" t="s">
        <v>33</v>
      </c>
      <c r="C16" s="5" t="s">
        <v>151</v>
      </c>
      <c r="D16" s="5" t="s">
        <v>254</v>
      </c>
      <c r="E16" s="5" t="s">
        <v>1370</v>
      </c>
      <c r="F16" s="26" t="s">
        <v>1376</v>
      </c>
      <c r="G16" t="s">
        <v>14</v>
      </c>
      <c r="H16">
        <v>1</v>
      </c>
      <c r="I16">
        <v>1</v>
      </c>
      <c r="J16" s="74">
        <v>40330</v>
      </c>
      <c r="K16" s="2" t="s">
        <v>32</v>
      </c>
      <c r="L16" s="5" t="s">
        <v>227</v>
      </c>
    </row>
    <row r="17" spans="1:12" x14ac:dyDescent="0.2">
      <c r="A17" s="2" t="s">
        <v>15</v>
      </c>
      <c r="B17" t="s">
        <v>16</v>
      </c>
      <c r="C17" s="5" t="s">
        <v>153</v>
      </c>
      <c r="D17" s="5" t="s">
        <v>260</v>
      </c>
      <c r="E17" s="5" t="s">
        <v>1371</v>
      </c>
      <c r="F17" s="26" t="s">
        <v>1376</v>
      </c>
      <c r="G17" t="s">
        <v>14</v>
      </c>
      <c r="H17">
        <v>1</v>
      </c>
      <c r="I17">
        <v>1</v>
      </c>
      <c r="J17" s="74">
        <v>40395</v>
      </c>
      <c r="K17" s="2" t="s">
        <v>15</v>
      </c>
      <c r="L17" s="5" t="s">
        <v>227</v>
      </c>
    </row>
    <row r="18" spans="1:12" x14ac:dyDescent="0.2">
      <c r="A18" s="2" t="s">
        <v>267</v>
      </c>
      <c r="B18" t="s">
        <v>276</v>
      </c>
      <c r="C18" t="s">
        <v>276</v>
      </c>
      <c r="D18" s="5" t="s">
        <v>268</v>
      </c>
      <c r="E18" s="5" t="s">
        <v>1371</v>
      </c>
      <c r="F18" s="26" t="s">
        <v>1376</v>
      </c>
      <c r="G18" t="s">
        <v>14</v>
      </c>
      <c r="H18">
        <v>1</v>
      </c>
      <c r="I18">
        <v>1</v>
      </c>
      <c r="J18" s="74">
        <v>40550</v>
      </c>
      <c r="K18" s="2" t="s">
        <v>267</v>
      </c>
      <c r="L18" s="5" t="s">
        <v>227</v>
      </c>
    </row>
    <row r="19" spans="1:12" x14ac:dyDescent="0.2">
      <c r="A19" s="2" t="s">
        <v>43</v>
      </c>
      <c r="B19" t="s">
        <v>1402</v>
      </c>
      <c r="C19" s="5" t="s">
        <v>1403</v>
      </c>
      <c r="D19" s="5" t="s">
        <v>247</v>
      </c>
      <c r="E19" s="5" t="s">
        <v>1371</v>
      </c>
      <c r="F19" s="26" t="s">
        <v>1376</v>
      </c>
      <c r="G19" t="s">
        <v>14</v>
      </c>
      <c r="H19">
        <v>1</v>
      </c>
      <c r="I19">
        <v>1</v>
      </c>
      <c r="J19" s="74">
        <v>39449</v>
      </c>
      <c r="K19" s="2" t="s">
        <v>43</v>
      </c>
      <c r="L19" s="5" t="s">
        <v>227</v>
      </c>
    </row>
    <row r="20" spans="1:12" x14ac:dyDescent="0.2">
      <c r="A20" s="2" t="s">
        <v>24</v>
      </c>
      <c r="B20" s="5" t="s">
        <v>1404</v>
      </c>
      <c r="C20" s="5" t="s">
        <v>1404</v>
      </c>
      <c r="D20" s="5" t="s">
        <v>250</v>
      </c>
      <c r="E20" s="5" t="s">
        <v>1371</v>
      </c>
      <c r="F20" s="26" t="s">
        <v>1376</v>
      </c>
      <c r="G20" t="s">
        <v>14</v>
      </c>
      <c r="H20">
        <v>1</v>
      </c>
      <c r="I20">
        <v>1</v>
      </c>
      <c r="J20" s="74">
        <v>40044</v>
      </c>
      <c r="K20" s="2" t="s">
        <v>24</v>
      </c>
      <c r="L20" s="5" t="s">
        <v>227</v>
      </c>
    </row>
    <row r="21" spans="1:12" x14ac:dyDescent="0.2">
      <c r="A21" s="2" t="s">
        <v>19</v>
      </c>
      <c r="B21" t="s">
        <v>20</v>
      </c>
      <c r="C21" s="5" t="s">
        <v>155</v>
      </c>
      <c r="D21" s="5" t="s">
        <v>377</v>
      </c>
      <c r="E21" s="5" t="s">
        <v>1372</v>
      </c>
      <c r="F21" s="26" t="s">
        <v>1376</v>
      </c>
      <c r="G21" t="s">
        <v>14</v>
      </c>
      <c r="H21">
        <v>1</v>
      </c>
      <c r="I21">
        <v>1</v>
      </c>
      <c r="J21" s="74">
        <v>40127</v>
      </c>
      <c r="K21" s="2" t="s">
        <v>19</v>
      </c>
      <c r="L21" s="5" t="s">
        <v>227</v>
      </c>
    </row>
    <row r="22" spans="1:12" x14ac:dyDescent="0.2">
      <c r="A22" s="2" t="s">
        <v>17</v>
      </c>
      <c r="B22" t="s">
        <v>18</v>
      </c>
      <c r="C22" s="5" t="s">
        <v>154</v>
      </c>
      <c r="D22" s="5" t="s">
        <v>253</v>
      </c>
      <c r="E22" s="5" t="s">
        <v>1372</v>
      </c>
      <c r="F22" s="26" t="s">
        <v>1376</v>
      </c>
      <c r="G22" t="s">
        <v>14</v>
      </c>
      <c r="H22">
        <v>1</v>
      </c>
      <c r="I22">
        <v>1</v>
      </c>
      <c r="J22" s="74">
        <v>40297</v>
      </c>
      <c r="K22" s="2" t="s">
        <v>17</v>
      </c>
      <c r="L22" s="5" t="s">
        <v>227</v>
      </c>
    </row>
    <row r="23" spans="1:12" x14ac:dyDescent="0.2">
      <c r="A23" s="2" t="s">
        <v>34</v>
      </c>
      <c r="B23" t="s">
        <v>1405</v>
      </c>
      <c r="C23" s="5" t="s">
        <v>1406</v>
      </c>
      <c r="D23" s="5" t="s">
        <v>251</v>
      </c>
      <c r="E23" s="5" t="s">
        <v>1370</v>
      </c>
      <c r="F23" s="26" t="s">
        <v>1377</v>
      </c>
      <c r="G23" t="s">
        <v>14</v>
      </c>
      <c r="H23">
        <v>1</v>
      </c>
      <c r="I23">
        <v>1</v>
      </c>
      <c r="J23" s="74">
        <v>40143</v>
      </c>
      <c r="K23" s="2" t="s">
        <v>34</v>
      </c>
      <c r="L23" s="5" t="s">
        <v>227</v>
      </c>
    </row>
    <row r="24" spans="1:12" x14ac:dyDescent="0.2">
      <c r="A24" s="2" t="s">
        <v>39</v>
      </c>
      <c r="B24" t="s">
        <v>1407</v>
      </c>
      <c r="C24" s="5" t="s">
        <v>1408</v>
      </c>
      <c r="D24" s="5" t="s">
        <v>239</v>
      </c>
      <c r="E24" s="5" t="s">
        <v>1370</v>
      </c>
      <c r="F24" s="5" t="s">
        <v>1377</v>
      </c>
      <c r="G24" t="s">
        <v>14</v>
      </c>
      <c r="H24">
        <v>1</v>
      </c>
      <c r="I24">
        <v>1</v>
      </c>
      <c r="J24" s="74">
        <v>39056</v>
      </c>
      <c r="K24" s="2" t="s">
        <v>39</v>
      </c>
      <c r="L24" s="5" t="s">
        <v>227</v>
      </c>
    </row>
    <row r="25" spans="1:12" x14ac:dyDescent="0.2">
      <c r="A25" s="2" t="s">
        <v>265</v>
      </c>
      <c r="B25" s="5" t="s">
        <v>273</v>
      </c>
      <c r="C25" s="5" t="s">
        <v>273</v>
      </c>
      <c r="D25" s="5" t="s">
        <v>266</v>
      </c>
      <c r="E25" t="s">
        <v>1371</v>
      </c>
      <c r="F25" s="26" t="s">
        <v>1377</v>
      </c>
      <c r="G25" t="s">
        <v>14</v>
      </c>
      <c r="H25">
        <v>1</v>
      </c>
      <c r="I25">
        <v>1</v>
      </c>
      <c r="J25" s="74">
        <v>40541</v>
      </c>
      <c r="K25" s="2" t="s">
        <v>265</v>
      </c>
      <c r="L25" s="5" t="s">
        <v>227</v>
      </c>
    </row>
    <row r="26" spans="1:12" x14ac:dyDescent="0.2">
      <c r="A26" s="2" t="s">
        <v>269</v>
      </c>
      <c r="B26" t="s">
        <v>277</v>
      </c>
      <c r="C26" t="s">
        <v>277</v>
      </c>
      <c r="D26" s="5" t="s">
        <v>270</v>
      </c>
      <c r="E26" s="5" t="s">
        <v>1371</v>
      </c>
      <c r="F26" s="26" t="s">
        <v>1377</v>
      </c>
      <c r="G26" t="s">
        <v>14</v>
      </c>
      <c r="H26">
        <v>1</v>
      </c>
      <c r="I26">
        <v>1</v>
      </c>
      <c r="J26" s="74">
        <v>40617</v>
      </c>
      <c r="K26" s="2" t="s">
        <v>269</v>
      </c>
      <c r="L26" s="5" t="s">
        <v>227</v>
      </c>
    </row>
    <row r="27" spans="1:12" x14ac:dyDescent="0.2">
      <c r="A27" s="2" t="s">
        <v>47</v>
      </c>
      <c r="B27" t="s">
        <v>1409</v>
      </c>
      <c r="C27" s="5" t="s">
        <v>1410</v>
      </c>
      <c r="D27" s="5" t="s">
        <v>242</v>
      </c>
      <c r="E27" s="5" t="s">
        <v>1371</v>
      </c>
      <c r="F27" s="5" t="s">
        <v>1377</v>
      </c>
      <c r="G27" s="5" t="s">
        <v>14</v>
      </c>
      <c r="H27">
        <v>1</v>
      </c>
      <c r="I27">
        <v>1</v>
      </c>
      <c r="J27" s="74">
        <v>39345</v>
      </c>
      <c r="K27" s="2" t="s">
        <v>47</v>
      </c>
      <c r="L27" s="5" t="s">
        <v>227</v>
      </c>
    </row>
    <row r="28" spans="1:12" x14ac:dyDescent="0.2">
      <c r="A28" s="2" t="s">
        <v>12</v>
      </c>
      <c r="B28" t="s">
        <v>13</v>
      </c>
      <c r="C28" s="5" t="s">
        <v>158</v>
      </c>
      <c r="D28" s="5" t="s">
        <v>262</v>
      </c>
      <c r="E28" s="5" t="s">
        <v>1372</v>
      </c>
      <c r="F28" s="26" t="s">
        <v>1377</v>
      </c>
      <c r="G28" t="s">
        <v>14</v>
      </c>
      <c r="H28">
        <v>1</v>
      </c>
      <c r="I28">
        <v>1</v>
      </c>
      <c r="J28" s="74">
        <v>40444</v>
      </c>
      <c r="K28" s="2" t="s">
        <v>12</v>
      </c>
      <c r="L28" s="5" t="s">
        <v>227</v>
      </c>
    </row>
    <row r="29" spans="1:12" x14ac:dyDescent="0.2">
      <c r="A29" s="2" t="s">
        <v>44</v>
      </c>
      <c r="B29" t="s">
        <v>1411</v>
      </c>
      <c r="C29" s="5" t="s">
        <v>1412</v>
      </c>
      <c r="D29" s="5" t="s">
        <v>244</v>
      </c>
      <c r="E29" s="5" t="s">
        <v>1371</v>
      </c>
      <c r="F29" s="5" t="s">
        <v>1378</v>
      </c>
      <c r="G29" t="s">
        <v>14</v>
      </c>
      <c r="H29">
        <v>1</v>
      </c>
      <c r="I29">
        <v>1</v>
      </c>
      <c r="J29" s="74">
        <v>39401</v>
      </c>
      <c r="K29" s="2" t="s">
        <v>44</v>
      </c>
      <c r="L29" s="5" t="s">
        <v>227</v>
      </c>
    </row>
    <row r="30" spans="1:12" x14ac:dyDescent="0.2">
      <c r="A30" s="2" t="s">
        <v>42</v>
      </c>
      <c r="B30" t="s">
        <v>1413</v>
      </c>
      <c r="C30" s="5" t="s">
        <v>1414</v>
      </c>
      <c r="D30" s="5" t="s">
        <v>249</v>
      </c>
      <c r="E30" s="5" t="s">
        <v>1371</v>
      </c>
      <c r="F30" s="5" t="s">
        <v>1378</v>
      </c>
      <c r="G30" t="s">
        <v>14</v>
      </c>
      <c r="H30">
        <v>1</v>
      </c>
      <c r="I30">
        <v>1</v>
      </c>
      <c r="J30" s="74">
        <v>39820</v>
      </c>
      <c r="K30" s="2" t="s">
        <v>42</v>
      </c>
      <c r="L30" s="5" t="s">
        <v>227</v>
      </c>
    </row>
    <row r="31" spans="1:12" x14ac:dyDescent="0.2">
      <c r="A31" s="2" t="s">
        <v>21</v>
      </c>
      <c r="B31" t="s">
        <v>1415</v>
      </c>
      <c r="C31" s="5" t="s">
        <v>1416</v>
      </c>
      <c r="D31" s="5" t="s">
        <v>252</v>
      </c>
      <c r="E31" s="5" t="s">
        <v>1372</v>
      </c>
      <c r="F31" s="5" t="s">
        <v>1378</v>
      </c>
      <c r="G31" t="s">
        <v>14</v>
      </c>
      <c r="H31">
        <v>1</v>
      </c>
      <c r="I31">
        <v>1</v>
      </c>
      <c r="J31" s="74">
        <v>40200</v>
      </c>
      <c r="K31" s="2" t="s">
        <v>21</v>
      </c>
      <c r="L31" s="5" t="s">
        <v>227</v>
      </c>
    </row>
    <row r="32" spans="1:12" x14ac:dyDescent="0.2">
      <c r="A32" s="2"/>
    </row>
  </sheetData>
  <sortState ref="A2:I33">
    <sortCondition ref="A2:A33"/>
  </sortState>
  <customSheetViews>
    <customSheetView guid="{8EF2C042-D97C-40EA-9E42-A17331664713}" topLeftCell="B1">
      <selection activeCell="H4" sqref="H4"/>
      <pageMargins left="0.7" right="0.7" top="0.75" bottom="0.75" header="0.3" footer="0.3"/>
      <pageSetup paperSize="9" orientation="portrait" horizontalDpi="0" verticalDpi="0" r:id="rId1"/>
    </customSheetView>
    <customSheetView guid="{E8497AD8-A45C-484D-A252-6E26647DB053}">
      <selection activeCell="C14" sqref="C14"/>
      <pageMargins left="0.7" right="0.7" top="0.75" bottom="0.75" header="0.3" footer="0.3"/>
      <pageSetup paperSize="9" orientation="portrait" horizontalDpi="0" verticalDpi="0" r:id="rId2"/>
    </customSheetView>
    <customSheetView guid="{AAB8C83D-EE7C-4F2D-A040-F04A230A06FD}" showAutoFilter="1">
      <selection activeCell="C8" sqref="C8"/>
      <pageMargins left="0.7" right="0.7" top="0.75" bottom="0.75" header="0.3" footer="0.3"/>
      <autoFilter ref="A1:J31">
        <sortState ref="A3:J31">
          <sortCondition ref="F1:F31"/>
        </sortState>
      </autoFilter>
    </customSheetView>
    <customSheetView guid="{A93D23F5-27FE-48DF-A0DC-3D7A8C6F3CF5}">
      <selection activeCell="A8" sqref="A8"/>
      <pageMargins left="0.7" right="0.7" top="0.75" bottom="0.75" header="0.3" footer="0.3"/>
      <pageSetup paperSize="9" orientation="portrait" horizontalDpi="0" verticalDpi="0" r:id="rId3"/>
    </customSheetView>
  </customSheetViews>
  <pageMargins left="0.7" right="0.7" top="0.75" bottom="0.75" header="0.3" footer="0.3"/>
  <pageSetup paperSize="9"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89"/>
  <sheetViews>
    <sheetView workbookViewId="0">
      <selection activeCell="B18" sqref="B18:C25"/>
    </sheetView>
  </sheetViews>
  <sheetFormatPr defaultRowHeight="12.75" x14ac:dyDescent="0.2"/>
  <cols>
    <col min="1" max="1" width="15" bestFit="1" customWidth="1"/>
    <col min="2" max="3" width="35.42578125" bestFit="1" customWidth="1"/>
    <col min="4" max="4" width="10.28515625" bestFit="1" customWidth="1"/>
    <col min="5" max="5" width="10.140625" bestFit="1" customWidth="1"/>
    <col min="6" max="6" width="12.5703125" bestFit="1" customWidth="1"/>
    <col min="7" max="7" width="9.85546875" bestFit="1" customWidth="1"/>
    <col min="8" max="8" width="15" bestFit="1" customWidth="1"/>
    <col min="9" max="9" width="10.42578125" bestFit="1" customWidth="1"/>
    <col min="10" max="10" width="9.7109375" bestFit="1" customWidth="1"/>
    <col min="11" max="11" width="15" bestFit="1" customWidth="1"/>
    <col min="12" max="12" width="12.140625" bestFit="1" customWidth="1"/>
    <col min="13" max="13" width="9.7109375" bestFit="1" customWidth="1"/>
    <col min="14" max="14" width="12.140625" bestFit="1" customWidth="1"/>
    <col min="15" max="15" width="15.140625" bestFit="1" customWidth="1"/>
    <col min="17" max="17" width="9.28515625" bestFit="1" customWidth="1"/>
    <col min="20" max="20" width="14.85546875" bestFit="1" customWidth="1"/>
  </cols>
  <sheetData>
    <row r="1" spans="1:20" x14ac:dyDescent="0.2">
      <c r="A1" s="3" t="s">
        <v>57</v>
      </c>
      <c r="B1" s="3" t="s">
        <v>73</v>
      </c>
      <c r="C1" s="11" t="s">
        <v>159</v>
      </c>
      <c r="D1" s="3" t="s">
        <v>74</v>
      </c>
      <c r="E1" s="3" t="s">
        <v>75</v>
      </c>
      <c r="F1" s="11" t="s">
        <v>187</v>
      </c>
      <c r="G1" s="3" t="s">
        <v>76</v>
      </c>
      <c r="H1" s="3" t="s">
        <v>77</v>
      </c>
      <c r="I1" s="3" t="s">
        <v>90</v>
      </c>
      <c r="J1" s="3" t="s">
        <v>86</v>
      </c>
      <c r="K1" s="3" t="s">
        <v>87</v>
      </c>
      <c r="L1" s="3" t="s">
        <v>394</v>
      </c>
      <c r="M1" s="3" t="s">
        <v>395</v>
      </c>
      <c r="N1" s="3" t="s">
        <v>238</v>
      </c>
      <c r="O1" s="3" t="s">
        <v>396</v>
      </c>
      <c r="P1" s="3" t="s">
        <v>1330</v>
      </c>
      <c r="Q1" s="3" t="s">
        <v>116</v>
      </c>
      <c r="R1" s="3" t="s">
        <v>138</v>
      </c>
      <c r="S1" s="3" t="s">
        <v>1364</v>
      </c>
      <c r="T1" s="3" t="s">
        <v>1365</v>
      </c>
    </row>
    <row r="2" spans="1:20" x14ac:dyDescent="0.2">
      <c r="A2" t="s">
        <v>1417</v>
      </c>
      <c r="B2" t="s">
        <v>1418</v>
      </c>
      <c r="C2" t="s">
        <v>1419</v>
      </c>
      <c r="D2" t="s">
        <v>14</v>
      </c>
      <c r="E2">
        <v>1000</v>
      </c>
      <c r="F2" s="74">
        <v>39813</v>
      </c>
      <c r="G2" t="s">
        <v>80</v>
      </c>
      <c r="H2" t="s">
        <v>1417</v>
      </c>
      <c r="I2" t="s">
        <v>92</v>
      </c>
      <c r="J2">
        <v>1</v>
      </c>
      <c r="K2">
        <v>0</v>
      </c>
    </row>
    <row r="3" spans="1:20" x14ac:dyDescent="0.2">
      <c r="A3" t="s">
        <v>1420</v>
      </c>
      <c r="B3" t="s">
        <v>1421</v>
      </c>
      <c r="C3" t="s">
        <v>1421</v>
      </c>
      <c r="D3" t="s">
        <v>84</v>
      </c>
      <c r="E3">
        <v>1000</v>
      </c>
      <c r="F3" s="74">
        <v>39813</v>
      </c>
      <c r="G3" t="s">
        <v>80</v>
      </c>
      <c r="H3" t="s">
        <v>1417</v>
      </c>
      <c r="I3" t="s">
        <v>92</v>
      </c>
      <c r="J3">
        <v>1</v>
      </c>
      <c r="K3">
        <v>0</v>
      </c>
    </row>
    <row r="4" spans="1:20" x14ac:dyDescent="0.2">
      <c r="A4" t="s">
        <v>1422</v>
      </c>
      <c r="B4" t="s">
        <v>1423</v>
      </c>
      <c r="C4" t="s">
        <v>1423</v>
      </c>
      <c r="D4" t="s">
        <v>85</v>
      </c>
      <c r="E4">
        <v>1000</v>
      </c>
      <c r="F4" s="74">
        <v>39813</v>
      </c>
      <c r="G4" t="s">
        <v>80</v>
      </c>
      <c r="H4" t="s">
        <v>1417</v>
      </c>
      <c r="I4" t="s">
        <v>92</v>
      </c>
      <c r="J4">
        <v>1</v>
      </c>
      <c r="K4">
        <v>0</v>
      </c>
    </row>
    <row r="5" spans="1:20" x14ac:dyDescent="0.2">
      <c r="A5" t="s">
        <v>1424</v>
      </c>
      <c r="B5" t="s">
        <v>1425</v>
      </c>
      <c r="C5" t="s">
        <v>1425</v>
      </c>
      <c r="D5" t="s">
        <v>83</v>
      </c>
      <c r="E5">
        <v>1000</v>
      </c>
      <c r="F5" s="74">
        <v>39813</v>
      </c>
      <c r="G5" t="s">
        <v>80</v>
      </c>
      <c r="H5" t="s">
        <v>1417</v>
      </c>
      <c r="I5" t="s">
        <v>92</v>
      </c>
      <c r="J5">
        <v>1</v>
      </c>
      <c r="K5">
        <v>0</v>
      </c>
    </row>
    <row r="6" spans="1:20" x14ac:dyDescent="0.2">
      <c r="A6" t="s">
        <v>1426</v>
      </c>
      <c r="B6" t="s">
        <v>1427</v>
      </c>
      <c r="C6" t="s">
        <v>1428</v>
      </c>
      <c r="D6" t="s">
        <v>14</v>
      </c>
      <c r="E6">
        <v>1000</v>
      </c>
      <c r="F6" s="74">
        <v>39813</v>
      </c>
      <c r="G6" t="s">
        <v>94</v>
      </c>
      <c r="H6" t="s">
        <v>1417</v>
      </c>
      <c r="I6" t="s">
        <v>92</v>
      </c>
      <c r="J6">
        <v>1</v>
      </c>
      <c r="K6">
        <v>0</v>
      </c>
    </row>
    <row r="7" spans="1:20" x14ac:dyDescent="0.2">
      <c r="A7" t="s">
        <v>1429</v>
      </c>
      <c r="B7" t="s">
        <v>1430</v>
      </c>
      <c r="C7" t="s">
        <v>1430</v>
      </c>
      <c r="D7" t="s">
        <v>84</v>
      </c>
      <c r="E7">
        <v>1000</v>
      </c>
      <c r="F7" s="74">
        <v>39813</v>
      </c>
      <c r="G7" t="s">
        <v>94</v>
      </c>
      <c r="H7" t="s">
        <v>1417</v>
      </c>
      <c r="I7" t="s">
        <v>92</v>
      </c>
      <c r="J7">
        <v>1</v>
      </c>
      <c r="K7">
        <v>0</v>
      </c>
    </row>
    <row r="8" spans="1:20" x14ac:dyDescent="0.2">
      <c r="A8" t="s">
        <v>1431</v>
      </c>
      <c r="B8" t="s">
        <v>1432</v>
      </c>
      <c r="C8" t="s">
        <v>1432</v>
      </c>
      <c r="D8" t="s">
        <v>85</v>
      </c>
      <c r="E8">
        <v>1000</v>
      </c>
      <c r="F8" s="74">
        <v>39813</v>
      </c>
      <c r="G8" t="s">
        <v>94</v>
      </c>
      <c r="H8" t="s">
        <v>1417</v>
      </c>
      <c r="I8" t="s">
        <v>92</v>
      </c>
      <c r="J8">
        <v>1</v>
      </c>
      <c r="K8">
        <v>0</v>
      </c>
    </row>
    <row r="9" spans="1:20" x14ac:dyDescent="0.2">
      <c r="A9" t="s">
        <v>1433</v>
      </c>
      <c r="B9" t="s">
        <v>1434</v>
      </c>
      <c r="C9" t="s">
        <v>1434</v>
      </c>
      <c r="D9" t="s">
        <v>83</v>
      </c>
      <c r="E9">
        <v>1000</v>
      </c>
      <c r="F9" s="74">
        <v>39813</v>
      </c>
      <c r="G9" t="s">
        <v>94</v>
      </c>
      <c r="H9" t="s">
        <v>1417</v>
      </c>
      <c r="I9" t="s">
        <v>92</v>
      </c>
      <c r="J9">
        <v>1</v>
      </c>
      <c r="K9">
        <v>0</v>
      </c>
    </row>
    <row r="10" spans="1:20" x14ac:dyDescent="0.2">
      <c r="A10" t="s">
        <v>1435</v>
      </c>
      <c r="B10" t="s">
        <v>1436</v>
      </c>
      <c r="C10" t="s">
        <v>1437</v>
      </c>
      <c r="D10" t="s">
        <v>14</v>
      </c>
      <c r="E10">
        <v>1000</v>
      </c>
      <c r="F10" s="74">
        <v>39813</v>
      </c>
      <c r="G10" t="s">
        <v>80</v>
      </c>
      <c r="H10" t="s">
        <v>1435</v>
      </c>
      <c r="I10" t="s">
        <v>91</v>
      </c>
      <c r="J10">
        <v>1</v>
      </c>
      <c r="K10">
        <v>0</v>
      </c>
    </row>
    <row r="11" spans="1:20" x14ac:dyDescent="0.2">
      <c r="A11" t="s">
        <v>1438</v>
      </c>
      <c r="B11" t="s">
        <v>1439</v>
      </c>
      <c r="C11" t="s">
        <v>1439</v>
      </c>
      <c r="D11" t="s">
        <v>84</v>
      </c>
      <c r="E11">
        <v>1000</v>
      </c>
      <c r="F11" s="74">
        <v>39813</v>
      </c>
      <c r="G11" t="s">
        <v>80</v>
      </c>
      <c r="H11" t="s">
        <v>1435</v>
      </c>
      <c r="I11" t="s">
        <v>91</v>
      </c>
      <c r="J11">
        <v>1</v>
      </c>
      <c r="K11">
        <v>0</v>
      </c>
    </row>
    <row r="12" spans="1:20" x14ac:dyDescent="0.2">
      <c r="A12" t="s">
        <v>1440</v>
      </c>
      <c r="B12" t="s">
        <v>1441</v>
      </c>
      <c r="C12" t="s">
        <v>1441</v>
      </c>
      <c r="D12" t="s">
        <v>85</v>
      </c>
      <c r="E12">
        <v>1000</v>
      </c>
      <c r="F12" s="74">
        <v>39813</v>
      </c>
      <c r="G12" t="s">
        <v>80</v>
      </c>
      <c r="H12" t="s">
        <v>1435</v>
      </c>
      <c r="I12" t="s">
        <v>91</v>
      </c>
      <c r="J12">
        <v>1</v>
      </c>
      <c r="K12">
        <v>0</v>
      </c>
    </row>
    <row r="13" spans="1:20" x14ac:dyDescent="0.2">
      <c r="A13" t="s">
        <v>1442</v>
      </c>
      <c r="B13" t="s">
        <v>1443</v>
      </c>
      <c r="C13" t="s">
        <v>1443</v>
      </c>
      <c r="D13" t="s">
        <v>83</v>
      </c>
      <c r="E13">
        <v>1000</v>
      </c>
      <c r="F13" s="74">
        <v>39813</v>
      </c>
      <c r="G13" t="s">
        <v>80</v>
      </c>
      <c r="H13" t="s">
        <v>1435</v>
      </c>
      <c r="I13" t="s">
        <v>91</v>
      </c>
      <c r="J13">
        <v>1</v>
      </c>
      <c r="K13">
        <v>0</v>
      </c>
    </row>
    <row r="14" spans="1:20" x14ac:dyDescent="0.2">
      <c r="A14" t="s">
        <v>1444</v>
      </c>
      <c r="B14" t="s">
        <v>1445</v>
      </c>
      <c r="C14" t="s">
        <v>1446</v>
      </c>
      <c r="D14" t="s">
        <v>14</v>
      </c>
      <c r="E14">
        <v>1000</v>
      </c>
      <c r="F14" s="74">
        <v>39813</v>
      </c>
      <c r="G14" t="s">
        <v>94</v>
      </c>
      <c r="H14" t="s">
        <v>1435</v>
      </c>
      <c r="I14" t="s">
        <v>91</v>
      </c>
      <c r="J14">
        <v>1</v>
      </c>
      <c r="K14">
        <v>0</v>
      </c>
    </row>
    <row r="15" spans="1:20" x14ac:dyDescent="0.2">
      <c r="A15" t="s">
        <v>1447</v>
      </c>
      <c r="B15" t="s">
        <v>1448</v>
      </c>
      <c r="C15" t="s">
        <v>1448</v>
      </c>
      <c r="D15" t="s">
        <v>84</v>
      </c>
      <c r="E15">
        <v>1000</v>
      </c>
      <c r="F15" s="74">
        <v>39813</v>
      </c>
      <c r="G15" t="s">
        <v>94</v>
      </c>
      <c r="H15" t="s">
        <v>1435</v>
      </c>
      <c r="I15" t="s">
        <v>91</v>
      </c>
      <c r="J15">
        <v>1</v>
      </c>
      <c r="K15">
        <v>0</v>
      </c>
    </row>
    <row r="16" spans="1:20" x14ac:dyDescent="0.2">
      <c r="A16" t="s">
        <v>1449</v>
      </c>
      <c r="B16" t="s">
        <v>1450</v>
      </c>
      <c r="C16" t="s">
        <v>1450</v>
      </c>
      <c r="D16" t="s">
        <v>85</v>
      </c>
      <c r="E16">
        <v>1000</v>
      </c>
      <c r="F16" s="74">
        <v>39813</v>
      </c>
      <c r="G16" t="s">
        <v>94</v>
      </c>
      <c r="H16" t="s">
        <v>1435</v>
      </c>
      <c r="I16" t="s">
        <v>91</v>
      </c>
      <c r="J16">
        <v>1</v>
      </c>
      <c r="K16">
        <v>0</v>
      </c>
    </row>
    <row r="17" spans="1:11" x14ac:dyDescent="0.2">
      <c r="A17" t="s">
        <v>1451</v>
      </c>
      <c r="B17" t="s">
        <v>1452</v>
      </c>
      <c r="C17" t="s">
        <v>1452</v>
      </c>
      <c r="D17" t="s">
        <v>83</v>
      </c>
      <c r="E17">
        <v>1000</v>
      </c>
      <c r="F17" s="74">
        <v>39813</v>
      </c>
      <c r="G17" t="s">
        <v>94</v>
      </c>
      <c r="H17" t="s">
        <v>1435</v>
      </c>
      <c r="I17" t="s">
        <v>91</v>
      </c>
      <c r="J17">
        <v>1</v>
      </c>
      <c r="K17">
        <v>0</v>
      </c>
    </row>
    <row r="18" spans="1:11" x14ac:dyDescent="0.2">
      <c r="A18" t="s">
        <v>1453</v>
      </c>
      <c r="B18" t="s">
        <v>1605</v>
      </c>
      <c r="C18" t="s">
        <v>1606</v>
      </c>
      <c r="D18" t="s">
        <v>14</v>
      </c>
      <c r="E18">
        <v>1000</v>
      </c>
      <c r="F18" s="74">
        <v>39813</v>
      </c>
      <c r="G18" t="s">
        <v>80</v>
      </c>
      <c r="H18" t="s">
        <v>1453</v>
      </c>
      <c r="I18" t="s">
        <v>91</v>
      </c>
      <c r="J18">
        <v>1</v>
      </c>
      <c r="K18">
        <v>0</v>
      </c>
    </row>
    <row r="19" spans="1:11" x14ac:dyDescent="0.2">
      <c r="A19" t="s">
        <v>1454</v>
      </c>
      <c r="B19" t="s">
        <v>1607</v>
      </c>
      <c r="C19" t="s">
        <v>1607</v>
      </c>
      <c r="D19" t="s">
        <v>84</v>
      </c>
      <c r="E19">
        <v>1000</v>
      </c>
      <c r="F19" s="74">
        <v>39813</v>
      </c>
      <c r="G19" t="s">
        <v>80</v>
      </c>
      <c r="H19" t="s">
        <v>1453</v>
      </c>
      <c r="I19" t="s">
        <v>91</v>
      </c>
      <c r="J19">
        <v>1</v>
      </c>
      <c r="K19">
        <v>0</v>
      </c>
    </row>
    <row r="20" spans="1:11" x14ac:dyDescent="0.2">
      <c r="A20" t="s">
        <v>1455</v>
      </c>
      <c r="B20" t="s">
        <v>1608</v>
      </c>
      <c r="C20" t="s">
        <v>1608</v>
      </c>
      <c r="D20" t="s">
        <v>85</v>
      </c>
      <c r="E20">
        <v>1000</v>
      </c>
      <c r="F20" s="74">
        <v>39813</v>
      </c>
      <c r="G20" t="s">
        <v>80</v>
      </c>
      <c r="H20" t="s">
        <v>1453</v>
      </c>
      <c r="I20" t="s">
        <v>91</v>
      </c>
      <c r="J20">
        <v>1</v>
      </c>
      <c r="K20">
        <v>0</v>
      </c>
    </row>
    <row r="21" spans="1:11" x14ac:dyDescent="0.2">
      <c r="A21" t="s">
        <v>1456</v>
      </c>
      <c r="B21" t="s">
        <v>1609</v>
      </c>
      <c r="C21" t="s">
        <v>1609</v>
      </c>
      <c r="D21" t="s">
        <v>83</v>
      </c>
      <c r="E21">
        <v>1000</v>
      </c>
      <c r="F21" s="74">
        <v>39813</v>
      </c>
      <c r="G21" t="s">
        <v>80</v>
      </c>
      <c r="H21" t="s">
        <v>1453</v>
      </c>
      <c r="I21" t="s">
        <v>91</v>
      </c>
      <c r="J21">
        <v>1</v>
      </c>
      <c r="K21">
        <v>0</v>
      </c>
    </row>
    <row r="22" spans="1:11" x14ac:dyDescent="0.2">
      <c r="A22" t="s">
        <v>1457</v>
      </c>
      <c r="B22" t="s">
        <v>1610</v>
      </c>
      <c r="C22" t="s">
        <v>1611</v>
      </c>
      <c r="D22" t="s">
        <v>14</v>
      </c>
      <c r="E22">
        <v>1000</v>
      </c>
      <c r="F22" s="74">
        <v>39813</v>
      </c>
      <c r="G22" t="s">
        <v>94</v>
      </c>
      <c r="H22" t="s">
        <v>1453</v>
      </c>
      <c r="I22" t="s">
        <v>91</v>
      </c>
      <c r="J22">
        <v>1</v>
      </c>
      <c r="K22">
        <v>0</v>
      </c>
    </row>
    <row r="23" spans="1:11" x14ac:dyDescent="0.2">
      <c r="A23" t="s">
        <v>1458</v>
      </c>
      <c r="B23" t="s">
        <v>1612</v>
      </c>
      <c r="C23" t="s">
        <v>1612</v>
      </c>
      <c r="D23" t="s">
        <v>84</v>
      </c>
      <c r="E23">
        <v>1000</v>
      </c>
      <c r="F23" s="74">
        <v>39813</v>
      </c>
      <c r="G23" t="s">
        <v>94</v>
      </c>
      <c r="H23" t="s">
        <v>1453</v>
      </c>
      <c r="I23" t="s">
        <v>91</v>
      </c>
      <c r="J23">
        <v>1</v>
      </c>
      <c r="K23">
        <v>0</v>
      </c>
    </row>
    <row r="24" spans="1:11" x14ac:dyDescent="0.2">
      <c r="A24" t="s">
        <v>1459</v>
      </c>
      <c r="B24" t="s">
        <v>1613</v>
      </c>
      <c r="C24" t="s">
        <v>1613</v>
      </c>
      <c r="D24" t="s">
        <v>85</v>
      </c>
      <c r="E24">
        <v>1000</v>
      </c>
      <c r="F24" s="74">
        <v>39813</v>
      </c>
      <c r="G24" t="s">
        <v>94</v>
      </c>
      <c r="H24" t="s">
        <v>1453</v>
      </c>
      <c r="I24" t="s">
        <v>91</v>
      </c>
      <c r="J24">
        <v>1</v>
      </c>
      <c r="K24">
        <v>0</v>
      </c>
    </row>
    <row r="25" spans="1:11" x14ac:dyDescent="0.2">
      <c r="A25" t="s">
        <v>1460</v>
      </c>
      <c r="B25" t="s">
        <v>1614</v>
      </c>
      <c r="C25" t="s">
        <v>1614</v>
      </c>
      <c r="D25" t="s">
        <v>83</v>
      </c>
      <c r="E25">
        <v>1000</v>
      </c>
      <c r="F25" s="74">
        <v>39813</v>
      </c>
      <c r="G25" t="s">
        <v>94</v>
      </c>
      <c r="H25" t="s">
        <v>1453</v>
      </c>
      <c r="I25" t="s">
        <v>91</v>
      </c>
      <c r="J25">
        <v>1</v>
      </c>
      <c r="K25">
        <v>0</v>
      </c>
    </row>
    <row r="26" spans="1:11" x14ac:dyDescent="0.2">
      <c r="A26" t="s">
        <v>1461</v>
      </c>
      <c r="B26" t="s">
        <v>1462</v>
      </c>
      <c r="C26" t="s">
        <v>1463</v>
      </c>
      <c r="D26" t="s">
        <v>14</v>
      </c>
      <c r="E26">
        <v>1000</v>
      </c>
      <c r="F26" s="74">
        <v>39813</v>
      </c>
      <c r="G26" t="s">
        <v>80</v>
      </c>
      <c r="H26" t="s">
        <v>1461</v>
      </c>
      <c r="I26" t="s">
        <v>91</v>
      </c>
      <c r="J26">
        <v>1</v>
      </c>
      <c r="K26">
        <v>0</v>
      </c>
    </row>
    <row r="27" spans="1:11" x14ac:dyDescent="0.2">
      <c r="A27" t="s">
        <v>1464</v>
      </c>
      <c r="B27" t="s">
        <v>1465</v>
      </c>
      <c r="C27" t="s">
        <v>1465</v>
      </c>
      <c r="D27" t="s">
        <v>84</v>
      </c>
      <c r="E27">
        <v>1000</v>
      </c>
      <c r="F27" s="74">
        <v>39813</v>
      </c>
      <c r="G27" t="s">
        <v>80</v>
      </c>
      <c r="H27" t="s">
        <v>1461</v>
      </c>
      <c r="I27" t="s">
        <v>91</v>
      </c>
      <c r="J27">
        <v>1</v>
      </c>
      <c r="K27">
        <v>0</v>
      </c>
    </row>
    <row r="28" spans="1:11" x14ac:dyDescent="0.2">
      <c r="A28" t="s">
        <v>1466</v>
      </c>
      <c r="B28" t="s">
        <v>1467</v>
      </c>
      <c r="C28" t="s">
        <v>1467</v>
      </c>
      <c r="D28" t="s">
        <v>85</v>
      </c>
      <c r="E28">
        <v>1000</v>
      </c>
      <c r="F28" s="74">
        <v>39813</v>
      </c>
      <c r="G28" t="s">
        <v>80</v>
      </c>
      <c r="H28" t="s">
        <v>1461</v>
      </c>
      <c r="I28" t="s">
        <v>91</v>
      </c>
      <c r="J28">
        <v>1</v>
      </c>
      <c r="K28">
        <v>0</v>
      </c>
    </row>
    <row r="29" spans="1:11" x14ac:dyDescent="0.2">
      <c r="A29" t="s">
        <v>1468</v>
      </c>
      <c r="B29" t="s">
        <v>1469</v>
      </c>
      <c r="C29" t="s">
        <v>1469</v>
      </c>
      <c r="D29" t="s">
        <v>83</v>
      </c>
      <c r="E29">
        <v>1000</v>
      </c>
      <c r="F29" s="74">
        <v>39813</v>
      </c>
      <c r="G29" t="s">
        <v>80</v>
      </c>
      <c r="H29" t="s">
        <v>1461</v>
      </c>
      <c r="I29" t="s">
        <v>91</v>
      </c>
      <c r="J29">
        <v>1</v>
      </c>
      <c r="K29">
        <v>0</v>
      </c>
    </row>
    <row r="30" spans="1:11" x14ac:dyDescent="0.2">
      <c r="A30" t="s">
        <v>1470</v>
      </c>
      <c r="B30" t="s">
        <v>1471</v>
      </c>
      <c r="C30" t="s">
        <v>1472</v>
      </c>
      <c r="D30" t="s">
        <v>14</v>
      </c>
      <c r="E30">
        <v>1000</v>
      </c>
      <c r="F30" s="74">
        <v>39813</v>
      </c>
      <c r="G30" t="s">
        <v>94</v>
      </c>
      <c r="H30" t="s">
        <v>1461</v>
      </c>
      <c r="I30" t="s">
        <v>91</v>
      </c>
      <c r="J30">
        <v>1</v>
      </c>
      <c r="K30">
        <v>0</v>
      </c>
    </row>
    <row r="31" spans="1:11" x14ac:dyDescent="0.2">
      <c r="A31" t="s">
        <v>1473</v>
      </c>
      <c r="B31" t="s">
        <v>1474</v>
      </c>
      <c r="C31" t="s">
        <v>1474</v>
      </c>
      <c r="D31" t="s">
        <v>84</v>
      </c>
      <c r="E31">
        <v>1000</v>
      </c>
      <c r="F31" s="74">
        <v>39813</v>
      </c>
      <c r="G31" t="s">
        <v>94</v>
      </c>
      <c r="H31" t="s">
        <v>1461</v>
      </c>
      <c r="I31" t="s">
        <v>91</v>
      </c>
      <c r="J31">
        <v>1</v>
      </c>
      <c r="K31">
        <v>0</v>
      </c>
    </row>
    <row r="32" spans="1:11" x14ac:dyDescent="0.2">
      <c r="A32" t="s">
        <v>1475</v>
      </c>
      <c r="B32" t="s">
        <v>1476</v>
      </c>
      <c r="C32" t="s">
        <v>1476</v>
      </c>
      <c r="D32" t="s">
        <v>85</v>
      </c>
      <c r="E32">
        <v>1000</v>
      </c>
      <c r="F32" s="74">
        <v>39813</v>
      </c>
      <c r="G32" t="s">
        <v>94</v>
      </c>
      <c r="H32" t="s">
        <v>1461</v>
      </c>
      <c r="I32" t="s">
        <v>91</v>
      </c>
      <c r="J32">
        <v>1</v>
      </c>
      <c r="K32">
        <v>0</v>
      </c>
    </row>
    <row r="33" spans="1:11" x14ac:dyDescent="0.2">
      <c r="A33" t="s">
        <v>1477</v>
      </c>
      <c r="B33" t="s">
        <v>1478</v>
      </c>
      <c r="C33" t="s">
        <v>1478</v>
      </c>
      <c r="D33" t="s">
        <v>83</v>
      </c>
      <c r="E33">
        <v>1000</v>
      </c>
      <c r="F33" s="74">
        <v>39813</v>
      </c>
      <c r="G33" t="s">
        <v>94</v>
      </c>
      <c r="H33" t="s">
        <v>1461</v>
      </c>
      <c r="I33" t="s">
        <v>91</v>
      </c>
      <c r="J33">
        <v>1</v>
      </c>
      <c r="K33">
        <v>0</v>
      </c>
    </row>
    <row r="34" spans="1:11" x14ac:dyDescent="0.2">
      <c r="A34" t="s">
        <v>1479</v>
      </c>
      <c r="B34" t="s">
        <v>1480</v>
      </c>
      <c r="C34" t="s">
        <v>1481</v>
      </c>
      <c r="D34" t="s">
        <v>14</v>
      </c>
      <c r="E34">
        <v>1000</v>
      </c>
      <c r="F34" s="74">
        <v>39813</v>
      </c>
      <c r="G34" t="s">
        <v>80</v>
      </c>
      <c r="H34" t="s">
        <v>1479</v>
      </c>
      <c r="I34" t="s">
        <v>91</v>
      </c>
      <c r="J34">
        <v>1</v>
      </c>
      <c r="K34">
        <v>0</v>
      </c>
    </row>
    <row r="35" spans="1:11" x14ac:dyDescent="0.2">
      <c r="A35" t="s">
        <v>1482</v>
      </c>
      <c r="B35" t="s">
        <v>1483</v>
      </c>
      <c r="C35" t="s">
        <v>1483</v>
      </c>
      <c r="D35" t="s">
        <v>84</v>
      </c>
      <c r="E35">
        <v>1000</v>
      </c>
      <c r="F35" s="74">
        <v>39813</v>
      </c>
      <c r="G35" t="s">
        <v>80</v>
      </c>
      <c r="H35" t="s">
        <v>1479</v>
      </c>
      <c r="I35" t="s">
        <v>91</v>
      </c>
      <c r="J35">
        <v>1</v>
      </c>
      <c r="K35">
        <v>0</v>
      </c>
    </row>
    <row r="36" spans="1:11" x14ac:dyDescent="0.2">
      <c r="A36" t="s">
        <v>1484</v>
      </c>
      <c r="B36" t="s">
        <v>1485</v>
      </c>
      <c r="C36" t="s">
        <v>1485</v>
      </c>
      <c r="D36" t="s">
        <v>85</v>
      </c>
      <c r="E36">
        <v>1000</v>
      </c>
      <c r="F36" s="74">
        <v>39813</v>
      </c>
      <c r="G36" t="s">
        <v>80</v>
      </c>
      <c r="H36" t="s">
        <v>1479</v>
      </c>
      <c r="I36" t="s">
        <v>91</v>
      </c>
      <c r="J36">
        <v>1</v>
      </c>
      <c r="K36">
        <v>0</v>
      </c>
    </row>
    <row r="37" spans="1:11" x14ac:dyDescent="0.2">
      <c r="A37" t="s">
        <v>1486</v>
      </c>
      <c r="B37" t="s">
        <v>1487</v>
      </c>
      <c r="C37" t="s">
        <v>1487</v>
      </c>
      <c r="D37" t="s">
        <v>83</v>
      </c>
      <c r="E37">
        <v>1000</v>
      </c>
      <c r="F37" s="74">
        <v>39813</v>
      </c>
      <c r="G37" t="s">
        <v>80</v>
      </c>
      <c r="H37" t="s">
        <v>1479</v>
      </c>
      <c r="I37" t="s">
        <v>91</v>
      </c>
      <c r="J37">
        <v>1</v>
      </c>
      <c r="K37">
        <v>0</v>
      </c>
    </row>
    <row r="38" spans="1:11" x14ac:dyDescent="0.2">
      <c r="A38" t="s">
        <v>1488</v>
      </c>
      <c r="B38" t="s">
        <v>1489</v>
      </c>
      <c r="C38" t="s">
        <v>1490</v>
      </c>
      <c r="D38" t="s">
        <v>14</v>
      </c>
      <c r="E38">
        <v>1000</v>
      </c>
      <c r="F38" s="74">
        <v>39813</v>
      </c>
      <c r="G38" t="s">
        <v>94</v>
      </c>
      <c r="H38" t="s">
        <v>1479</v>
      </c>
      <c r="I38" t="s">
        <v>91</v>
      </c>
      <c r="J38">
        <v>1</v>
      </c>
      <c r="K38">
        <v>0</v>
      </c>
    </row>
    <row r="39" spans="1:11" x14ac:dyDescent="0.2">
      <c r="A39" t="s">
        <v>1491</v>
      </c>
      <c r="B39" t="s">
        <v>1492</v>
      </c>
      <c r="C39" t="s">
        <v>1492</v>
      </c>
      <c r="D39" t="s">
        <v>84</v>
      </c>
      <c r="E39">
        <v>1000</v>
      </c>
      <c r="F39" s="74">
        <v>39813</v>
      </c>
      <c r="G39" t="s">
        <v>94</v>
      </c>
      <c r="H39" t="s">
        <v>1479</v>
      </c>
      <c r="I39" t="s">
        <v>91</v>
      </c>
      <c r="J39">
        <v>1</v>
      </c>
      <c r="K39">
        <v>0</v>
      </c>
    </row>
    <row r="40" spans="1:11" x14ac:dyDescent="0.2">
      <c r="A40" t="s">
        <v>1493</v>
      </c>
      <c r="B40" t="s">
        <v>1494</v>
      </c>
      <c r="C40" t="s">
        <v>1494</v>
      </c>
      <c r="D40" t="s">
        <v>85</v>
      </c>
      <c r="E40">
        <v>1000</v>
      </c>
      <c r="F40" s="74">
        <v>39813</v>
      </c>
      <c r="G40" t="s">
        <v>94</v>
      </c>
      <c r="H40" t="s">
        <v>1479</v>
      </c>
      <c r="I40" t="s">
        <v>91</v>
      </c>
      <c r="J40">
        <v>1</v>
      </c>
      <c r="K40">
        <v>0</v>
      </c>
    </row>
    <row r="41" spans="1:11" x14ac:dyDescent="0.2">
      <c r="A41" t="s">
        <v>1495</v>
      </c>
      <c r="B41" t="s">
        <v>1496</v>
      </c>
      <c r="C41" t="s">
        <v>1496</v>
      </c>
      <c r="D41" t="s">
        <v>83</v>
      </c>
      <c r="E41">
        <v>1000</v>
      </c>
      <c r="F41" s="74">
        <v>39813</v>
      </c>
      <c r="G41" t="s">
        <v>94</v>
      </c>
      <c r="H41" t="s">
        <v>1479</v>
      </c>
      <c r="I41" t="s">
        <v>91</v>
      </c>
      <c r="J41">
        <v>1</v>
      </c>
      <c r="K41">
        <v>0</v>
      </c>
    </row>
    <row r="42" spans="1:11" x14ac:dyDescent="0.2">
      <c r="A42" t="s">
        <v>1497</v>
      </c>
      <c r="B42" t="s">
        <v>1498</v>
      </c>
      <c r="C42" t="s">
        <v>1499</v>
      </c>
      <c r="D42" t="s">
        <v>14</v>
      </c>
      <c r="E42">
        <v>1000</v>
      </c>
      <c r="F42" s="74">
        <v>39813</v>
      </c>
      <c r="G42" t="s">
        <v>80</v>
      </c>
      <c r="H42" t="s">
        <v>1497</v>
      </c>
      <c r="I42" t="s">
        <v>93</v>
      </c>
      <c r="J42">
        <v>1</v>
      </c>
      <c r="K42">
        <v>0</v>
      </c>
    </row>
    <row r="43" spans="1:11" x14ac:dyDescent="0.2">
      <c r="A43" t="s">
        <v>1500</v>
      </c>
      <c r="B43" t="s">
        <v>1501</v>
      </c>
      <c r="C43" t="s">
        <v>1501</v>
      </c>
      <c r="D43" t="s">
        <v>84</v>
      </c>
      <c r="E43">
        <v>1000</v>
      </c>
      <c r="F43" s="74">
        <v>39813</v>
      </c>
      <c r="G43" t="s">
        <v>80</v>
      </c>
      <c r="H43" t="s">
        <v>1497</v>
      </c>
      <c r="I43" t="s">
        <v>93</v>
      </c>
      <c r="J43">
        <v>1</v>
      </c>
      <c r="K43">
        <v>0</v>
      </c>
    </row>
    <row r="44" spans="1:11" x14ac:dyDescent="0.2">
      <c r="A44" t="s">
        <v>1502</v>
      </c>
      <c r="B44" t="s">
        <v>1503</v>
      </c>
      <c r="C44" t="s">
        <v>1503</v>
      </c>
      <c r="D44" t="s">
        <v>85</v>
      </c>
      <c r="E44">
        <v>1000</v>
      </c>
      <c r="F44" s="74">
        <v>39813</v>
      </c>
      <c r="G44" t="s">
        <v>80</v>
      </c>
      <c r="H44" t="s">
        <v>1497</v>
      </c>
      <c r="I44" t="s">
        <v>93</v>
      </c>
      <c r="J44">
        <v>1</v>
      </c>
      <c r="K44">
        <v>0</v>
      </c>
    </row>
    <row r="45" spans="1:11" x14ac:dyDescent="0.2">
      <c r="A45" t="s">
        <v>1504</v>
      </c>
      <c r="B45" t="s">
        <v>1505</v>
      </c>
      <c r="C45" t="s">
        <v>1505</v>
      </c>
      <c r="D45" t="s">
        <v>83</v>
      </c>
      <c r="E45">
        <v>1000</v>
      </c>
      <c r="F45" s="74">
        <v>39813</v>
      </c>
      <c r="G45" t="s">
        <v>80</v>
      </c>
      <c r="H45" t="s">
        <v>1497</v>
      </c>
      <c r="I45" t="s">
        <v>93</v>
      </c>
      <c r="J45">
        <v>1</v>
      </c>
      <c r="K45">
        <v>0</v>
      </c>
    </row>
    <row r="46" spans="1:11" x14ac:dyDescent="0.2">
      <c r="A46" t="s">
        <v>1506</v>
      </c>
      <c r="B46" t="s">
        <v>1507</v>
      </c>
      <c r="C46" t="s">
        <v>1508</v>
      </c>
      <c r="D46" t="s">
        <v>14</v>
      </c>
      <c r="E46">
        <v>1000</v>
      </c>
      <c r="F46" s="74">
        <v>39813</v>
      </c>
      <c r="G46" t="s">
        <v>80</v>
      </c>
      <c r="H46" t="s">
        <v>1506</v>
      </c>
      <c r="I46" t="s">
        <v>93</v>
      </c>
      <c r="J46">
        <v>1</v>
      </c>
      <c r="K46">
        <v>0</v>
      </c>
    </row>
    <row r="47" spans="1:11" x14ac:dyDescent="0.2">
      <c r="A47" t="s">
        <v>1509</v>
      </c>
      <c r="B47" t="s">
        <v>1510</v>
      </c>
      <c r="C47" t="s">
        <v>1510</v>
      </c>
      <c r="D47" t="s">
        <v>84</v>
      </c>
      <c r="E47">
        <v>1000</v>
      </c>
      <c r="F47" s="74">
        <v>39813</v>
      </c>
      <c r="G47" t="s">
        <v>80</v>
      </c>
      <c r="H47" t="s">
        <v>1506</v>
      </c>
      <c r="I47" t="s">
        <v>93</v>
      </c>
      <c r="J47">
        <v>1</v>
      </c>
      <c r="K47">
        <v>0</v>
      </c>
    </row>
    <row r="48" spans="1:11" x14ac:dyDescent="0.2">
      <c r="A48" t="s">
        <v>1511</v>
      </c>
      <c r="B48" t="s">
        <v>1512</v>
      </c>
      <c r="C48" t="s">
        <v>1512</v>
      </c>
      <c r="D48" t="s">
        <v>85</v>
      </c>
      <c r="E48">
        <v>1000</v>
      </c>
      <c r="F48" s="74">
        <v>39813</v>
      </c>
      <c r="G48" t="s">
        <v>80</v>
      </c>
      <c r="H48" t="s">
        <v>1506</v>
      </c>
      <c r="I48" t="s">
        <v>93</v>
      </c>
      <c r="J48">
        <v>1</v>
      </c>
      <c r="K48">
        <v>0</v>
      </c>
    </row>
    <row r="49" spans="1:11" x14ac:dyDescent="0.2">
      <c r="A49" t="s">
        <v>1513</v>
      </c>
      <c r="B49" t="s">
        <v>1514</v>
      </c>
      <c r="C49" t="s">
        <v>1514</v>
      </c>
      <c r="D49" t="s">
        <v>83</v>
      </c>
      <c r="E49">
        <v>1000</v>
      </c>
      <c r="F49" s="74">
        <v>39813</v>
      </c>
      <c r="G49" t="s">
        <v>80</v>
      </c>
      <c r="H49" t="s">
        <v>1506</v>
      </c>
      <c r="I49" t="s">
        <v>93</v>
      </c>
      <c r="J49">
        <v>1</v>
      </c>
      <c r="K49">
        <v>0</v>
      </c>
    </row>
    <row r="50" spans="1:11" x14ac:dyDescent="0.2">
      <c r="A50" t="s">
        <v>1515</v>
      </c>
      <c r="B50" t="s">
        <v>1516</v>
      </c>
      <c r="C50" t="s">
        <v>1517</v>
      </c>
      <c r="D50" t="s">
        <v>14</v>
      </c>
      <c r="E50">
        <v>1000</v>
      </c>
      <c r="F50" s="74">
        <v>39813</v>
      </c>
      <c r="G50" t="s">
        <v>80</v>
      </c>
      <c r="H50" t="s">
        <v>1515</v>
      </c>
      <c r="I50" t="s">
        <v>93</v>
      </c>
      <c r="J50">
        <v>1</v>
      </c>
      <c r="K50">
        <v>0</v>
      </c>
    </row>
    <row r="51" spans="1:11" x14ac:dyDescent="0.2">
      <c r="A51" t="s">
        <v>1518</v>
      </c>
      <c r="B51" t="s">
        <v>1519</v>
      </c>
      <c r="C51" t="s">
        <v>1519</v>
      </c>
      <c r="D51" t="s">
        <v>84</v>
      </c>
      <c r="E51">
        <v>1000</v>
      </c>
      <c r="F51" s="74">
        <v>39813</v>
      </c>
      <c r="G51" t="s">
        <v>80</v>
      </c>
      <c r="H51" t="s">
        <v>1515</v>
      </c>
      <c r="I51" t="s">
        <v>93</v>
      </c>
      <c r="J51">
        <v>1</v>
      </c>
      <c r="K51">
        <v>0</v>
      </c>
    </row>
    <row r="52" spans="1:11" x14ac:dyDescent="0.2">
      <c r="A52" t="s">
        <v>1520</v>
      </c>
      <c r="B52" t="s">
        <v>1521</v>
      </c>
      <c r="C52" t="s">
        <v>1521</v>
      </c>
      <c r="D52" t="s">
        <v>85</v>
      </c>
      <c r="E52">
        <v>1000</v>
      </c>
      <c r="F52" s="74">
        <v>39813</v>
      </c>
      <c r="G52" t="s">
        <v>80</v>
      </c>
      <c r="H52" t="s">
        <v>1515</v>
      </c>
      <c r="I52" t="s">
        <v>93</v>
      </c>
      <c r="J52">
        <v>1</v>
      </c>
      <c r="K52">
        <v>0</v>
      </c>
    </row>
    <row r="53" spans="1:11" x14ac:dyDescent="0.2">
      <c r="A53" t="s">
        <v>1522</v>
      </c>
      <c r="B53" t="s">
        <v>1523</v>
      </c>
      <c r="C53" t="s">
        <v>1523</v>
      </c>
      <c r="D53" t="s">
        <v>83</v>
      </c>
      <c r="E53">
        <v>1000</v>
      </c>
      <c r="F53" s="74">
        <v>39813</v>
      </c>
      <c r="G53" t="s">
        <v>80</v>
      </c>
      <c r="H53" t="s">
        <v>1515</v>
      </c>
      <c r="I53" t="s">
        <v>93</v>
      </c>
      <c r="J53">
        <v>1</v>
      </c>
      <c r="K53">
        <v>0</v>
      </c>
    </row>
    <row r="54" spans="1:11" x14ac:dyDescent="0.2">
      <c r="A54" t="s">
        <v>1524</v>
      </c>
      <c r="B54" t="s">
        <v>1525</v>
      </c>
      <c r="C54" t="s">
        <v>1526</v>
      </c>
      <c r="D54" t="s">
        <v>14</v>
      </c>
      <c r="E54">
        <v>1000</v>
      </c>
      <c r="F54" s="74">
        <v>39813</v>
      </c>
      <c r="G54" t="s">
        <v>80</v>
      </c>
      <c r="H54" t="s">
        <v>1524</v>
      </c>
      <c r="I54" t="s">
        <v>93</v>
      </c>
      <c r="J54">
        <v>1</v>
      </c>
      <c r="K54">
        <v>0</v>
      </c>
    </row>
    <row r="55" spans="1:11" x14ac:dyDescent="0.2">
      <c r="A55" t="s">
        <v>1527</v>
      </c>
      <c r="B55" t="s">
        <v>1528</v>
      </c>
      <c r="C55" t="s">
        <v>1528</v>
      </c>
      <c r="D55" t="s">
        <v>84</v>
      </c>
      <c r="E55">
        <v>1000</v>
      </c>
      <c r="F55" s="74">
        <v>39813</v>
      </c>
      <c r="G55" t="s">
        <v>80</v>
      </c>
      <c r="H55" t="s">
        <v>1524</v>
      </c>
      <c r="I55" t="s">
        <v>93</v>
      </c>
      <c r="J55">
        <v>1</v>
      </c>
      <c r="K55">
        <v>0</v>
      </c>
    </row>
    <row r="56" spans="1:11" x14ac:dyDescent="0.2">
      <c r="A56" t="s">
        <v>1529</v>
      </c>
      <c r="B56" t="s">
        <v>1530</v>
      </c>
      <c r="C56" t="s">
        <v>1530</v>
      </c>
      <c r="D56" t="s">
        <v>85</v>
      </c>
      <c r="E56">
        <v>1000</v>
      </c>
      <c r="F56" s="74">
        <v>39813</v>
      </c>
      <c r="G56" t="s">
        <v>80</v>
      </c>
      <c r="H56" t="s">
        <v>1524</v>
      </c>
      <c r="I56" t="s">
        <v>93</v>
      </c>
      <c r="J56">
        <v>1</v>
      </c>
      <c r="K56">
        <v>0</v>
      </c>
    </row>
    <row r="57" spans="1:11" x14ac:dyDescent="0.2">
      <c r="A57" t="s">
        <v>1531</v>
      </c>
      <c r="B57" t="s">
        <v>1532</v>
      </c>
      <c r="C57" t="s">
        <v>1532</v>
      </c>
      <c r="D57" t="s">
        <v>83</v>
      </c>
      <c r="E57">
        <v>1000</v>
      </c>
      <c r="F57" s="74">
        <v>39813</v>
      </c>
      <c r="G57" t="s">
        <v>80</v>
      </c>
      <c r="H57" t="s">
        <v>1524</v>
      </c>
      <c r="I57" t="s">
        <v>93</v>
      </c>
      <c r="J57">
        <v>1</v>
      </c>
      <c r="K57">
        <v>0</v>
      </c>
    </row>
    <row r="58" spans="1:11" x14ac:dyDescent="0.2">
      <c r="A58" t="s">
        <v>1533</v>
      </c>
      <c r="B58" t="s">
        <v>1534</v>
      </c>
      <c r="C58" t="s">
        <v>1535</v>
      </c>
      <c r="D58" t="s">
        <v>14</v>
      </c>
      <c r="E58">
        <v>1000</v>
      </c>
      <c r="F58" s="74">
        <v>39813</v>
      </c>
      <c r="G58" t="s">
        <v>80</v>
      </c>
      <c r="H58" t="s">
        <v>1533</v>
      </c>
      <c r="I58" t="s">
        <v>93</v>
      </c>
      <c r="J58">
        <v>1</v>
      </c>
      <c r="K58">
        <v>0</v>
      </c>
    </row>
    <row r="59" spans="1:11" x14ac:dyDescent="0.2">
      <c r="A59" t="s">
        <v>1536</v>
      </c>
      <c r="B59" t="s">
        <v>1537</v>
      </c>
      <c r="C59" t="s">
        <v>1537</v>
      </c>
      <c r="D59" t="s">
        <v>84</v>
      </c>
      <c r="E59">
        <v>1000</v>
      </c>
      <c r="F59" s="74">
        <v>39813</v>
      </c>
      <c r="G59" t="s">
        <v>80</v>
      </c>
      <c r="H59" t="s">
        <v>1533</v>
      </c>
      <c r="I59" t="s">
        <v>93</v>
      </c>
      <c r="J59">
        <v>1</v>
      </c>
      <c r="K59">
        <v>0</v>
      </c>
    </row>
    <row r="60" spans="1:11" x14ac:dyDescent="0.2">
      <c r="A60" t="s">
        <v>1538</v>
      </c>
      <c r="B60" t="s">
        <v>1539</v>
      </c>
      <c r="C60" t="s">
        <v>1539</v>
      </c>
      <c r="D60" t="s">
        <v>85</v>
      </c>
      <c r="E60">
        <v>1000</v>
      </c>
      <c r="F60" s="74">
        <v>39813</v>
      </c>
      <c r="G60" t="s">
        <v>80</v>
      </c>
      <c r="H60" t="s">
        <v>1533</v>
      </c>
      <c r="I60" t="s">
        <v>93</v>
      </c>
      <c r="J60">
        <v>1</v>
      </c>
      <c r="K60">
        <v>0</v>
      </c>
    </row>
    <row r="61" spans="1:11" x14ac:dyDescent="0.2">
      <c r="A61" t="s">
        <v>1540</v>
      </c>
      <c r="B61" t="s">
        <v>1541</v>
      </c>
      <c r="C61" t="s">
        <v>1541</v>
      </c>
      <c r="D61" t="s">
        <v>83</v>
      </c>
      <c r="E61">
        <v>1000</v>
      </c>
      <c r="F61" s="74">
        <v>39813</v>
      </c>
      <c r="G61" t="s">
        <v>80</v>
      </c>
      <c r="H61" t="s">
        <v>1533</v>
      </c>
      <c r="I61" t="s">
        <v>93</v>
      </c>
      <c r="J61">
        <v>1</v>
      </c>
      <c r="K61">
        <v>0</v>
      </c>
    </row>
    <row r="62" spans="1:11" x14ac:dyDescent="0.2">
      <c r="A62" t="s">
        <v>1542</v>
      </c>
      <c r="B62" t="s">
        <v>1543</v>
      </c>
      <c r="C62" t="s">
        <v>1544</v>
      </c>
      <c r="D62" t="s">
        <v>14</v>
      </c>
      <c r="E62">
        <v>1000</v>
      </c>
      <c r="F62" s="74">
        <v>39813</v>
      </c>
      <c r="G62" t="s">
        <v>80</v>
      </c>
      <c r="H62" t="s">
        <v>1542</v>
      </c>
      <c r="I62" t="s">
        <v>93</v>
      </c>
      <c r="J62">
        <v>1</v>
      </c>
      <c r="K62">
        <v>0</v>
      </c>
    </row>
    <row r="63" spans="1:11" x14ac:dyDescent="0.2">
      <c r="A63" t="s">
        <v>1545</v>
      </c>
      <c r="B63" t="s">
        <v>1546</v>
      </c>
      <c r="C63" t="s">
        <v>1546</v>
      </c>
      <c r="D63" t="s">
        <v>84</v>
      </c>
      <c r="E63">
        <v>1000</v>
      </c>
      <c r="F63" s="74">
        <v>39813</v>
      </c>
      <c r="G63" t="s">
        <v>80</v>
      </c>
      <c r="H63" t="s">
        <v>1542</v>
      </c>
      <c r="I63" t="s">
        <v>93</v>
      </c>
      <c r="J63">
        <v>1</v>
      </c>
      <c r="K63">
        <v>0</v>
      </c>
    </row>
    <row r="64" spans="1:11" x14ac:dyDescent="0.2">
      <c r="A64" t="s">
        <v>1547</v>
      </c>
      <c r="B64" t="s">
        <v>1548</v>
      </c>
      <c r="C64" t="s">
        <v>1548</v>
      </c>
      <c r="D64" t="s">
        <v>85</v>
      </c>
      <c r="E64">
        <v>1000</v>
      </c>
      <c r="F64" s="74">
        <v>39813</v>
      </c>
      <c r="G64" t="s">
        <v>80</v>
      </c>
      <c r="H64" t="s">
        <v>1542</v>
      </c>
      <c r="I64" t="s">
        <v>93</v>
      </c>
      <c r="J64">
        <v>1</v>
      </c>
      <c r="K64">
        <v>0</v>
      </c>
    </row>
    <row r="65" spans="1:11" x14ac:dyDescent="0.2">
      <c r="A65" t="s">
        <v>1549</v>
      </c>
      <c r="B65" t="s">
        <v>1550</v>
      </c>
      <c r="C65" t="s">
        <v>1550</v>
      </c>
      <c r="D65" t="s">
        <v>83</v>
      </c>
      <c r="E65">
        <v>1000</v>
      </c>
      <c r="F65" s="74">
        <v>39813</v>
      </c>
      <c r="G65" t="s">
        <v>80</v>
      </c>
      <c r="H65" t="s">
        <v>1542</v>
      </c>
      <c r="I65" t="s">
        <v>93</v>
      </c>
      <c r="J65">
        <v>1</v>
      </c>
      <c r="K65">
        <v>0</v>
      </c>
    </row>
    <row r="66" spans="1:11" x14ac:dyDescent="0.2">
      <c r="A66" t="s">
        <v>1551</v>
      </c>
      <c r="B66" t="s">
        <v>1552</v>
      </c>
      <c r="C66" t="s">
        <v>1553</v>
      </c>
      <c r="D66" t="s">
        <v>14</v>
      </c>
      <c r="E66">
        <v>1000</v>
      </c>
      <c r="F66" s="74">
        <v>39813</v>
      </c>
      <c r="G66" t="s">
        <v>94</v>
      </c>
      <c r="H66" t="s">
        <v>1497</v>
      </c>
      <c r="I66" t="s">
        <v>93</v>
      </c>
      <c r="J66">
        <v>1</v>
      </c>
      <c r="K66">
        <v>0</v>
      </c>
    </row>
    <row r="67" spans="1:11" x14ac:dyDescent="0.2">
      <c r="A67" t="s">
        <v>1554</v>
      </c>
      <c r="B67" t="s">
        <v>1555</v>
      </c>
      <c r="C67" t="s">
        <v>1555</v>
      </c>
      <c r="D67" t="s">
        <v>84</v>
      </c>
      <c r="E67">
        <v>1000</v>
      </c>
      <c r="F67" s="74">
        <v>39813</v>
      </c>
      <c r="G67" t="s">
        <v>94</v>
      </c>
      <c r="H67" t="s">
        <v>1497</v>
      </c>
      <c r="I67" t="s">
        <v>93</v>
      </c>
      <c r="J67">
        <v>1</v>
      </c>
      <c r="K67">
        <v>0</v>
      </c>
    </row>
    <row r="68" spans="1:11" x14ac:dyDescent="0.2">
      <c r="A68" t="s">
        <v>1556</v>
      </c>
      <c r="B68" t="s">
        <v>1557</v>
      </c>
      <c r="C68" t="s">
        <v>1557</v>
      </c>
      <c r="D68" t="s">
        <v>85</v>
      </c>
      <c r="E68">
        <v>1000</v>
      </c>
      <c r="F68" s="74">
        <v>39813</v>
      </c>
      <c r="G68" t="s">
        <v>94</v>
      </c>
      <c r="H68" t="s">
        <v>1497</v>
      </c>
      <c r="I68" t="s">
        <v>93</v>
      </c>
      <c r="J68">
        <v>1</v>
      </c>
      <c r="K68">
        <v>0</v>
      </c>
    </row>
    <row r="69" spans="1:11" x14ac:dyDescent="0.2">
      <c r="A69" t="s">
        <v>1558</v>
      </c>
      <c r="B69" t="s">
        <v>1559</v>
      </c>
      <c r="C69" t="s">
        <v>1559</v>
      </c>
      <c r="D69" t="s">
        <v>83</v>
      </c>
      <c r="E69">
        <v>1000</v>
      </c>
      <c r="F69" s="74">
        <v>39813</v>
      </c>
      <c r="G69" t="s">
        <v>94</v>
      </c>
      <c r="H69" t="s">
        <v>1497</v>
      </c>
      <c r="I69" t="s">
        <v>93</v>
      </c>
      <c r="J69">
        <v>1</v>
      </c>
      <c r="K69">
        <v>0</v>
      </c>
    </row>
    <row r="70" spans="1:11" x14ac:dyDescent="0.2">
      <c r="A70" t="s">
        <v>1560</v>
      </c>
      <c r="B70" t="s">
        <v>1561</v>
      </c>
      <c r="C70" t="s">
        <v>1562</v>
      </c>
      <c r="D70" t="s">
        <v>14</v>
      </c>
      <c r="E70">
        <v>1000</v>
      </c>
      <c r="F70" s="74">
        <v>39813</v>
      </c>
      <c r="G70" t="s">
        <v>94</v>
      </c>
      <c r="H70" t="s">
        <v>1506</v>
      </c>
      <c r="I70" t="s">
        <v>93</v>
      </c>
      <c r="J70">
        <v>1</v>
      </c>
      <c r="K70">
        <v>0</v>
      </c>
    </row>
    <row r="71" spans="1:11" x14ac:dyDescent="0.2">
      <c r="A71" t="s">
        <v>1563</v>
      </c>
      <c r="B71" t="s">
        <v>1564</v>
      </c>
      <c r="C71" t="s">
        <v>1564</v>
      </c>
      <c r="D71" t="s">
        <v>84</v>
      </c>
      <c r="E71">
        <v>1000</v>
      </c>
      <c r="F71" s="74">
        <v>39813</v>
      </c>
      <c r="G71" t="s">
        <v>94</v>
      </c>
      <c r="H71" t="s">
        <v>1506</v>
      </c>
      <c r="I71" t="s">
        <v>93</v>
      </c>
      <c r="J71">
        <v>1</v>
      </c>
      <c r="K71">
        <v>0</v>
      </c>
    </row>
    <row r="72" spans="1:11" x14ac:dyDescent="0.2">
      <c r="A72" t="s">
        <v>1565</v>
      </c>
      <c r="B72" t="s">
        <v>1566</v>
      </c>
      <c r="C72" t="s">
        <v>1566</v>
      </c>
      <c r="D72" t="s">
        <v>85</v>
      </c>
      <c r="E72">
        <v>1000</v>
      </c>
      <c r="F72" s="74">
        <v>39813</v>
      </c>
      <c r="G72" t="s">
        <v>94</v>
      </c>
      <c r="H72" t="s">
        <v>1506</v>
      </c>
      <c r="I72" t="s">
        <v>93</v>
      </c>
      <c r="J72">
        <v>1</v>
      </c>
      <c r="K72">
        <v>0</v>
      </c>
    </row>
    <row r="73" spans="1:11" x14ac:dyDescent="0.2">
      <c r="A73" t="s">
        <v>1567</v>
      </c>
      <c r="B73" t="s">
        <v>1568</v>
      </c>
      <c r="C73" t="s">
        <v>1568</v>
      </c>
      <c r="D73" t="s">
        <v>83</v>
      </c>
      <c r="E73">
        <v>1000</v>
      </c>
      <c r="F73" s="74">
        <v>39813</v>
      </c>
      <c r="G73" t="s">
        <v>94</v>
      </c>
      <c r="H73" t="s">
        <v>1506</v>
      </c>
      <c r="I73" t="s">
        <v>93</v>
      </c>
      <c r="J73">
        <v>1</v>
      </c>
      <c r="K73">
        <v>0</v>
      </c>
    </row>
    <row r="74" spans="1:11" x14ac:dyDescent="0.2">
      <c r="A74" t="s">
        <v>1569</v>
      </c>
      <c r="B74" t="s">
        <v>1570</v>
      </c>
      <c r="C74" t="s">
        <v>1571</v>
      </c>
      <c r="D74" t="s">
        <v>14</v>
      </c>
      <c r="E74">
        <v>1000</v>
      </c>
      <c r="F74" s="74">
        <v>39813</v>
      </c>
      <c r="G74" t="s">
        <v>94</v>
      </c>
      <c r="H74" t="s">
        <v>1515</v>
      </c>
      <c r="I74" t="s">
        <v>93</v>
      </c>
      <c r="J74">
        <v>1</v>
      </c>
      <c r="K74">
        <v>0</v>
      </c>
    </row>
    <row r="75" spans="1:11" x14ac:dyDescent="0.2">
      <c r="A75" t="s">
        <v>1572</v>
      </c>
      <c r="B75" t="s">
        <v>1573</v>
      </c>
      <c r="C75" t="s">
        <v>1573</v>
      </c>
      <c r="D75" t="s">
        <v>84</v>
      </c>
      <c r="E75">
        <v>1000</v>
      </c>
      <c r="F75" s="74">
        <v>39813</v>
      </c>
      <c r="G75" t="s">
        <v>94</v>
      </c>
      <c r="H75" t="s">
        <v>1515</v>
      </c>
      <c r="I75" t="s">
        <v>93</v>
      </c>
      <c r="J75">
        <v>1</v>
      </c>
      <c r="K75">
        <v>0</v>
      </c>
    </row>
    <row r="76" spans="1:11" x14ac:dyDescent="0.2">
      <c r="A76" t="s">
        <v>1574</v>
      </c>
      <c r="B76" t="s">
        <v>1575</v>
      </c>
      <c r="C76" t="s">
        <v>1575</v>
      </c>
      <c r="D76" t="s">
        <v>85</v>
      </c>
      <c r="E76">
        <v>1000</v>
      </c>
      <c r="F76" s="74">
        <v>39813</v>
      </c>
      <c r="G76" t="s">
        <v>94</v>
      </c>
      <c r="H76" t="s">
        <v>1515</v>
      </c>
      <c r="I76" t="s">
        <v>93</v>
      </c>
      <c r="J76">
        <v>1</v>
      </c>
      <c r="K76">
        <v>0</v>
      </c>
    </row>
    <row r="77" spans="1:11" x14ac:dyDescent="0.2">
      <c r="A77" t="s">
        <v>1576</v>
      </c>
      <c r="B77" t="s">
        <v>1577</v>
      </c>
      <c r="C77" t="s">
        <v>1577</v>
      </c>
      <c r="D77" t="s">
        <v>83</v>
      </c>
      <c r="E77">
        <v>1000</v>
      </c>
      <c r="F77" s="74">
        <v>39813</v>
      </c>
      <c r="G77" t="s">
        <v>94</v>
      </c>
      <c r="H77" t="s">
        <v>1515</v>
      </c>
      <c r="I77" t="s">
        <v>93</v>
      </c>
      <c r="J77">
        <v>1</v>
      </c>
      <c r="K77">
        <v>0</v>
      </c>
    </row>
    <row r="78" spans="1:11" x14ac:dyDescent="0.2">
      <c r="A78" t="s">
        <v>1578</v>
      </c>
      <c r="B78" t="s">
        <v>1579</v>
      </c>
      <c r="C78" t="s">
        <v>1580</v>
      </c>
      <c r="D78" t="s">
        <v>14</v>
      </c>
      <c r="E78">
        <v>1000</v>
      </c>
      <c r="F78" s="74">
        <v>39813</v>
      </c>
      <c r="G78" t="s">
        <v>94</v>
      </c>
      <c r="H78" t="s">
        <v>1524</v>
      </c>
      <c r="I78" t="s">
        <v>93</v>
      </c>
      <c r="J78">
        <v>1</v>
      </c>
      <c r="K78">
        <v>0</v>
      </c>
    </row>
    <row r="79" spans="1:11" x14ac:dyDescent="0.2">
      <c r="A79" t="s">
        <v>1581</v>
      </c>
      <c r="B79" t="s">
        <v>1582</v>
      </c>
      <c r="C79" t="s">
        <v>1582</v>
      </c>
      <c r="D79" t="s">
        <v>84</v>
      </c>
      <c r="E79">
        <v>1000</v>
      </c>
      <c r="F79" s="74">
        <v>39813</v>
      </c>
      <c r="G79" t="s">
        <v>94</v>
      </c>
      <c r="H79" t="s">
        <v>1524</v>
      </c>
      <c r="I79" t="s">
        <v>93</v>
      </c>
      <c r="J79">
        <v>1</v>
      </c>
      <c r="K79">
        <v>0</v>
      </c>
    </row>
    <row r="80" spans="1:11" x14ac:dyDescent="0.2">
      <c r="A80" t="s">
        <v>1583</v>
      </c>
      <c r="B80" t="s">
        <v>1584</v>
      </c>
      <c r="C80" t="s">
        <v>1584</v>
      </c>
      <c r="D80" t="s">
        <v>85</v>
      </c>
      <c r="E80">
        <v>1000</v>
      </c>
      <c r="F80" s="74">
        <v>39813</v>
      </c>
      <c r="G80" t="s">
        <v>94</v>
      </c>
      <c r="H80" t="s">
        <v>1524</v>
      </c>
      <c r="I80" t="s">
        <v>93</v>
      </c>
      <c r="J80">
        <v>1</v>
      </c>
      <c r="K80">
        <v>0</v>
      </c>
    </row>
    <row r="81" spans="1:11" x14ac:dyDescent="0.2">
      <c r="A81" t="s">
        <v>1585</v>
      </c>
      <c r="B81" t="s">
        <v>1586</v>
      </c>
      <c r="C81" t="s">
        <v>1586</v>
      </c>
      <c r="D81" t="s">
        <v>83</v>
      </c>
      <c r="E81">
        <v>1000</v>
      </c>
      <c r="F81" s="74">
        <v>39813</v>
      </c>
      <c r="G81" t="s">
        <v>94</v>
      </c>
      <c r="H81" t="s">
        <v>1524</v>
      </c>
      <c r="I81" t="s">
        <v>93</v>
      </c>
      <c r="J81">
        <v>1</v>
      </c>
      <c r="K81">
        <v>0</v>
      </c>
    </row>
    <row r="82" spans="1:11" x14ac:dyDescent="0.2">
      <c r="A82" t="s">
        <v>1587</v>
      </c>
      <c r="B82" t="s">
        <v>1588</v>
      </c>
      <c r="C82" t="s">
        <v>1589</v>
      </c>
      <c r="D82" t="s">
        <v>14</v>
      </c>
      <c r="E82">
        <v>1000</v>
      </c>
      <c r="F82" s="74">
        <v>39813</v>
      </c>
      <c r="G82" t="s">
        <v>94</v>
      </c>
      <c r="H82" t="s">
        <v>1533</v>
      </c>
      <c r="I82" t="s">
        <v>93</v>
      </c>
      <c r="J82">
        <v>1</v>
      </c>
      <c r="K82">
        <v>0</v>
      </c>
    </row>
    <row r="83" spans="1:11" x14ac:dyDescent="0.2">
      <c r="A83" t="s">
        <v>1590</v>
      </c>
      <c r="B83" t="s">
        <v>1591</v>
      </c>
      <c r="C83" t="s">
        <v>1591</v>
      </c>
      <c r="D83" t="s">
        <v>84</v>
      </c>
      <c r="E83">
        <v>1000</v>
      </c>
      <c r="F83" s="74">
        <v>39813</v>
      </c>
      <c r="G83" t="s">
        <v>94</v>
      </c>
      <c r="H83" t="s">
        <v>1533</v>
      </c>
      <c r="I83" t="s">
        <v>93</v>
      </c>
      <c r="J83">
        <v>1</v>
      </c>
      <c r="K83">
        <v>0</v>
      </c>
    </row>
    <row r="84" spans="1:11" x14ac:dyDescent="0.2">
      <c r="A84" t="s">
        <v>1592</v>
      </c>
      <c r="B84" t="s">
        <v>1593</v>
      </c>
      <c r="C84" t="s">
        <v>1593</v>
      </c>
      <c r="D84" t="s">
        <v>85</v>
      </c>
      <c r="E84">
        <v>1000</v>
      </c>
      <c r="F84" s="74">
        <v>39813</v>
      </c>
      <c r="G84" t="s">
        <v>94</v>
      </c>
      <c r="H84" t="s">
        <v>1533</v>
      </c>
      <c r="I84" t="s">
        <v>93</v>
      </c>
      <c r="J84">
        <v>1</v>
      </c>
      <c r="K84">
        <v>0</v>
      </c>
    </row>
    <row r="85" spans="1:11" x14ac:dyDescent="0.2">
      <c r="A85" t="s">
        <v>1594</v>
      </c>
      <c r="B85" t="s">
        <v>1595</v>
      </c>
      <c r="C85" t="s">
        <v>1595</v>
      </c>
      <c r="D85" t="s">
        <v>83</v>
      </c>
      <c r="E85">
        <v>1000</v>
      </c>
      <c r="F85" s="74">
        <v>39813</v>
      </c>
      <c r="G85" t="s">
        <v>94</v>
      </c>
      <c r="H85" t="s">
        <v>1533</v>
      </c>
      <c r="I85" t="s">
        <v>93</v>
      </c>
      <c r="J85">
        <v>1</v>
      </c>
      <c r="K85">
        <v>0</v>
      </c>
    </row>
    <row r="86" spans="1:11" x14ac:dyDescent="0.2">
      <c r="A86" t="s">
        <v>1596</v>
      </c>
      <c r="B86" t="s">
        <v>1597</v>
      </c>
      <c r="C86" t="s">
        <v>1598</v>
      </c>
      <c r="D86" t="s">
        <v>14</v>
      </c>
      <c r="E86">
        <v>1000</v>
      </c>
      <c r="F86" s="74">
        <v>39813</v>
      </c>
      <c r="G86" t="s">
        <v>94</v>
      </c>
      <c r="H86" t="s">
        <v>1542</v>
      </c>
      <c r="I86" t="s">
        <v>93</v>
      </c>
      <c r="J86">
        <v>1</v>
      </c>
      <c r="K86">
        <v>0</v>
      </c>
    </row>
    <row r="87" spans="1:11" x14ac:dyDescent="0.2">
      <c r="A87" t="s">
        <v>1599</v>
      </c>
      <c r="B87" t="s">
        <v>1600</v>
      </c>
      <c r="C87" t="s">
        <v>1600</v>
      </c>
      <c r="D87" t="s">
        <v>84</v>
      </c>
      <c r="E87">
        <v>1000</v>
      </c>
      <c r="F87" s="74">
        <v>39813</v>
      </c>
      <c r="G87" t="s">
        <v>94</v>
      </c>
      <c r="H87" t="s">
        <v>1542</v>
      </c>
      <c r="I87" t="s">
        <v>93</v>
      </c>
      <c r="J87">
        <v>1</v>
      </c>
      <c r="K87">
        <v>0</v>
      </c>
    </row>
    <row r="88" spans="1:11" x14ac:dyDescent="0.2">
      <c r="A88" t="s">
        <v>1601</v>
      </c>
      <c r="B88" t="s">
        <v>1602</v>
      </c>
      <c r="C88" t="s">
        <v>1602</v>
      </c>
      <c r="D88" t="s">
        <v>85</v>
      </c>
      <c r="E88">
        <v>1000</v>
      </c>
      <c r="F88" s="74">
        <v>39813</v>
      </c>
      <c r="G88" t="s">
        <v>94</v>
      </c>
      <c r="H88" t="s">
        <v>1542</v>
      </c>
      <c r="I88" t="s">
        <v>93</v>
      </c>
      <c r="J88">
        <v>1</v>
      </c>
      <c r="K88">
        <v>0</v>
      </c>
    </row>
    <row r="89" spans="1:11" x14ac:dyDescent="0.2">
      <c r="A89" t="s">
        <v>1603</v>
      </c>
      <c r="B89" t="s">
        <v>1604</v>
      </c>
      <c r="C89" t="s">
        <v>1604</v>
      </c>
      <c r="D89" t="s">
        <v>83</v>
      </c>
      <c r="E89">
        <v>1000</v>
      </c>
      <c r="F89" s="74">
        <v>39813</v>
      </c>
      <c r="G89" t="s">
        <v>94</v>
      </c>
      <c r="H89" t="s">
        <v>1542</v>
      </c>
      <c r="I89" t="s">
        <v>93</v>
      </c>
      <c r="J89">
        <v>1</v>
      </c>
      <c r="K89">
        <v>0</v>
      </c>
    </row>
  </sheetData>
  <sortState ref="A2:V65">
    <sortCondition ref="B2:B65"/>
  </sortState>
  <customSheetViews>
    <customSheetView guid="{8EF2C042-D97C-40EA-9E42-A17331664713}" topLeftCell="A1048553">
      <selection activeCell="D4" sqref="D4"/>
      <pageMargins left="0.7" right="0.7" top="0.75" bottom="0.75" header="0.3" footer="0.3"/>
    </customSheetView>
    <customSheetView guid="{E8497AD8-A45C-484D-A252-6E26647DB053}" topLeftCell="C1">
      <selection activeCell="F16" sqref="F16"/>
      <pageMargins left="0.7" right="0.7" top="0.75" bottom="0.75" header="0.3" footer="0.3"/>
    </customSheetView>
    <customSheetView guid="{AAB8C83D-EE7C-4F2D-A040-F04A230A06FD}" topLeftCell="A54">
      <selection activeCell="A2" sqref="A2:A89"/>
      <pageMargins left="0.7" right="0.7" top="0.75" bottom="0.75" header="0.3" footer="0.3"/>
    </customSheetView>
    <customSheetView guid="{A93D23F5-27FE-48DF-A0DC-3D7A8C6F3CF5}">
      <selection activeCell="C19" sqref="C19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3"/>
  <sheetViews>
    <sheetView workbookViewId="0">
      <selection activeCell="A772" sqref="A1:A1048576"/>
    </sheetView>
  </sheetViews>
  <sheetFormatPr defaultRowHeight="12.75" x14ac:dyDescent="0.2"/>
  <cols>
    <col min="2" max="2" width="12" style="74" customWidth="1"/>
    <col min="3" max="3" width="11.140625" customWidth="1"/>
    <col min="4" max="4" width="12.42578125" customWidth="1"/>
  </cols>
  <sheetData>
    <row r="1" spans="1:10" x14ac:dyDescent="0.2">
      <c r="A1" s="71" t="s">
        <v>435</v>
      </c>
      <c r="B1" s="73" t="s">
        <v>10</v>
      </c>
      <c r="C1" s="72" t="s">
        <v>11</v>
      </c>
      <c r="D1" s="72" t="s">
        <v>6</v>
      </c>
    </row>
    <row r="2" spans="1:10" x14ac:dyDescent="0.2">
      <c r="A2" s="5" t="s">
        <v>436</v>
      </c>
      <c r="B2" s="74">
        <v>41165</v>
      </c>
      <c r="C2" s="1">
        <v>0.5</v>
      </c>
      <c r="D2">
        <v>26100</v>
      </c>
    </row>
    <row r="3" spans="1:10" x14ac:dyDescent="0.2">
      <c r="A3" s="5" t="s">
        <v>437</v>
      </c>
      <c r="B3" s="74">
        <v>41165</v>
      </c>
      <c r="C3" s="1">
        <v>0.5</v>
      </c>
      <c r="D3">
        <v>38300</v>
      </c>
    </row>
    <row r="4" spans="1:10" x14ac:dyDescent="0.2">
      <c r="A4" s="5" t="s">
        <v>439</v>
      </c>
      <c r="B4" s="74">
        <v>41165</v>
      </c>
      <c r="C4" s="1">
        <v>0.5</v>
      </c>
      <c r="D4">
        <v>23300</v>
      </c>
    </row>
    <row r="5" spans="1:10" x14ac:dyDescent="0.2">
      <c r="A5" s="5" t="s">
        <v>440</v>
      </c>
      <c r="B5" s="74">
        <v>41165</v>
      </c>
      <c r="C5" s="1">
        <v>0.5</v>
      </c>
      <c r="D5">
        <v>15300</v>
      </c>
    </row>
    <row r="6" spans="1:10" x14ac:dyDescent="0.2">
      <c r="A6" s="5" t="s">
        <v>442</v>
      </c>
      <c r="B6" s="74">
        <v>41165</v>
      </c>
      <c r="C6" s="1">
        <v>0.5</v>
      </c>
      <c r="D6">
        <v>0</v>
      </c>
    </row>
    <row r="7" spans="1:10" x14ac:dyDescent="0.2">
      <c r="A7" s="5" t="s">
        <v>443</v>
      </c>
      <c r="B7" s="74">
        <v>41165</v>
      </c>
      <c r="C7" s="1">
        <v>0.5</v>
      </c>
      <c r="D7">
        <v>0</v>
      </c>
    </row>
    <row r="8" spans="1:10" x14ac:dyDescent="0.2">
      <c r="A8" s="5" t="s">
        <v>444</v>
      </c>
      <c r="B8" s="74">
        <v>41165</v>
      </c>
      <c r="C8" s="1">
        <v>0.5</v>
      </c>
      <c r="D8">
        <v>5800</v>
      </c>
    </row>
    <row r="9" spans="1:10" x14ac:dyDescent="0.2">
      <c r="A9" s="5" t="s">
        <v>445</v>
      </c>
      <c r="B9" s="74">
        <v>41165</v>
      </c>
      <c r="C9" s="1">
        <v>0.5</v>
      </c>
      <c r="D9">
        <v>7600</v>
      </c>
    </row>
    <row r="10" spans="1:10" x14ac:dyDescent="0.2">
      <c r="A10" s="5" t="s">
        <v>451</v>
      </c>
      <c r="B10" s="74">
        <v>41165</v>
      </c>
      <c r="C10" s="1">
        <v>0.5</v>
      </c>
      <c r="D10">
        <v>7400</v>
      </c>
    </row>
    <row r="11" spans="1:10" x14ac:dyDescent="0.2">
      <c r="A11" s="5" t="s">
        <v>452</v>
      </c>
      <c r="B11" s="74">
        <v>41165</v>
      </c>
      <c r="C11" s="1">
        <v>0.5</v>
      </c>
      <c r="D11">
        <v>11200</v>
      </c>
    </row>
    <row r="12" spans="1:10" x14ac:dyDescent="0.2">
      <c r="A12" s="5" t="s">
        <v>459</v>
      </c>
      <c r="B12" s="74">
        <v>41165</v>
      </c>
      <c r="C12" s="1">
        <v>0.5</v>
      </c>
      <c r="D12">
        <v>0</v>
      </c>
    </row>
    <row r="13" spans="1:10" x14ac:dyDescent="0.2">
      <c r="A13" s="5" t="s">
        <v>460</v>
      </c>
      <c r="B13" s="74">
        <v>41165</v>
      </c>
      <c r="C13" s="1">
        <v>0.5</v>
      </c>
      <c r="D13">
        <v>8200</v>
      </c>
      <c r="J13" s="5" t="s">
        <v>1263</v>
      </c>
    </row>
    <row r="14" spans="1:10" x14ac:dyDescent="0.2">
      <c r="A14" s="5" t="s">
        <v>461</v>
      </c>
      <c r="B14" s="74">
        <v>41165</v>
      </c>
      <c r="C14" s="1">
        <v>0.5</v>
      </c>
      <c r="D14">
        <v>3900</v>
      </c>
    </row>
    <row r="15" spans="1:10" x14ac:dyDescent="0.2">
      <c r="A15" s="5" t="s">
        <v>462</v>
      </c>
      <c r="B15" s="74">
        <v>41165</v>
      </c>
      <c r="C15" s="1">
        <v>0.5</v>
      </c>
      <c r="D15">
        <v>5500</v>
      </c>
    </row>
    <row r="16" spans="1:10" x14ac:dyDescent="0.2">
      <c r="A16" s="5" t="s">
        <v>463</v>
      </c>
      <c r="B16" s="74">
        <v>41165</v>
      </c>
      <c r="C16" s="1">
        <v>0.5</v>
      </c>
      <c r="D16">
        <v>6700</v>
      </c>
    </row>
    <row r="17" spans="1:4" x14ac:dyDescent="0.2">
      <c r="A17" s="5" t="s">
        <v>466</v>
      </c>
      <c r="B17" s="74">
        <v>41165</v>
      </c>
      <c r="C17" s="1">
        <v>0.5</v>
      </c>
      <c r="D17">
        <v>15600</v>
      </c>
    </row>
    <row r="18" spans="1:4" x14ac:dyDescent="0.2">
      <c r="A18" s="5" t="s">
        <v>469</v>
      </c>
      <c r="B18" s="74">
        <v>41165</v>
      </c>
      <c r="C18" s="1">
        <v>0.5</v>
      </c>
      <c r="D18">
        <v>7800</v>
      </c>
    </row>
    <row r="19" spans="1:4" x14ac:dyDescent="0.2">
      <c r="A19" s="5" t="s">
        <v>470</v>
      </c>
      <c r="B19" s="74">
        <v>41165</v>
      </c>
      <c r="C19" s="1">
        <v>0.5</v>
      </c>
      <c r="D19">
        <v>0</v>
      </c>
    </row>
    <row r="20" spans="1:4" x14ac:dyDescent="0.2">
      <c r="A20" s="5" t="s">
        <v>473</v>
      </c>
      <c r="B20" s="74">
        <v>41165</v>
      </c>
      <c r="C20" s="1">
        <v>0.5</v>
      </c>
      <c r="D20">
        <v>3800</v>
      </c>
    </row>
    <row r="21" spans="1:4" x14ac:dyDescent="0.2">
      <c r="A21" s="5" t="s">
        <v>475</v>
      </c>
      <c r="B21" s="74">
        <v>41165</v>
      </c>
      <c r="C21" s="1">
        <v>0.5</v>
      </c>
      <c r="D21">
        <v>16600</v>
      </c>
    </row>
    <row r="22" spans="1:4" x14ac:dyDescent="0.2">
      <c r="A22" s="5" t="s">
        <v>478</v>
      </c>
      <c r="B22" s="74">
        <v>41165</v>
      </c>
      <c r="C22" s="1">
        <v>0.5</v>
      </c>
      <c r="D22">
        <v>6400</v>
      </c>
    </row>
    <row r="23" spans="1:4" x14ac:dyDescent="0.2">
      <c r="A23" s="5" t="s">
        <v>481</v>
      </c>
      <c r="B23" s="74">
        <v>41165</v>
      </c>
      <c r="C23" s="1">
        <v>0.5</v>
      </c>
      <c r="D23">
        <v>50500</v>
      </c>
    </row>
    <row r="24" spans="1:4" x14ac:dyDescent="0.2">
      <c r="A24" s="5" t="s">
        <v>482</v>
      </c>
      <c r="B24" s="74">
        <v>41165</v>
      </c>
      <c r="C24" s="1">
        <v>0.5</v>
      </c>
      <c r="D24">
        <v>8200</v>
      </c>
    </row>
    <row r="25" spans="1:4" x14ac:dyDescent="0.2">
      <c r="A25" s="5" t="s">
        <v>483</v>
      </c>
      <c r="B25" s="74">
        <v>41165</v>
      </c>
      <c r="C25" s="1">
        <v>0.5</v>
      </c>
      <c r="D25">
        <v>41200</v>
      </c>
    </row>
    <row r="26" spans="1:4" x14ac:dyDescent="0.2">
      <c r="A26" s="5" t="s">
        <v>485</v>
      </c>
      <c r="B26" s="74">
        <v>41165</v>
      </c>
      <c r="C26" s="1">
        <v>0.5</v>
      </c>
      <c r="D26">
        <v>11900</v>
      </c>
    </row>
    <row r="27" spans="1:4" x14ac:dyDescent="0.2">
      <c r="A27" s="5" t="s">
        <v>487</v>
      </c>
      <c r="B27" s="74">
        <v>41165</v>
      </c>
      <c r="C27" s="1">
        <v>0.5</v>
      </c>
      <c r="D27">
        <v>4800</v>
      </c>
    </row>
    <row r="28" spans="1:4" x14ac:dyDescent="0.2">
      <c r="A28" s="5" t="s">
        <v>489</v>
      </c>
      <c r="B28" s="74">
        <v>41165</v>
      </c>
      <c r="C28" s="1">
        <v>0.5</v>
      </c>
      <c r="D28">
        <v>0</v>
      </c>
    </row>
    <row r="29" spans="1:4" x14ac:dyDescent="0.2">
      <c r="A29" s="5" t="s">
        <v>491</v>
      </c>
      <c r="B29" s="74">
        <v>41165</v>
      </c>
      <c r="C29" s="1">
        <v>0.5</v>
      </c>
      <c r="D29">
        <v>5800</v>
      </c>
    </row>
    <row r="30" spans="1:4" x14ac:dyDescent="0.2">
      <c r="A30" s="5" t="s">
        <v>493</v>
      </c>
      <c r="B30" s="74">
        <v>41165</v>
      </c>
      <c r="C30" s="1">
        <v>0.5</v>
      </c>
      <c r="D30">
        <v>23000</v>
      </c>
    </row>
    <row r="31" spans="1:4" x14ac:dyDescent="0.2">
      <c r="A31" s="5" t="s">
        <v>495</v>
      </c>
      <c r="B31" s="74">
        <v>41165</v>
      </c>
      <c r="C31" s="1">
        <v>0.5</v>
      </c>
      <c r="D31">
        <v>27500</v>
      </c>
    </row>
    <row r="32" spans="1:4" x14ac:dyDescent="0.2">
      <c r="A32" s="5" t="s">
        <v>498</v>
      </c>
      <c r="B32" s="74">
        <v>41165</v>
      </c>
      <c r="C32" s="1">
        <v>0.5</v>
      </c>
      <c r="D32">
        <v>17800</v>
      </c>
    </row>
    <row r="33" spans="1:4" x14ac:dyDescent="0.2">
      <c r="A33" s="5" t="s">
        <v>499</v>
      </c>
      <c r="B33" s="74">
        <v>41165</v>
      </c>
      <c r="C33" s="1">
        <v>0.5</v>
      </c>
      <c r="D33">
        <v>11300</v>
      </c>
    </row>
    <row r="34" spans="1:4" x14ac:dyDescent="0.2">
      <c r="A34" s="5" t="s">
        <v>503</v>
      </c>
      <c r="B34" s="74">
        <v>41165</v>
      </c>
      <c r="C34" s="1">
        <v>0.5</v>
      </c>
      <c r="D34">
        <v>9300</v>
      </c>
    </row>
    <row r="35" spans="1:4" x14ac:dyDescent="0.2">
      <c r="A35" s="5" t="s">
        <v>504</v>
      </c>
      <c r="B35" s="74">
        <v>41165</v>
      </c>
      <c r="C35" s="1">
        <v>0.5</v>
      </c>
      <c r="D35">
        <v>4300</v>
      </c>
    </row>
    <row r="36" spans="1:4" x14ac:dyDescent="0.2">
      <c r="A36" s="5" t="s">
        <v>506</v>
      </c>
      <c r="B36" s="74">
        <v>41165</v>
      </c>
      <c r="C36" s="1">
        <v>0.5</v>
      </c>
      <c r="D36">
        <v>5800</v>
      </c>
    </row>
    <row r="37" spans="1:4" x14ac:dyDescent="0.2">
      <c r="A37" s="5" t="s">
        <v>509</v>
      </c>
      <c r="B37" s="74">
        <v>41165</v>
      </c>
      <c r="C37" s="1">
        <v>0.5</v>
      </c>
      <c r="D37">
        <v>3500</v>
      </c>
    </row>
    <row r="38" spans="1:4" x14ac:dyDescent="0.2">
      <c r="A38" s="5" t="s">
        <v>510</v>
      </c>
      <c r="B38" s="74">
        <v>41165</v>
      </c>
      <c r="C38" s="1">
        <v>0.5</v>
      </c>
      <c r="D38">
        <v>25700</v>
      </c>
    </row>
    <row r="39" spans="1:4" x14ac:dyDescent="0.2">
      <c r="A39" s="5" t="s">
        <v>513</v>
      </c>
      <c r="B39" s="74">
        <v>41165</v>
      </c>
      <c r="C39" s="1">
        <v>0.5</v>
      </c>
      <c r="D39">
        <v>15000</v>
      </c>
    </row>
    <row r="40" spans="1:4" x14ac:dyDescent="0.2">
      <c r="A40" s="5" t="s">
        <v>514</v>
      </c>
      <c r="B40" s="74">
        <v>41165</v>
      </c>
      <c r="C40" s="1">
        <v>0.5</v>
      </c>
      <c r="D40">
        <v>5000</v>
      </c>
    </row>
    <row r="41" spans="1:4" x14ac:dyDescent="0.2">
      <c r="A41" s="5" t="s">
        <v>515</v>
      </c>
      <c r="B41" s="74">
        <v>41165</v>
      </c>
      <c r="C41" s="1">
        <v>0.5</v>
      </c>
      <c r="D41">
        <v>10200</v>
      </c>
    </row>
    <row r="42" spans="1:4" x14ac:dyDescent="0.2">
      <c r="A42" s="5" t="s">
        <v>517</v>
      </c>
      <c r="B42" s="74">
        <v>41165</v>
      </c>
      <c r="C42" s="1">
        <v>0.5</v>
      </c>
      <c r="D42">
        <v>3700</v>
      </c>
    </row>
    <row r="43" spans="1:4" x14ac:dyDescent="0.2">
      <c r="A43" s="5" t="s">
        <v>520</v>
      </c>
      <c r="B43" s="74">
        <v>41165</v>
      </c>
      <c r="C43" s="1">
        <v>0.5</v>
      </c>
      <c r="D43">
        <v>5600</v>
      </c>
    </row>
    <row r="44" spans="1:4" x14ac:dyDescent="0.2">
      <c r="A44" s="5" t="s">
        <v>521</v>
      </c>
      <c r="B44" s="74">
        <v>41165</v>
      </c>
      <c r="C44" s="1">
        <v>0.5</v>
      </c>
      <c r="D44">
        <v>17700</v>
      </c>
    </row>
    <row r="45" spans="1:4" x14ac:dyDescent="0.2">
      <c r="A45" s="5" t="s">
        <v>522</v>
      </c>
      <c r="B45" s="74">
        <v>41165</v>
      </c>
      <c r="C45" s="1">
        <v>0.5</v>
      </c>
      <c r="D45">
        <v>3900</v>
      </c>
    </row>
    <row r="46" spans="1:4" x14ac:dyDescent="0.2">
      <c r="A46" s="5" t="s">
        <v>523</v>
      </c>
      <c r="B46" s="74">
        <v>41165</v>
      </c>
      <c r="C46" s="1">
        <v>0.5</v>
      </c>
      <c r="D46">
        <v>26100</v>
      </c>
    </row>
    <row r="47" spans="1:4" x14ac:dyDescent="0.2">
      <c r="A47" s="5" t="s">
        <v>524</v>
      </c>
      <c r="B47" s="74">
        <v>41165</v>
      </c>
      <c r="C47" s="1">
        <v>0.5</v>
      </c>
      <c r="D47">
        <v>6900</v>
      </c>
    </row>
    <row r="48" spans="1:4" x14ac:dyDescent="0.2">
      <c r="A48" s="5" t="s">
        <v>525</v>
      </c>
      <c r="B48" s="74">
        <v>41165</v>
      </c>
      <c r="C48" s="1">
        <v>0.5</v>
      </c>
      <c r="D48">
        <v>0</v>
      </c>
    </row>
    <row r="49" spans="1:4" x14ac:dyDescent="0.2">
      <c r="A49" s="5" t="s">
        <v>528</v>
      </c>
      <c r="B49" s="74">
        <v>41165</v>
      </c>
      <c r="C49" s="1">
        <v>0.5</v>
      </c>
      <c r="D49">
        <v>11000</v>
      </c>
    </row>
    <row r="50" spans="1:4" x14ac:dyDescent="0.2">
      <c r="A50" s="5" t="s">
        <v>529</v>
      </c>
      <c r="B50" s="74">
        <v>41165</v>
      </c>
      <c r="C50" s="1">
        <v>0.5</v>
      </c>
      <c r="D50">
        <v>25800</v>
      </c>
    </row>
    <row r="51" spans="1:4" x14ac:dyDescent="0.2">
      <c r="A51" s="5" t="s">
        <v>534</v>
      </c>
      <c r="B51" s="74">
        <v>41165</v>
      </c>
      <c r="C51" s="1">
        <v>0.5</v>
      </c>
      <c r="D51">
        <v>30000</v>
      </c>
    </row>
    <row r="52" spans="1:4" x14ac:dyDescent="0.2">
      <c r="A52" s="5" t="s">
        <v>535</v>
      </c>
      <c r="B52" s="74">
        <v>41165</v>
      </c>
      <c r="C52" s="1">
        <v>0.5</v>
      </c>
      <c r="D52">
        <v>18800</v>
      </c>
    </row>
    <row r="53" spans="1:4" x14ac:dyDescent="0.2">
      <c r="A53" s="5" t="s">
        <v>536</v>
      </c>
      <c r="B53" s="74">
        <v>41165</v>
      </c>
      <c r="C53" s="1">
        <v>0.5</v>
      </c>
      <c r="D53">
        <v>8300</v>
      </c>
    </row>
    <row r="54" spans="1:4" x14ac:dyDescent="0.2">
      <c r="A54" s="5" t="s">
        <v>545</v>
      </c>
      <c r="B54" s="74">
        <v>41165</v>
      </c>
      <c r="C54" s="1">
        <v>0.5</v>
      </c>
      <c r="D54">
        <v>0</v>
      </c>
    </row>
    <row r="55" spans="1:4" x14ac:dyDescent="0.2">
      <c r="A55" s="5" t="s">
        <v>547</v>
      </c>
      <c r="B55" s="74">
        <v>41165</v>
      </c>
      <c r="C55" s="1">
        <v>0.5</v>
      </c>
      <c r="D55">
        <v>18800</v>
      </c>
    </row>
    <row r="56" spans="1:4" x14ac:dyDescent="0.2">
      <c r="A56" s="5" t="s">
        <v>551</v>
      </c>
      <c r="B56" s="74">
        <v>41165</v>
      </c>
      <c r="C56" s="1">
        <v>0.5</v>
      </c>
      <c r="D56">
        <v>0</v>
      </c>
    </row>
    <row r="57" spans="1:4" x14ac:dyDescent="0.2">
      <c r="A57" s="5" t="s">
        <v>556</v>
      </c>
      <c r="B57" s="74">
        <v>41165</v>
      </c>
      <c r="C57" s="1">
        <v>0.5</v>
      </c>
      <c r="D57">
        <v>9100</v>
      </c>
    </row>
    <row r="58" spans="1:4" x14ac:dyDescent="0.2">
      <c r="A58" s="5" t="s">
        <v>558</v>
      </c>
      <c r="B58" s="74">
        <v>41165</v>
      </c>
      <c r="C58" s="1">
        <v>0.5</v>
      </c>
      <c r="D58">
        <v>3500</v>
      </c>
    </row>
    <row r="59" spans="1:4" x14ac:dyDescent="0.2">
      <c r="A59" s="5" t="s">
        <v>559</v>
      </c>
      <c r="B59" s="74">
        <v>41165</v>
      </c>
      <c r="C59" s="1">
        <v>0.5</v>
      </c>
      <c r="D59">
        <v>1900</v>
      </c>
    </row>
    <row r="60" spans="1:4" x14ac:dyDescent="0.2">
      <c r="A60" s="5" t="s">
        <v>560</v>
      </c>
      <c r="B60" s="74">
        <v>41165</v>
      </c>
      <c r="C60" s="1">
        <v>0.5</v>
      </c>
      <c r="D60">
        <v>9400</v>
      </c>
    </row>
    <row r="61" spans="1:4" x14ac:dyDescent="0.2">
      <c r="A61" s="5" t="s">
        <v>561</v>
      </c>
      <c r="B61" s="74">
        <v>41165</v>
      </c>
      <c r="C61" s="1">
        <v>0.5</v>
      </c>
      <c r="D61">
        <v>6000</v>
      </c>
    </row>
    <row r="62" spans="1:4" x14ac:dyDescent="0.2">
      <c r="A62" s="5" t="s">
        <v>562</v>
      </c>
      <c r="B62" s="74">
        <v>41165</v>
      </c>
      <c r="C62" s="1">
        <v>0.5</v>
      </c>
      <c r="D62">
        <v>74000</v>
      </c>
    </row>
    <row r="63" spans="1:4" x14ac:dyDescent="0.2">
      <c r="A63" s="5" t="s">
        <v>565</v>
      </c>
      <c r="B63" s="74">
        <v>41165</v>
      </c>
      <c r="C63" s="1">
        <v>0.5</v>
      </c>
      <c r="D63">
        <v>13200</v>
      </c>
    </row>
    <row r="64" spans="1:4" x14ac:dyDescent="0.2">
      <c r="A64" s="5" t="s">
        <v>567</v>
      </c>
      <c r="B64" s="74">
        <v>41165</v>
      </c>
      <c r="C64" s="1">
        <v>0.5</v>
      </c>
      <c r="D64">
        <v>6600</v>
      </c>
    </row>
    <row r="65" spans="1:4" x14ac:dyDescent="0.2">
      <c r="A65" s="5" t="s">
        <v>569</v>
      </c>
      <c r="B65" s="74">
        <v>41165</v>
      </c>
      <c r="C65" s="1">
        <v>0.5</v>
      </c>
      <c r="D65">
        <v>12800</v>
      </c>
    </row>
    <row r="66" spans="1:4" x14ac:dyDescent="0.2">
      <c r="A66" s="5" t="s">
        <v>572</v>
      </c>
      <c r="B66" s="74">
        <v>41165</v>
      </c>
      <c r="C66" s="1">
        <v>0.5</v>
      </c>
      <c r="D66">
        <v>3900</v>
      </c>
    </row>
    <row r="67" spans="1:4" x14ac:dyDescent="0.2">
      <c r="A67" s="5" t="s">
        <v>574</v>
      </c>
      <c r="B67" s="74">
        <v>41165</v>
      </c>
      <c r="C67" s="1">
        <v>0.5</v>
      </c>
      <c r="D67">
        <v>26000</v>
      </c>
    </row>
    <row r="68" spans="1:4" x14ac:dyDescent="0.2">
      <c r="A68" s="5" t="s">
        <v>36</v>
      </c>
      <c r="B68" s="74">
        <v>41165</v>
      </c>
      <c r="C68" s="1">
        <v>0.5</v>
      </c>
      <c r="D68">
        <v>39200</v>
      </c>
    </row>
    <row r="69" spans="1:4" x14ac:dyDescent="0.2">
      <c r="A69" s="5" t="s">
        <v>580</v>
      </c>
      <c r="B69" s="74">
        <v>41165</v>
      </c>
      <c r="C69" s="1">
        <v>0.5</v>
      </c>
      <c r="D69">
        <v>52500</v>
      </c>
    </row>
    <row r="70" spans="1:4" x14ac:dyDescent="0.2">
      <c r="A70" s="5" t="s">
        <v>581</v>
      </c>
      <c r="B70" s="74">
        <v>41165</v>
      </c>
      <c r="C70" s="1">
        <v>0.5</v>
      </c>
      <c r="D70">
        <v>16000</v>
      </c>
    </row>
    <row r="71" spans="1:4" x14ac:dyDescent="0.2">
      <c r="A71" s="5" t="s">
        <v>582</v>
      </c>
      <c r="B71" s="74">
        <v>41165</v>
      </c>
      <c r="C71" s="1">
        <v>0.5</v>
      </c>
      <c r="D71">
        <v>25100</v>
      </c>
    </row>
    <row r="72" spans="1:4" x14ac:dyDescent="0.2">
      <c r="A72" s="5" t="s">
        <v>583</v>
      </c>
      <c r="B72" s="74">
        <v>41165</v>
      </c>
      <c r="C72" s="1">
        <v>0.5</v>
      </c>
      <c r="D72">
        <v>2700</v>
      </c>
    </row>
    <row r="73" spans="1:4" x14ac:dyDescent="0.2">
      <c r="A73" s="5" t="s">
        <v>584</v>
      </c>
      <c r="B73" s="74">
        <v>41165</v>
      </c>
      <c r="C73" s="1">
        <v>0.5</v>
      </c>
      <c r="D73">
        <v>24000</v>
      </c>
    </row>
    <row r="74" spans="1:4" x14ac:dyDescent="0.2">
      <c r="A74" s="5" t="s">
        <v>585</v>
      </c>
      <c r="B74" s="74">
        <v>41165</v>
      </c>
      <c r="C74" s="1">
        <v>0.5</v>
      </c>
      <c r="D74">
        <v>37300</v>
      </c>
    </row>
    <row r="75" spans="1:4" x14ac:dyDescent="0.2">
      <c r="A75" s="5" t="s">
        <v>587</v>
      </c>
      <c r="B75" s="74">
        <v>41165</v>
      </c>
      <c r="C75" s="1">
        <v>0.5</v>
      </c>
      <c r="D75">
        <v>4100</v>
      </c>
    </row>
    <row r="76" spans="1:4" x14ac:dyDescent="0.2">
      <c r="A76" s="5" t="s">
        <v>589</v>
      </c>
      <c r="B76" s="74">
        <v>41165</v>
      </c>
      <c r="C76" s="1">
        <v>0.5</v>
      </c>
      <c r="D76">
        <v>13100</v>
      </c>
    </row>
    <row r="77" spans="1:4" x14ac:dyDescent="0.2">
      <c r="A77" s="5" t="s">
        <v>590</v>
      </c>
      <c r="B77" s="74">
        <v>41165</v>
      </c>
      <c r="C77" s="1">
        <v>0.5</v>
      </c>
      <c r="D77">
        <v>5900</v>
      </c>
    </row>
    <row r="78" spans="1:4" x14ac:dyDescent="0.2">
      <c r="A78" s="5" t="s">
        <v>591</v>
      </c>
      <c r="B78" s="74">
        <v>41165</v>
      </c>
      <c r="C78" s="1">
        <v>0.5</v>
      </c>
      <c r="D78">
        <v>0</v>
      </c>
    </row>
    <row r="79" spans="1:4" x14ac:dyDescent="0.2">
      <c r="A79" s="5" t="s">
        <v>592</v>
      </c>
      <c r="B79" s="74">
        <v>41165</v>
      </c>
      <c r="C79" s="1">
        <v>0.5</v>
      </c>
      <c r="D79">
        <v>8600</v>
      </c>
    </row>
    <row r="80" spans="1:4" x14ac:dyDescent="0.2">
      <c r="A80" s="5" t="s">
        <v>594</v>
      </c>
      <c r="B80" s="74">
        <v>41165</v>
      </c>
      <c r="C80" s="1">
        <v>0.5</v>
      </c>
      <c r="D80">
        <v>5800</v>
      </c>
    </row>
    <row r="81" spans="1:4" x14ac:dyDescent="0.2">
      <c r="A81" s="5" t="s">
        <v>599</v>
      </c>
      <c r="B81" s="74">
        <v>41165</v>
      </c>
      <c r="C81" s="1">
        <v>0.5</v>
      </c>
      <c r="D81">
        <v>14600</v>
      </c>
    </row>
    <row r="82" spans="1:4" x14ac:dyDescent="0.2">
      <c r="A82" s="5" t="s">
        <v>601</v>
      </c>
      <c r="B82" s="74">
        <v>41165</v>
      </c>
      <c r="C82" s="1">
        <v>0.5</v>
      </c>
      <c r="D82">
        <v>0</v>
      </c>
    </row>
    <row r="83" spans="1:4" x14ac:dyDescent="0.2">
      <c r="A83" s="5" t="s">
        <v>602</v>
      </c>
      <c r="B83" s="74">
        <v>41165</v>
      </c>
      <c r="C83" s="1">
        <v>0.5</v>
      </c>
      <c r="D83">
        <v>20800</v>
      </c>
    </row>
    <row r="84" spans="1:4" x14ac:dyDescent="0.2">
      <c r="A84" s="5" t="s">
        <v>603</v>
      </c>
      <c r="B84" s="74">
        <v>41165</v>
      </c>
      <c r="C84" s="1">
        <v>0.5</v>
      </c>
      <c r="D84">
        <v>9100</v>
      </c>
    </row>
    <row r="85" spans="1:4" x14ac:dyDescent="0.2">
      <c r="A85" s="5" t="s">
        <v>604</v>
      </c>
      <c r="B85" s="74">
        <v>41165</v>
      </c>
      <c r="C85" s="1">
        <v>0.5</v>
      </c>
      <c r="D85">
        <v>17400</v>
      </c>
    </row>
    <row r="86" spans="1:4" x14ac:dyDescent="0.2">
      <c r="A86" s="5" t="s">
        <v>605</v>
      </c>
      <c r="B86" s="74">
        <v>41165</v>
      </c>
      <c r="C86" s="1">
        <v>0.5</v>
      </c>
      <c r="D86">
        <v>17100</v>
      </c>
    </row>
    <row r="87" spans="1:4" x14ac:dyDescent="0.2">
      <c r="A87" s="5" t="s">
        <v>606</v>
      </c>
      <c r="B87" s="74">
        <v>41165</v>
      </c>
      <c r="C87" s="1">
        <v>0.5</v>
      </c>
      <c r="D87">
        <v>13400</v>
      </c>
    </row>
    <row r="88" spans="1:4" x14ac:dyDescent="0.2">
      <c r="A88" s="5" t="s">
        <v>609</v>
      </c>
      <c r="B88" s="74">
        <v>41165</v>
      </c>
      <c r="C88" s="1">
        <v>0.5</v>
      </c>
      <c r="D88">
        <v>10200</v>
      </c>
    </row>
    <row r="89" spans="1:4" x14ac:dyDescent="0.2">
      <c r="A89" s="5" t="s">
        <v>610</v>
      </c>
      <c r="B89" s="74">
        <v>41165</v>
      </c>
      <c r="C89" s="1">
        <v>0.5</v>
      </c>
      <c r="D89">
        <v>38700</v>
      </c>
    </row>
    <row r="90" spans="1:4" x14ac:dyDescent="0.2">
      <c r="A90" s="5" t="s">
        <v>611</v>
      </c>
      <c r="B90" s="74">
        <v>41165</v>
      </c>
      <c r="C90" s="1">
        <v>0.5</v>
      </c>
      <c r="D90">
        <v>41300</v>
      </c>
    </row>
    <row r="91" spans="1:4" x14ac:dyDescent="0.2">
      <c r="A91" s="5" t="s">
        <v>613</v>
      </c>
      <c r="B91" s="74">
        <v>41165</v>
      </c>
      <c r="C91" s="1">
        <v>0.5</v>
      </c>
      <c r="D91">
        <v>15000</v>
      </c>
    </row>
    <row r="92" spans="1:4" x14ac:dyDescent="0.2">
      <c r="A92" s="5" t="s">
        <v>616</v>
      </c>
      <c r="B92" s="74">
        <v>41165</v>
      </c>
      <c r="C92" s="1">
        <v>0.5</v>
      </c>
      <c r="D92">
        <v>41500</v>
      </c>
    </row>
    <row r="93" spans="1:4" x14ac:dyDescent="0.2">
      <c r="A93" s="5" t="s">
        <v>618</v>
      </c>
      <c r="B93" s="74">
        <v>41165</v>
      </c>
      <c r="C93" s="1">
        <v>0.5</v>
      </c>
      <c r="D93">
        <v>19700</v>
      </c>
    </row>
    <row r="94" spans="1:4" x14ac:dyDescent="0.2">
      <c r="A94" s="5" t="s">
        <v>619</v>
      </c>
      <c r="B94" s="74">
        <v>41165</v>
      </c>
      <c r="C94" s="1">
        <v>0.5</v>
      </c>
      <c r="D94">
        <v>17000</v>
      </c>
    </row>
    <row r="95" spans="1:4" x14ac:dyDescent="0.2">
      <c r="A95" s="5" t="s">
        <v>621</v>
      </c>
      <c r="B95" s="74">
        <v>41165</v>
      </c>
      <c r="C95" s="1">
        <v>0.5</v>
      </c>
      <c r="D95">
        <v>5500</v>
      </c>
    </row>
    <row r="96" spans="1:4" x14ac:dyDescent="0.2">
      <c r="A96" s="5" t="s">
        <v>622</v>
      </c>
      <c r="B96" s="74">
        <v>41165</v>
      </c>
      <c r="C96" s="1">
        <v>0.5</v>
      </c>
      <c r="D96">
        <v>7900</v>
      </c>
    </row>
    <row r="97" spans="1:4" x14ac:dyDescent="0.2">
      <c r="A97" s="5" t="s">
        <v>623</v>
      </c>
      <c r="B97" s="74">
        <v>41165</v>
      </c>
      <c r="C97" s="1">
        <v>0.5</v>
      </c>
      <c r="D97">
        <v>5800</v>
      </c>
    </row>
    <row r="98" spans="1:4" x14ac:dyDescent="0.2">
      <c r="A98" s="5" t="s">
        <v>625</v>
      </c>
      <c r="B98" s="74">
        <v>41165</v>
      </c>
      <c r="C98" s="1">
        <v>0.5</v>
      </c>
      <c r="D98">
        <v>23700</v>
      </c>
    </row>
    <row r="99" spans="1:4" x14ac:dyDescent="0.2">
      <c r="A99" s="5" t="s">
        <v>626</v>
      </c>
      <c r="B99" s="74">
        <v>41165</v>
      </c>
      <c r="C99" s="1">
        <v>0.5</v>
      </c>
      <c r="D99">
        <v>18300</v>
      </c>
    </row>
    <row r="100" spans="1:4" x14ac:dyDescent="0.2">
      <c r="A100" s="5" t="s">
        <v>627</v>
      </c>
      <c r="B100" s="74">
        <v>41165</v>
      </c>
      <c r="C100" s="1">
        <v>0.5</v>
      </c>
      <c r="D100">
        <v>4400</v>
      </c>
    </row>
    <row r="101" spans="1:4" x14ac:dyDescent="0.2">
      <c r="A101" s="5" t="s">
        <v>628</v>
      </c>
      <c r="B101" s="74">
        <v>41165</v>
      </c>
      <c r="C101" s="1">
        <v>0.5</v>
      </c>
      <c r="D101">
        <v>0</v>
      </c>
    </row>
    <row r="102" spans="1:4" x14ac:dyDescent="0.2">
      <c r="A102" s="5" t="s">
        <v>630</v>
      </c>
      <c r="B102" s="74">
        <v>41165</v>
      </c>
      <c r="C102" s="1">
        <v>0.5</v>
      </c>
      <c r="D102">
        <v>4000</v>
      </c>
    </row>
    <row r="103" spans="1:4" x14ac:dyDescent="0.2">
      <c r="A103" s="5" t="s">
        <v>631</v>
      </c>
      <c r="B103" s="74">
        <v>41165</v>
      </c>
      <c r="C103" s="1">
        <v>0.5</v>
      </c>
      <c r="D103">
        <v>12700</v>
      </c>
    </row>
    <row r="104" spans="1:4" x14ac:dyDescent="0.2">
      <c r="A104" s="5" t="s">
        <v>636</v>
      </c>
      <c r="B104" s="74">
        <v>41165</v>
      </c>
      <c r="C104" s="1">
        <v>0.5</v>
      </c>
      <c r="D104">
        <v>18300</v>
      </c>
    </row>
    <row r="105" spans="1:4" x14ac:dyDescent="0.2">
      <c r="A105" s="5" t="s">
        <v>639</v>
      </c>
      <c r="B105" s="74">
        <v>41165</v>
      </c>
      <c r="C105" s="1">
        <v>0.5</v>
      </c>
      <c r="D105">
        <v>15500</v>
      </c>
    </row>
    <row r="106" spans="1:4" x14ac:dyDescent="0.2">
      <c r="A106" s="5" t="s">
        <v>640</v>
      </c>
      <c r="B106" s="74">
        <v>41165</v>
      </c>
      <c r="C106" s="1">
        <v>0.5</v>
      </c>
      <c r="D106">
        <v>11400</v>
      </c>
    </row>
    <row r="107" spans="1:4" x14ac:dyDescent="0.2">
      <c r="A107" s="5" t="s">
        <v>647</v>
      </c>
      <c r="B107" s="74">
        <v>41165</v>
      </c>
      <c r="C107" s="1">
        <v>0.5</v>
      </c>
      <c r="D107">
        <v>32000</v>
      </c>
    </row>
    <row r="108" spans="1:4" x14ac:dyDescent="0.2">
      <c r="A108" s="5" t="s">
        <v>649</v>
      </c>
      <c r="B108" s="74">
        <v>41165</v>
      </c>
      <c r="C108" s="1">
        <v>0.5</v>
      </c>
      <c r="D108">
        <v>3900</v>
      </c>
    </row>
    <row r="109" spans="1:4" x14ac:dyDescent="0.2">
      <c r="A109" s="5" t="s">
        <v>651</v>
      </c>
      <c r="B109" s="74">
        <v>41165</v>
      </c>
      <c r="C109" s="1">
        <v>0.5</v>
      </c>
      <c r="D109">
        <v>9500</v>
      </c>
    </row>
    <row r="110" spans="1:4" x14ac:dyDescent="0.2">
      <c r="A110" s="5" t="s">
        <v>653</v>
      </c>
      <c r="B110" s="74">
        <v>41165</v>
      </c>
      <c r="C110" s="1">
        <v>0.5</v>
      </c>
      <c r="D110">
        <v>8700</v>
      </c>
    </row>
    <row r="111" spans="1:4" x14ac:dyDescent="0.2">
      <c r="A111" s="5" t="s">
        <v>657</v>
      </c>
      <c r="B111" s="74">
        <v>41165</v>
      </c>
      <c r="C111" s="1">
        <v>0.5</v>
      </c>
      <c r="D111">
        <v>0</v>
      </c>
    </row>
    <row r="112" spans="1:4" x14ac:dyDescent="0.2">
      <c r="A112" s="5" t="s">
        <v>660</v>
      </c>
      <c r="B112" s="74">
        <v>41165</v>
      </c>
      <c r="C112" s="1">
        <v>0.5</v>
      </c>
      <c r="D112">
        <v>20400</v>
      </c>
    </row>
    <row r="113" spans="1:4" x14ac:dyDescent="0.2">
      <c r="A113" s="5" t="s">
        <v>663</v>
      </c>
      <c r="B113" s="74">
        <v>41165</v>
      </c>
      <c r="C113" s="1">
        <v>0.5</v>
      </c>
      <c r="D113">
        <v>3800</v>
      </c>
    </row>
    <row r="114" spans="1:4" x14ac:dyDescent="0.2">
      <c r="A114" s="5" t="s">
        <v>664</v>
      </c>
      <c r="B114" s="74">
        <v>41165</v>
      </c>
      <c r="C114" s="1">
        <v>0.5</v>
      </c>
      <c r="D114">
        <v>0</v>
      </c>
    </row>
    <row r="115" spans="1:4" x14ac:dyDescent="0.2">
      <c r="A115" s="5" t="s">
        <v>665</v>
      </c>
      <c r="B115" s="74">
        <v>41165</v>
      </c>
      <c r="C115" s="1">
        <v>0.5</v>
      </c>
      <c r="D115">
        <v>18300</v>
      </c>
    </row>
    <row r="116" spans="1:4" x14ac:dyDescent="0.2">
      <c r="A116" s="5" t="s">
        <v>666</v>
      </c>
      <c r="B116" s="74">
        <v>41165</v>
      </c>
      <c r="C116" s="1">
        <v>0.5</v>
      </c>
      <c r="D116">
        <v>7200</v>
      </c>
    </row>
    <row r="117" spans="1:4" x14ac:dyDescent="0.2">
      <c r="A117" s="5" t="s">
        <v>668</v>
      </c>
      <c r="B117" s="74">
        <v>41165</v>
      </c>
      <c r="C117" s="1">
        <v>0.5</v>
      </c>
      <c r="D117">
        <v>4700</v>
      </c>
    </row>
    <row r="118" spans="1:4" x14ac:dyDescent="0.2">
      <c r="A118" s="5" t="s">
        <v>671</v>
      </c>
      <c r="B118" s="74">
        <v>41165</v>
      </c>
      <c r="C118" s="1">
        <v>0.5</v>
      </c>
      <c r="D118">
        <v>7600</v>
      </c>
    </row>
    <row r="119" spans="1:4" x14ac:dyDescent="0.2">
      <c r="A119" s="5" t="s">
        <v>672</v>
      </c>
      <c r="B119" s="74">
        <v>41165</v>
      </c>
      <c r="C119" s="1">
        <v>0.5</v>
      </c>
      <c r="D119">
        <v>3800</v>
      </c>
    </row>
    <row r="120" spans="1:4" x14ac:dyDescent="0.2">
      <c r="A120" s="5" t="s">
        <v>674</v>
      </c>
      <c r="B120" s="74">
        <v>41165</v>
      </c>
      <c r="C120" s="1">
        <v>0.5</v>
      </c>
      <c r="D120">
        <v>11800</v>
      </c>
    </row>
    <row r="121" spans="1:4" x14ac:dyDescent="0.2">
      <c r="A121" s="5" t="s">
        <v>675</v>
      </c>
      <c r="B121" s="74">
        <v>41165</v>
      </c>
      <c r="C121" s="1">
        <v>0.5</v>
      </c>
      <c r="D121">
        <v>8300</v>
      </c>
    </row>
    <row r="122" spans="1:4" x14ac:dyDescent="0.2">
      <c r="A122" s="5" t="s">
        <v>676</v>
      </c>
      <c r="B122" s="74">
        <v>41165</v>
      </c>
      <c r="C122" s="1">
        <v>0.5</v>
      </c>
      <c r="D122">
        <v>9000</v>
      </c>
    </row>
    <row r="123" spans="1:4" x14ac:dyDescent="0.2">
      <c r="A123" s="5" t="s">
        <v>678</v>
      </c>
      <c r="B123" s="74">
        <v>41165</v>
      </c>
      <c r="C123" s="1">
        <v>0.5</v>
      </c>
      <c r="D123">
        <v>24600</v>
      </c>
    </row>
    <row r="124" spans="1:4" x14ac:dyDescent="0.2">
      <c r="A124" s="5" t="s">
        <v>680</v>
      </c>
      <c r="B124" s="74">
        <v>41165</v>
      </c>
      <c r="C124" s="1">
        <v>0.5</v>
      </c>
      <c r="D124">
        <v>0</v>
      </c>
    </row>
    <row r="125" spans="1:4" x14ac:dyDescent="0.2">
      <c r="A125" s="5" t="s">
        <v>681</v>
      </c>
      <c r="B125" s="74">
        <v>41165</v>
      </c>
      <c r="C125" s="1">
        <v>0.5</v>
      </c>
      <c r="D125">
        <v>3600</v>
      </c>
    </row>
    <row r="126" spans="1:4" x14ac:dyDescent="0.2">
      <c r="A126" s="5" t="s">
        <v>683</v>
      </c>
      <c r="B126" s="74">
        <v>41165</v>
      </c>
      <c r="C126" s="1">
        <v>0.5</v>
      </c>
      <c r="D126">
        <v>7500</v>
      </c>
    </row>
    <row r="127" spans="1:4" x14ac:dyDescent="0.2">
      <c r="A127" s="5" t="s">
        <v>686</v>
      </c>
      <c r="B127" s="74">
        <v>41165</v>
      </c>
      <c r="C127" s="1">
        <v>0.5</v>
      </c>
      <c r="D127">
        <v>0</v>
      </c>
    </row>
    <row r="128" spans="1:4" x14ac:dyDescent="0.2">
      <c r="A128" s="5" t="s">
        <v>687</v>
      </c>
      <c r="B128" s="74">
        <v>41165</v>
      </c>
      <c r="C128" s="1">
        <v>0.5</v>
      </c>
      <c r="D128">
        <v>8900</v>
      </c>
    </row>
    <row r="129" spans="1:4" x14ac:dyDescent="0.2">
      <c r="A129" s="5" t="s">
        <v>689</v>
      </c>
      <c r="B129" s="74">
        <v>41165</v>
      </c>
      <c r="C129" s="1">
        <v>0.5</v>
      </c>
      <c r="D129">
        <v>39300</v>
      </c>
    </row>
    <row r="130" spans="1:4" x14ac:dyDescent="0.2">
      <c r="A130" s="5" t="s">
        <v>692</v>
      </c>
      <c r="B130" s="74">
        <v>41165</v>
      </c>
      <c r="C130" s="1">
        <v>0.5</v>
      </c>
      <c r="D130">
        <v>5000</v>
      </c>
    </row>
    <row r="131" spans="1:4" x14ac:dyDescent="0.2">
      <c r="A131" s="5" t="s">
        <v>693</v>
      </c>
      <c r="B131" s="74">
        <v>41165</v>
      </c>
      <c r="C131" s="1">
        <v>0.5</v>
      </c>
      <c r="D131">
        <v>7100</v>
      </c>
    </row>
    <row r="132" spans="1:4" x14ac:dyDescent="0.2">
      <c r="A132" s="5" t="s">
        <v>694</v>
      </c>
      <c r="B132" s="74">
        <v>41165</v>
      </c>
      <c r="C132" s="1">
        <v>0.5</v>
      </c>
      <c r="D132">
        <v>5600</v>
      </c>
    </row>
    <row r="133" spans="1:4" x14ac:dyDescent="0.2">
      <c r="A133" s="5" t="s">
        <v>696</v>
      </c>
      <c r="B133" s="74">
        <v>41165</v>
      </c>
      <c r="C133" s="1">
        <v>0.5</v>
      </c>
      <c r="D133">
        <v>18300</v>
      </c>
    </row>
    <row r="134" spans="1:4" x14ac:dyDescent="0.2">
      <c r="A134" s="5" t="s">
        <v>697</v>
      </c>
      <c r="B134" s="74">
        <v>41165</v>
      </c>
      <c r="C134" s="1">
        <v>0.5</v>
      </c>
      <c r="D134">
        <v>12000</v>
      </c>
    </row>
    <row r="135" spans="1:4" x14ac:dyDescent="0.2">
      <c r="A135" s="5" t="s">
        <v>698</v>
      </c>
      <c r="B135" s="74">
        <v>41165</v>
      </c>
      <c r="C135" s="1">
        <v>0.5</v>
      </c>
      <c r="D135">
        <v>6500</v>
      </c>
    </row>
    <row r="136" spans="1:4" x14ac:dyDescent="0.2">
      <c r="A136" s="5" t="s">
        <v>700</v>
      </c>
      <c r="B136" s="74">
        <v>41165</v>
      </c>
      <c r="C136" s="1">
        <v>0.5</v>
      </c>
      <c r="D136">
        <v>28000</v>
      </c>
    </row>
    <row r="137" spans="1:4" x14ac:dyDescent="0.2">
      <c r="A137" s="5" t="s">
        <v>701</v>
      </c>
      <c r="B137" s="74">
        <v>41165</v>
      </c>
      <c r="C137" s="1">
        <v>0.5</v>
      </c>
      <c r="D137">
        <v>11900</v>
      </c>
    </row>
    <row r="138" spans="1:4" x14ac:dyDescent="0.2">
      <c r="A138" s="5" t="s">
        <v>702</v>
      </c>
      <c r="B138" s="74">
        <v>41165</v>
      </c>
      <c r="C138" s="1">
        <v>0.5</v>
      </c>
      <c r="D138">
        <v>9400</v>
      </c>
    </row>
    <row r="139" spans="1:4" x14ac:dyDescent="0.2">
      <c r="A139" s="5" t="s">
        <v>705</v>
      </c>
      <c r="B139" s="74">
        <v>41165</v>
      </c>
      <c r="C139" s="1">
        <v>0.5</v>
      </c>
      <c r="D139">
        <v>7900</v>
      </c>
    </row>
    <row r="140" spans="1:4" x14ac:dyDescent="0.2">
      <c r="A140" s="5" t="s">
        <v>708</v>
      </c>
      <c r="B140" s="74">
        <v>41165</v>
      </c>
      <c r="C140" s="1">
        <v>0.5</v>
      </c>
      <c r="D140">
        <v>3000</v>
      </c>
    </row>
    <row r="141" spans="1:4" x14ac:dyDescent="0.2">
      <c r="A141" s="5" t="s">
        <v>710</v>
      </c>
      <c r="B141" s="74">
        <v>41165</v>
      </c>
      <c r="C141" s="1">
        <v>0.5</v>
      </c>
      <c r="D141">
        <v>11700</v>
      </c>
    </row>
    <row r="142" spans="1:4" x14ac:dyDescent="0.2">
      <c r="A142" s="5" t="s">
        <v>711</v>
      </c>
      <c r="B142" s="74">
        <v>41165</v>
      </c>
      <c r="C142" s="1">
        <v>0.5</v>
      </c>
      <c r="D142">
        <v>18000</v>
      </c>
    </row>
    <row r="143" spans="1:4" x14ac:dyDescent="0.2">
      <c r="A143" s="5" t="s">
        <v>713</v>
      </c>
      <c r="B143" s="74">
        <v>41165</v>
      </c>
      <c r="C143" s="1">
        <v>0.5</v>
      </c>
      <c r="D143">
        <v>7000</v>
      </c>
    </row>
    <row r="144" spans="1:4" x14ac:dyDescent="0.2">
      <c r="A144" s="5" t="s">
        <v>714</v>
      </c>
      <c r="B144" s="74">
        <v>41165</v>
      </c>
      <c r="C144" s="1">
        <v>0.5</v>
      </c>
      <c r="D144">
        <v>6900</v>
      </c>
    </row>
    <row r="145" spans="1:4" x14ac:dyDescent="0.2">
      <c r="A145" s="5" t="s">
        <v>716</v>
      </c>
      <c r="B145" s="74">
        <v>41165</v>
      </c>
      <c r="C145" s="1">
        <v>0.5</v>
      </c>
      <c r="D145">
        <v>7600</v>
      </c>
    </row>
    <row r="146" spans="1:4" x14ac:dyDescent="0.2">
      <c r="A146" s="5" t="s">
        <v>719</v>
      </c>
      <c r="B146" s="74">
        <v>41165</v>
      </c>
      <c r="C146" s="1">
        <v>0.5</v>
      </c>
      <c r="D146">
        <v>7900</v>
      </c>
    </row>
    <row r="147" spans="1:4" x14ac:dyDescent="0.2">
      <c r="A147" s="5" t="s">
        <v>727</v>
      </c>
      <c r="B147" s="74">
        <v>41165</v>
      </c>
      <c r="C147" s="1">
        <v>0.5</v>
      </c>
      <c r="D147">
        <v>7000</v>
      </c>
    </row>
    <row r="148" spans="1:4" x14ac:dyDescent="0.2">
      <c r="A148" s="5" t="s">
        <v>730</v>
      </c>
      <c r="B148" s="74">
        <v>41165</v>
      </c>
      <c r="C148" s="1">
        <v>0.5</v>
      </c>
      <c r="D148">
        <v>9200</v>
      </c>
    </row>
    <row r="149" spans="1:4" x14ac:dyDescent="0.2">
      <c r="A149" s="5" t="s">
        <v>732</v>
      </c>
      <c r="B149" s="74">
        <v>41165</v>
      </c>
      <c r="C149" s="1">
        <v>0.5</v>
      </c>
      <c r="D149">
        <v>7300</v>
      </c>
    </row>
    <row r="150" spans="1:4" x14ac:dyDescent="0.2">
      <c r="A150" s="5" t="s">
        <v>733</v>
      </c>
      <c r="B150" s="74">
        <v>41165</v>
      </c>
      <c r="C150" s="1">
        <v>0.5</v>
      </c>
      <c r="D150">
        <v>13200</v>
      </c>
    </row>
    <row r="151" spans="1:4" x14ac:dyDescent="0.2">
      <c r="A151" s="5" t="s">
        <v>736</v>
      </c>
      <c r="B151" s="74">
        <v>41165</v>
      </c>
      <c r="C151" s="1">
        <v>0.5</v>
      </c>
      <c r="D151">
        <v>16900</v>
      </c>
    </row>
    <row r="152" spans="1:4" x14ac:dyDescent="0.2">
      <c r="A152" s="5" t="s">
        <v>737</v>
      </c>
      <c r="B152" s="74">
        <v>41165</v>
      </c>
      <c r="C152" s="1">
        <v>0.5</v>
      </c>
      <c r="D152">
        <v>3700</v>
      </c>
    </row>
    <row r="153" spans="1:4" x14ac:dyDescent="0.2">
      <c r="A153" s="5" t="s">
        <v>739</v>
      </c>
      <c r="B153" s="74">
        <v>41165</v>
      </c>
      <c r="C153" s="1">
        <v>0.5</v>
      </c>
      <c r="D153">
        <v>14600</v>
      </c>
    </row>
    <row r="154" spans="1:4" x14ac:dyDescent="0.2">
      <c r="A154" s="5" t="s">
        <v>741</v>
      </c>
      <c r="B154" s="74">
        <v>41165</v>
      </c>
      <c r="C154" s="1">
        <v>0.5</v>
      </c>
      <c r="D154">
        <v>28000</v>
      </c>
    </row>
    <row r="155" spans="1:4" x14ac:dyDescent="0.2">
      <c r="A155" s="5" t="s">
        <v>744</v>
      </c>
      <c r="B155" s="74">
        <v>41165</v>
      </c>
      <c r="C155" s="1">
        <v>0.5</v>
      </c>
      <c r="D155">
        <v>9000</v>
      </c>
    </row>
    <row r="156" spans="1:4" x14ac:dyDescent="0.2">
      <c r="A156" s="5" t="s">
        <v>746</v>
      </c>
      <c r="B156" s="74">
        <v>41165</v>
      </c>
      <c r="C156" s="1">
        <v>0.5</v>
      </c>
      <c r="D156">
        <v>18200</v>
      </c>
    </row>
    <row r="157" spans="1:4" x14ac:dyDescent="0.2">
      <c r="A157" s="5" t="s">
        <v>750</v>
      </c>
      <c r="B157" s="74">
        <v>41165</v>
      </c>
      <c r="C157" s="1">
        <v>0.5</v>
      </c>
      <c r="D157">
        <v>3500</v>
      </c>
    </row>
    <row r="158" spans="1:4" x14ac:dyDescent="0.2">
      <c r="A158" s="5" t="s">
        <v>752</v>
      </c>
      <c r="B158" s="74">
        <v>41165</v>
      </c>
      <c r="C158" s="1">
        <v>0.5</v>
      </c>
      <c r="D158">
        <v>13600</v>
      </c>
    </row>
    <row r="159" spans="1:4" x14ac:dyDescent="0.2">
      <c r="A159" s="5" t="s">
        <v>755</v>
      </c>
      <c r="B159" s="74">
        <v>41165</v>
      </c>
      <c r="C159" s="1">
        <v>0.5</v>
      </c>
      <c r="D159">
        <v>4100</v>
      </c>
    </row>
    <row r="160" spans="1:4" x14ac:dyDescent="0.2">
      <c r="A160" s="5" t="s">
        <v>758</v>
      </c>
      <c r="B160" s="74">
        <v>41165</v>
      </c>
      <c r="C160" s="1">
        <v>0.5</v>
      </c>
      <c r="D160">
        <v>13000</v>
      </c>
    </row>
    <row r="161" spans="1:4" x14ac:dyDescent="0.2">
      <c r="A161" s="5" t="s">
        <v>760</v>
      </c>
      <c r="B161" s="74">
        <v>41165</v>
      </c>
      <c r="C161" s="1">
        <v>0.5</v>
      </c>
      <c r="D161">
        <v>3900</v>
      </c>
    </row>
    <row r="162" spans="1:4" x14ac:dyDescent="0.2">
      <c r="A162" s="5" t="s">
        <v>762</v>
      </c>
      <c r="B162" s="74">
        <v>41165</v>
      </c>
      <c r="C162" s="1">
        <v>0.5</v>
      </c>
      <c r="D162">
        <v>2600</v>
      </c>
    </row>
    <row r="163" spans="1:4" x14ac:dyDescent="0.2">
      <c r="A163" s="5" t="s">
        <v>770</v>
      </c>
      <c r="B163" s="74">
        <v>41165</v>
      </c>
      <c r="C163" s="1">
        <v>0.5</v>
      </c>
      <c r="D163">
        <v>28500</v>
      </c>
    </row>
    <row r="164" spans="1:4" x14ac:dyDescent="0.2">
      <c r="A164" s="5" t="s">
        <v>771</v>
      </c>
      <c r="B164" s="74">
        <v>41165</v>
      </c>
      <c r="C164" s="1">
        <v>0.5</v>
      </c>
      <c r="D164">
        <v>101000</v>
      </c>
    </row>
    <row r="165" spans="1:4" x14ac:dyDescent="0.2">
      <c r="A165" s="5" t="s">
        <v>772</v>
      </c>
      <c r="B165" s="74">
        <v>41165</v>
      </c>
      <c r="C165" s="1">
        <v>0.5</v>
      </c>
      <c r="D165">
        <v>3300</v>
      </c>
    </row>
    <row r="166" spans="1:4" x14ac:dyDescent="0.2">
      <c r="A166" s="5" t="s">
        <v>774</v>
      </c>
      <c r="B166" s="74">
        <v>41165</v>
      </c>
      <c r="C166" s="1">
        <v>0.5</v>
      </c>
      <c r="D166">
        <v>0</v>
      </c>
    </row>
    <row r="167" spans="1:4" x14ac:dyDescent="0.2">
      <c r="A167" s="5" t="s">
        <v>775</v>
      </c>
      <c r="B167" s="74">
        <v>41165</v>
      </c>
      <c r="C167" s="1">
        <v>0.5</v>
      </c>
      <c r="D167">
        <v>32500</v>
      </c>
    </row>
    <row r="168" spans="1:4" x14ac:dyDescent="0.2">
      <c r="A168" s="5" t="s">
        <v>783</v>
      </c>
      <c r="B168" s="74">
        <v>41165</v>
      </c>
      <c r="C168" s="1">
        <v>0.5</v>
      </c>
      <c r="D168">
        <v>26900</v>
      </c>
    </row>
    <row r="169" spans="1:4" x14ac:dyDescent="0.2">
      <c r="A169" s="5" t="s">
        <v>784</v>
      </c>
      <c r="B169" s="74">
        <v>41165</v>
      </c>
      <c r="C169" s="1">
        <v>0.5</v>
      </c>
      <c r="D169">
        <v>0</v>
      </c>
    </row>
    <row r="170" spans="1:4" x14ac:dyDescent="0.2">
      <c r="A170" s="5" t="s">
        <v>786</v>
      </c>
      <c r="B170" s="74">
        <v>41165</v>
      </c>
      <c r="C170" s="1">
        <v>0.5</v>
      </c>
      <c r="D170">
        <v>11000</v>
      </c>
    </row>
    <row r="171" spans="1:4" x14ac:dyDescent="0.2">
      <c r="A171" s="5" t="s">
        <v>788</v>
      </c>
      <c r="B171" s="74">
        <v>41165</v>
      </c>
      <c r="C171" s="1">
        <v>0.5</v>
      </c>
      <c r="D171">
        <v>33500</v>
      </c>
    </row>
    <row r="172" spans="1:4" x14ac:dyDescent="0.2">
      <c r="A172" s="5" t="s">
        <v>790</v>
      </c>
      <c r="B172" s="74">
        <v>41165</v>
      </c>
      <c r="C172" s="1">
        <v>0.5</v>
      </c>
      <c r="D172">
        <v>42500</v>
      </c>
    </row>
    <row r="173" spans="1:4" x14ac:dyDescent="0.2">
      <c r="A173" s="5" t="s">
        <v>793</v>
      </c>
      <c r="B173" s="74">
        <v>41165</v>
      </c>
      <c r="C173" s="1">
        <v>0.5</v>
      </c>
      <c r="D173">
        <v>4000</v>
      </c>
    </row>
    <row r="174" spans="1:4" x14ac:dyDescent="0.2">
      <c r="A174" s="5" t="s">
        <v>794</v>
      </c>
      <c r="B174" s="74">
        <v>41165</v>
      </c>
      <c r="C174" s="1">
        <v>0.5</v>
      </c>
      <c r="D174">
        <v>15200</v>
      </c>
    </row>
    <row r="175" spans="1:4" x14ac:dyDescent="0.2">
      <c r="A175" s="5" t="s">
        <v>798</v>
      </c>
      <c r="B175" s="74">
        <v>41165</v>
      </c>
      <c r="C175" s="1">
        <v>0.5</v>
      </c>
      <c r="D175">
        <v>5000</v>
      </c>
    </row>
    <row r="176" spans="1:4" x14ac:dyDescent="0.2">
      <c r="A176" s="5" t="s">
        <v>799</v>
      </c>
      <c r="B176" s="74">
        <v>41165</v>
      </c>
      <c r="C176" s="1">
        <v>0.5</v>
      </c>
      <c r="D176">
        <v>4600</v>
      </c>
    </row>
    <row r="177" spans="1:4" x14ac:dyDescent="0.2">
      <c r="A177" s="5" t="s">
        <v>801</v>
      </c>
      <c r="B177" s="74">
        <v>41165</v>
      </c>
      <c r="C177" s="1">
        <v>0.5</v>
      </c>
      <c r="D177">
        <v>9800</v>
      </c>
    </row>
    <row r="178" spans="1:4" x14ac:dyDescent="0.2">
      <c r="A178" s="5" t="s">
        <v>803</v>
      </c>
      <c r="B178" s="74">
        <v>41165</v>
      </c>
      <c r="C178" s="1">
        <v>0.5</v>
      </c>
      <c r="D178">
        <v>0</v>
      </c>
    </row>
    <row r="179" spans="1:4" x14ac:dyDescent="0.2">
      <c r="A179" s="5" t="s">
        <v>805</v>
      </c>
      <c r="B179" s="74">
        <v>41165</v>
      </c>
      <c r="C179" s="1">
        <v>0.5</v>
      </c>
      <c r="D179">
        <v>15100</v>
      </c>
    </row>
    <row r="180" spans="1:4" x14ac:dyDescent="0.2">
      <c r="A180" s="5" t="s">
        <v>806</v>
      </c>
      <c r="B180" s="74">
        <v>41165</v>
      </c>
      <c r="C180" s="1">
        <v>0.5</v>
      </c>
      <c r="D180">
        <v>17500</v>
      </c>
    </row>
    <row r="181" spans="1:4" x14ac:dyDescent="0.2">
      <c r="A181" s="5" t="s">
        <v>808</v>
      </c>
      <c r="B181" s="74">
        <v>41165</v>
      </c>
      <c r="C181" s="1">
        <v>0.5</v>
      </c>
      <c r="D181">
        <v>0</v>
      </c>
    </row>
    <row r="182" spans="1:4" x14ac:dyDescent="0.2">
      <c r="A182" s="5" t="s">
        <v>809</v>
      </c>
      <c r="B182" s="74">
        <v>41165</v>
      </c>
      <c r="C182" s="1">
        <v>0.5</v>
      </c>
      <c r="D182">
        <v>13100</v>
      </c>
    </row>
    <row r="183" spans="1:4" x14ac:dyDescent="0.2">
      <c r="A183" s="5" t="s">
        <v>38</v>
      </c>
      <c r="B183" s="74">
        <v>41165</v>
      </c>
      <c r="C183" s="1">
        <v>0.5</v>
      </c>
      <c r="D183">
        <v>11200</v>
      </c>
    </row>
    <row r="184" spans="1:4" x14ac:dyDescent="0.2">
      <c r="A184" s="5" t="s">
        <v>810</v>
      </c>
      <c r="B184" s="74">
        <v>41165</v>
      </c>
      <c r="C184" s="1">
        <v>0.5</v>
      </c>
      <c r="D184">
        <v>10800</v>
      </c>
    </row>
    <row r="185" spans="1:4" x14ac:dyDescent="0.2">
      <c r="A185" s="5" t="s">
        <v>34</v>
      </c>
      <c r="B185" s="74">
        <v>41165</v>
      </c>
      <c r="C185" s="1">
        <v>0.5</v>
      </c>
      <c r="D185">
        <v>38800</v>
      </c>
    </row>
    <row r="186" spans="1:4" x14ac:dyDescent="0.2">
      <c r="A186" s="5" t="s">
        <v>811</v>
      </c>
      <c r="B186" s="74">
        <v>41165</v>
      </c>
      <c r="C186" s="1">
        <v>0.5</v>
      </c>
      <c r="D186">
        <v>7700</v>
      </c>
    </row>
    <row r="187" spans="1:4" x14ac:dyDescent="0.2">
      <c r="A187" s="5" t="s">
        <v>815</v>
      </c>
      <c r="B187" s="74">
        <v>41165</v>
      </c>
      <c r="C187" s="1">
        <v>0.5</v>
      </c>
      <c r="D187">
        <v>27300</v>
      </c>
    </row>
    <row r="188" spans="1:4" x14ac:dyDescent="0.2">
      <c r="A188" s="5" t="s">
        <v>817</v>
      </c>
      <c r="B188" s="74">
        <v>41165</v>
      </c>
      <c r="C188" s="1">
        <v>0.5</v>
      </c>
      <c r="D188">
        <v>4700</v>
      </c>
    </row>
    <row r="189" spans="1:4" x14ac:dyDescent="0.2">
      <c r="A189" s="5" t="s">
        <v>818</v>
      </c>
      <c r="B189" s="74">
        <v>41165</v>
      </c>
      <c r="C189" s="1">
        <v>0.5</v>
      </c>
      <c r="D189">
        <v>0</v>
      </c>
    </row>
    <row r="190" spans="1:4" x14ac:dyDescent="0.2">
      <c r="A190" s="5" t="s">
        <v>821</v>
      </c>
      <c r="B190" s="74">
        <v>41165</v>
      </c>
      <c r="C190" s="1">
        <v>0.5</v>
      </c>
      <c r="D190">
        <v>7500</v>
      </c>
    </row>
    <row r="191" spans="1:4" x14ac:dyDescent="0.2">
      <c r="A191" s="5" t="s">
        <v>825</v>
      </c>
      <c r="B191" s="74">
        <v>41165</v>
      </c>
      <c r="C191" s="1">
        <v>0.5</v>
      </c>
      <c r="D191">
        <v>3800</v>
      </c>
    </row>
    <row r="192" spans="1:4" x14ac:dyDescent="0.2">
      <c r="A192" s="5" t="s">
        <v>826</v>
      </c>
      <c r="B192" s="74">
        <v>41165</v>
      </c>
      <c r="C192" s="1">
        <v>0.5</v>
      </c>
      <c r="D192">
        <v>29500</v>
      </c>
    </row>
    <row r="193" spans="1:4" x14ac:dyDescent="0.2">
      <c r="A193" s="5" t="s">
        <v>827</v>
      </c>
      <c r="B193" s="74">
        <v>41165</v>
      </c>
      <c r="C193" s="1">
        <v>0.5</v>
      </c>
      <c r="D193">
        <v>13200</v>
      </c>
    </row>
    <row r="194" spans="1:4" x14ac:dyDescent="0.2">
      <c r="A194" s="5" t="s">
        <v>829</v>
      </c>
      <c r="B194" s="74">
        <v>41165</v>
      </c>
      <c r="C194" s="1">
        <v>0.5</v>
      </c>
      <c r="D194">
        <v>8700</v>
      </c>
    </row>
    <row r="195" spans="1:4" x14ac:dyDescent="0.2">
      <c r="A195" s="5" t="s">
        <v>831</v>
      </c>
      <c r="B195" s="74">
        <v>41165</v>
      </c>
      <c r="C195" s="1">
        <v>0.5</v>
      </c>
      <c r="D195">
        <v>5000</v>
      </c>
    </row>
    <row r="196" spans="1:4" x14ac:dyDescent="0.2">
      <c r="A196" s="5" t="s">
        <v>834</v>
      </c>
      <c r="B196" s="74">
        <v>41165</v>
      </c>
      <c r="C196" s="1">
        <v>0.5</v>
      </c>
      <c r="D196">
        <v>6200</v>
      </c>
    </row>
    <row r="197" spans="1:4" x14ac:dyDescent="0.2">
      <c r="A197" s="5" t="s">
        <v>836</v>
      </c>
      <c r="B197" s="74">
        <v>41165</v>
      </c>
      <c r="C197" s="1">
        <v>0.5</v>
      </c>
      <c r="D197">
        <v>12000</v>
      </c>
    </row>
    <row r="198" spans="1:4" x14ac:dyDescent="0.2">
      <c r="A198" s="5" t="s">
        <v>837</v>
      </c>
      <c r="B198" s="74">
        <v>41165</v>
      </c>
      <c r="C198" s="1">
        <v>0.5</v>
      </c>
      <c r="D198">
        <v>5100</v>
      </c>
    </row>
    <row r="199" spans="1:4" x14ac:dyDescent="0.2">
      <c r="A199" s="5" t="s">
        <v>22</v>
      </c>
      <c r="B199" s="74">
        <v>41165</v>
      </c>
      <c r="C199" s="1">
        <v>0.5</v>
      </c>
      <c r="D199">
        <v>2900</v>
      </c>
    </row>
    <row r="200" spans="1:4" x14ac:dyDescent="0.2">
      <c r="A200" s="5" t="s">
        <v>39</v>
      </c>
      <c r="B200" s="74">
        <v>41165</v>
      </c>
      <c r="C200" s="1">
        <v>0.5</v>
      </c>
      <c r="D200">
        <v>35000</v>
      </c>
    </row>
    <row r="201" spans="1:4" x14ac:dyDescent="0.2">
      <c r="A201" s="5" t="s">
        <v>35</v>
      </c>
      <c r="B201" s="74">
        <v>41165</v>
      </c>
      <c r="C201" s="1">
        <v>0.5</v>
      </c>
      <c r="D201">
        <v>8300</v>
      </c>
    </row>
    <row r="202" spans="1:4" x14ac:dyDescent="0.2">
      <c r="A202" s="5" t="s">
        <v>37</v>
      </c>
      <c r="B202" s="74">
        <v>41165</v>
      </c>
      <c r="C202" s="1">
        <v>0.5</v>
      </c>
      <c r="D202">
        <v>4300</v>
      </c>
    </row>
    <row r="203" spans="1:4" x14ac:dyDescent="0.2">
      <c r="A203" s="5" t="s">
        <v>28</v>
      </c>
      <c r="B203" s="74">
        <v>41165</v>
      </c>
      <c r="C203" s="1">
        <v>0.5</v>
      </c>
      <c r="D203">
        <v>4000</v>
      </c>
    </row>
    <row r="204" spans="1:4" x14ac:dyDescent="0.2">
      <c r="A204" s="5" t="s">
        <v>846</v>
      </c>
      <c r="B204" s="74">
        <v>41165</v>
      </c>
      <c r="C204" s="1">
        <v>0.5</v>
      </c>
      <c r="D204">
        <v>3300</v>
      </c>
    </row>
    <row r="205" spans="1:4" x14ac:dyDescent="0.2">
      <c r="A205" s="5" t="s">
        <v>26</v>
      </c>
      <c r="B205" s="74">
        <v>41165</v>
      </c>
      <c r="C205" s="1">
        <v>0.5</v>
      </c>
      <c r="D205">
        <v>3200</v>
      </c>
    </row>
    <row r="206" spans="1:4" x14ac:dyDescent="0.2">
      <c r="A206" s="5" t="s">
        <v>30</v>
      </c>
      <c r="B206" s="74">
        <v>41165</v>
      </c>
      <c r="C206" s="1">
        <v>0.5</v>
      </c>
      <c r="D206">
        <v>9400</v>
      </c>
    </row>
    <row r="207" spans="1:4" x14ac:dyDescent="0.2">
      <c r="A207" s="5" t="s">
        <v>32</v>
      </c>
      <c r="B207" s="74">
        <v>41165</v>
      </c>
      <c r="C207" s="1">
        <v>0.5</v>
      </c>
      <c r="D207">
        <v>4200</v>
      </c>
    </row>
    <row r="208" spans="1:4" x14ac:dyDescent="0.2">
      <c r="A208" s="5" t="s">
        <v>848</v>
      </c>
      <c r="B208" s="74">
        <v>41165</v>
      </c>
      <c r="C208" s="1">
        <v>0.5</v>
      </c>
      <c r="D208">
        <v>7100</v>
      </c>
    </row>
    <row r="209" spans="1:4" x14ac:dyDescent="0.2">
      <c r="A209" s="5" t="s">
        <v>853</v>
      </c>
      <c r="B209" s="74">
        <v>41165</v>
      </c>
      <c r="C209" s="1">
        <v>0.5</v>
      </c>
      <c r="D209">
        <v>25700</v>
      </c>
    </row>
    <row r="210" spans="1:4" x14ac:dyDescent="0.2">
      <c r="A210" s="5" t="s">
        <v>855</v>
      </c>
      <c r="B210" s="74">
        <v>41165</v>
      </c>
      <c r="C210" s="1">
        <v>0.5</v>
      </c>
      <c r="D210">
        <v>9700</v>
      </c>
    </row>
    <row r="211" spans="1:4" x14ac:dyDescent="0.2">
      <c r="A211" s="5" t="s">
        <v>856</v>
      </c>
      <c r="B211" s="74">
        <v>41165</v>
      </c>
      <c r="C211" s="1">
        <v>0.5</v>
      </c>
      <c r="D211">
        <v>15300</v>
      </c>
    </row>
    <row r="212" spans="1:4" x14ac:dyDescent="0.2">
      <c r="A212" s="5" t="s">
        <v>858</v>
      </c>
      <c r="B212" s="74">
        <v>41165</v>
      </c>
      <c r="C212" s="1">
        <v>0.5</v>
      </c>
      <c r="D212">
        <v>5600</v>
      </c>
    </row>
    <row r="213" spans="1:4" x14ac:dyDescent="0.2">
      <c r="A213" s="5" t="s">
        <v>867</v>
      </c>
      <c r="B213" s="74">
        <v>41165</v>
      </c>
      <c r="C213" s="1">
        <v>0.5</v>
      </c>
      <c r="D213">
        <v>6900</v>
      </c>
    </row>
    <row r="214" spans="1:4" x14ac:dyDescent="0.2">
      <c r="A214" s="5" t="s">
        <v>869</v>
      </c>
      <c r="B214" s="74">
        <v>41165</v>
      </c>
      <c r="C214" s="1">
        <v>0.5</v>
      </c>
      <c r="D214">
        <v>7200</v>
      </c>
    </row>
    <row r="215" spans="1:4" x14ac:dyDescent="0.2">
      <c r="A215" s="5" t="s">
        <v>870</v>
      </c>
      <c r="B215" s="74">
        <v>41165</v>
      </c>
      <c r="C215" s="1">
        <v>0.5</v>
      </c>
      <c r="D215">
        <v>4700</v>
      </c>
    </row>
    <row r="216" spans="1:4" x14ac:dyDescent="0.2">
      <c r="A216" s="5" t="s">
        <v>871</v>
      </c>
      <c r="B216" s="74">
        <v>41165</v>
      </c>
      <c r="C216" s="1">
        <v>0.5</v>
      </c>
      <c r="D216">
        <v>12500</v>
      </c>
    </row>
    <row r="217" spans="1:4" x14ac:dyDescent="0.2">
      <c r="A217" s="5" t="s">
        <v>872</v>
      </c>
      <c r="B217" s="74">
        <v>41165</v>
      </c>
      <c r="C217" s="1">
        <v>0.5</v>
      </c>
      <c r="D217">
        <v>3100</v>
      </c>
    </row>
    <row r="218" spans="1:4" x14ac:dyDescent="0.2">
      <c r="A218" s="5" t="s">
        <v>873</v>
      </c>
      <c r="B218" s="74">
        <v>41165</v>
      </c>
      <c r="C218" s="1">
        <v>0.5</v>
      </c>
      <c r="D218">
        <v>17800</v>
      </c>
    </row>
    <row r="219" spans="1:4" x14ac:dyDescent="0.2">
      <c r="A219" s="5" t="s">
        <v>874</v>
      </c>
      <c r="B219" s="74">
        <v>41165</v>
      </c>
      <c r="C219" s="1">
        <v>0.5</v>
      </c>
      <c r="D219">
        <v>14900</v>
      </c>
    </row>
    <row r="220" spans="1:4" x14ac:dyDescent="0.2">
      <c r="A220" s="5" t="s">
        <v>876</v>
      </c>
      <c r="B220" s="74">
        <v>41165</v>
      </c>
      <c r="C220" s="1">
        <v>0.5</v>
      </c>
      <c r="D220">
        <v>8800</v>
      </c>
    </row>
    <row r="221" spans="1:4" x14ac:dyDescent="0.2">
      <c r="A221" s="5" t="s">
        <v>904</v>
      </c>
      <c r="B221" s="74">
        <v>41165</v>
      </c>
      <c r="C221" s="1">
        <v>0.5</v>
      </c>
      <c r="D221">
        <v>23000</v>
      </c>
    </row>
    <row r="222" spans="1:4" x14ac:dyDescent="0.2">
      <c r="A222" s="5" t="s">
        <v>907</v>
      </c>
      <c r="B222" s="74">
        <v>41165</v>
      </c>
      <c r="C222" s="1">
        <v>0.5</v>
      </c>
      <c r="D222">
        <v>0</v>
      </c>
    </row>
    <row r="223" spans="1:4" x14ac:dyDescent="0.2">
      <c r="A223" s="5" t="s">
        <v>908</v>
      </c>
      <c r="B223" s="74">
        <v>41165</v>
      </c>
      <c r="C223" s="1">
        <v>0.5</v>
      </c>
      <c r="D223">
        <v>15100</v>
      </c>
    </row>
    <row r="224" spans="1:4" x14ac:dyDescent="0.2">
      <c r="A224" s="5" t="s">
        <v>913</v>
      </c>
      <c r="B224" s="74">
        <v>41165</v>
      </c>
      <c r="C224" s="1">
        <v>0.5</v>
      </c>
      <c r="D224">
        <v>0</v>
      </c>
    </row>
    <row r="225" spans="1:4" x14ac:dyDescent="0.2">
      <c r="A225" s="5" t="s">
        <v>916</v>
      </c>
      <c r="B225" s="74">
        <v>41165</v>
      </c>
      <c r="C225" s="1">
        <v>0.5</v>
      </c>
      <c r="D225">
        <v>5200</v>
      </c>
    </row>
    <row r="226" spans="1:4" x14ac:dyDescent="0.2">
      <c r="A226" s="5" t="s">
        <v>922</v>
      </c>
      <c r="B226" s="74">
        <v>41165</v>
      </c>
      <c r="C226" s="1">
        <v>0.5</v>
      </c>
      <c r="D226">
        <v>13300</v>
      </c>
    </row>
    <row r="227" spans="1:4" x14ac:dyDescent="0.2">
      <c r="A227" s="5" t="s">
        <v>925</v>
      </c>
      <c r="B227" s="74">
        <v>41165</v>
      </c>
      <c r="C227" s="1">
        <v>0.5</v>
      </c>
      <c r="D227">
        <v>22800</v>
      </c>
    </row>
    <row r="228" spans="1:4" x14ac:dyDescent="0.2">
      <c r="A228" s="5" t="s">
        <v>927</v>
      </c>
      <c r="B228" s="74">
        <v>41165</v>
      </c>
      <c r="C228" s="1">
        <v>0.5</v>
      </c>
      <c r="D228">
        <v>4300</v>
      </c>
    </row>
    <row r="229" spans="1:4" x14ac:dyDescent="0.2">
      <c r="A229" s="5" t="s">
        <v>928</v>
      </c>
      <c r="B229" s="74">
        <v>41165</v>
      </c>
      <c r="C229" s="1">
        <v>0.5</v>
      </c>
      <c r="D229">
        <v>13700</v>
      </c>
    </row>
    <row r="230" spans="1:4" x14ac:dyDescent="0.2">
      <c r="A230" s="5" t="s">
        <v>932</v>
      </c>
      <c r="B230" s="74">
        <v>41165</v>
      </c>
      <c r="C230" s="1">
        <v>0.5</v>
      </c>
      <c r="D230">
        <v>26200</v>
      </c>
    </row>
    <row r="231" spans="1:4" x14ac:dyDescent="0.2">
      <c r="A231" s="5" t="s">
        <v>937</v>
      </c>
      <c r="B231" s="74">
        <v>41165</v>
      </c>
      <c r="C231" s="1">
        <v>0.5</v>
      </c>
      <c r="D231">
        <v>12500</v>
      </c>
    </row>
    <row r="232" spans="1:4" x14ac:dyDescent="0.2">
      <c r="A232" s="5" t="s">
        <v>938</v>
      </c>
      <c r="B232" s="74">
        <v>41165</v>
      </c>
      <c r="C232" s="1">
        <v>0.5</v>
      </c>
      <c r="D232">
        <v>0</v>
      </c>
    </row>
    <row r="233" spans="1:4" x14ac:dyDescent="0.2">
      <c r="A233" s="5" t="s">
        <v>939</v>
      </c>
      <c r="B233" s="74">
        <v>41165</v>
      </c>
      <c r="C233" s="1">
        <v>0.5</v>
      </c>
      <c r="D233">
        <v>32500</v>
      </c>
    </row>
    <row r="234" spans="1:4" x14ac:dyDescent="0.2">
      <c r="A234" s="5" t="s">
        <v>941</v>
      </c>
      <c r="B234" s="74">
        <v>41165</v>
      </c>
      <c r="C234" s="1">
        <v>0.5</v>
      </c>
      <c r="D234">
        <v>17300</v>
      </c>
    </row>
    <row r="235" spans="1:4" x14ac:dyDescent="0.2">
      <c r="A235" s="5" t="s">
        <v>943</v>
      </c>
      <c r="B235" s="74">
        <v>41165</v>
      </c>
      <c r="C235" s="1">
        <v>0.5</v>
      </c>
      <c r="D235">
        <v>10600</v>
      </c>
    </row>
    <row r="236" spans="1:4" x14ac:dyDescent="0.2">
      <c r="A236" s="5" t="s">
        <v>944</v>
      </c>
      <c r="B236" s="74">
        <v>41165</v>
      </c>
      <c r="C236" s="1">
        <v>0.5</v>
      </c>
      <c r="D236">
        <v>20000</v>
      </c>
    </row>
    <row r="237" spans="1:4" x14ac:dyDescent="0.2">
      <c r="A237" s="5" t="s">
        <v>946</v>
      </c>
      <c r="B237" s="74">
        <v>41165</v>
      </c>
      <c r="C237" s="1">
        <v>0.5</v>
      </c>
      <c r="D237">
        <v>13200</v>
      </c>
    </row>
    <row r="238" spans="1:4" x14ac:dyDescent="0.2">
      <c r="A238" s="5" t="s">
        <v>949</v>
      </c>
      <c r="B238" s="74">
        <v>41165</v>
      </c>
      <c r="C238" s="1">
        <v>0.5</v>
      </c>
      <c r="D238">
        <v>3900</v>
      </c>
    </row>
    <row r="239" spans="1:4" x14ac:dyDescent="0.2">
      <c r="A239" s="5" t="s">
        <v>950</v>
      </c>
      <c r="B239" s="74">
        <v>41165</v>
      </c>
      <c r="C239" s="1">
        <v>0.5</v>
      </c>
      <c r="D239">
        <v>11500</v>
      </c>
    </row>
    <row r="240" spans="1:4" x14ac:dyDescent="0.2">
      <c r="A240" s="5" t="s">
        <v>951</v>
      </c>
      <c r="B240" s="74">
        <v>41165</v>
      </c>
      <c r="C240" s="1">
        <v>0.5</v>
      </c>
      <c r="D240">
        <v>0</v>
      </c>
    </row>
    <row r="241" spans="1:4" x14ac:dyDescent="0.2">
      <c r="A241" s="5" t="s">
        <v>954</v>
      </c>
      <c r="B241" s="74">
        <v>41165</v>
      </c>
      <c r="C241" s="1">
        <v>0.5</v>
      </c>
      <c r="D241">
        <v>8000</v>
      </c>
    </row>
    <row r="242" spans="1:4" x14ac:dyDescent="0.2">
      <c r="A242" s="5" t="s">
        <v>955</v>
      </c>
      <c r="B242" s="74">
        <v>41165</v>
      </c>
      <c r="C242" s="1">
        <v>0.5</v>
      </c>
      <c r="D242">
        <v>11500</v>
      </c>
    </row>
    <row r="243" spans="1:4" x14ac:dyDescent="0.2">
      <c r="A243" s="5" t="s">
        <v>956</v>
      </c>
      <c r="B243" s="74">
        <v>41165</v>
      </c>
      <c r="C243" s="1">
        <v>0.5</v>
      </c>
      <c r="D243">
        <v>38000</v>
      </c>
    </row>
    <row r="244" spans="1:4" x14ac:dyDescent="0.2">
      <c r="A244" s="5" t="s">
        <v>959</v>
      </c>
      <c r="B244" s="74">
        <v>41165</v>
      </c>
      <c r="C244" s="1">
        <v>0.5</v>
      </c>
      <c r="D244">
        <v>11700</v>
      </c>
    </row>
    <row r="245" spans="1:4" x14ac:dyDescent="0.2">
      <c r="A245" s="5" t="s">
        <v>962</v>
      </c>
      <c r="B245" s="74">
        <v>41165</v>
      </c>
      <c r="C245" s="1">
        <v>0.5</v>
      </c>
      <c r="D245">
        <v>14100</v>
      </c>
    </row>
    <row r="246" spans="1:4" x14ac:dyDescent="0.2">
      <c r="A246" s="5" t="s">
        <v>963</v>
      </c>
      <c r="B246" s="74">
        <v>41165</v>
      </c>
      <c r="C246" s="1">
        <v>0.5</v>
      </c>
      <c r="D246">
        <v>6600</v>
      </c>
    </row>
    <row r="247" spans="1:4" x14ac:dyDescent="0.2">
      <c r="A247" s="5" t="s">
        <v>964</v>
      </c>
      <c r="B247" s="74">
        <v>41165</v>
      </c>
      <c r="C247" s="1">
        <v>0.5</v>
      </c>
      <c r="D247">
        <v>9300</v>
      </c>
    </row>
    <row r="248" spans="1:4" x14ac:dyDescent="0.2">
      <c r="A248" s="5" t="s">
        <v>965</v>
      </c>
      <c r="B248" s="74">
        <v>41165</v>
      </c>
      <c r="C248" s="1">
        <v>0.5</v>
      </c>
      <c r="D248">
        <v>4800</v>
      </c>
    </row>
    <row r="249" spans="1:4" x14ac:dyDescent="0.2">
      <c r="A249" s="5" t="s">
        <v>968</v>
      </c>
      <c r="B249" s="74">
        <v>41165</v>
      </c>
      <c r="C249" s="1">
        <v>0.5</v>
      </c>
      <c r="D249">
        <v>8100</v>
      </c>
    </row>
    <row r="250" spans="1:4" x14ac:dyDescent="0.2">
      <c r="A250" s="5" t="s">
        <v>969</v>
      </c>
      <c r="B250" s="74">
        <v>41165</v>
      </c>
      <c r="C250" s="1">
        <v>0.5</v>
      </c>
      <c r="D250">
        <v>11800</v>
      </c>
    </row>
    <row r="251" spans="1:4" x14ac:dyDescent="0.2">
      <c r="A251" s="5" t="s">
        <v>971</v>
      </c>
      <c r="B251" s="74">
        <v>41165</v>
      </c>
      <c r="C251" s="1">
        <v>0.5</v>
      </c>
      <c r="D251">
        <v>0</v>
      </c>
    </row>
    <row r="252" spans="1:4" x14ac:dyDescent="0.2">
      <c r="A252" s="5" t="s">
        <v>975</v>
      </c>
      <c r="B252" s="74">
        <v>41165</v>
      </c>
      <c r="C252" s="1">
        <v>0.5</v>
      </c>
      <c r="D252">
        <v>8400</v>
      </c>
    </row>
    <row r="253" spans="1:4" x14ac:dyDescent="0.2">
      <c r="A253" s="5" t="s">
        <v>978</v>
      </c>
      <c r="B253" s="74">
        <v>41165</v>
      </c>
      <c r="C253" s="1">
        <v>0.5</v>
      </c>
      <c r="D253">
        <v>10000</v>
      </c>
    </row>
    <row r="254" spans="1:4" x14ac:dyDescent="0.2">
      <c r="A254" s="5" t="s">
        <v>979</v>
      </c>
      <c r="B254" s="74">
        <v>41165</v>
      </c>
      <c r="C254" s="1">
        <v>0.5</v>
      </c>
      <c r="D254">
        <v>8600</v>
      </c>
    </row>
    <row r="255" spans="1:4" x14ac:dyDescent="0.2">
      <c r="A255" s="5" t="s">
        <v>981</v>
      </c>
      <c r="B255" s="74">
        <v>41165</v>
      </c>
      <c r="C255" s="1">
        <v>0.5</v>
      </c>
      <c r="D255">
        <v>18000</v>
      </c>
    </row>
    <row r="256" spans="1:4" x14ac:dyDescent="0.2">
      <c r="A256" s="5" t="s">
        <v>986</v>
      </c>
      <c r="B256" s="74">
        <v>41165</v>
      </c>
      <c r="C256" s="1">
        <v>0.5</v>
      </c>
      <c r="D256">
        <v>19000</v>
      </c>
    </row>
    <row r="257" spans="1:4" x14ac:dyDescent="0.2">
      <c r="A257" s="5" t="s">
        <v>987</v>
      </c>
      <c r="B257" s="74">
        <v>41165</v>
      </c>
      <c r="C257" s="1">
        <v>0.5</v>
      </c>
      <c r="D257">
        <v>4900</v>
      </c>
    </row>
    <row r="258" spans="1:4" x14ac:dyDescent="0.2">
      <c r="A258" s="5" t="s">
        <v>990</v>
      </c>
      <c r="B258" s="74">
        <v>41165</v>
      </c>
      <c r="C258" s="1">
        <v>0.5</v>
      </c>
      <c r="D258">
        <v>0</v>
      </c>
    </row>
    <row r="259" spans="1:4" x14ac:dyDescent="0.2">
      <c r="A259" s="5" t="s">
        <v>991</v>
      </c>
      <c r="B259" s="74">
        <v>41165</v>
      </c>
      <c r="C259" s="1">
        <v>0.5</v>
      </c>
      <c r="D259">
        <v>24100</v>
      </c>
    </row>
    <row r="260" spans="1:4" x14ac:dyDescent="0.2">
      <c r="A260" s="5" t="s">
        <v>992</v>
      </c>
      <c r="B260" s="74">
        <v>41165</v>
      </c>
      <c r="C260" s="1">
        <v>0.5</v>
      </c>
      <c r="D260">
        <v>4600</v>
      </c>
    </row>
    <row r="261" spans="1:4" x14ac:dyDescent="0.2">
      <c r="A261" s="5" t="s">
        <v>994</v>
      </c>
      <c r="B261" s="74">
        <v>41165</v>
      </c>
      <c r="C261" s="1">
        <v>0.5</v>
      </c>
      <c r="D261">
        <v>15200</v>
      </c>
    </row>
    <row r="262" spans="1:4" x14ac:dyDescent="0.2">
      <c r="A262" s="5" t="s">
        <v>995</v>
      </c>
      <c r="B262" s="74">
        <v>41165</v>
      </c>
      <c r="C262" s="1">
        <v>0.5</v>
      </c>
      <c r="D262">
        <v>15800</v>
      </c>
    </row>
    <row r="263" spans="1:4" x14ac:dyDescent="0.2">
      <c r="A263" s="5" t="s">
        <v>997</v>
      </c>
      <c r="B263" s="74">
        <v>41165</v>
      </c>
      <c r="C263" s="1">
        <v>0.5</v>
      </c>
      <c r="D263">
        <v>2800</v>
      </c>
    </row>
    <row r="264" spans="1:4" x14ac:dyDescent="0.2">
      <c r="A264" s="5" t="s">
        <v>998</v>
      </c>
      <c r="B264" s="74">
        <v>41165</v>
      </c>
      <c r="C264" s="1">
        <v>0.5</v>
      </c>
      <c r="D264">
        <v>10000</v>
      </c>
    </row>
    <row r="265" spans="1:4" x14ac:dyDescent="0.2">
      <c r="A265" s="5" t="s">
        <v>1001</v>
      </c>
      <c r="B265" s="74">
        <v>41165</v>
      </c>
      <c r="C265" s="1">
        <v>0.5</v>
      </c>
      <c r="D265">
        <v>82000</v>
      </c>
    </row>
    <row r="266" spans="1:4" x14ac:dyDescent="0.2">
      <c r="A266" s="5" t="s">
        <v>1002</v>
      </c>
      <c r="B266" s="74">
        <v>41165</v>
      </c>
      <c r="C266" s="1">
        <v>0.5</v>
      </c>
      <c r="D266">
        <v>0</v>
      </c>
    </row>
    <row r="267" spans="1:4" x14ac:dyDescent="0.2">
      <c r="A267" s="5" t="s">
        <v>1003</v>
      </c>
      <c r="B267" s="74">
        <v>41165</v>
      </c>
      <c r="C267" s="1">
        <v>0.5</v>
      </c>
      <c r="D267">
        <v>9300</v>
      </c>
    </row>
    <row r="268" spans="1:4" x14ac:dyDescent="0.2">
      <c r="A268" s="5" t="s">
        <v>1005</v>
      </c>
      <c r="B268" s="74">
        <v>41165</v>
      </c>
      <c r="C268" s="1">
        <v>0.5</v>
      </c>
      <c r="D268">
        <v>5900</v>
      </c>
    </row>
    <row r="269" spans="1:4" x14ac:dyDescent="0.2">
      <c r="A269" s="5" t="s">
        <v>1009</v>
      </c>
      <c r="B269" s="74">
        <v>41165</v>
      </c>
      <c r="C269" s="1">
        <v>0.5</v>
      </c>
      <c r="D269">
        <v>4800</v>
      </c>
    </row>
    <row r="270" spans="1:4" x14ac:dyDescent="0.2">
      <c r="A270" s="5" t="s">
        <v>1010</v>
      </c>
      <c r="B270" s="74">
        <v>41165</v>
      </c>
      <c r="C270" s="1">
        <v>0.5</v>
      </c>
      <c r="D270">
        <v>25500</v>
      </c>
    </row>
    <row r="271" spans="1:4" x14ac:dyDescent="0.2">
      <c r="A271" s="5" t="s">
        <v>1011</v>
      </c>
      <c r="B271" s="74">
        <v>41165</v>
      </c>
      <c r="C271" s="1">
        <v>0.5</v>
      </c>
      <c r="D271">
        <v>0</v>
      </c>
    </row>
    <row r="272" spans="1:4" x14ac:dyDescent="0.2">
      <c r="A272" s="5" t="s">
        <v>1017</v>
      </c>
      <c r="B272" s="74">
        <v>41165</v>
      </c>
      <c r="C272" s="1">
        <v>0.5</v>
      </c>
      <c r="D272">
        <v>3700</v>
      </c>
    </row>
    <row r="273" spans="1:4" x14ac:dyDescent="0.2">
      <c r="A273" s="5" t="s">
        <v>1018</v>
      </c>
      <c r="B273" s="74">
        <v>41165</v>
      </c>
      <c r="C273" s="1">
        <v>0.5</v>
      </c>
      <c r="D273">
        <v>4600</v>
      </c>
    </row>
    <row r="274" spans="1:4" x14ac:dyDescent="0.2">
      <c r="A274" s="5" t="s">
        <v>1019</v>
      </c>
      <c r="B274" s="74">
        <v>41165</v>
      </c>
      <c r="C274" s="1">
        <v>0.5</v>
      </c>
      <c r="D274">
        <v>8700</v>
      </c>
    </row>
    <row r="275" spans="1:4" x14ac:dyDescent="0.2">
      <c r="A275" s="5" t="s">
        <v>1034</v>
      </c>
      <c r="B275" s="74">
        <v>41165</v>
      </c>
      <c r="C275" s="1">
        <v>0.5</v>
      </c>
      <c r="D275">
        <v>25000</v>
      </c>
    </row>
    <row r="276" spans="1:4" x14ac:dyDescent="0.2">
      <c r="A276" s="5" t="s">
        <v>1036</v>
      </c>
      <c r="B276" s="74">
        <v>41165</v>
      </c>
      <c r="C276" s="1">
        <v>0.5</v>
      </c>
      <c r="D276">
        <v>138000</v>
      </c>
    </row>
    <row r="277" spans="1:4" x14ac:dyDescent="0.2">
      <c r="A277" s="5" t="s">
        <v>1050</v>
      </c>
      <c r="B277" s="74">
        <v>41165</v>
      </c>
      <c r="C277" s="1">
        <v>0.5</v>
      </c>
      <c r="D277">
        <v>1700</v>
      </c>
    </row>
    <row r="278" spans="1:4" x14ac:dyDescent="0.2">
      <c r="A278" s="5" t="s">
        <v>1051</v>
      </c>
      <c r="B278" s="74">
        <v>41165</v>
      </c>
      <c r="C278" s="1">
        <v>0.5</v>
      </c>
      <c r="D278">
        <v>0</v>
      </c>
    </row>
    <row r="279" spans="1:4" x14ac:dyDescent="0.2">
      <c r="A279" s="5" t="s">
        <v>1052</v>
      </c>
      <c r="B279" s="74">
        <v>41165</v>
      </c>
      <c r="C279" s="1">
        <v>0.5</v>
      </c>
      <c r="D279">
        <v>0</v>
      </c>
    </row>
    <row r="280" spans="1:4" x14ac:dyDescent="0.2">
      <c r="A280" s="5" t="s">
        <v>1053</v>
      </c>
      <c r="B280" s="74">
        <v>41165</v>
      </c>
      <c r="C280" s="1">
        <v>0.5</v>
      </c>
      <c r="D280">
        <v>7500</v>
      </c>
    </row>
    <row r="281" spans="1:4" x14ac:dyDescent="0.2">
      <c r="A281" s="5" t="s">
        <v>1054</v>
      </c>
      <c r="B281" s="74">
        <v>41165</v>
      </c>
      <c r="C281" s="1">
        <v>0.5</v>
      </c>
      <c r="D281">
        <v>4100</v>
      </c>
    </row>
    <row r="282" spans="1:4" x14ac:dyDescent="0.2">
      <c r="A282" s="5" t="s">
        <v>1055</v>
      </c>
      <c r="B282" s="74">
        <v>41165</v>
      </c>
      <c r="C282" s="1">
        <v>0.5</v>
      </c>
      <c r="D282">
        <v>4100</v>
      </c>
    </row>
    <row r="283" spans="1:4" x14ac:dyDescent="0.2">
      <c r="A283" s="5" t="s">
        <v>1059</v>
      </c>
      <c r="B283" s="74">
        <v>41165</v>
      </c>
      <c r="C283" s="1">
        <v>0.5</v>
      </c>
      <c r="D283">
        <v>0</v>
      </c>
    </row>
    <row r="284" spans="1:4" x14ac:dyDescent="0.2">
      <c r="A284" s="5" t="s">
        <v>1060</v>
      </c>
      <c r="B284" s="74">
        <v>41165</v>
      </c>
      <c r="C284" s="1">
        <v>0.5</v>
      </c>
      <c r="D284">
        <v>2900</v>
      </c>
    </row>
    <row r="285" spans="1:4" x14ac:dyDescent="0.2">
      <c r="A285" s="5" t="s">
        <v>1063</v>
      </c>
      <c r="B285" s="74">
        <v>41165</v>
      </c>
      <c r="C285" s="1">
        <v>0.5</v>
      </c>
      <c r="D285">
        <v>72000</v>
      </c>
    </row>
    <row r="286" spans="1:4" x14ac:dyDescent="0.2">
      <c r="A286" s="5" t="s">
        <v>1064</v>
      </c>
      <c r="B286" s="74">
        <v>41165</v>
      </c>
      <c r="C286" s="1">
        <v>0.5</v>
      </c>
      <c r="D286">
        <v>4000</v>
      </c>
    </row>
    <row r="287" spans="1:4" x14ac:dyDescent="0.2">
      <c r="A287" s="5" t="s">
        <v>1067</v>
      </c>
      <c r="B287" s="74">
        <v>41165</v>
      </c>
      <c r="C287" s="1">
        <v>0.5</v>
      </c>
      <c r="D287">
        <v>6200</v>
      </c>
    </row>
    <row r="288" spans="1:4" x14ac:dyDescent="0.2">
      <c r="A288" s="5" t="s">
        <v>1068</v>
      </c>
      <c r="B288" s="74">
        <v>41165</v>
      </c>
      <c r="C288" s="1">
        <v>0.5</v>
      </c>
      <c r="D288">
        <v>8700</v>
      </c>
    </row>
    <row r="289" spans="1:4" x14ac:dyDescent="0.2">
      <c r="A289" s="5" t="s">
        <v>1073</v>
      </c>
      <c r="B289" s="74">
        <v>41165</v>
      </c>
      <c r="C289" s="1">
        <v>0.5</v>
      </c>
      <c r="D289">
        <v>0</v>
      </c>
    </row>
    <row r="290" spans="1:4" x14ac:dyDescent="0.2">
      <c r="A290" s="5" t="s">
        <v>1075</v>
      </c>
      <c r="B290" s="74">
        <v>41165</v>
      </c>
      <c r="C290" s="1">
        <v>0.5</v>
      </c>
      <c r="D290">
        <v>15500</v>
      </c>
    </row>
    <row r="291" spans="1:4" x14ac:dyDescent="0.2">
      <c r="A291" s="5" t="s">
        <v>1076</v>
      </c>
      <c r="B291" s="74">
        <v>41165</v>
      </c>
      <c r="C291" s="1">
        <v>0.5</v>
      </c>
      <c r="D291">
        <v>3100</v>
      </c>
    </row>
    <row r="292" spans="1:4" x14ac:dyDescent="0.2">
      <c r="A292" s="5" t="s">
        <v>1078</v>
      </c>
      <c r="B292" s="74">
        <v>41165</v>
      </c>
      <c r="C292" s="1">
        <v>0.5</v>
      </c>
      <c r="D292">
        <v>6100</v>
      </c>
    </row>
    <row r="293" spans="1:4" x14ac:dyDescent="0.2">
      <c r="A293" s="5" t="s">
        <v>1080</v>
      </c>
      <c r="B293" s="74">
        <v>41165</v>
      </c>
      <c r="C293" s="1">
        <v>0.5</v>
      </c>
      <c r="D293">
        <v>5800</v>
      </c>
    </row>
    <row r="294" spans="1:4" x14ac:dyDescent="0.2">
      <c r="A294" s="5" t="s">
        <v>1081</v>
      </c>
      <c r="B294" s="74">
        <v>41165</v>
      </c>
      <c r="C294" s="1">
        <v>0.5</v>
      </c>
      <c r="D294">
        <v>3500</v>
      </c>
    </row>
    <row r="295" spans="1:4" x14ac:dyDescent="0.2">
      <c r="A295" s="5" t="s">
        <v>1082</v>
      </c>
      <c r="B295" s="74">
        <v>41165</v>
      </c>
      <c r="C295" s="1">
        <v>0.5</v>
      </c>
      <c r="D295">
        <v>4600</v>
      </c>
    </row>
    <row r="296" spans="1:4" x14ac:dyDescent="0.2">
      <c r="A296" s="5" t="s">
        <v>1083</v>
      </c>
      <c r="B296" s="74">
        <v>41165</v>
      </c>
      <c r="C296" s="1">
        <v>0.5</v>
      </c>
      <c r="D296">
        <v>12500</v>
      </c>
    </row>
    <row r="297" spans="1:4" x14ac:dyDescent="0.2">
      <c r="A297" s="5" t="s">
        <v>1084</v>
      </c>
      <c r="B297" s="74">
        <v>41165</v>
      </c>
      <c r="C297" s="1">
        <v>0.5</v>
      </c>
      <c r="D297">
        <v>106000</v>
      </c>
    </row>
    <row r="298" spans="1:4" x14ac:dyDescent="0.2">
      <c r="A298" s="5" t="s">
        <v>1086</v>
      </c>
      <c r="B298" s="74">
        <v>41165</v>
      </c>
      <c r="C298" s="1">
        <v>0.5</v>
      </c>
      <c r="D298">
        <v>25000</v>
      </c>
    </row>
    <row r="299" spans="1:4" x14ac:dyDescent="0.2">
      <c r="A299" s="5" t="s">
        <v>1088</v>
      </c>
      <c r="B299" s="74">
        <v>41165</v>
      </c>
      <c r="C299" s="1">
        <v>0.5</v>
      </c>
      <c r="D299">
        <v>2600</v>
      </c>
    </row>
    <row r="300" spans="1:4" x14ac:dyDescent="0.2">
      <c r="A300" s="5" t="s">
        <v>1090</v>
      </c>
      <c r="B300" s="74">
        <v>41165</v>
      </c>
      <c r="C300" s="1">
        <v>0.5</v>
      </c>
      <c r="D300">
        <v>3700</v>
      </c>
    </row>
    <row r="301" spans="1:4" x14ac:dyDescent="0.2">
      <c r="A301" s="5" t="s">
        <v>1091</v>
      </c>
      <c r="B301" s="74">
        <v>41165</v>
      </c>
      <c r="C301" s="1">
        <v>0.5</v>
      </c>
      <c r="D301">
        <v>18000</v>
      </c>
    </row>
    <row r="302" spans="1:4" x14ac:dyDescent="0.2">
      <c r="A302" s="5" t="s">
        <v>1092</v>
      </c>
      <c r="B302" s="74">
        <v>41165</v>
      </c>
      <c r="C302" s="1">
        <v>0.5</v>
      </c>
      <c r="D302">
        <v>5700</v>
      </c>
    </row>
    <row r="303" spans="1:4" x14ac:dyDescent="0.2">
      <c r="A303" s="5" t="s">
        <v>1093</v>
      </c>
      <c r="B303" s="74">
        <v>41165</v>
      </c>
      <c r="C303" s="1">
        <v>0.5</v>
      </c>
      <c r="D303">
        <v>31800</v>
      </c>
    </row>
    <row r="304" spans="1:4" x14ac:dyDescent="0.2">
      <c r="A304" s="5" t="s">
        <v>1094</v>
      </c>
      <c r="B304" s="74">
        <v>41165</v>
      </c>
      <c r="C304" s="1">
        <v>0.5</v>
      </c>
      <c r="D304">
        <v>1000</v>
      </c>
    </row>
    <row r="305" spans="1:4" x14ac:dyDescent="0.2">
      <c r="A305" s="5" t="s">
        <v>1095</v>
      </c>
      <c r="B305" s="74">
        <v>41165</v>
      </c>
      <c r="C305" s="1">
        <v>0.5</v>
      </c>
      <c r="D305">
        <v>10300</v>
      </c>
    </row>
    <row r="306" spans="1:4" x14ac:dyDescent="0.2">
      <c r="A306" s="5" t="s">
        <v>1096</v>
      </c>
      <c r="B306" s="74">
        <v>41165</v>
      </c>
      <c r="C306" s="1">
        <v>0.5</v>
      </c>
      <c r="D306">
        <v>7600</v>
      </c>
    </row>
    <row r="307" spans="1:4" x14ac:dyDescent="0.2">
      <c r="A307" s="5" t="s">
        <v>1097</v>
      </c>
      <c r="B307" s="74">
        <v>41165</v>
      </c>
      <c r="C307" s="1">
        <v>0.5</v>
      </c>
      <c r="D307">
        <v>2700</v>
      </c>
    </row>
    <row r="308" spans="1:4" x14ac:dyDescent="0.2">
      <c r="A308" s="5" t="s">
        <v>1098</v>
      </c>
      <c r="B308" s="74">
        <v>41165</v>
      </c>
      <c r="C308" s="1">
        <v>0.5</v>
      </c>
      <c r="D308">
        <v>7900</v>
      </c>
    </row>
    <row r="309" spans="1:4" x14ac:dyDescent="0.2">
      <c r="A309" s="5" t="s">
        <v>1100</v>
      </c>
      <c r="B309" s="74">
        <v>41165</v>
      </c>
      <c r="C309" s="1">
        <v>0.5</v>
      </c>
      <c r="D309">
        <v>26200</v>
      </c>
    </row>
    <row r="310" spans="1:4" x14ac:dyDescent="0.2">
      <c r="A310" s="5" t="s">
        <v>1102</v>
      </c>
      <c r="B310" s="74">
        <v>41165</v>
      </c>
      <c r="C310" s="1">
        <v>0.5</v>
      </c>
      <c r="D310">
        <v>4600</v>
      </c>
    </row>
    <row r="311" spans="1:4" x14ac:dyDescent="0.2">
      <c r="A311" s="5" t="s">
        <v>1264</v>
      </c>
      <c r="B311" s="74">
        <v>41165</v>
      </c>
      <c r="C311" s="1">
        <v>0.5</v>
      </c>
      <c r="D311">
        <v>9500</v>
      </c>
    </row>
    <row r="312" spans="1:4" x14ac:dyDescent="0.2">
      <c r="A312" s="5" t="s">
        <v>1265</v>
      </c>
      <c r="B312" s="74">
        <v>41165</v>
      </c>
      <c r="C312" s="1">
        <v>0.5</v>
      </c>
      <c r="D312">
        <v>13400</v>
      </c>
    </row>
    <row r="313" spans="1:4" x14ac:dyDescent="0.2">
      <c r="A313" s="5" t="s">
        <v>438</v>
      </c>
      <c r="B313" s="74">
        <v>41165</v>
      </c>
      <c r="C313" s="1">
        <v>0.5</v>
      </c>
      <c r="D313">
        <v>17700</v>
      </c>
    </row>
    <row r="314" spans="1:4" x14ac:dyDescent="0.2">
      <c r="A314" s="5" t="s">
        <v>441</v>
      </c>
      <c r="B314" s="74">
        <v>41165</v>
      </c>
      <c r="C314" s="1">
        <v>0.5</v>
      </c>
      <c r="D314">
        <v>0</v>
      </c>
    </row>
    <row r="315" spans="1:4" x14ac:dyDescent="0.2">
      <c r="A315" s="5" t="s">
        <v>446</v>
      </c>
      <c r="B315" s="74">
        <v>41165</v>
      </c>
      <c r="C315" s="1">
        <v>0.5</v>
      </c>
      <c r="D315">
        <v>12400</v>
      </c>
    </row>
    <row r="316" spans="1:4" x14ac:dyDescent="0.2">
      <c r="A316" s="5" t="s">
        <v>447</v>
      </c>
      <c r="B316" s="74">
        <v>41165</v>
      </c>
      <c r="C316" s="1">
        <v>0.5</v>
      </c>
      <c r="D316">
        <v>4000</v>
      </c>
    </row>
    <row r="317" spans="1:4" x14ac:dyDescent="0.2">
      <c r="A317" s="5" t="s">
        <v>448</v>
      </c>
      <c r="B317" s="74">
        <v>41165</v>
      </c>
      <c r="C317" s="1">
        <v>0.5</v>
      </c>
      <c r="D317">
        <v>0</v>
      </c>
    </row>
    <row r="318" spans="1:4" x14ac:dyDescent="0.2">
      <c r="A318" s="5" t="s">
        <v>449</v>
      </c>
      <c r="B318" s="74">
        <v>41165</v>
      </c>
      <c r="C318" s="1">
        <v>0.5</v>
      </c>
      <c r="D318">
        <v>0</v>
      </c>
    </row>
    <row r="319" spans="1:4" x14ac:dyDescent="0.2">
      <c r="A319" s="5" t="s">
        <v>450</v>
      </c>
      <c r="B319" s="74">
        <v>41165</v>
      </c>
      <c r="C319" s="1">
        <v>0.5</v>
      </c>
      <c r="D319">
        <v>2600</v>
      </c>
    </row>
    <row r="320" spans="1:4" x14ac:dyDescent="0.2">
      <c r="A320" s="5" t="s">
        <v>453</v>
      </c>
      <c r="B320" s="74">
        <v>41165</v>
      </c>
      <c r="C320" s="1">
        <v>0.5</v>
      </c>
      <c r="D320">
        <v>2700</v>
      </c>
    </row>
    <row r="321" spans="1:4" x14ac:dyDescent="0.2">
      <c r="A321" s="5" t="s">
        <v>454</v>
      </c>
      <c r="B321" s="74">
        <v>41165</v>
      </c>
      <c r="C321" s="1">
        <v>0.5</v>
      </c>
      <c r="D321">
        <v>3200</v>
      </c>
    </row>
    <row r="322" spans="1:4" x14ac:dyDescent="0.2">
      <c r="A322" s="5" t="s">
        <v>455</v>
      </c>
      <c r="B322" s="74">
        <v>41165</v>
      </c>
      <c r="C322" s="1">
        <v>0.5</v>
      </c>
      <c r="D322">
        <v>9300</v>
      </c>
    </row>
    <row r="323" spans="1:4" x14ac:dyDescent="0.2">
      <c r="A323" s="5" t="s">
        <v>456</v>
      </c>
      <c r="B323" s="74">
        <v>41165</v>
      </c>
      <c r="C323" s="1">
        <v>0.5</v>
      </c>
      <c r="D323">
        <v>3700</v>
      </c>
    </row>
    <row r="324" spans="1:4" x14ac:dyDescent="0.2">
      <c r="A324" s="5" t="s">
        <v>457</v>
      </c>
      <c r="B324" s="74">
        <v>41165</v>
      </c>
      <c r="C324" s="1">
        <v>0.5</v>
      </c>
      <c r="D324">
        <v>0</v>
      </c>
    </row>
    <row r="325" spans="1:4" x14ac:dyDescent="0.2">
      <c r="A325" s="5" t="s">
        <v>458</v>
      </c>
      <c r="B325" s="74">
        <v>41165</v>
      </c>
      <c r="C325" s="1">
        <v>0.5</v>
      </c>
      <c r="D325">
        <v>14000</v>
      </c>
    </row>
    <row r="326" spans="1:4" x14ac:dyDescent="0.2">
      <c r="A326" s="5" t="s">
        <v>464</v>
      </c>
      <c r="B326" s="74">
        <v>41165</v>
      </c>
      <c r="C326" s="1">
        <v>0.5</v>
      </c>
      <c r="D326">
        <v>3700</v>
      </c>
    </row>
    <row r="327" spans="1:4" x14ac:dyDescent="0.2">
      <c r="A327" s="5" t="s">
        <v>465</v>
      </c>
      <c r="B327" s="74">
        <v>41165</v>
      </c>
      <c r="C327" s="1">
        <v>0.5</v>
      </c>
      <c r="D327">
        <v>9300</v>
      </c>
    </row>
    <row r="328" spans="1:4" x14ac:dyDescent="0.2">
      <c r="A328" s="5" t="s">
        <v>467</v>
      </c>
      <c r="B328" s="74">
        <v>41165</v>
      </c>
      <c r="C328" s="1">
        <v>0.5</v>
      </c>
      <c r="D328">
        <v>7000</v>
      </c>
    </row>
    <row r="329" spans="1:4" x14ac:dyDescent="0.2">
      <c r="A329" s="5" t="s">
        <v>468</v>
      </c>
      <c r="B329" s="74">
        <v>41165</v>
      </c>
      <c r="C329" s="1">
        <v>0.5</v>
      </c>
      <c r="D329">
        <v>4200</v>
      </c>
    </row>
    <row r="330" spans="1:4" x14ac:dyDescent="0.2">
      <c r="A330" s="5" t="s">
        <v>471</v>
      </c>
      <c r="B330" s="74">
        <v>41165</v>
      </c>
      <c r="C330" s="1">
        <v>0.5</v>
      </c>
      <c r="D330">
        <v>0</v>
      </c>
    </row>
    <row r="331" spans="1:4" x14ac:dyDescent="0.2">
      <c r="A331" s="5" t="s">
        <v>472</v>
      </c>
      <c r="B331" s="74">
        <v>41165</v>
      </c>
      <c r="C331" s="1">
        <v>0.5</v>
      </c>
      <c r="D331">
        <v>0</v>
      </c>
    </row>
    <row r="332" spans="1:4" x14ac:dyDescent="0.2">
      <c r="A332" s="5" t="s">
        <v>474</v>
      </c>
      <c r="B332" s="74">
        <v>41165</v>
      </c>
      <c r="C332" s="1">
        <v>0.5</v>
      </c>
      <c r="D332">
        <v>0</v>
      </c>
    </row>
    <row r="333" spans="1:4" x14ac:dyDescent="0.2">
      <c r="A333" s="5" t="s">
        <v>476</v>
      </c>
      <c r="B333" s="74">
        <v>41165</v>
      </c>
      <c r="C333" s="1">
        <v>0.5</v>
      </c>
      <c r="D333">
        <v>0</v>
      </c>
    </row>
    <row r="334" spans="1:4" x14ac:dyDescent="0.2">
      <c r="A334" s="5" t="s">
        <v>477</v>
      </c>
      <c r="B334" s="74">
        <v>41165</v>
      </c>
      <c r="C334" s="1">
        <v>0.5</v>
      </c>
      <c r="D334">
        <v>0</v>
      </c>
    </row>
    <row r="335" spans="1:4" x14ac:dyDescent="0.2">
      <c r="A335" s="5" t="s">
        <v>479</v>
      </c>
      <c r="B335" s="74">
        <v>41165</v>
      </c>
      <c r="C335" s="1">
        <v>0.5</v>
      </c>
      <c r="D335">
        <v>7600</v>
      </c>
    </row>
    <row r="336" spans="1:4" x14ac:dyDescent="0.2">
      <c r="A336" s="5" t="s">
        <v>480</v>
      </c>
      <c r="B336" s="74">
        <v>41165</v>
      </c>
      <c r="C336" s="1">
        <v>0.5</v>
      </c>
      <c r="D336">
        <v>3300</v>
      </c>
    </row>
    <row r="337" spans="1:4" x14ac:dyDescent="0.2">
      <c r="A337" s="5" t="s">
        <v>484</v>
      </c>
      <c r="B337" s="74">
        <v>41165</v>
      </c>
      <c r="C337" s="1">
        <v>0.5</v>
      </c>
      <c r="D337">
        <v>8000</v>
      </c>
    </row>
    <row r="338" spans="1:4" x14ac:dyDescent="0.2">
      <c r="A338" s="5" t="s">
        <v>486</v>
      </c>
      <c r="B338" s="74">
        <v>41165</v>
      </c>
      <c r="C338" s="1">
        <v>0.5</v>
      </c>
      <c r="D338">
        <v>0</v>
      </c>
    </row>
    <row r="339" spans="1:4" x14ac:dyDescent="0.2">
      <c r="A339" s="5" t="s">
        <v>488</v>
      </c>
      <c r="B339" s="74">
        <v>41165</v>
      </c>
      <c r="C339" s="1">
        <v>0.5</v>
      </c>
      <c r="D339">
        <v>0</v>
      </c>
    </row>
    <row r="340" spans="1:4" x14ac:dyDescent="0.2">
      <c r="A340" s="5" t="s">
        <v>490</v>
      </c>
      <c r="B340" s="74">
        <v>41165</v>
      </c>
      <c r="C340" s="1">
        <v>0.5</v>
      </c>
      <c r="D340">
        <v>0</v>
      </c>
    </row>
    <row r="341" spans="1:4" x14ac:dyDescent="0.2">
      <c r="A341" s="5" t="s">
        <v>492</v>
      </c>
      <c r="B341" s="74">
        <v>41165</v>
      </c>
      <c r="C341" s="1">
        <v>0.5</v>
      </c>
      <c r="D341">
        <v>5400</v>
      </c>
    </row>
    <row r="342" spans="1:4" x14ac:dyDescent="0.2">
      <c r="A342" s="5" t="s">
        <v>494</v>
      </c>
      <c r="B342" s="74">
        <v>41165</v>
      </c>
      <c r="C342" s="1">
        <v>0.5</v>
      </c>
      <c r="D342">
        <v>2700</v>
      </c>
    </row>
    <row r="343" spans="1:4" x14ac:dyDescent="0.2">
      <c r="A343" s="5" t="s">
        <v>496</v>
      </c>
      <c r="B343" s="74">
        <v>41165</v>
      </c>
      <c r="C343" s="1">
        <v>0.5</v>
      </c>
      <c r="D343">
        <v>10000</v>
      </c>
    </row>
    <row r="344" spans="1:4" x14ac:dyDescent="0.2">
      <c r="A344" s="5" t="s">
        <v>497</v>
      </c>
      <c r="B344" s="74">
        <v>41165</v>
      </c>
      <c r="C344" s="1">
        <v>0.5</v>
      </c>
      <c r="D344">
        <v>0</v>
      </c>
    </row>
    <row r="345" spans="1:4" x14ac:dyDescent="0.2">
      <c r="A345" s="5" t="s">
        <v>500</v>
      </c>
      <c r="B345" s="74">
        <v>41165</v>
      </c>
      <c r="C345" s="1">
        <v>0.5</v>
      </c>
      <c r="D345">
        <v>8800</v>
      </c>
    </row>
    <row r="346" spans="1:4" x14ac:dyDescent="0.2">
      <c r="A346" s="5" t="s">
        <v>501</v>
      </c>
      <c r="B346" s="74">
        <v>41165</v>
      </c>
      <c r="C346" s="1">
        <v>0.5</v>
      </c>
      <c r="D346">
        <v>26000</v>
      </c>
    </row>
    <row r="347" spans="1:4" x14ac:dyDescent="0.2">
      <c r="A347" s="5" t="s">
        <v>502</v>
      </c>
      <c r="B347" s="74">
        <v>41165</v>
      </c>
      <c r="C347" s="1">
        <v>0.5</v>
      </c>
      <c r="D347">
        <v>0</v>
      </c>
    </row>
    <row r="348" spans="1:4" x14ac:dyDescent="0.2">
      <c r="A348" s="5" t="s">
        <v>505</v>
      </c>
      <c r="B348" s="74">
        <v>41165</v>
      </c>
      <c r="C348" s="1">
        <v>0.5</v>
      </c>
      <c r="D348">
        <v>0</v>
      </c>
    </row>
    <row r="349" spans="1:4" x14ac:dyDescent="0.2">
      <c r="A349" s="5" t="s">
        <v>507</v>
      </c>
      <c r="B349" s="74">
        <v>41165</v>
      </c>
      <c r="C349" s="1">
        <v>0.5</v>
      </c>
      <c r="D349">
        <v>2000</v>
      </c>
    </row>
    <row r="350" spans="1:4" x14ac:dyDescent="0.2">
      <c r="A350" s="5" t="s">
        <v>508</v>
      </c>
      <c r="B350" s="74">
        <v>41165</v>
      </c>
      <c r="C350" s="1">
        <v>0.5</v>
      </c>
      <c r="D350">
        <v>0</v>
      </c>
    </row>
    <row r="351" spans="1:4" x14ac:dyDescent="0.2">
      <c r="A351" s="5" t="s">
        <v>511</v>
      </c>
      <c r="B351" s="74">
        <v>41165</v>
      </c>
      <c r="C351" s="1">
        <v>0.5</v>
      </c>
      <c r="D351">
        <v>0</v>
      </c>
    </row>
    <row r="352" spans="1:4" x14ac:dyDescent="0.2">
      <c r="A352" s="5" t="s">
        <v>512</v>
      </c>
      <c r="B352" s="74">
        <v>41165</v>
      </c>
      <c r="C352" s="1">
        <v>0.5</v>
      </c>
      <c r="D352">
        <v>7600</v>
      </c>
    </row>
    <row r="353" spans="1:4" x14ac:dyDescent="0.2">
      <c r="A353" s="5" t="s">
        <v>516</v>
      </c>
      <c r="B353" s="74">
        <v>41165</v>
      </c>
      <c r="C353" s="1">
        <v>0.5</v>
      </c>
      <c r="D353">
        <v>0</v>
      </c>
    </row>
    <row r="354" spans="1:4" x14ac:dyDescent="0.2">
      <c r="A354" s="5" t="s">
        <v>518</v>
      </c>
      <c r="B354" s="74">
        <v>41165</v>
      </c>
      <c r="C354" s="1">
        <v>0.5</v>
      </c>
      <c r="D354">
        <v>9700</v>
      </c>
    </row>
    <row r="355" spans="1:4" x14ac:dyDescent="0.2">
      <c r="A355" s="5" t="s">
        <v>519</v>
      </c>
      <c r="B355" s="74">
        <v>41165</v>
      </c>
      <c r="C355" s="1">
        <v>0.5</v>
      </c>
      <c r="D355">
        <v>11200</v>
      </c>
    </row>
    <row r="356" spans="1:4" x14ac:dyDescent="0.2">
      <c r="A356" s="5" t="s">
        <v>526</v>
      </c>
      <c r="B356" s="74">
        <v>41165</v>
      </c>
      <c r="C356" s="1">
        <v>0.5</v>
      </c>
      <c r="D356">
        <v>0</v>
      </c>
    </row>
    <row r="357" spans="1:4" x14ac:dyDescent="0.2">
      <c r="A357" s="5" t="s">
        <v>527</v>
      </c>
      <c r="B357" s="74">
        <v>41165</v>
      </c>
      <c r="C357" s="1">
        <v>0.5</v>
      </c>
      <c r="D357">
        <v>8600</v>
      </c>
    </row>
    <row r="358" spans="1:4" x14ac:dyDescent="0.2">
      <c r="A358" s="5" t="s">
        <v>530</v>
      </c>
      <c r="B358" s="74">
        <v>41165</v>
      </c>
      <c r="C358" s="1">
        <v>0.5</v>
      </c>
      <c r="D358">
        <v>0</v>
      </c>
    </row>
    <row r="359" spans="1:4" x14ac:dyDescent="0.2">
      <c r="A359" s="5" t="s">
        <v>531</v>
      </c>
      <c r="B359" s="74">
        <v>41165</v>
      </c>
      <c r="C359" s="1">
        <v>0.5</v>
      </c>
      <c r="D359">
        <v>3900</v>
      </c>
    </row>
    <row r="360" spans="1:4" x14ac:dyDescent="0.2">
      <c r="A360" s="5" t="s">
        <v>532</v>
      </c>
      <c r="B360" s="74">
        <v>41165</v>
      </c>
      <c r="C360" s="1">
        <v>0.5</v>
      </c>
      <c r="D360">
        <v>14600</v>
      </c>
    </row>
    <row r="361" spans="1:4" x14ac:dyDescent="0.2">
      <c r="A361" s="5" t="s">
        <v>533</v>
      </c>
      <c r="B361" s="74">
        <v>41165</v>
      </c>
      <c r="C361" s="1">
        <v>0.5</v>
      </c>
      <c r="D361">
        <v>6200</v>
      </c>
    </row>
    <row r="362" spans="1:4" x14ac:dyDescent="0.2">
      <c r="A362" s="5" t="s">
        <v>537</v>
      </c>
      <c r="B362" s="74">
        <v>41165</v>
      </c>
      <c r="C362" s="1">
        <v>0.5</v>
      </c>
      <c r="D362">
        <v>0</v>
      </c>
    </row>
    <row r="363" spans="1:4" x14ac:dyDescent="0.2">
      <c r="A363" s="5" t="s">
        <v>538</v>
      </c>
      <c r="B363" s="74">
        <v>41165</v>
      </c>
      <c r="C363" s="1">
        <v>0.5</v>
      </c>
      <c r="D363">
        <v>4300</v>
      </c>
    </row>
    <row r="364" spans="1:4" x14ac:dyDescent="0.2">
      <c r="A364" s="5" t="s">
        <v>539</v>
      </c>
      <c r="B364" s="74">
        <v>41165</v>
      </c>
      <c r="C364" s="1">
        <v>0.5</v>
      </c>
      <c r="D364">
        <v>6500</v>
      </c>
    </row>
    <row r="365" spans="1:4" x14ac:dyDescent="0.2">
      <c r="A365" s="5" t="s">
        <v>540</v>
      </c>
      <c r="B365" s="74">
        <v>41165</v>
      </c>
      <c r="C365" s="1">
        <v>0.5</v>
      </c>
      <c r="D365">
        <v>0</v>
      </c>
    </row>
    <row r="366" spans="1:4" x14ac:dyDescent="0.2">
      <c r="A366" s="5" t="s">
        <v>541</v>
      </c>
      <c r="B366" s="74">
        <v>41165</v>
      </c>
      <c r="C366" s="1">
        <v>0.5</v>
      </c>
      <c r="D366">
        <v>8500</v>
      </c>
    </row>
    <row r="367" spans="1:4" x14ac:dyDescent="0.2">
      <c r="A367" s="5" t="s">
        <v>542</v>
      </c>
      <c r="B367" s="74">
        <v>41165</v>
      </c>
      <c r="C367" s="1">
        <v>0.5</v>
      </c>
      <c r="D367">
        <v>6700</v>
      </c>
    </row>
    <row r="368" spans="1:4" x14ac:dyDescent="0.2">
      <c r="A368" s="5" t="s">
        <v>543</v>
      </c>
      <c r="B368" s="74">
        <v>41165</v>
      </c>
      <c r="C368" s="1">
        <v>0.5</v>
      </c>
      <c r="D368">
        <v>8700</v>
      </c>
    </row>
    <row r="369" spans="1:4" x14ac:dyDescent="0.2">
      <c r="A369" s="5" t="s">
        <v>544</v>
      </c>
      <c r="B369" s="74">
        <v>41165</v>
      </c>
      <c r="C369" s="1">
        <v>0.5</v>
      </c>
      <c r="D369">
        <v>0</v>
      </c>
    </row>
    <row r="370" spans="1:4" x14ac:dyDescent="0.2">
      <c r="A370" s="5" t="s">
        <v>546</v>
      </c>
      <c r="B370" s="74">
        <v>41165</v>
      </c>
      <c r="C370" s="1">
        <v>0.5</v>
      </c>
      <c r="D370">
        <v>10900</v>
      </c>
    </row>
    <row r="371" spans="1:4" x14ac:dyDescent="0.2">
      <c r="A371" s="5" t="s">
        <v>548</v>
      </c>
      <c r="B371" s="74">
        <v>41165</v>
      </c>
      <c r="C371" s="1">
        <v>0.5</v>
      </c>
      <c r="D371">
        <v>0</v>
      </c>
    </row>
    <row r="372" spans="1:4" x14ac:dyDescent="0.2">
      <c r="A372" s="5" t="s">
        <v>549</v>
      </c>
      <c r="B372" s="74">
        <v>41165</v>
      </c>
      <c r="C372" s="1">
        <v>0.5</v>
      </c>
      <c r="D372">
        <v>8200</v>
      </c>
    </row>
    <row r="373" spans="1:4" x14ac:dyDescent="0.2">
      <c r="A373" s="5" t="s">
        <v>550</v>
      </c>
      <c r="B373" s="74">
        <v>41165</v>
      </c>
      <c r="C373" s="1">
        <v>0.5</v>
      </c>
      <c r="D373">
        <v>9300</v>
      </c>
    </row>
    <row r="374" spans="1:4" x14ac:dyDescent="0.2">
      <c r="A374" s="5" t="s">
        <v>552</v>
      </c>
      <c r="B374" s="74">
        <v>41165</v>
      </c>
      <c r="C374" s="1">
        <v>0.5</v>
      </c>
      <c r="D374">
        <v>20400</v>
      </c>
    </row>
    <row r="375" spans="1:4" x14ac:dyDescent="0.2">
      <c r="A375" s="5" t="s">
        <v>553</v>
      </c>
      <c r="B375" s="74">
        <v>41165</v>
      </c>
      <c r="C375" s="1">
        <v>0.5</v>
      </c>
      <c r="D375">
        <v>0</v>
      </c>
    </row>
    <row r="376" spans="1:4" x14ac:dyDescent="0.2">
      <c r="A376" s="5" t="s">
        <v>554</v>
      </c>
      <c r="B376" s="74">
        <v>41165</v>
      </c>
      <c r="C376" s="1">
        <v>0.5</v>
      </c>
      <c r="D376">
        <v>6500</v>
      </c>
    </row>
    <row r="377" spans="1:4" x14ac:dyDescent="0.2">
      <c r="A377" s="5" t="s">
        <v>555</v>
      </c>
      <c r="B377" s="74">
        <v>41165</v>
      </c>
      <c r="C377" s="1">
        <v>0.5</v>
      </c>
      <c r="D377">
        <v>0</v>
      </c>
    </row>
    <row r="378" spans="1:4" x14ac:dyDescent="0.2">
      <c r="A378" s="5" t="s">
        <v>557</v>
      </c>
      <c r="B378" s="74">
        <v>41165</v>
      </c>
      <c r="C378" s="1">
        <v>0.5</v>
      </c>
      <c r="D378">
        <v>3800</v>
      </c>
    </row>
    <row r="379" spans="1:4" x14ac:dyDescent="0.2">
      <c r="A379" s="5" t="s">
        <v>563</v>
      </c>
      <c r="B379" s="74">
        <v>41165</v>
      </c>
      <c r="C379" s="1">
        <v>0.5</v>
      </c>
      <c r="D379">
        <v>5900</v>
      </c>
    </row>
    <row r="380" spans="1:4" x14ac:dyDescent="0.2">
      <c r="A380" s="5" t="s">
        <v>564</v>
      </c>
      <c r="B380" s="74">
        <v>41165</v>
      </c>
      <c r="C380" s="1">
        <v>0.5</v>
      </c>
      <c r="D380">
        <v>8100</v>
      </c>
    </row>
    <row r="381" spans="1:4" x14ac:dyDescent="0.2">
      <c r="A381" s="5" t="s">
        <v>566</v>
      </c>
      <c r="B381" s="74">
        <v>41165</v>
      </c>
      <c r="C381" s="1">
        <v>0.5</v>
      </c>
      <c r="D381">
        <v>33600</v>
      </c>
    </row>
    <row r="382" spans="1:4" x14ac:dyDescent="0.2">
      <c r="A382" s="5" t="s">
        <v>568</v>
      </c>
      <c r="B382" s="74">
        <v>41165</v>
      </c>
      <c r="C382" s="1">
        <v>0.5</v>
      </c>
      <c r="D382">
        <v>0</v>
      </c>
    </row>
    <row r="383" spans="1:4" x14ac:dyDescent="0.2">
      <c r="A383" s="5" t="s">
        <v>570</v>
      </c>
      <c r="B383" s="74">
        <v>41165</v>
      </c>
      <c r="C383" s="1">
        <v>0.5</v>
      </c>
      <c r="D383">
        <v>10900</v>
      </c>
    </row>
    <row r="384" spans="1:4" x14ac:dyDescent="0.2">
      <c r="A384" s="5" t="s">
        <v>571</v>
      </c>
      <c r="B384" s="74">
        <v>41165</v>
      </c>
      <c r="C384" s="1">
        <v>0.5</v>
      </c>
      <c r="D384">
        <v>9300</v>
      </c>
    </row>
    <row r="385" spans="1:4" x14ac:dyDescent="0.2">
      <c r="A385" s="5" t="s">
        <v>573</v>
      </c>
      <c r="B385" s="74">
        <v>41165</v>
      </c>
      <c r="C385" s="1">
        <v>0.5</v>
      </c>
      <c r="D385">
        <v>10700</v>
      </c>
    </row>
    <row r="386" spans="1:4" x14ac:dyDescent="0.2">
      <c r="A386" s="5" t="s">
        <v>575</v>
      </c>
      <c r="B386" s="74">
        <v>41165</v>
      </c>
      <c r="C386" s="1">
        <v>0.5</v>
      </c>
      <c r="D386">
        <v>0</v>
      </c>
    </row>
    <row r="387" spans="1:4" x14ac:dyDescent="0.2">
      <c r="A387" s="5" t="s">
        <v>576</v>
      </c>
      <c r="B387" s="74">
        <v>41165</v>
      </c>
      <c r="C387" s="1">
        <v>0.5</v>
      </c>
      <c r="D387">
        <v>0</v>
      </c>
    </row>
    <row r="388" spans="1:4" x14ac:dyDescent="0.2">
      <c r="A388" s="5" t="s">
        <v>577</v>
      </c>
      <c r="B388" s="74">
        <v>41165</v>
      </c>
      <c r="C388" s="1">
        <v>0.5</v>
      </c>
      <c r="D388">
        <v>0</v>
      </c>
    </row>
    <row r="389" spans="1:4" x14ac:dyDescent="0.2">
      <c r="A389" s="5" t="s">
        <v>578</v>
      </c>
      <c r="B389" s="74">
        <v>41165</v>
      </c>
      <c r="C389" s="1">
        <v>0.5</v>
      </c>
      <c r="D389">
        <v>7600</v>
      </c>
    </row>
    <row r="390" spans="1:4" x14ac:dyDescent="0.2">
      <c r="A390" s="5" t="s">
        <v>579</v>
      </c>
      <c r="B390" s="74">
        <v>41165</v>
      </c>
      <c r="C390" s="1">
        <v>0.5</v>
      </c>
      <c r="D390">
        <v>0</v>
      </c>
    </row>
    <row r="391" spans="1:4" x14ac:dyDescent="0.2">
      <c r="A391" s="5" t="s">
        <v>586</v>
      </c>
      <c r="B391" s="74">
        <v>41165</v>
      </c>
      <c r="C391" s="1">
        <v>0.5</v>
      </c>
      <c r="D391">
        <v>0</v>
      </c>
    </row>
    <row r="392" spans="1:4" x14ac:dyDescent="0.2">
      <c r="A392" s="5" t="s">
        <v>588</v>
      </c>
      <c r="B392" s="74">
        <v>41165</v>
      </c>
      <c r="C392" s="1">
        <v>0.5</v>
      </c>
      <c r="D392">
        <v>0</v>
      </c>
    </row>
    <row r="393" spans="1:4" x14ac:dyDescent="0.2">
      <c r="A393" s="5" t="s">
        <v>593</v>
      </c>
      <c r="B393" s="74">
        <v>41165</v>
      </c>
      <c r="C393" s="1">
        <v>0.5</v>
      </c>
      <c r="D393">
        <v>25800</v>
      </c>
    </row>
    <row r="394" spans="1:4" x14ac:dyDescent="0.2">
      <c r="A394" s="5" t="s">
        <v>595</v>
      </c>
      <c r="B394" s="74">
        <v>41165</v>
      </c>
      <c r="C394" s="1">
        <v>0.5</v>
      </c>
      <c r="D394">
        <v>6100</v>
      </c>
    </row>
    <row r="395" spans="1:4" x14ac:dyDescent="0.2">
      <c r="A395" s="5" t="s">
        <v>596</v>
      </c>
      <c r="B395" s="74">
        <v>41165</v>
      </c>
      <c r="C395" s="1">
        <v>0.5</v>
      </c>
      <c r="D395">
        <v>7400</v>
      </c>
    </row>
    <row r="396" spans="1:4" x14ac:dyDescent="0.2">
      <c r="A396" s="5" t="s">
        <v>597</v>
      </c>
      <c r="B396" s="74">
        <v>41165</v>
      </c>
      <c r="C396" s="1">
        <v>0.5</v>
      </c>
      <c r="D396">
        <v>8500</v>
      </c>
    </row>
    <row r="397" spans="1:4" x14ac:dyDescent="0.2">
      <c r="A397" s="5" t="s">
        <v>598</v>
      </c>
      <c r="B397" s="74">
        <v>41165</v>
      </c>
      <c r="C397" s="1">
        <v>0.5</v>
      </c>
      <c r="D397">
        <v>5900</v>
      </c>
    </row>
    <row r="398" spans="1:4" x14ac:dyDescent="0.2">
      <c r="A398" s="5" t="s">
        <v>600</v>
      </c>
      <c r="B398" s="74">
        <v>41165</v>
      </c>
      <c r="C398" s="1">
        <v>0.5</v>
      </c>
      <c r="D398">
        <v>0</v>
      </c>
    </row>
    <row r="399" spans="1:4" x14ac:dyDescent="0.2">
      <c r="A399" s="5" t="s">
        <v>607</v>
      </c>
      <c r="B399" s="74">
        <v>41165</v>
      </c>
      <c r="C399" s="1">
        <v>0.5</v>
      </c>
      <c r="D399">
        <v>17900</v>
      </c>
    </row>
    <row r="400" spans="1:4" x14ac:dyDescent="0.2">
      <c r="A400" s="5" t="s">
        <v>608</v>
      </c>
      <c r="B400" s="74">
        <v>41165</v>
      </c>
      <c r="C400" s="1">
        <v>0.5</v>
      </c>
      <c r="D400">
        <v>7000</v>
      </c>
    </row>
    <row r="401" spans="1:4" x14ac:dyDescent="0.2">
      <c r="A401" s="5" t="s">
        <v>612</v>
      </c>
      <c r="B401" s="74">
        <v>41165</v>
      </c>
      <c r="C401" s="1">
        <v>0.5</v>
      </c>
      <c r="D401">
        <v>12800</v>
      </c>
    </row>
    <row r="402" spans="1:4" x14ac:dyDescent="0.2">
      <c r="A402" s="5" t="s">
        <v>614</v>
      </c>
      <c r="B402" s="74">
        <v>41165</v>
      </c>
      <c r="C402" s="1">
        <v>0.5</v>
      </c>
      <c r="D402">
        <v>0</v>
      </c>
    </row>
    <row r="403" spans="1:4" x14ac:dyDescent="0.2">
      <c r="A403" s="5" t="s">
        <v>615</v>
      </c>
      <c r="B403" s="74">
        <v>41165</v>
      </c>
      <c r="C403" s="1">
        <v>0.5</v>
      </c>
      <c r="D403">
        <v>1800</v>
      </c>
    </row>
    <row r="404" spans="1:4" x14ac:dyDescent="0.2">
      <c r="A404" s="5" t="s">
        <v>617</v>
      </c>
      <c r="B404" s="74">
        <v>41165</v>
      </c>
      <c r="C404" s="1">
        <v>0.5</v>
      </c>
      <c r="D404">
        <v>0</v>
      </c>
    </row>
    <row r="405" spans="1:4" x14ac:dyDescent="0.2">
      <c r="A405" s="5" t="s">
        <v>620</v>
      </c>
      <c r="B405" s="74">
        <v>41165</v>
      </c>
      <c r="C405" s="1">
        <v>0.5</v>
      </c>
      <c r="D405">
        <v>0</v>
      </c>
    </row>
    <row r="406" spans="1:4" x14ac:dyDescent="0.2">
      <c r="A406" s="5" t="s">
        <v>624</v>
      </c>
      <c r="B406" s="74">
        <v>41165</v>
      </c>
      <c r="C406" s="1">
        <v>0.5</v>
      </c>
      <c r="D406">
        <v>0</v>
      </c>
    </row>
    <row r="407" spans="1:4" x14ac:dyDescent="0.2">
      <c r="A407" s="5" t="s">
        <v>629</v>
      </c>
      <c r="B407" s="74">
        <v>41165</v>
      </c>
      <c r="C407" s="1">
        <v>0.5</v>
      </c>
      <c r="D407">
        <v>0</v>
      </c>
    </row>
    <row r="408" spans="1:4" x14ac:dyDescent="0.2">
      <c r="A408" s="5" t="s">
        <v>632</v>
      </c>
      <c r="B408" s="74">
        <v>41165</v>
      </c>
      <c r="C408" s="1">
        <v>0.5</v>
      </c>
      <c r="D408">
        <v>11000</v>
      </c>
    </row>
    <row r="409" spans="1:4" x14ac:dyDescent="0.2">
      <c r="A409" s="5" t="s">
        <v>633</v>
      </c>
      <c r="B409" s="74">
        <v>41165</v>
      </c>
      <c r="C409" s="1">
        <v>0.5</v>
      </c>
      <c r="D409">
        <v>0</v>
      </c>
    </row>
    <row r="410" spans="1:4" x14ac:dyDescent="0.2">
      <c r="A410" s="5" t="s">
        <v>634</v>
      </c>
      <c r="B410" s="74">
        <v>41165</v>
      </c>
      <c r="C410" s="1">
        <v>0.5</v>
      </c>
      <c r="D410">
        <v>7200</v>
      </c>
    </row>
    <row r="411" spans="1:4" x14ac:dyDescent="0.2">
      <c r="A411" s="5" t="s">
        <v>635</v>
      </c>
      <c r="B411" s="74">
        <v>41165</v>
      </c>
      <c r="C411" s="1">
        <v>0.5</v>
      </c>
      <c r="D411">
        <v>9500</v>
      </c>
    </row>
    <row r="412" spans="1:4" x14ac:dyDescent="0.2">
      <c r="A412" s="5" t="s">
        <v>637</v>
      </c>
      <c r="B412" s="74">
        <v>41165</v>
      </c>
      <c r="C412" s="1">
        <v>0.5</v>
      </c>
      <c r="D412">
        <v>5700</v>
      </c>
    </row>
    <row r="413" spans="1:4" x14ac:dyDescent="0.2">
      <c r="A413" s="5" t="s">
        <v>638</v>
      </c>
      <c r="B413" s="74">
        <v>41165</v>
      </c>
      <c r="C413" s="1">
        <v>0.5</v>
      </c>
      <c r="D413">
        <v>0</v>
      </c>
    </row>
    <row r="414" spans="1:4" x14ac:dyDescent="0.2">
      <c r="A414" s="5" t="s">
        <v>641</v>
      </c>
      <c r="B414" s="74">
        <v>41165</v>
      </c>
      <c r="C414" s="1">
        <v>0.5</v>
      </c>
      <c r="D414">
        <v>7700</v>
      </c>
    </row>
    <row r="415" spans="1:4" x14ac:dyDescent="0.2">
      <c r="A415" s="5" t="s">
        <v>642</v>
      </c>
      <c r="B415" s="74">
        <v>41165</v>
      </c>
      <c r="C415" s="1">
        <v>0.5</v>
      </c>
      <c r="D415">
        <v>0</v>
      </c>
    </row>
    <row r="416" spans="1:4" x14ac:dyDescent="0.2">
      <c r="A416" s="5" t="s">
        <v>643</v>
      </c>
      <c r="B416" s="74">
        <v>41165</v>
      </c>
      <c r="C416" s="1">
        <v>0.5</v>
      </c>
      <c r="D416">
        <v>0</v>
      </c>
    </row>
    <row r="417" spans="1:4" x14ac:dyDescent="0.2">
      <c r="A417" s="5" t="s">
        <v>644</v>
      </c>
      <c r="B417" s="74">
        <v>41165</v>
      </c>
      <c r="C417" s="1">
        <v>0.5</v>
      </c>
      <c r="D417">
        <v>0</v>
      </c>
    </row>
    <row r="418" spans="1:4" x14ac:dyDescent="0.2">
      <c r="A418" s="5" t="s">
        <v>645</v>
      </c>
      <c r="B418" s="74">
        <v>41165</v>
      </c>
      <c r="C418" s="1">
        <v>0.5</v>
      </c>
      <c r="D418">
        <v>2500</v>
      </c>
    </row>
    <row r="419" spans="1:4" x14ac:dyDescent="0.2">
      <c r="A419" s="5" t="s">
        <v>646</v>
      </c>
      <c r="B419" s="74">
        <v>41165</v>
      </c>
      <c r="C419" s="1">
        <v>0.5</v>
      </c>
      <c r="D419">
        <v>2200</v>
      </c>
    </row>
    <row r="420" spans="1:4" x14ac:dyDescent="0.2">
      <c r="A420" s="5" t="s">
        <v>648</v>
      </c>
      <c r="B420" s="74">
        <v>41165</v>
      </c>
      <c r="C420" s="1">
        <v>0.5</v>
      </c>
      <c r="D420">
        <v>7100</v>
      </c>
    </row>
    <row r="421" spans="1:4" x14ac:dyDescent="0.2">
      <c r="A421" s="5" t="s">
        <v>650</v>
      </c>
      <c r="B421" s="74">
        <v>41165</v>
      </c>
      <c r="C421" s="1">
        <v>0.5</v>
      </c>
      <c r="D421">
        <v>0</v>
      </c>
    </row>
    <row r="422" spans="1:4" x14ac:dyDescent="0.2">
      <c r="A422" s="5" t="s">
        <v>652</v>
      </c>
      <c r="B422" s="74">
        <v>41165</v>
      </c>
      <c r="C422" s="1">
        <v>0.5</v>
      </c>
      <c r="D422">
        <v>0</v>
      </c>
    </row>
    <row r="423" spans="1:4" x14ac:dyDescent="0.2">
      <c r="A423" s="5" t="s">
        <v>654</v>
      </c>
      <c r="B423" s="74">
        <v>41165</v>
      </c>
      <c r="C423" s="1">
        <v>0.5</v>
      </c>
      <c r="D423">
        <v>13600</v>
      </c>
    </row>
    <row r="424" spans="1:4" x14ac:dyDescent="0.2">
      <c r="A424" s="5" t="s">
        <v>655</v>
      </c>
      <c r="B424" s="74">
        <v>41165</v>
      </c>
      <c r="C424" s="1">
        <v>0.5</v>
      </c>
      <c r="D424">
        <v>4400</v>
      </c>
    </row>
    <row r="425" spans="1:4" x14ac:dyDescent="0.2">
      <c r="A425" s="5" t="s">
        <v>656</v>
      </c>
      <c r="B425" s="74">
        <v>41165</v>
      </c>
      <c r="C425" s="1">
        <v>0.5</v>
      </c>
      <c r="D425">
        <v>6700</v>
      </c>
    </row>
    <row r="426" spans="1:4" x14ac:dyDescent="0.2">
      <c r="A426" s="5" t="s">
        <v>658</v>
      </c>
      <c r="B426" s="74">
        <v>41165</v>
      </c>
      <c r="C426" s="1">
        <v>0.5</v>
      </c>
      <c r="D426">
        <v>0</v>
      </c>
    </row>
    <row r="427" spans="1:4" x14ac:dyDescent="0.2">
      <c r="A427" s="5" t="s">
        <v>659</v>
      </c>
      <c r="B427" s="74">
        <v>41165</v>
      </c>
      <c r="C427" s="1">
        <v>0.5</v>
      </c>
      <c r="D427">
        <v>3400</v>
      </c>
    </row>
    <row r="428" spans="1:4" x14ac:dyDescent="0.2">
      <c r="A428" s="5" t="s">
        <v>661</v>
      </c>
      <c r="B428" s="74">
        <v>41165</v>
      </c>
      <c r="C428" s="1">
        <v>0.5</v>
      </c>
      <c r="D428">
        <v>10600</v>
      </c>
    </row>
    <row r="429" spans="1:4" x14ac:dyDescent="0.2">
      <c r="A429" s="5" t="s">
        <v>662</v>
      </c>
      <c r="B429" s="74">
        <v>41165</v>
      </c>
      <c r="C429" s="1">
        <v>0.5</v>
      </c>
      <c r="D429">
        <v>0</v>
      </c>
    </row>
    <row r="430" spans="1:4" x14ac:dyDescent="0.2">
      <c r="A430" s="5" t="s">
        <v>667</v>
      </c>
      <c r="B430" s="74">
        <v>41165</v>
      </c>
      <c r="C430" s="1">
        <v>0.5</v>
      </c>
      <c r="D430">
        <v>0</v>
      </c>
    </row>
    <row r="431" spans="1:4" x14ac:dyDescent="0.2">
      <c r="A431" s="5" t="s">
        <v>669</v>
      </c>
      <c r="B431" s="74">
        <v>41165</v>
      </c>
      <c r="C431" s="1">
        <v>0.5</v>
      </c>
      <c r="D431">
        <v>0</v>
      </c>
    </row>
    <row r="432" spans="1:4" x14ac:dyDescent="0.2">
      <c r="A432" s="5" t="s">
        <v>670</v>
      </c>
      <c r="B432" s="74">
        <v>41165</v>
      </c>
      <c r="C432" s="1">
        <v>0.5</v>
      </c>
      <c r="D432">
        <v>15400</v>
      </c>
    </row>
    <row r="433" spans="1:4" x14ac:dyDescent="0.2">
      <c r="A433" s="5" t="s">
        <v>673</v>
      </c>
      <c r="B433" s="74">
        <v>41165</v>
      </c>
      <c r="C433" s="1">
        <v>0.5</v>
      </c>
      <c r="D433">
        <v>5000</v>
      </c>
    </row>
    <row r="434" spans="1:4" x14ac:dyDescent="0.2">
      <c r="A434" s="5" t="s">
        <v>677</v>
      </c>
      <c r="B434" s="74">
        <v>41165</v>
      </c>
      <c r="C434" s="1">
        <v>0.5</v>
      </c>
      <c r="D434">
        <v>8100</v>
      </c>
    </row>
    <row r="435" spans="1:4" x14ac:dyDescent="0.2">
      <c r="A435" s="5" t="s">
        <v>679</v>
      </c>
      <c r="B435" s="74">
        <v>41165</v>
      </c>
      <c r="C435" s="1">
        <v>0.5</v>
      </c>
      <c r="D435">
        <v>8400</v>
      </c>
    </row>
    <row r="436" spans="1:4" x14ac:dyDescent="0.2">
      <c r="A436" s="5" t="s">
        <v>682</v>
      </c>
      <c r="B436" s="74">
        <v>41165</v>
      </c>
      <c r="C436" s="1">
        <v>0.5</v>
      </c>
      <c r="D436">
        <v>6100</v>
      </c>
    </row>
    <row r="437" spans="1:4" x14ac:dyDescent="0.2">
      <c r="A437" s="5" t="s">
        <v>684</v>
      </c>
      <c r="B437" s="74">
        <v>41165</v>
      </c>
      <c r="C437" s="1">
        <v>0.5</v>
      </c>
      <c r="D437">
        <v>3400</v>
      </c>
    </row>
    <row r="438" spans="1:4" x14ac:dyDescent="0.2">
      <c r="A438" s="5" t="s">
        <v>685</v>
      </c>
      <c r="B438" s="74">
        <v>41165</v>
      </c>
      <c r="C438" s="1">
        <v>0.5</v>
      </c>
      <c r="D438">
        <v>19900</v>
      </c>
    </row>
    <row r="439" spans="1:4" x14ac:dyDescent="0.2">
      <c r="A439" s="5" t="s">
        <v>688</v>
      </c>
      <c r="B439" s="74">
        <v>41165</v>
      </c>
      <c r="C439" s="1">
        <v>0.5</v>
      </c>
      <c r="D439">
        <v>0</v>
      </c>
    </row>
    <row r="440" spans="1:4" x14ac:dyDescent="0.2">
      <c r="A440" s="5" t="s">
        <v>690</v>
      </c>
      <c r="B440" s="74">
        <v>41165</v>
      </c>
      <c r="C440" s="1">
        <v>0.5</v>
      </c>
      <c r="D440">
        <v>0</v>
      </c>
    </row>
    <row r="441" spans="1:4" x14ac:dyDescent="0.2">
      <c r="A441" s="5" t="s">
        <v>691</v>
      </c>
      <c r="B441" s="74">
        <v>41165</v>
      </c>
      <c r="C441" s="1">
        <v>0.5</v>
      </c>
      <c r="D441">
        <v>0</v>
      </c>
    </row>
    <row r="442" spans="1:4" x14ac:dyDescent="0.2">
      <c r="A442" s="5" t="s">
        <v>695</v>
      </c>
      <c r="B442" s="74">
        <v>41165</v>
      </c>
      <c r="C442" s="1">
        <v>0.5</v>
      </c>
      <c r="D442">
        <v>4000</v>
      </c>
    </row>
    <row r="443" spans="1:4" x14ac:dyDescent="0.2">
      <c r="A443" s="5" t="s">
        <v>699</v>
      </c>
      <c r="B443" s="74">
        <v>41165</v>
      </c>
      <c r="C443" s="1">
        <v>0.5</v>
      </c>
      <c r="D443">
        <v>0</v>
      </c>
    </row>
    <row r="444" spans="1:4" x14ac:dyDescent="0.2">
      <c r="A444" s="5" t="s">
        <v>703</v>
      </c>
      <c r="B444" s="74">
        <v>41165</v>
      </c>
      <c r="C444" s="1">
        <v>0.5</v>
      </c>
      <c r="D444">
        <v>3100</v>
      </c>
    </row>
    <row r="445" spans="1:4" x14ac:dyDescent="0.2">
      <c r="A445" s="5" t="s">
        <v>704</v>
      </c>
      <c r="B445" s="74">
        <v>41165</v>
      </c>
      <c r="C445" s="1">
        <v>0.5</v>
      </c>
      <c r="D445">
        <v>3400</v>
      </c>
    </row>
    <row r="446" spans="1:4" x14ac:dyDescent="0.2">
      <c r="A446" s="5" t="s">
        <v>706</v>
      </c>
      <c r="B446" s="74">
        <v>41165</v>
      </c>
      <c r="C446" s="1">
        <v>0.5</v>
      </c>
      <c r="D446">
        <v>8400</v>
      </c>
    </row>
    <row r="447" spans="1:4" x14ac:dyDescent="0.2">
      <c r="A447" s="5" t="s">
        <v>707</v>
      </c>
      <c r="B447" s="74">
        <v>41165</v>
      </c>
      <c r="C447" s="1">
        <v>0.5</v>
      </c>
      <c r="D447">
        <v>8600</v>
      </c>
    </row>
    <row r="448" spans="1:4" x14ac:dyDescent="0.2">
      <c r="A448" s="5" t="s">
        <v>709</v>
      </c>
      <c r="B448" s="74">
        <v>41165</v>
      </c>
      <c r="C448" s="1">
        <v>0.5</v>
      </c>
      <c r="D448">
        <v>5100</v>
      </c>
    </row>
    <row r="449" spans="1:4" x14ac:dyDescent="0.2">
      <c r="A449" s="5" t="s">
        <v>712</v>
      </c>
      <c r="B449" s="74">
        <v>41165</v>
      </c>
      <c r="C449" s="1">
        <v>0.5</v>
      </c>
      <c r="D449">
        <v>1700</v>
      </c>
    </row>
    <row r="450" spans="1:4" x14ac:dyDescent="0.2">
      <c r="A450" s="5" t="s">
        <v>715</v>
      </c>
      <c r="B450" s="74">
        <v>41165</v>
      </c>
      <c r="C450" s="1">
        <v>0.5</v>
      </c>
      <c r="D450">
        <v>0</v>
      </c>
    </row>
    <row r="451" spans="1:4" x14ac:dyDescent="0.2">
      <c r="A451" s="5" t="s">
        <v>717</v>
      </c>
      <c r="B451" s="74">
        <v>41165</v>
      </c>
      <c r="C451" s="1">
        <v>0.5</v>
      </c>
      <c r="D451">
        <v>34200</v>
      </c>
    </row>
    <row r="452" spans="1:4" x14ac:dyDescent="0.2">
      <c r="A452" s="5" t="s">
        <v>718</v>
      </c>
      <c r="B452" s="74">
        <v>41165</v>
      </c>
      <c r="C452" s="1">
        <v>0.5</v>
      </c>
      <c r="D452">
        <v>0</v>
      </c>
    </row>
    <row r="453" spans="1:4" x14ac:dyDescent="0.2">
      <c r="A453" s="5" t="s">
        <v>720</v>
      </c>
      <c r="B453" s="74">
        <v>41165</v>
      </c>
      <c r="C453" s="1">
        <v>0.5</v>
      </c>
      <c r="D453">
        <v>8300</v>
      </c>
    </row>
    <row r="454" spans="1:4" x14ac:dyDescent="0.2">
      <c r="A454" s="5" t="s">
        <v>721</v>
      </c>
      <c r="B454" s="74">
        <v>41165</v>
      </c>
      <c r="C454" s="1">
        <v>0.5</v>
      </c>
      <c r="D454">
        <v>0</v>
      </c>
    </row>
    <row r="455" spans="1:4" x14ac:dyDescent="0.2">
      <c r="A455" s="5" t="s">
        <v>722</v>
      </c>
      <c r="B455" s="74">
        <v>41165</v>
      </c>
      <c r="C455" s="1">
        <v>0.5</v>
      </c>
      <c r="D455">
        <v>0</v>
      </c>
    </row>
    <row r="456" spans="1:4" x14ac:dyDescent="0.2">
      <c r="A456" s="5" t="s">
        <v>723</v>
      </c>
      <c r="B456" s="74">
        <v>41165</v>
      </c>
      <c r="C456" s="1">
        <v>0.5</v>
      </c>
      <c r="D456">
        <v>0</v>
      </c>
    </row>
    <row r="457" spans="1:4" x14ac:dyDescent="0.2">
      <c r="A457" s="5" t="s">
        <v>724</v>
      </c>
      <c r="B457" s="74">
        <v>41165</v>
      </c>
      <c r="C457" s="1">
        <v>0.5</v>
      </c>
      <c r="D457">
        <v>0</v>
      </c>
    </row>
    <row r="458" spans="1:4" x14ac:dyDescent="0.2">
      <c r="A458" s="5" t="s">
        <v>725</v>
      </c>
      <c r="B458" s="74">
        <v>41165</v>
      </c>
      <c r="C458" s="1">
        <v>0.5</v>
      </c>
      <c r="D458">
        <v>7700</v>
      </c>
    </row>
    <row r="459" spans="1:4" x14ac:dyDescent="0.2">
      <c r="A459" s="5" t="s">
        <v>726</v>
      </c>
      <c r="B459" s="74">
        <v>41165</v>
      </c>
      <c r="C459" s="1">
        <v>0.5</v>
      </c>
      <c r="D459">
        <v>0</v>
      </c>
    </row>
    <row r="460" spans="1:4" x14ac:dyDescent="0.2">
      <c r="A460" s="5" t="s">
        <v>728</v>
      </c>
      <c r="B460" s="74">
        <v>41165</v>
      </c>
      <c r="C460" s="1">
        <v>0.5</v>
      </c>
      <c r="D460">
        <v>29000</v>
      </c>
    </row>
    <row r="461" spans="1:4" x14ac:dyDescent="0.2">
      <c r="A461" s="5" t="s">
        <v>729</v>
      </c>
      <c r="B461" s="74">
        <v>41165</v>
      </c>
      <c r="C461" s="1">
        <v>0.5</v>
      </c>
      <c r="D461">
        <v>8600</v>
      </c>
    </row>
    <row r="462" spans="1:4" x14ac:dyDescent="0.2">
      <c r="A462" s="5" t="s">
        <v>731</v>
      </c>
      <c r="B462" s="74">
        <v>41165</v>
      </c>
      <c r="C462" s="1">
        <v>0.5</v>
      </c>
      <c r="D462">
        <v>0</v>
      </c>
    </row>
    <row r="463" spans="1:4" x14ac:dyDescent="0.2">
      <c r="A463" s="5" t="s">
        <v>734</v>
      </c>
      <c r="B463" s="74">
        <v>41165</v>
      </c>
      <c r="C463" s="1">
        <v>0.5</v>
      </c>
      <c r="D463">
        <v>7400</v>
      </c>
    </row>
    <row r="464" spans="1:4" x14ac:dyDescent="0.2">
      <c r="A464" s="5" t="s">
        <v>735</v>
      </c>
      <c r="B464" s="74">
        <v>41165</v>
      </c>
      <c r="C464" s="1">
        <v>0.5</v>
      </c>
      <c r="D464">
        <v>23900</v>
      </c>
    </row>
    <row r="465" spans="1:4" x14ac:dyDescent="0.2">
      <c r="A465" s="5" t="s">
        <v>738</v>
      </c>
      <c r="B465" s="74">
        <v>41165</v>
      </c>
      <c r="C465" s="1">
        <v>0.5</v>
      </c>
      <c r="D465">
        <v>24300</v>
      </c>
    </row>
    <row r="466" spans="1:4" x14ac:dyDescent="0.2">
      <c r="A466" s="5" t="s">
        <v>740</v>
      </c>
      <c r="B466" s="74">
        <v>41165</v>
      </c>
      <c r="C466" s="1">
        <v>0.5</v>
      </c>
      <c r="D466">
        <v>7600</v>
      </c>
    </row>
    <row r="467" spans="1:4" x14ac:dyDescent="0.2">
      <c r="A467" s="5" t="s">
        <v>742</v>
      </c>
      <c r="B467" s="74">
        <v>41165</v>
      </c>
      <c r="C467" s="1">
        <v>0.5</v>
      </c>
      <c r="D467">
        <v>2700</v>
      </c>
    </row>
    <row r="468" spans="1:4" x14ac:dyDescent="0.2">
      <c r="A468" s="5" t="s">
        <v>743</v>
      </c>
      <c r="B468" s="74">
        <v>41165</v>
      </c>
      <c r="C468" s="1">
        <v>0.5</v>
      </c>
      <c r="D468">
        <v>0</v>
      </c>
    </row>
    <row r="469" spans="1:4" x14ac:dyDescent="0.2">
      <c r="A469" s="5" t="s">
        <v>745</v>
      </c>
      <c r="B469" s="74">
        <v>41165</v>
      </c>
      <c r="C469" s="1">
        <v>0.5</v>
      </c>
      <c r="D469">
        <v>3500</v>
      </c>
    </row>
    <row r="470" spans="1:4" x14ac:dyDescent="0.2">
      <c r="A470" s="5" t="s">
        <v>747</v>
      </c>
      <c r="B470" s="74">
        <v>41165</v>
      </c>
      <c r="C470" s="1">
        <v>0.5</v>
      </c>
      <c r="D470">
        <v>3800</v>
      </c>
    </row>
    <row r="471" spans="1:4" x14ac:dyDescent="0.2">
      <c r="A471" s="5" t="s">
        <v>748</v>
      </c>
      <c r="B471" s="74">
        <v>41165</v>
      </c>
      <c r="C471" s="1">
        <v>0.5</v>
      </c>
      <c r="D471">
        <v>5800</v>
      </c>
    </row>
    <row r="472" spans="1:4" x14ac:dyDescent="0.2">
      <c r="A472" s="5" t="s">
        <v>749</v>
      </c>
      <c r="B472" s="74">
        <v>41165</v>
      </c>
      <c r="C472" s="1">
        <v>0.5</v>
      </c>
      <c r="D472">
        <v>3400</v>
      </c>
    </row>
    <row r="473" spans="1:4" x14ac:dyDescent="0.2">
      <c r="A473" s="5" t="s">
        <v>751</v>
      </c>
      <c r="B473" s="74">
        <v>41165</v>
      </c>
      <c r="C473" s="1">
        <v>0.5</v>
      </c>
      <c r="D473">
        <v>6200</v>
      </c>
    </row>
    <row r="474" spans="1:4" x14ac:dyDescent="0.2">
      <c r="A474" s="5" t="s">
        <v>753</v>
      </c>
      <c r="B474" s="74">
        <v>41165</v>
      </c>
      <c r="C474" s="1">
        <v>0.5</v>
      </c>
      <c r="D474">
        <v>0</v>
      </c>
    </row>
    <row r="475" spans="1:4" x14ac:dyDescent="0.2">
      <c r="A475" s="5" t="s">
        <v>754</v>
      </c>
      <c r="B475" s="74">
        <v>41165</v>
      </c>
      <c r="C475" s="1">
        <v>0.5</v>
      </c>
      <c r="D475">
        <v>10300</v>
      </c>
    </row>
    <row r="476" spans="1:4" x14ac:dyDescent="0.2">
      <c r="A476" s="5" t="s">
        <v>756</v>
      </c>
      <c r="B476" s="74">
        <v>41165</v>
      </c>
      <c r="C476" s="1">
        <v>0.5</v>
      </c>
      <c r="D476">
        <v>0</v>
      </c>
    </row>
    <row r="477" spans="1:4" x14ac:dyDescent="0.2">
      <c r="A477" s="5" t="s">
        <v>757</v>
      </c>
      <c r="B477" s="74">
        <v>41165</v>
      </c>
      <c r="C477" s="1">
        <v>0.5</v>
      </c>
      <c r="D477">
        <v>0</v>
      </c>
    </row>
    <row r="478" spans="1:4" x14ac:dyDescent="0.2">
      <c r="A478" s="5" t="s">
        <v>759</v>
      </c>
      <c r="B478" s="74">
        <v>41165</v>
      </c>
      <c r="C478" s="1">
        <v>0.5</v>
      </c>
      <c r="D478">
        <v>10000</v>
      </c>
    </row>
    <row r="479" spans="1:4" x14ac:dyDescent="0.2">
      <c r="A479" s="5" t="s">
        <v>761</v>
      </c>
      <c r="B479" s="74">
        <v>41165</v>
      </c>
      <c r="C479" s="1">
        <v>0.5</v>
      </c>
      <c r="D479">
        <v>4500</v>
      </c>
    </row>
    <row r="480" spans="1:4" x14ac:dyDescent="0.2">
      <c r="A480" s="5" t="s">
        <v>763</v>
      </c>
      <c r="B480" s="74">
        <v>41165</v>
      </c>
      <c r="C480" s="1">
        <v>0.5</v>
      </c>
      <c r="D480">
        <v>0</v>
      </c>
    </row>
    <row r="481" spans="1:4" x14ac:dyDescent="0.2">
      <c r="A481" s="5" t="s">
        <v>764</v>
      </c>
      <c r="B481" s="74">
        <v>41165</v>
      </c>
      <c r="C481" s="1">
        <v>0.5</v>
      </c>
      <c r="D481">
        <v>11300</v>
      </c>
    </row>
    <row r="482" spans="1:4" x14ac:dyDescent="0.2">
      <c r="A482" s="5" t="s">
        <v>765</v>
      </c>
      <c r="B482" s="74">
        <v>41165</v>
      </c>
      <c r="C482" s="1">
        <v>0.5</v>
      </c>
      <c r="D482">
        <v>0</v>
      </c>
    </row>
    <row r="483" spans="1:4" x14ac:dyDescent="0.2">
      <c r="A483" s="5" t="s">
        <v>766</v>
      </c>
      <c r="B483" s="74">
        <v>41165</v>
      </c>
      <c r="C483" s="1">
        <v>0.5</v>
      </c>
      <c r="D483">
        <v>0</v>
      </c>
    </row>
    <row r="484" spans="1:4" x14ac:dyDescent="0.2">
      <c r="A484" s="5" t="s">
        <v>767</v>
      </c>
      <c r="B484" s="74">
        <v>41165</v>
      </c>
      <c r="C484" s="1">
        <v>0.5</v>
      </c>
      <c r="D484">
        <v>7600</v>
      </c>
    </row>
    <row r="485" spans="1:4" x14ac:dyDescent="0.2">
      <c r="A485" s="5" t="s">
        <v>768</v>
      </c>
      <c r="B485" s="74">
        <v>41165</v>
      </c>
      <c r="C485" s="1">
        <v>0.5</v>
      </c>
      <c r="D485">
        <v>0</v>
      </c>
    </row>
    <row r="486" spans="1:4" x14ac:dyDescent="0.2">
      <c r="A486" s="5" t="s">
        <v>769</v>
      </c>
      <c r="B486" s="74">
        <v>41165</v>
      </c>
      <c r="C486" s="1">
        <v>0.5</v>
      </c>
      <c r="D486">
        <v>0</v>
      </c>
    </row>
    <row r="487" spans="1:4" x14ac:dyDescent="0.2">
      <c r="A487" s="5" t="s">
        <v>773</v>
      </c>
      <c r="B487" s="74">
        <v>41165</v>
      </c>
      <c r="C487" s="1">
        <v>0.5</v>
      </c>
      <c r="D487">
        <v>3300</v>
      </c>
    </row>
    <row r="488" spans="1:4" x14ac:dyDescent="0.2">
      <c r="A488" s="5" t="s">
        <v>776</v>
      </c>
      <c r="B488" s="74">
        <v>41165</v>
      </c>
      <c r="C488" s="1">
        <v>0.5</v>
      </c>
      <c r="D488">
        <v>12700</v>
      </c>
    </row>
    <row r="489" spans="1:4" x14ac:dyDescent="0.2">
      <c r="A489" s="5" t="s">
        <v>777</v>
      </c>
      <c r="B489" s="74">
        <v>41165</v>
      </c>
      <c r="C489" s="1">
        <v>0.5</v>
      </c>
      <c r="D489">
        <v>14000</v>
      </c>
    </row>
    <row r="490" spans="1:4" x14ac:dyDescent="0.2">
      <c r="A490" s="5" t="s">
        <v>778</v>
      </c>
      <c r="B490" s="74">
        <v>41165</v>
      </c>
      <c r="C490" s="1">
        <v>0.5</v>
      </c>
      <c r="D490">
        <v>6400</v>
      </c>
    </row>
    <row r="491" spans="1:4" x14ac:dyDescent="0.2">
      <c r="A491" s="5" t="s">
        <v>779</v>
      </c>
      <c r="B491" s="74">
        <v>41165</v>
      </c>
      <c r="C491" s="1">
        <v>0.5</v>
      </c>
      <c r="D491">
        <v>39000</v>
      </c>
    </row>
    <row r="492" spans="1:4" x14ac:dyDescent="0.2">
      <c r="A492" s="5" t="s">
        <v>780</v>
      </c>
      <c r="B492" s="74">
        <v>41165</v>
      </c>
      <c r="C492" s="1">
        <v>0.5</v>
      </c>
      <c r="D492">
        <v>0</v>
      </c>
    </row>
    <row r="493" spans="1:4" x14ac:dyDescent="0.2">
      <c r="A493" s="5" t="s">
        <v>781</v>
      </c>
      <c r="B493" s="74">
        <v>41165</v>
      </c>
      <c r="C493" s="1">
        <v>0.5</v>
      </c>
      <c r="D493">
        <v>4200</v>
      </c>
    </row>
    <row r="494" spans="1:4" x14ac:dyDescent="0.2">
      <c r="A494" s="5" t="s">
        <v>782</v>
      </c>
      <c r="B494" s="74">
        <v>41165</v>
      </c>
      <c r="C494" s="1">
        <v>0.5</v>
      </c>
      <c r="D494">
        <v>20000</v>
      </c>
    </row>
    <row r="495" spans="1:4" x14ac:dyDescent="0.2">
      <c r="A495" s="5" t="s">
        <v>785</v>
      </c>
      <c r="B495" s="74">
        <v>41165</v>
      </c>
      <c r="C495" s="1">
        <v>0.5</v>
      </c>
      <c r="D495">
        <v>5600</v>
      </c>
    </row>
    <row r="496" spans="1:4" x14ac:dyDescent="0.2">
      <c r="A496" s="5" t="s">
        <v>787</v>
      </c>
      <c r="B496" s="74">
        <v>41165</v>
      </c>
      <c r="C496" s="1">
        <v>0.5</v>
      </c>
      <c r="D496">
        <v>12300</v>
      </c>
    </row>
    <row r="497" spans="1:4" x14ac:dyDescent="0.2">
      <c r="A497" s="5" t="s">
        <v>789</v>
      </c>
      <c r="B497" s="74">
        <v>41165</v>
      </c>
      <c r="C497" s="1">
        <v>0.5</v>
      </c>
      <c r="D497">
        <v>0</v>
      </c>
    </row>
    <row r="498" spans="1:4" x14ac:dyDescent="0.2">
      <c r="A498" s="5" t="s">
        <v>791</v>
      </c>
      <c r="B498" s="74">
        <v>41165</v>
      </c>
      <c r="C498" s="1">
        <v>0.5</v>
      </c>
      <c r="D498">
        <v>2600</v>
      </c>
    </row>
    <row r="499" spans="1:4" x14ac:dyDescent="0.2">
      <c r="A499" s="5" t="s">
        <v>792</v>
      </c>
      <c r="B499" s="74">
        <v>41165</v>
      </c>
      <c r="C499" s="1">
        <v>0.5</v>
      </c>
      <c r="D499">
        <v>9000</v>
      </c>
    </row>
    <row r="500" spans="1:4" x14ac:dyDescent="0.2">
      <c r="A500" s="5" t="s">
        <v>795</v>
      </c>
      <c r="B500" s="74">
        <v>41165</v>
      </c>
      <c r="C500" s="1">
        <v>0.5</v>
      </c>
      <c r="D500">
        <v>32000</v>
      </c>
    </row>
    <row r="501" spans="1:4" x14ac:dyDescent="0.2">
      <c r="A501" s="5" t="s">
        <v>796</v>
      </c>
      <c r="B501" s="74">
        <v>41165</v>
      </c>
      <c r="C501" s="1">
        <v>0.5</v>
      </c>
      <c r="D501">
        <v>8000</v>
      </c>
    </row>
    <row r="502" spans="1:4" x14ac:dyDescent="0.2">
      <c r="A502" s="5" t="s">
        <v>797</v>
      </c>
      <c r="B502" s="74">
        <v>41165</v>
      </c>
      <c r="C502" s="1">
        <v>0.5</v>
      </c>
      <c r="D502">
        <v>1300</v>
      </c>
    </row>
    <row r="503" spans="1:4" x14ac:dyDescent="0.2">
      <c r="A503" s="5" t="s">
        <v>800</v>
      </c>
      <c r="B503" s="74">
        <v>41165</v>
      </c>
      <c r="C503" s="1">
        <v>0.5</v>
      </c>
      <c r="D503">
        <v>17900</v>
      </c>
    </row>
    <row r="504" spans="1:4" x14ac:dyDescent="0.2">
      <c r="A504" s="5" t="s">
        <v>802</v>
      </c>
      <c r="B504" s="74">
        <v>41165</v>
      </c>
      <c r="C504" s="1">
        <v>0.5</v>
      </c>
      <c r="D504">
        <v>6500</v>
      </c>
    </row>
    <row r="505" spans="1:4" x14ac:dyDescent="0.2">
      <c r="A505" s="5" t="s">
        <v>804</v>
      </c>
      <c r="B505" s="74">
        <v>41165</v>
      </c>
      <c r="C505" s="1">
        <v>0.5</v>
      </c>
      <c r="D505">
        <v>2100</v>
      </c>
    </row>
    <row r="506" spans="1:4" x14ac:dyDescent="0.2">
      <c r="A506" s="5" t="s">
        <v>265</v>
      </c>
      <c r="B506" s="74">
        <v>41165</v>
      </c>
      <c r="C506" s="1">
        <v>0.5</v>
      </c>
      <c r="D506">
        <v>0</v>
      </c>
    </row>
    <row r="507" spans="1:4" x14ac:dyDescent="0.2">
      <c r="A507" s="5" t="s">
        <v>15</v>
      </c>
      <c r="B507" s="74">
        <v>41165</v>
      </c>
      <c r="C507" s="1">
        <v>0.5</v>
      </c>
      <c r="D507">
        <v>2900</v>
      </c>
    </row>
    <row r="508" spans="1:4" x14ac:dyDescent="0.2">
      <c r="A508" s="5" t="s">
        <v>807</v>
      </c>
      <c r="B508" s="74">
        <v>41165</v>
      </c>
      <c r="C508" s="1">
        <v>0.5</v>
      </c>
      <c r="D508">
        <v>3400</v>
      </c>
    </row>
    <row r="509" spans="1:4" x14ac:dyDescent="0.2">
      <c r="A509" s="5" t="s">
        <v>263</v>
      </c>
      <c r="B509" s="74">
        <v>41165</v>
      </c>
      <c r="C509" s="1">
        <v>0.5</v>
      </c>
      <c r="D509">
        <v>2700</v>
      </c>
    </row>
    <row r="510" spans="1:4" x14ac:dyDescent="0.2">
      <c r="A510" s="5" t="s">
        <v>44</v>
      </c>
      <c r="B510" s="74">
        <v>41165</v>
      </c>
      <c r="C510" s="1">
        <v>0.5</v>
      </c>
      <c r="D510">
        <v>17100</v>
      </c>
    </row>
    <row r="511" spans="1:4" x14ac:dyDescent="0.2">
      <c r="A511" s="5" t="s">
        <v>812</v>
      </c>
      <c r="B511" s="74">
        <v>41165</v>
      </c>
      <c r="C511" s="1">
        <v>0.5</v>
      </c>
      <c r="D511">
        <v>3200</v>
      </c>
    </row>
    <row r="512" spans="1:4" x14ac:dyDescent="0.2">
      <c r="A512" s="5" t="s">
        <v>813</v>
      </c>
      <c r="B512" s="74">
        <v>41165</v>
      </c>
      <c r="C512" s="1">
        <v>0.5</v>
      </c>
      <c r="D512">
        <v>4000</v>
      </c>
    </row>
    <row r="513" spans="1:4" x14ac:dyDescent="0.2">
      <c r="A513" s="5" t="s">
        <v>814</v>
      </c>
      <c r="B513" s="74">
        <v>41165</v>
      </c>
      <c r="C513" s="1">
        <v>0.5</v>
      </c>
      <c r="D513">
        <v>4200</v>
      </c>
    </row>
    <row r="514" spans="1:4" x14ac:dyDescent="0.2">
      <c r="A514" s="5" t="s">
        <v>816</v>
      </c>
      <c r="B514" s="74">
        <v>41165</v>
      </c>
      <c r="C514" s="1">
        <v>0.5</v>
      </c>
      <c r="D514">
        <v>0</v>
      </c>
    </row>
    <row r="515" spans="1:4" x14ac:dyDescent="0.2">
      <c r="A515" s="5" t="s">
        <v>819</v>
      </c>
      <c r="B515" s="74">
        <v>41165</v>
      </c>
      <c r="C515" s="1">
        <v>0.5</v>
      </c>
      <c r="D515">
        <v>0</v>
      </c>
    </row>
    <row r="516" spans="1:4" x14ac:dyDescent="0.2">
      <c r="A516" s="5" t="s">
        <v>820</v>
      </c>
      <c r="B516" s="74">
        <v>41165</v>
      </c>
      <c r="C516" s="1">
        <v>0.5</v>
      </c>
      <c r="D516">
        <v>0</v>
      </c>
    </row>
    <row r="517" spans="1:4" x14ac:dyDescent="0.2">
      <c r="A517" s="5" t="s">
        <v>822</v>
      </c>
      <c r="B517" s="74">
        <v>41165</v>
      </c>
      <c r="C517" s="1">
        <v>0.5</v>
      </c>
      <c r="D517">
        <v>15700</v>
      </c>
    </row>
    <row r="518" spans="1:4" x14ac:dyDescent="0.2">
      <c r="A518" s="5" t="s">
        <v>823</v>
      </c>
      <c r="B518" s="74">
        <v>41165</v>
      </c>
      <c r="C518" s="1">
        <v>0.5</v>
      </c>
      <c r="D518">
        <v>24000</v>
      </c>
    </row>
    <row r="519" spans="1:4" x14ac:dyDescent="0.2">
      <c r="A519" s="5" t="s">
        <v>824</v>
      </c>
      <c r="B519" s="74">
        <v>41165</v>
      </c>
      <c r="C519" s="1">
        <v>0.5</v>
      </c>
      <c r="D519">
        <v>0</v>
      </c>
    </row>
    <row r="520" spans="1:4" x14ac:dyDescent="0.2">
      <c r="A520" s="5" t="s">
        <v>828</v>
      </c>
      <c r="B520" s="74">
        <v>41165</v>
      </c>
      <c r="C520" s="1">
        <v>0.5</v>
      </c>
      <c r="D520">
        <v>8200</v>
      </c>
    </row>
    <row r="521" spans="1:4" x14ac:dyDescent="0.2">
      <c r="A521" s="5" t="s">
        <v>271</v>
      </c>
      <c r="B521" s="74">
        <v>41165</v>
      </c>
      <c r="C521" s="1">
        <v>0.5</v>
      </c>
      <c r="D521">
        <v>0</v>
      </c>
    </row>
    <row r="522" spans="1:4" x14ac:dyDescent="0.2">
      <c r="A522" s="5" t="s">
        <v>830</v>
      </c>
      <c r="B522" s="74">
        <v>41165</v>
      </c>
      <c r="C522" s="1">
        <v>0.5</v>
      </c>
      <c r="D522">
        <v>5200</v>
      </c>
    </row>
    <row r="523" spans="1:4" x14ac:dyDescent="0.2">
      <c r="A523" s="5" t="s">
        <v>832</v>
      </c>
      <c r="B523" s="74">
        <v>41165</v>
      </c>
      <c r="C523" s="1">
        <v>0.5</v>
      </c>
      <c r="D523">
        <v>0</v>
      </c>
    </row>
    <row r="524" spans="1:4" x14ac:dyDescent="0.2">
      <c r="A524" s="5" t="s">
        <v>267</v>
      </c>
      <c r="B524" s="74">
        <v>41165</v>
      </c>
      <c r="C524" s="1">
        <v>0.5</v>
      </c>
      <c r="D524">
        <v>7200</v>
      </c>
    </row>
    <row r="525" spans="1:4" x14ac:dyDescent="0.2">
      <c r="A525" s="5" t="s">
        <v>833</v>
      </c>
      <c r="B525" s="74">
        <v>41165</v>
      </c>
      <c r="C525" s="1">
        <v>0.5</v>
      </c>
      <c r="D525">
        <v>0</v>
      </c>
    </row>
    <row r="526" spans="1:4" x14ac:dyDescent="0.2">
      <c r="A526" s="5" t="s">
        <v>835</v>
      </c>
      <c r="B526" s="74">
        <v>41165</v>
      </c>
      <c r="C526" s="1">
        <v>0.5</v>
      </c>
      <c r="D526">
        <v>0</v>
      </c>
    </row>
    <row r="527" spans="1:4" x14ac:dyDescent="0.2">
      <c r="A527" s="5" t="s">
        <v>269</v>
      </c>
      <c r="B527" s="74">
        <v>41165</v>
      </c>
      <c r="C527" s="1">
        <v>0.5</v>
      </c>
      <c r="D527">
        <v>1300</v>
      </c>
    </row>
    <row r="528" spans="1:4" x14ac:dyDescent="0.2">
      <c r="A528" s="5" t="s">
        <v>40</v>
      </c>
      <c r="B528" s="74">
        <v>41165</v>
      </c>
      <c r="C528" s="1">
        <v>0.5</v>
      </c>
      <c r="D528">
        <v>3600</v>
      </c>
    </row>
    <row r="529" spans="1:4" x14ac:dyDescent="0.2">
      <c r="A529" s="5" t="s">
        <v>838</v>
      </c>
      <c r="B529" s="74">
        <v>41165</v>
      </c>
      <c r="C529" s="1">
        <v>0.5</v>
      </c>
      <c r="D529">
        <v>9500</v>
      </c>
    </row>
    <row r="530" spans="1:4" x14ac:dyDescent="0.2">
      <c r="A530" s="5" t="s">
        <v>839</v>
      </c>
      <c r="B530" s="74">
        <v>41165</v>
      </c>
      <c r="C530" s="1">
        <v>0.5</v>
      </c>
      <c r="D530">
        <v>0</v>
      </c>
    </row>
    <row r="531" spans="1:4" x14ac:dyDescent="0.2">
      <c r="A531" s="5" t="s">
        <v>840</v>
      </c>
      <c r="B531" s="74">
        <v>41165</v>
      </c>
      <c r="C531" s="1">
        <v>0.5</v>
      </c>
      <c r="D531">
        <v>6100</v>
      </c>
    </row>
    <row r="532" spans="1:4" x14ac:dyDescent="0.2">
      <c r="A532" s="5" t="s">
        <v>841</v>
      </c>
      <c r="B532" s="74">
        <v>41165</v>
      </c>
      <c r="C532" s="1">
        <v>0.5</v>
      </c>
      <c r="D532">
        <v>4500</v>
      </c>
    </row>
    <row r="533" spans="1:4" x14ac:dyDescent="0.2">
      <c r="A533" s="5" t="s">
        <v>842</v>
      </c>
      <c r="B533" s="74">
        <v>41165</v>
      </c>
      <c r="C533" s="1">
        <v>0.5</v>
      </c>
      <c r="D533">
        <v>5500</v>
      </c>
    </row>
    <row r="534" spans="1:4" x14ac:dyDescent="0.2">
      <c r="A534" s="5" t="s">
        <v>45</v>
      </c>
      <c r="B534" s="74">
        <v>41165</v>
      </c>
      <c r="C534" s="1">
        <v>0.5</v>
      </c>
      <c r="D534">
        <v>12700</v>
      </c>
    </row>
    <row r="535" spans="1:4" x14ac:dyDescent="0.2">
      <c r="A535" s="5" t="s">
        <v>43</v>
      </c>
      <c r="B535" s="74">
        <v>41165</v>
      </c>
      <c r="C535" s="1">
        <v>0.5</v>
      </c>
      <c r="D535">
        <v>9600</v>
      </c>
    </row>
    <row r="536" spans="1:4" x14ac:dyDescent="0.2">
      <c r="A536" s="5" t="s">
        <v>42</v>
      </c>
      <c r="B536" s="74">
        <v>41165</v>
      </c>
      <c r="C536" s="1">
        <v>0.5</v>
      </c>
      <c r="D536">
        <v>9300</v>
      </c>
    </row>
    <row r="537" spans="1:4" x14ac:dyDescent="0.2">
      <c r="A537" s="5" t="s">
        <v>48</v>
      </c>
      <c r="B537" s="74">
        <v>41165</v>
      </c>
      <c r="C537" s="1">
        <v>0.5</v>
      </c>
      <c r="D537">
        <v>15900</v>
      </c>
    </row>
    <row r="538" spans="1:4" x14ac:dyDescent="0.2">
      <c r="A538" s="5" t="s">
        <v>843</v>
      </c>
      <c r="B538" s="74">
        <v>41165</v>
      </c>
      <c r="C538" s="1">
        <v>0.5</v>
      </c>
      <c r="D538">
        <v>3300</v>
      </c>
    </row>
    <row r="539" spans="1:4" x14ac:dyDescent="0.2">
      <c r="A539" s="5" t="s">
        <v>41</v>
      </c>
      <c r="B539" s="74">
        <v>41165</v>
      </c>
      <c r="C539" s="1">
        <v>0.5</v>
      </c>
      <c r="D539">
        <v>3600</v>
      </c>
    </row>
    <row r="540" spans="1:4" x14ac:dyDescent="0.2">
      <c r="A540" s="5" t="s">
        <v>47</v>
      </c>
      <c r="B540" s="74">
        <v>41165</v>
      </c>
      <c r="C540" s="1">
        <v>0.5</v>
      </c>
      <c r="D540">
        <v>15200</v>
      </c>
    </row>
    <row r="541" spans="1:4" x14ac:dyDescent="0.2">
      <c r="A541" s="5" t="s">
        <v>844</v>
      </c>
      <c r="B541" s="74">
        <v>41165</v>
      </c>
      <c r="C541" s="1">
        <v>0.5</v>
      </c>
      <c r="D541">
        <v>2900</v>
      </c>
    </row>
    <row r="542" spans="1:4" x14ac:dyDescent="0.2">
      <c r="A542" s="5" t="s">
        <v>24</v>
      </c>
      <c r="B542" s="74">
        <v>41165</v>
      </c>
      <c r="C542" s="1">
        <v>0.5</v>
      </c>
      <c r="D542">
        <v>5200</v>
      </c>
    </row>
    <row r="543" spans="1:4" x14ac:dyDescent="0.2">
      <c r="A543" s="5" t="s">
        <v>845</v>
      </c>
      <c r="B543" s="74">
        <v>41165</v>
      </c>
      <c r="C543" s="1">
        <v>0.5</v>
      </c>
      <c r="D543">
        <v>3000</v>
      </c>
    </row>
    <row r="544" spans="1:4" x14ac:dyDescent="0.2">
      <c r="A544" s="5" t="s">
        <v>847</v>
      </c>
      <c r="B544" s="74">
        <v>41165</v>
      </c>
      <c r="C544" s="1">
        <v>0.5</v>
      </c>
      <c r="D544">
        <v>0</v>
      </c>
    </row>
    <row r="545" spans="1:4" x14ac:dyDescent="0.2">
      <c r="A545" s="5" t="s">
        <v>849</v>
      </c>
      <c r="B545" s="74">
        <v>41165</v>
      </c>
      <c r="C545" s="1">
        <v>0.5</v>
      </c>
      <c r="D545">
        <v>3900</v>
      </c>
    </row>
    <row r="546" spans="1:4" x14ac:dyDescent="0.2">
      <c r="A546" s="5" t="s">
        <v>850</v>
      </c>
      <c r="B546" s="74">
        <v>41165</v>
      </c>
      <c r="C546" s="1">
        <v>0.5</v>
      </c>
      <c r="D546">
        <v>0</v>
      </c>
    </row>
    <row r="547" spans="1:4" x14ac:dyDescent="0.2">
      <c r="A547" s="5" t="s">
        <v>851</v>
      </c>
      <c r="B547" s="74">
        <v>41165</v>
      </c>
      <c r="C547" s="1">
        <v>0.5</v>
      </c>
      <c r="D547">
        <v>0</v>
      </c>
    </row>
    <row r="548" spans="1:4" x14ac:dyDescent="0.2">
      <c r="A548" s="5" t="s">
        <v>852</v>
      </c>
      <c r="B548" s="74">
        <v>41165</v>
      </c>
      <c r="C548" s="1">
        <v>0.5</v>
      </c>
      <c r="D548">
        <v>19000</v>
      </c>
    </row>
    <row r="549" spans="1:4" x14ac:dyDescent="0.2">
      <c r="A549" s="5" t="s">
        <v>854</v>
      </c>
      <c r="B549" s="74">
        <v>41165</v>
      </c>
      <c r="C549" s="1">
        <v>0.5</v>
      </c>
      <c r="D549">
        <v>17400</v>
      </c>
    </row>
    <row r="550" spans="1:4" x14ac:dyDescent="0.2">
      <c r="A550" s="5" t="s">
        <v>857</v>
      </c>
      <c r="B550" s="74">
        <v>41165</v>
      </c>
      <c r="C550" s="1">
        <v>0.5</v>
      </c>
      <c r="D550">
        <v>0</v>
      </c>
    </row>
    <row r="551" spans="1:4" x14ac:dyDescent="0.2">
      <c r="A551" s="5" t="s">
        <v>859</v>
      </c>
      <c r="B551" s="74">
        <v>41165</v>
      </c>
      <c r="C551" s="1">
        <v>0.5</v>
      </c>
      <c r="D551">
        <v>4000</v>
      </c>
    </row>
    <row r="552" spans="1:4" x14ac:dyDescent="0.2">
      <c r="A552" s="5" t="s">
        <v>860</v>
      </c>
      <c r="B552" s="74">
        <v>41165</v>
      </c>
      <c r="C552" s="1">
        <v>0.5</v>
      </c>
      <c r="D552">
        <v>0</v>
      </c>
    </row>
    <row r="553" spans="1:4" x14ac:dyDescent="0.2">
      <c r="A553" s="5" t="s">
        <v>861</v>
      </c>
      <c r="B553" s="74">
        <v>41165</v>
      </c>
      <c r="C553" s="1">
        <v>0.5</v>
      </c>
      <c r="D553">
        <v>18100</v>
      </c>
    </row>
    <row r="554" spans="1:4" x14ac:dyDescent="0.2">
      <c r="A554" s="5" t="s">
        <v>862</v>
      </c>
      <c r="B554" s="74">
        <v>41165</v>
      </c>
      <c r="C554" s="1">
        <v>0.5</v>
      </c>
      <c r="D554">
        <v>6600</v>
      </c>
    </row>
    <row r="555" spans="1:4" x14ac:dyDescent="0.2">
      <c r="A555" s="5" t="s">
        <v>863</v>
      </c>
      <c r="B555" s="74">
        <v>41165</v>
      </c>
      <c r="C555" s="1">
        <v>0.5</v>
      </c>
      <c r="D555">
        <v>0</v>
      </c>
    </row>
    <row r="556" spans="1:4" x14ac:dyDescent="0.2">
      <c r="A556" s="5" t="s">
        <v>864</v>
      </c>
      <c r="B556" s="74">
        <v>41165</v>
      </c>
      <c r="C556" s="1">
        <v>0.5</v>
      </c>
      <c r="D556">
        <v>3600</v>
      </c>
    </row>
    <row r="557" spans="1:4" x14ac:dyDescent="0.2">
      <c r="A557" s="5" t="s">
        <v>865</v>
      </c>
      <c r="B557" s="74">
        <v>41165</v>
      </c>
      <c r="C557" s="1">
        <v>0.5</v>
      </c>
      <c r="D557">
        <v>4200</v>
      </c>
    </row>
    <row r="558" spans="1:4" x14ac:dyDescent="0.2">
      <c r="A558" s="5" t="s">
        <v>866</v>
      </c>
      <c r="B558" s="74">
        <v>41165</v>
      </c>
      <c r="C558" s="1">
        <v>0.5</v>
      </c>
      <c r="D558">
        <v>0</v>
      </c>
    </row>
    <row r="559" spans="1:4" x14ac:dyDescent="0.2">
      <c r="A559" s="5" t="s">
        <v>868</v>
      </c>
      <c r="B559" s="74">
        <v>41165</v>
      </c>
      <c r="C559" s="1">
        <v>0.5</v>
      </c>
      <c r="D559">
        <v>0</v>
      </c>
    </row>
    <row r="560" spans="1:4" x14ac:dyDescent="0.2">
      <c r="A560" s="5" t="s">
        <v>875</v>
      </c>
      <c r="B560" s="74">
        <v>41165</v>
      </c>
      <c r="C560" s="1">
        <v>0.5</v>
      </c>
      <c r="D560">
        <v>3100</v>
      </c>
    </row>
    <row r="561" spans="1:4" x14ac:dyDescent="0.2">
      <c r="A561" s="5" t="s">
        <v>877</v>
      </c>
      <c r="B561" s="74">
        <v>41165</v>
      </c>
      <c r="C561" s="1">
        <v>0.5</v>
      </c>
      <c r="D561">
        <v>6200</v>
      </c>
    </row>
    <row r="562" spans="1:4" x14ac:dyDescent="0.2">
      <c r="A562" s="5" t="s">
        <v>878</v>
      </c>
      <c r="B562" s="74">
        <v>41165</v>
      </c>
      <c r="C562" s="1">
        <v>0.5</v>
      </c>
      <c r="D562">
        <v>5000</v>
      </c>
    </row>
    <row r="563" spans="1:4" x14ac:dyDescent="0.2">
      <c r="A563" s="5" t="s">
        <v>879</v>
      </c>
      <c r="B563" s="74">
        <v>41165</v>
      </c>
      <c r="C563" s="1">
        <v>0.5</v>
      </c>
      <c r="D563">
        <v>6900</v>
      </c>
    </row>
    <row r="564" spans="1:4" x14ac:dyDescent="0.2">
      <c r="A564" s="5" t="s">
        <v>880</v>
      </c>
      <c r="B564" s="74">
        <v>41165</v>
      </c>
      <c r="C564" s="1">
        <v>0.5</v>
      </c>
      <c r="D564">
        <v>3000</v>
      </c>
    </row>
    <row r="565" spans="1:4" x14ac:dyDescent="0.2">
      <c r="A565" s="5" t="s">
        <v>881</v>
      </c>
      <c r="B565" s="74">
        <v>41165</v>
      </c>
      <c r="C565" s="1">
        <v>0.5</v>
      </c>
      <c r="D565">
        <v>6700</v>
      </c>
    </row>
    <row r="566" spans="1:4" x14ac:dyDescent="0.2">
      <c r="A566" s="5" t="s">
        <v>882</v>
      </c>
      <c r="B566" s="74">
        <v>41165</v>
      </c>
      <c r="C566" s="1">
        <v>0.5</v>
      </c>
      <c r="D566">
        <v>2700</v>
      </c>
    </row>
    <row r="567" spans="1:4" x14ac:dyDescent="0.2">
      <c r="A567" s="5" t="s">
        <v>883</v>
      </c>
      <c r="B567" s="74">
        <v>41165</v>
      </c>
      <c r="C567" s="1">
        <v>0.5</v>
      </c>
      <c r="D567">
        <v>3900</v>
      </c>
    </row>
    <row r="568" spans="1:4" x14ac:dyDescent="0.2">
      <c r="A568" s="5" t="s">
        <v>884</v>
      </c>
      <c r="B568" s="74">
        <v>41165</v>
      </c>
      <c r="C568" s="1">
        <v>0.5</v>
      </c>
      <c r="D568">
        <v>0</v>
      </c>
    </row>
    <row r="569" spans="1:4" x14ac:dyDescent="0.2">
      <c r="A569" s="5" t="s">
        <v>885</v>
      </c>
      <c r="B569" s="74">
        <v>41165</v>
      </c>
      <c r="C569" s="1">
        <v>0.5</v>
      </c>
      <c r="D569">
        <v>5200</v>
      </c>
    </row>
    <row r="570" spans="1:4" x14ac:dyDescent="0.2">
      <c r="A570" s="5" t="s">
        <v>886</v>
      </c>
      <c r="B570" s="74">
        <v>41165</v>
      </c>
      <c r="C570" s="1">
        <v>0.5</v>
      </c>
      <c r="D570">
        <v>7000</v>
      </c>
    </row>
    <row r="571" spans="1:4" x14ac:dyDescent="0.2">
      <c r="A571" s="5" t="s">
        <v>887</v>
      </c>
      <c r="B571" s="74">
        <v>41165</v>
      </c>
      <c r="C571" s="1">
        <v>0.5</v>
      </c>
      <c r="D571">
        <v>2700</v>
      </c>
    </row>
    <row r="572" spans="1:4" x14ac:dyDescent="0.2">
      <c r="A572" s="5" t="s">
        <v>888</v>
      </c>
      <c r="B572" s="74">
        <v>41165</v>
      </c>
      <c r="C572" s="1">
        <v>0.5</v>
      </c>
      <c r="D572">
        <v>7400</v>
      </c>
    </row>
    <row r="573" spans="1:4" x14ac:dyDescent="0.2">
      <c r="A573" s="5" t="s">
        <v>889</v>
      </c>
      <c r="B573" s="74">
        <v>41165</v>
      </c>
      <c r="C573" s="1">
        <v>0.5</v>
      </c>
      <c r="D573">
        <v>5400</v>
      </c>
    </row>
    <row r="574" spans="1:4" x14ac:dyDescent="0.2">
      <c r="A574" s="5" t="s">
        <v>890</v>
      </c>
      <c r="B574" s="74">
        <v>41165</v>
      </c>
      <c r="C574" s="1">
        <v>0.5</v>
      </c>
      <c r="D574">
        <v>0</v>
      </c>
    </row>
    <row r="575" spans="1:4" x14ac:dyDescent="0.2">
      <c r="A575" s="5" t="s">
        <v>891</v>
      </c>
      <c r="B575" s="74">
        <v>41165</v>
      </c>
      <c r="C575" s="1">
        <v>0.5</v>
      </c>
      <c r="D575">
        <v>0</v>
      </c>
    </row>
    <row r="576" spans="1:4" x14ac:dyDescent="0.2">
      <c r="A576" s="5" t="s">
        <v>892</v>
      </c>
      <c r="B576" s="74">
        <v>41165</v>
      </c>
      <c r="C576" s="1">
        <v>0.5</v>
      </c>
      <c r="D576">
        <v>3000</v>
      </c>
    </row>
    <row r="577" spans="1:4" x14ac:dyDescent="0.2">
      <c r="A577" s="5" t="s">
        <v>893</v>
      </c>
      <c r="B577" s="74">
        <v>41165</v>
      </c>
      <c r="C577" s="1">
        <v>0.5</v>
      </c>
      <c r="D577">
        <v>0</v>
      </c>
    </row>
    <row r="578" spans="1:4" x14ac:dyDescent="0.2">
      <c r="A578" s="5" t="s">
        <v>894</v>
      </c>
      <c r="B578" s="74">
        <v>41165</v>
      </c>
      <c r="C578" s="1">
        <v>0.5</v>
      </c>
      <c r="D578">
        <v>30000</v>
      </c>
    </row>
    <row r="579" spans="1:4" x14ac:dyDescent="0.2">
      <c r="A579" s="5" t="s">
        <v>895</v>
      </c>
      <c r="B579" s="74">
        <v>41165</v>
      </c>
      <c r="C579" s="1">
        <v>0.5</v>
      </c>
      <c r="D579">
        <v>3800</v>
      </c>
    </row>
    <row r="580" spans="1:4" x14ac:dyDescent="0.2">
      <c r="A580" s="5" t="s">
        <v>896</v>
      </c>
      <c r="B580" s="74">
        <v>41165</v>
      </c>
      <c r="C580" s="1">
        <v>0.5</v>
      </c>
      <c r="D580">
        <v>0</v>
      </c>
    </row>
    <row r="581" spans="1:4" x14ac:dyDescent="0.2">
      <c r="A581" s="5" t="s">
        <v>897</v>
      </c>
      <c r="B581" s="74">
        <v>41165</v>
      </c>
      <c r="C581" s="1">
        <v>0.5</v>
      </c>
      <c r="D581">
        <v>0</v>
      </c>
    </row>
    <row r="582" spans="1:4" x14ac:dyDescent="0.2">
      <c r="A582" s="5" t="s">
        <v>898</v>
      </c>
      <c r="B582" s="74">
        <v>41165</v>
      </c>
      <c r="C582" s="1">
        <v>0.5</v>
      </c>
      <c r="D582">
        <v>4000</v>
      </c>
    </row>
    <row r="583" spans="1:4" x14ac:dyDescent="0.2">
      <c r="A583" s="5" t="s">
        <v>899</v>
      </c>
      <c r="B583" s="74">
        <v>41165</v>
      </c>
      <c r="C583" s="1">
        <v>0.5</v>
      </c>
      <c r="D583">
        <v>4100</v>
      </c>
    </row>
    <row r="584" spans="1:4" x14ac:dyDescent="0.2">
      <c r="A584" s="5" t="s">
        <v>900</v>
      </c>
      <c r="B584" s="74">
        <v>41165</v>
      </c>
      <c r="C584" s="1">
        <v>0.5</v>
      </c>
      <c r="D584">
        <v>10500</v>
      </c>
    </row>
    <row r="585" spans="1:4" x14ac:dyDescent="0.2">
      <c r="A585" s="5" t="s">
        <v>901</v>
      </c>
      <c r="B585" s="74">
        <v>41165</v>
      </c>
      <c r="C585" s="1">
        <v>0.5</v>
      </c>
      <c r="D585">
        <v>6300</v>
      </c>
    </row>
    <row r="586" spans="1:4" x14ac:dyDescent="0.2">
      <c r="A586" s="5" t="s">
        <v>902</v>
      </c>
      <c r="B586" s="74">
        <v>41165</v>
      </c>
      <c r="C586" s="1">
        <v>0.5</v>
      </c>
      <c r="D586">
        <v>0</v>
      </c>
    </row>
    <row r="587" spans="1:4" x14ac:dyDescent="0.2">
      <c r="A587" s="5" t="s">
        <v>903</v>
      </c>
      <c r="B587" s="74">
        <v>41165</v>
      </c>
      <c r="C587" s="1">
        <v>0.5</v>
      </c>
      <c r="D587">
        <v>22800</v>
      </c>
    </row>
    <row r="588" spans="1:4" x14ac:dyDescent="0.2">
      <c r="A588" s="5" t="s">
        <v>905</v>
      </c>
      <c r="B588" s="74">
        <v>41165</v>
      </c>
      <c r="C588" s="1">
        <v>0.5</v>
      </c>
      <c r="D588">
        <v>9100</v>
      </c>
    </row>
    <row r="589" spans="1:4" x14ac:dyDescent="0.2">
      <c r="A589" s="5" t="s">
        <v>906</v>
      </c>
      <c r="B589" s="74">
        <v>41165</v>
      </c>
      <c r="C589" s="1">
        <v>0.5</v>
      </c>
      <c r="D589">
        <v>0</v>
      </c>
    </row>
    <row r="590" spans="1:4" x14ac:dyDescent="0.2">
      <c r="A590" s="5" t="s">
        <v>909</v>
      </c>
      <c r="B590" s="74">
        <v>41165</v>
      </c>
      <c r="C590" s="1">
        <v>0.5</v>
      </c>
      <c r="D590">
        <v>0</v>
      </c>
    </row>
    <row r="591" spans="1:4" x14ac:dyDescent="0.2">
      <c r="A591" s="5" t="s">
        <v>910</v>
      </c>
      <c r="B591" s="74">
        <v>41165</v>
      </c>
      <c r="C591" s="1">
        <v>0.5</v>
      </c>
      <c r="D591">
        <v>0</v>
      </c>
    </row>
    <row r="592" spans="1:4" x14ac:dyDescent="0.2">
      <c r="A592" s="5" t="s">
        <v>911</v>
      </c>
      <c r="B592" s="74">
        <v>41165</v>
      </c>
      <c r="C592" s="1">
        <v>0.5</v>
      </c>
      <c r="D592">
        <v>7500</v>
      </c>
    </row>
    <row r="593" spans="1:4" x14ac:dyDescent="0.2">
      <c r="A593" s="5" t="s">
        <v>912</v>
      </c>
      <c r="B593" s="74">
        <v>41165</v>
      </c>
      <c r="C593" s="1">
        <v>0.5</v>
      </c>
      <c r="D593">
        <v>0</v>
      </c>
    </row>
    <row r="594" spans="1:4" x14ac:dyDescent="0.2">
      <c r="A594" s="5" t="s">
        <v>914</v>
      </c>
      <c r="B594" s="74">
        <v>41165</v>
      </c>
      <c r="C594" s="1">
        <v>0.5</v>
      </c>
      <c r="D594">
        <v>6600</v>
      </c>
    </row>
    <row r="595" spans="1:4" x14ac:dyDescent="0.2">
      <c r="A595" s="5" t="s">
        <v>915</v>
      </c>
      <c r="B595" s="74">
        <v>41165</v>
      </c>
      <c r="C595" s="1">
        <v>0.5</v>
      </c>
      <c r="D595">
        <v>2800</v>
      </c>
    </row>
    <row r="596" spans="1:4" x14ac:dyDescent="0.2">
      <c r="A596" s="5" t="s">
        <v>917</v>
      </c>
      <c r="B596" s="74">
        <v>41165</v>
      </c>
      <c r="C596" s="1">
        <v>0.5</v>
      </c>
      <c r="D596">
        <v>1300</v>
      </c>
    </row>
    <row r="597" spans="1:4" x14ac:dyDescent="0.2">
      <c r="A597" s="5" t="s">
        <v>918</v>
      </c>
      <c r="B597" s="74">
        <v>41165</v>
      </c>
      <c r="C597" s="1">
        <v>0.5</v>
      </c>
      <c r="D597">
        <v>5500</v>
      </c>
    </row>
    <row r="598" spans="1:4" x14ac:dyDescent="0.2">
      <c r="A598" s="5" t="s">
        <v>919</v>
      </c>
      <c r="B598" s="74">
        <v>41165</v>
      </c>
      <c r="C598" s="1">
        <v>0.5</v>
      </c>
      <c r="D598">
        <v>5000</v>
      </c>
    </row>
    <row r="599" spans="1:4" x14ac:dyDescent="0.2">
      <c r="A599" s="5" t="s">
        <v>920</v>
      </c>
      <c r="B599" s="74">
        <v>41165</v>
      </c>
      <c r="C599" s="1">
        <v>0.5</v>
      </c>
      <c r="D599">
        <v>0</v>
      </c>
    </row>
    <row r="600" spans="1:4" x14ac:dyDescent="0.2">
      <c r="A600" s="5" t="s">
        <v>921</v>
      </c>
      <c r="B600" s="74">
        <v>41165</v>
      </c>
      <c r="C600" s="1">
        <v>0.5</v>
      </c>
      <c r="D600">
        <v>7000</v>
      </c>
    </row>
    <row r="601" spans="1:4" x14ac:dyDescent="0.2">
      <c r="A601" s="5" t="s">
        <v>923</v>
      </c>
      <c r="B601" s="74">
        <v>41165</v>
      </c>
      <c r="C601" s="1">
        <v>0.5</v>
      </c>
      <c r="D601">
        <v>8300</v>
      </c>
    </row>
    <row r="602" spans="1:4" x14ac:dyDescent="0.2">
      <c r="A602" s="5" t="s">
        <v>924</v>
      </c>
      <c r="B602" s="74">
        <v>41165</v>
      </c>
      <c r="C602" s="1">
        <v>0.5</v>
      </c>
      <c r="D602">
        <v>0</v>
      </c>
    </row>
    <row r="603" spans="1:4" x14ac:dyDescent="0.2">
      <c r="A603" s="5" t="s">
        <v>926</v>
      </c>
      <c r="B603" s="74">
        <v>41165</v>
      </c>
      <c r="C603" s="1">
        <v>0.5</v>
      </c>
      <c r="D603">
        <v>0</v>
      </c>
    </row>
    <row r="604" spans="1:4" x14ac:dyDescent="0.2">
      <c r="A604" s="5" t="s">
        <v>929</v>
      </c>
      <c r="B604" s="74">
        <v>41165</v>
      </c>
      <c r="C604" s="1">
        <v>0.5</v>
      </c>
      <c r="D604">
        <v>0</v>
      </c>
    </row>
    <row r="605" spans="1:4" x14ac:dyDescent="0.2">
      <c r="A605" s="5" t="s">
        <v>930</v>
      </c>
      <c r="B605" s="74">
        <v>41165</v>
      </c>
      <c r="C605" s="1">
        <v>0.5</v>
      </c>
      <c r="D605">
        <v>4100</v>
      </c>
    </row>
    <row r="606" spans="1:4" x14ac:dyDescent="0.2">
      <c r="A606" s="5" t="s">
        <v>931</v>
      </c>
      <c r="B606" s="74">
        <v>41165</v>
      </c>
      <c r="C606" s="1">
        <v>0.5</v>
      </c>
      <c r="D606">
        <v>14500</v>
      </c>
    </row>
    <row r="607" spans="1:4" x14ac:dyDescent="0.2">
      <c r="A607" s="5" t="s">
        <v>933</v>
      </c>
      <c r="B607" s="74">
        <v>41165</v>
      </c>
      <c r="C607" s="1">
        <v>0.5</v>
      </c>
      <c r="D607">
        <v>6300</v>
      </c>
    </row>
    <row r="608" spans="1:4" x14ac:dyDescent="0.2">
      <c r="A608" s="5" t="s">
        <v>934</v>
      </c>
      <c r="B608" s="74">
        <v>41165</v>
      </c>
      <c r="C608" s="1">
        <v>0.5</v>
      </c>
      <c r="D608">
        <v>80000</v>
      </c>
    </row>
    <row r="609" spans="1:4" x14ac:dyDescent="0.2">
      <c r="A609" s="5" t="s">
        <v>935</v>
      </c>
      <c r="B609" s="74">
        <v>41165</v>
      </c>
      <c r="C609" s="1">
        <v>0.5</v>
      </c>
      <c r="D609">
        <v>3600</v>
      </c>
    </row>
    <row r="610" spans="1:4" x14ac:dyDescent="0.2">
      <c r="A610" s="5" t="s">
        <v>936</v>
      </c>
      <c r="B610" s="74">
        <v>41165</v>
      </c>
      <c r="C610" s="1">
        <v>0.5</v>
      </c>
      <c r="D610">
        <v>2600</v>
      </c>
    </row>
    <row r="611" spans="1:4" x14ac:dyDescent="0.2">
      <c r="A611" s="5" t="s">
        <v>940</v>
      </c>
      <c r="B611" s="74">
        <v>41165</v>
      </c>
      <c r="C611" s="1">
        <v>0.5</v>
      </c>
      <c r="D611">
        <v>0</v>
      </c>
    </row>
    <row r="612" spans="1:4" x14ac:dyDescent="0.2">
      <c r="A612" s="5" t="s">
        <v>942</v>
      </c>
      <c r="B612" s="74">
        <v>41165</v>
      </c>
      <c r="C612" s="1">
        <v>0.5</v>
      </c>
      <c r="D612">
        <v>6100</v>
      </c>
    </row>
    <row r="613" spans="1:4" x14ac:dyDescent="0.2">
      <c r="A613" s="5" t="s">
        <v>945</v>
      </c>
      <c r="B613" s="74">
        <v>41165</v>
      </c>
      <c r="C613" s="1">
        <v>0.5</v>
      </c>
      <c r="D613">
        <v>8300</v>
      </c>
    </row>
    <row r="614" spans="1:4" x14ac:dyDescent="0.2">
      <c r="A614" s="5" t="s">
        <v>947</v>
      </c>
      <c r="B614" s="74">
        <v>41165</v>
      </c>
      <c r="C614" s="1">
        <v>0.5</v>
      </c>
      <c r="D614">
        <v>4200</v>
      </c>
    </row>
    <row r="615" spans="1:4" x14ac:dyDescent="0.2">
      <c r="A615" s="5" t="s">
        <v>948</v>
      </c>
      <c r="B615" s="74">
        <v>41165</v>
      </c>
      <c r="C615" s="1">
        <v>0.5</v>
      </c>
      <c r="D615">
        <v>9000</v>
      </c>
    </row>
    <row r="616" spans="1:4" x14ac:dyDescent="0.2">
      <c r="A616" s="5" t="s">
        <v>952</v>
      </c>
      <c r="B616" s="74">
        <v>41165</v>
      </c>
      <c r="C616" s="1">
        <v>0.5</v>
      </c>
      <c r="D616">
        <v>0</v>
      </c>
    </row>
    <row r="617" spans="1:4" x14ac:dyDescent="0.2">
      <c r="A617" s="5" t="s">
        <v>953</v>
      </c>
      <c r="B617" s="74">
        <v>41165</v>
      </c>
      <c r="C617" s="1">
        <v>0.5</v>
      </c>
      <c r="D617">
        <v>3100</v>
      </c>
    </row>
    <row r="618" spans="1:4" x14ac:dyDescent="0.2">
      <c r="A618" s="5" t="s">
        <v>957</v>
      </c>
      <c r="B618" s="74">
        <v>41165</v>
      </c>
      <c r="C618" s="1">
        <v>0.5</v>
      </c>
      <c r="D618">
        <v>30200</v>
      </c>
    </row>
    <row r="619" spans="1:4" x14ac:dyDescent="0.2">
      <c r="A619" s="5" t="s">
        <v>958</v>
      </c>
      <c r="B619" s="74">
        <v>41165</v>
      </c>
      <c r="C619" s="1">
        <v>0.5</v>
      </c>
      <c r="D619">
        <v>0</v>
      </c>
    </row>
    <row r="620" spans="1:4" x14ac:dyDescent="0.2">
      <c r="A620" s="5" t="s">
        <v>960</v>
      </c>
      <c r="B620" s="74">
        <v>41165</v>
      </c>
      <c r="C620" s="1">
        <v>0.5</v>
      </c>
      <c r="D620">
        <v>10700</v>
      </c>
    </row>
    <row r="621" spans="1:4" x14ac:dyDescent="0.2">
      <c r="A621" s="5" t="s">
        <v>961</v>
      </c>
      <c r="B621" s="74">
        <v>41165</v>
      </c>
      <c r="C621" s="1">
        <v>0.5</v>
      </c>
      <c r="D621">
        <v>12100</v>
      </c>
    </row>
    <row r="622" spans="1:4" x14ac:dyDescent="0.2">
      <c r="A622" s="5" t="s">
        <v>966</v>
      </c>
      <c r="B622" s="74">
        <v>41165</v>
      </c>
      <c r="C622" s="1">
        <v>0.5</v>
      </c>
      <c r="D622">
        <v>12300</v>
      </c>
    </row>
    <row r="623" spans="1:4" x14ac:dyDescent="0.2">
      <c r="A623" s="5" t="s">
        <v>967</v>
      </c>
      <c r="B623" s="74">
        <v>41165</v>
      </c>
      <c r="C623" s="1">
        <v>0.5</v>
      </c>
      <c r="D623">
        <v>72100</v>
      </c>
    </row>
    <row r="624" spans="1:4" x14ac:dyDescent="0.2">
      <c r="A624" s="5" t="s">
        <v>970</v>
      </c>
      <c r="B624" s="74">
        <v>41165</v>
      </c>
      <c r="C624" s="1">
        <v>0.5</v>
      </c>
      <c r="D624">
        <v>12000</v>
      </c>
    </row>
    <row r="625" spans="1:4" x14ac:dyDescent="0.2">
      <c r="A625" s="5" t="s">
        <v>972</v>
      </c>
      <c r="B625" s="74">
        <v>41165</v>
      </c>
      <c r="C625" s="1">
        <v>0.5</v>
      </c>
      <c r="D625">
        <v>0</v>
      </c>
    </row>
    <row r="626" spans="1:4" x14ac:dyDescent="0.2">
      <c r="A626" s="5" t="s">
        <v>973</v>
      </c>
      <c r="B626" s="74">
        <v>41165</v>
      </c>
      <c r="C626" s="1">
        <v>0.5</v>
      </c>
      <c r="D626">
        <v>26100</v>
      </c>
    </row>
    <row r="627" spans="1:4" x14ac:dyDescent="0.2">
      <c r="A627" s="5" t="s">
        <v>974</v>
      </c>
      <c r="B627" s="74">
        <v>41165</v>
      </c>
      <c r="C627" s="1">
        <v>0.5</v>
      </c>
      <c r="D627">
        <v>11000</v>
      </c>
    </row>
    <row r="628" spans="1:4" x14ac:dyDescent="0.2">
      <c r="A628" s="5" t="s">
        <v>976</v>
      </c>
      <c r="B628" s="74">
        <v>41165</v>
      </c>
      <c r="C628" s="1">
        <v>0.5</v>
      </c>
      <c r="D628">
        <v>10800</v>
      </c>
    </row>
    <row r="629" spans="1:4" x14ac:dyDescent="0.2">
      <c r="A629" s="5" t="s">
        <v>977</v>
      </c>
      <c r="B629" s="74">
        <v>41165</v>
      </c>
      <c r="C629" s="1">
        <v>0.5</v>
      </c>
      <c r="D629">
        <v>1300</v>
      </c>
    </row>
    <row r="630" spans="1:4" x14ac:dyDescent="0.2">
      <c r="A630" s="5" t="s">
        <v>980</v>
      </c>
      <c r="B630" s="74">
        <v>41165</v>
      </c>
      <c r="C630" s="1">
        <v>0.5</v>
      </c>
      <c r="D630">
        <v>2300</v>
      </c>
    </row>
    <row r="631" spans="1:4" x14ac:dyDescent="0.2">
      <c r="A631" s="5" t="s">
        <v>982</v>
      </c>
      <c r="B631" s="74">
        <v>41165</v>
      </c>
      <c r="C631" s="1">
        <v>0.5</v>
      </c>
      <c r="D631">
        <v>2700</v>
      </c>
    </row>
    <row r="632" spans="1:4" x14ac:dyDescent="0.2">
      <c r="A632" s="5" t="s">
        <v>983</v>
      </c>
      <c r="B632" s="74">
        <v>41165</v>
      </c>
      <c r="C632" s="1">
        <v>0.5</v>
      </c>
      <c r="D632">
        <v>4600</v>
      </c>
    </row>
    <row r="633" spans="1:4" x14ac:dyDescent="0.2">
      <c r="A633" s="5" t="s">
        <v>984</v>
      </c>
      <c r="B633" s="74">
        <v>41165</v>
      </c>
      <c r="C633" s="1">
        <v>0.5</v>
      </c>
      <c r="D633">
        <v>0</v>
      </c>
    </row>
    <row r="634" spans="1:4" x14ac:dyDescent="0.2">
      <c r="A634" s="5" t="s">
        <v>985</v>
      </c>
      <c r="B634" s="74">
        <v>41165</v>
      </c>
      <c r="C634" s="1">
        <v>0.5</v>
      </c>
      <c r="D634">
        <v>2000</v>
      </c>
    </row>
    <row r="635" spans="1:4" x14ac:dyDescent="0.2">
      <c r="A635" s="5" t="s">
        <v>988</v>
      </c>
      <c r="B635" s="74">
        <v>41165</v>
      </c>
      <c r="C635" s="1">
        <v>0.5</v>
      </c>
      <c r="D635">
        <v>2100</v>
      </c>
    </row>
    <row r="636" spans="1:4" x14ac:dyDescent="0.2">
      <c r="A636" s="5" t="s">
        <v>989</v>
      </c>
      <c r="B636" s="74">
        <v>41165</v>
      </c>
      <c r="C636" s="1">
        <v>0.5</v>
      </c>
      <c r="D636">
        <v>0</v>
      </c>
    </row>
    <row r="637" spans="1:4" x14ac:dyDescent="0.2">
      <c r="A637" s="5" t="s">
        <v>993</v>
      </c>
      <c r="B637" s="74">
        <v>41165</v>
      </c>
      <c r="C637" s="1">
        <v>0.5</v>
      </c>
      <c r="D637">
        <v>5400</v>
      </c>
    </row>
    <row r="638" spans="1:4" x14ac:dyDescent="0.2">
      <c r="A638" s="5" t="s">
        <v>996</v>
      </c>
      <c r="B638" s="74">
        <v>41165</v>
      </c>
      <c r="C638" s="1">
        <v>0.5</v>
      </c>
      <c r="D638">
        <v>7100</v>
      </c>
    </row>
    <row r="639" spans="1:4" x14ac:dyDescent="0.2">
      <c r="A639" s="5" t="s">
        <v>999</v>
      </c>
      <c r="B639" s="74">
        <v>41165</v>
      </c>
      <c r="C639" s="1">
        <v>0.5</v>
      </c>
      <c r="D639">
        <v>0</v>
      </c>
    </row>
    <row r="640" spans="1:4" x14ac:dyDescent="0.2">
      <c r="A640" s="5" t="s">
        <v>1000</v>
      </c>
      <c r="B640" s="74">
        <v>41165</v>
      </c>
      <c r="C640" s="1">
        <v>0.5</v>
      </c>
      <c r="D640">
        <v>9100</v>
      </c>
    </row>
    <row r="641" spans="1:4" x14ac:dyDescent="0.2">
      <c r="A641" s="5" t="s">
        <v>1004</v>
      </c>
      <c r="B641" s="74">
        <v>41165</v>
      </c>
      <c r="C641" s="1">
        <v>0.5</v>
      </c>
      <c r="D641">
        <v>0</v>
      </c>
    </row>
    <row r="642" spans="1:4" x14ac:dyDescent="0.2">
      <c r="A642" s="5" t="s">
        <v>1006</v>
      </c>
      <c r="B642" s="74">
        <v>41165</v>
      </c>
      <c r="C642" s="1">
        <v>0.5</v>
      </c>
      <c r="D642">
        <v>0</v>
      </c>
    </row>
    <row r="643" spans="1:4" x14ac:dyDescent="0.2">
      <c r="A643" s="5" t="s">
        <v>1007</v>
      </c>
      <c r="B643" s="74">
        <v>41165</v>
      </c>
      <c r="C643" s="1">
        <v>0.5</v>
      </c>
      <c r="D643">
        <v>4200</v>
      </c>
    </row>
    <row r="644" spans="1:4" x14ac:dyDescent="0.2">
      <c r="A644" s="5" t="s">
        <v>1008</v>
      </c>
      <c r="B644" s="74">
        <v>41165</v>
      </c>
      <c r="C644" s="1">
        <v>0.5</v>
      </c>
      <c r="D644">
        <v>3900</v>
      </c>
    </row>
    <row r="645" spans="1:4" x14ac:dyDescent="0.2">
      <c r="A645" s="5" t="s">
        <v>1012</v>
      </c>
      <c r="B645" s="74">
        <v>41165</v>
      </c>
      <c r="C645" s="1">
        <v>0.5</v>
      </c>
      <c r="D645">
        <v>10600</v>
      </c>
    </row>
    <row r="646" spans="1:4" x14ac:dyDescent="0.2">
      <c r="A646" s="5" t="s">
        <v>1013</v>
      </c>
      <c r="B646" s="74">
        <v>41165</v>
      </c>
      <c r="C646" s="1">
        <v>0.5</v>
      </c>
      <c r="D646">
        <v>0</v>
      </c>
    </row>
    <row r="647" spans="1:4" x14ac:dyDescent="0.2">
      <c r="A647" s="5" t="s">
        <v>1014</v>
      </c>
      <c r="B647" s="74">
        <v>41165</v>
      </c>
      <c r="C647" s="1">
        <v>0.5</v>
      </c>
      <c r="D647">
        <v>7400</v>
      </c>
    </row>
    <row r="648" spans="1:4" x14ac:dyDescent="0.2">
      <c r="A648" s="5" t="s">
        <v>1015</v>
      </c>
      <c r="B648" s="74">
        <v>41165</v>
      </c>
      <c r="C648" s="1">
        <v>0.5</v>
      </c>
      <c r="D648">
        <v>8600</v>
      </c>
    </row>
    <row r="649" spans="1:4" x14ac:dyDescent="0.2">
      <c r="A649" s="5" t="s">
        <v>1016</v>
      </c>
      <c r="B649" s="74">
        <v>41165</v>
      </c>
      <c r="C649" s="1">
        <v>0.5</v>
      </c>
      <c r="D649">
        <v>3000</v>
      </c>
    </row>
    <row r="650" spans="1:4" x14ac:dyDescent="0.2">
      <c r="A650" s="5" t="s">
        <v>1020</v>
      </c>
      <c r="B650" s="74">
        <v>41165</v>
      </c>
      <c r="C650" s="1">
        <v>0.5</v>
      </c>
      <c r="D650">
        <v>7100</v>
      </c>
    </row>
    <row r="651" spans="1:4" x14ac:dyDescent="0.2">
      <c r="A651" s="5" t="s">
        <v>1021</v>
      </c>
      <c r="B651" s="74">
        <v>41165</v>
      </c>
      <c r="C651" s="1">
        <v>0.5</v>
      </c>
      <c r="D651">
        <v>5700</v>
      </c>
    </row>
    <row r="652" spans="1:4" x14ac:dyDescent="0.2">
      <c r="A652" s="5" t="s">
        <v>1022</v>
      </c>
      <c r="B652" s="74">
        <v>41165</v>
      </c>
      <c r="C652" s="1">
        <v>0.5</v>
      </c>
      <c r="D652">
        <v>2700</v>
      </c>
    </row>
    <row r="653" spans="1:4" x14ac:dyDescent="0.2">
      <c r="A653" s="5" t="s">
        <v>1023</v>
      </c>
      <c r="B653" s="74">
        <v>41165</v>
      </c>
      <c r="C653" s="1">
        <v>0.5</v>
      </c>
      <c r="D653">
        <v>0</v>
      </c>
    </row>
    <row r="654" spans="1:4" x14ac:dyDescent="0.2">
      <c r="A654" s="5" t="s">
        <v>1024</v>
      </c>
      <c r="B654" s="74">
        <v>41165</v>
      </c>
      <c r="C654" s="1">
        <v>0.5</v>
      </c>
      <c r="D654">
        <v>6700</v>
      </c>
    </row>
    <row r="655" spans="1:4" x14ac:dyDescent="0.2">
      <c r="A655" s="5" t="s">
        <v>1025</v>
      </c>
      <c r="B655" s="74">
        <v>41165</v>
      </c>
      <c r="C655" s="1">
        <v>0.5</v>
      </c>
      <c r="D655">
        <v>0</v>
      </c>
    </row>
    <row r="656" spans="1:4" x14ac:dyDescent="0.2">
      <c r="A656" s="5" t="s">
        <v>1026</v>
      </c>
      <c r="B656" s="74">
        <v>41165</v>
      </c>
      <c r="C656" s="1">
        <v>0.5</v>
      </c>
      <c r="D656">
        <v>15000</v>
      </c>
    </row>
    <row r="657" spans="1:4" x14ac:dyDescent="0.2">
      <c r="A657" s="5" t="s">
        <v>1027</v>
      </c>
      <c r="B657" s="74">
        <v>41165</v>
      </c>
      <c r="C657" s="1">
        <v>0.5</v>
      </c>
      <c r="D657">
        <v>0</v>
      </c>
    </row>
    <row r="658" spans="1:4" x14ac:dyDescent="0.2">
      <c r="A658" s="5" t="s">
        <v>1028</v>
      </c>
      <c r="B658" s="74">
        <v>41165</v>
      </c>
      <c r="C658" s="1">
        <v>0.5</v>
      </c>
      <c r="D658">
        <v>10000</v>
      </c>
    </row>
    <row r="659" spans="1:4" x14ac:dyDescent="0.2">
      <c r="A659" s="5" t="s">
        <v>1029</v>
      </c>
      <c r="B659" s="74">
        <v>41165</v>
      </c>
      <c r="C659" s="1">
        <v>0.5</v>
      </c>
      <c r="D659">
        <v>0</v>
      </c>
    </row>
    <row r="660" spans="1:4" x14ac:dyDescent="0.2">
      <c r="A660" s="5" t="s">
        <v>1030</v>
      </c>
      <c r="B660" s="74">
        <v>41165</v>
      </c>
      <c r="C660" s="1">
        <v>0.5</v>
      </c>
      <c r="D660">
        <v>6300</v>
      </c>
    </row>
    <row r="661" spans="1:4" x14ac:dyDescent="0.2">
      <c r="A661" s="5" t="s">
        <v>1031</v>
      </c>
      <c r="B661" s="74">
        <v>41165</v>
      </c>
      <c r="C661" s="1">
        <v>0.5</v>
      </c>
      <c r="D661">
        <v>6300</v>
      </c>
    </row>
    <row r="662" spans="1:4" x14ac:dyDescent="0.2">
      <c r="A662" s="5" t="s">
        <v>1032</v>
      </c>
      <c r="B662" s="74">
        <v>41165</v>
      </c>
      <c r="C662" s="1">
        <v>0.5</v>
      </c>
      <c r="D662">
        <v>6100</v>
      </c>
    </row>
    <row r="663" spans="1:4" x14ac:dyDescent="0.2">
      <c r="A663" s="5" t="s">
        <v>1033</v>
      </c>
      <c r="B663" s="74">
        <v>41165</v>
      </c>
      <c r="C663" s="1">
        <v>0.5</v>
      </c>
      <c r="D663">
        <v>6100</v>
      </c>
    </row>
    <row r="664" spans="1:4" x14ac:dyDescent="0.2">
      <c r="A664" s="5" t="s">
        <v>1035</v>
      </c>
      <c r="B664" s="74">
        <v>41165</v>
      </c>
      <c r="C664" s="1">
        <v>0.5</v>
      </c>
      <c r="D664">
        <v>8400</v>
      </c>
    </row>
    <row r="665" spans="1:4" x14ac:dyDescent="0.2">
      <c r="A665" s="5" t="s">
        <v>1037</v>
      </c>
      <c r="B665" s="74">
        <v>41165</v>
      </c>
      <c r="C665" s="1">
        <v>0.5</v>
      </c>
      <c r="D665">
        <v>7900</v>
      </c>
    </row>
    <row r="666" spans="1:4" x14ac:dyDescent="0.2">
      <c r="A666" s="5" t="s">
        <v>1038</v>
      </c>
      <c r="B666" s="74">
        <v>41165</v>
      </c>
      <c r="C666" s="1">
        <v>0.5</v>
      </c>
      <c r="D666">
        <v>1300</v>
      </c>
    </row>
    <row r="667" spans="1:4" x14ac:dyDescent="0.2">
      <c r="A667" s="5" t="s">
        <v>1039</v>
      </c>
      <c r="B667" s="74">
        <v>41165</v>
      </c>
      <c r="C667" s="1">
        <v>0.5</v>
      </c>
      <c r="D667">
        <v>10100</v>
      </c>
    </row>
    <row r="668" spans="1:4" x14ac:dyDescent="0.2">
      <c r="A668" s="5" t="s">
        <v>1040</v>
      </c>
      <c r="B668" s="74">
        <v>41165</v>
      </c>
      <c r="C668" s="1">
        <v>0.5</v>
      </c>
      <c r="D668">
        <v>2800</v>
      </c>
    </row>
    <row r="669" spans="1:4" x14ac:dyDescent="0.2">
      <c r="A669" s="5" t="s">
        <v>1041</v>
      </c>
      <c r="B669" s="74">
        <v>41165</v>
      </c>
      <c r="C669" s="1">
        <v>0.5</v>
      </c>
      <c r="D669">
        <v>9600</v>
      </c>
    </row>
    <row r="670" spans="1:4" x14ac:dyDescent="0.2">
      <c r="A670" s="5" t="s">
        <v>1042</v>
      </c>
      <c r="B670" s="74">
        <v>41165</v>
      </c>
      <c r="C670" s="1">
        <v>0.5</v>
      </c>
      <c r="D670">
        <v>2600</v>
      </c>
    </row>
    <row r="671" spans="1:4" x14ac:dyDescent="0.2">
      <c r="A671" s="5" t="s">
        <v>1043</v>
      </c>
      <c r="B671" s="74">
        <v>41165</v>
      </c>
      <c r="C671" s="1">
        <v>0.5</v>
      </c>
      <c r="D671">
        <v>0</v>
      </c>
    </row>
    <row r="672" spans="1:4" x14ac:dyDescent="0.2">
      <c r="A672" s="5" t="s">
        <v>1044</v>
      </c>
      <c r="B672" s="74">
        <v>41165</v>
      </c>
      <c r="C672" s="1">
        <v>0.5</v>
      </c>
      <c r="D672">
        <v>3800</v>
      </c>
    </row>
    <row r="673" spans="1:4" x14ac:dyDescent="0.2">
      <c r="A673" s="5" t="s">
        <v>1045</v>
      </c>
      <c r="B673" s="74">
        <v>41165</v>
      </c>
      <c r="C673" s="1">
        <v>0.5</v>
      </c>
      <c r="D673">
        <v>2900</v>
      </c>
    </row>
    <row r="674" spans="1:4" x14ac:dyDescent="0.2">
      <c r="A674" s="5" t="s">
        <v>1046</v>
      </c>
      <c r="B674" s="74">
        <v>41165</v>
      </c>
      <c r="C674" s="1">
        <v>0.5</v>
      </c>
      <c r="D674">
        <v>0</v>
      </c>
    </row>
    <row r="675" spans="1:4" x14ac:dyDescent="0.2">
      <c r="A675" s="5" t="s">
        <v>1047</v>
      </c>
      <c r="B675" s="74">
        <v>41165</v>
      </c>
      <c r="C675" s="1">
        <v>0.5</v>
      </c>
      <c r="D675">
        <v>0</v>
      </c>
    </row>
    <row r="676" spans="1:4" x14ac:dyDescent="0.2">
      <c r="A676" s="5" t="s">
        <v>1048</v>
      </c>
      <c r="B676" s="74">
        <v>41165</v>
      </c>
      <c r="C676" s="1">
        <v>0.5</v>
      </c>
      <c r="D676">
        <v>6100</v>
      </c>
    </row>
    <row r="677" spans="1:4" x14ac:dyDescent="0.2">
      <c r="A677" s="5" t="s">
        <v>1049</v>
      </c>
      <c r="B677" s="74">
        <v>41165</v>
      </c>
      <c r="C677" s="1">
        <v>0.5</v>
      </c>
      <c r="D677">
        <v>5700</v>
      </c>
    </row>
    <row r="678" spans="1:4" x14ac:dyDescent="0.2">
      <c r="A678" s="5" t="s">
        <v>1056</v>
      </c>
      <c r="B678" s="74">
        <v>41165</v>
      </c>
      <c r="C678" s="1">
        <v>0.5</v>
      </c>
      <c r="D678">
        <v>6700</v>
      </c>
    </row>
    <row r="679" spans="1:4" x14ac:dyDescent="0.2">
      <c r="A679" s="5" t="s">
        <v>1057</v>
      </c>
      <c r="B679" s="74">
        <v>41165</v>
      </c>
      <c r="C679" s="1">
        <v>0.5</v>
      </c>
      <c r="D679">
        <v>12000</v>
      </c>
    </row>
    <row r="680" spans="1:4" x14ac:dyDescent="0.2">
      <c r="A680" s="5" t="s">
        <v>1058</v>
      </c>
      <c r="B680" s="74">
        <v>41165</v>
      </c>
      <c r="C680" s="1">
        <v>0.5</v>
      </c>
      <c r="D680">
        <v>4100</v>
      </c>
    </row>
    <row r="681" spans="1:4" x14ac:dyDescent="0.2">
      <c r="A681" s="5" t="s">
        <v>1061</v>
      </c>
      <c r="B681" s="74">
        <v>41165</v>
      </c>
      <c r="C681" s="1">
        <v>0.5</v>
      </c>
      <c r="D681">
        <v>3500</v>
      </c>
    </row>
    <row r="682" spans="1:4" x14ac:dyDescent="0.2">
      <c r="A682" s="5" t="s">
        <v>1062</v>
      </c>
      <c r="B682" s="74">
        <v>41165</v>
      </c>
      <c r="C682" s="1">
        <v>0.5</v>
      </c>
      <c r="D682">
        <v>16500</v>
      </c>
    </row>
    <row r="683" spans="1:4" x14ac:dyDescent="0.2">
      <c r="A683" s="5" t="s">
        <v>1065</v>
      </c>
      <c r="B683" s="74">
        <v>41165</v>
      </c>
      <c r="C683" s="1">
        <v>0.5</v>
      </c>
      <c r="D683">
        <v>0</v>
      </c>
    </row>
    <row r="684" spans="1:4" x14ac:dyDescent="0.2">
      <c r="A684" s="5" t="s">
        <v>1066</v>
      </c>
      <c r="B684" s="74">
        <v>41165</v>
      </c>
      <c r="C684" s="1">
        <v>0.5</v>
      </c>
      <c r="D684">
        <v>1500</v>
      </c>
    </row>
    <row r="685" spans="1:4" x14ac:dyDescent="0.2">
      <c r="A685" s="5" t="s">
        <v>1069</v>
      </c>
      <c r="B685" s="74">
        <v>41165</v>
      </c>
      <c r="C685" s="1">
        <v>0.5</v>
      </c>
      <c r="D685">
        <v>4900</v>
      </c>
    </row>
    <row r="686" spans="1:4" x14ac:dyDescent="0.2">
      <c r="A686" s="5" t="s">
        <v>1070</v>
      </c>
      <c r="B686" s="74">
        <v>41165</v>
      </c>
      <c r="C686" s="1">
        <v>0.5</v>
      </c>
      <c r="D686">
        <v>11000</v>
      </c>
    </row>
    <row r="687" spans="1:4" x14ac:dyDescent="0.2">
      <c r="A687" s="5" t="s">
        <v>1071</v>
      </c>
      <c r="B687" s="74">
        <v>41165</v>
      </c>
      <c r="C687" s="1">
        <v>0.5</v>
      </c>
      <c r="D687">
        <v>4800</v>
      </c>
    </row>
    <row r="688" spans="1:4" x14ac:dyDescent="0.2">
      <c r="A688" s="5" t="s">
        <v>1072</v>
      </c>
      <c r="B688" s="74">
        <v>41165</v>
      </c>
      <c r="C688" s="1">
        <v>0.5</v>
      </c>
      <c r="D688">
        <v>10700</v>
      </c>
    </row>
    <row r="689" spans="1:4" x14ac:dyDescent="0.2">
      <c r="A689" s="5" t="s">
        <v>1074</v>
      </c>
      <c r="B689" s="74">
        <v>41165</v>
      </c>
      <c r="C689" s="1">
        <v>0.5</v>
      </c>
      <c r="D689">
        <v>0</v>
      </c>
    </row>
    <row r="690" spans="1:4" x14ac:dyDescent="0.2">
      <c r="A690" s="5" t="s">
        <v>1077</v>
      </c>
      <c r="B690" s="74">
        <v>41165</v>
      </c>
      <c r="C690" s="1">
        <v>0.5</v>
      </c>
      <c r="D690">
        <v>0</v>
      </c>
    </row>
    <row r="691" spans="1:4" x14ac:dyDescent="0.2">
      <c r="A691" s="5" t="s">
        <v>14</v>
      </c>
      <c r="B691" s="74">
        <v>41165</v>
      </c>
      <c r="C691" s="1">
        <v>0.5</v>
      </c>
      <c r="D691">
        <v>9700</v>
      </c>
    </row>
    <row r="692" spans="1:4" x14ac:dyDescent="0.2">
      <c r="A692" s="5" t="s">
        <v>1079</v>
      </c>
      <c r="B692" s="74">
        <v>41165</v>
      </c>
      <c r="C692" s="1">
        <v>0.5</v>
      </c>
      <c r="D692">
        <v>29100</v>
      </c>
    </row>
    <row r="693" spans="1:4" x14ac:dyDescent="0.2">
      <c r="A693" s="5" t="s">
        <v>1085</v>
      </c>
      <c r="B693" s="74">
        <v>41165</v>
      </c>
      <c r="C693" s="1">
        <v>0.5</v>
      </c>
      <c r="D693">
        <v>12800</v>
      </c>
    </row>
    <row r="694" spans="1:4" x14ac:dyDescent="0.2">
      <c r="A694" s="5" t="s">
        <v>1087</v>
      </c>
      <c r="B694" s="74">
        <v>41165</v>
      </c>
      <c r="C694" s="1">
        <v>0.5</v>
      </c>
      <c r="D694">
        <v>15800</v>
      </c>
    </row>
    <row r="695" spans="1:4" x14ac:dyDescent="0.2">
      <c r="A695" s="5" t="s">
        <v>1089</v>
      </c>
      <c r="B695" s="74">
        <v>41165</v>
      </c>
      <c r="C695" s="1">
        <v>0.5</v>
      </c>
      <c r="D695">
        <v>2800</v>
      </c>
    </row>
    <row r="696" spans="1:4" x14ac:dyDescent="0.2">
      <c r="A696" s="5" t="s">
        <v>1099</v>
      </c>
      <c r="B696" s="74">
        <v>41165</v>
      </c>
      <c r="C696" s="1">
        <v>0.5</v>
      </c>
      <c r="D696">
        <v>0</v>
      </c>
    </row>
    <row r="697" spans="1:4" x14ac:dyDescent="0.2">
      <c r="A697" s="5" t="s">
        <v>1101</v>
      </c>
      <c r="B697" s="74">
        <v>41165</v>
      </c>
      <c r="C697" s="1">
        <v>0.5</v>
      </c>
      <c r="D697">
        <v>0</v>
      </c>
    </row>
    <row r="698" spans="1:4" x14ac:dyDescent="0.2">
      <c r="A698" s="5" t="s">
        <v>1103</v>
      </c>
      <c r="B698" s="74">
        <v>41165</v>
      </c>
      <c r="C698" s="1">
        <v>0.5</v>
      </c>
      <c r="D698">
        <v>0</v>
      </c>
    </row>
    <row r="699" spans="1:4" x14ac:dyDescent="0.2">
      <c r="A699" s="5" t="s">
        <v>1104</v>
      </c>
      <c r="B699" s="74">
        <v>41165</v>
      </c>
      <c r="C699" s="1">
        <v>0.5</v>
      </c>
      <c r="D699">
        <v>0</v>
      </c>
    </row>
    <row r="700" spans="1:4" x14ac:dyDescent="0.2">
      <c r="A700" s="5" t="s">
        <v>1105</v>
      </c>
      <c r="B700" s="74">
        <v>41165</v>
      </c>
      <c r="C700" s="1">
        <v>0.5</v>
      </c>
      <c r="D700">
        <v>0</v>
      </c>
    </row>
    <row r="701" spans="1:4" x14ac:dyDescent="0.2">
      <c r="A701" s="5" t="s">
        <v>1106</v>
      </c>
      <c r="B701" s="74">
        <v>41165</v>
      </c>
      <c r="C701" s="1">
        <v>0.5</v>
      </c>
      <c r="D701">
        <v>37000</v>
      </c>
    </row>
    <row r="702" spans="1:4" x14ac:dyDescent="0.2">
      <c r="A702" s="5" t="s">
        <v>1107</v>
      </c>
      <c r="B702" s="74">
        <v>41165</v>
      </c>
      <c r="C702" s="1">
        <v>0.5</v>
      </c>
      <c r="D702">
        <v>4800</v>
      </c>
    </row>
    <row r="703" spans="1:4" x14ac:dyDescent="0.2">
      <c r="A703" s="5" t="s">
        <v>1108</v>
      </c>
      <c r="B703" s="74">
        <v>41165</v>
      </c>
      <c r="C703" s="1">
        <v>0.5</v>
      </c>
      <c r="D703">
        <v>0</v>
      </c>
    </row>
    <row r="704" spans="1:4" x14ac:dyDescent="0.2">
      <c r="A704" s="5" t="s">
        <v>1109</v>
      </c>
      <c r="B704" s="74">
        <v>41165</v>
      </c>
      <c r="C704" s="1">
        <v>0.5</v>
      </c>
      <c r="D704">
        <v>0</v>
      </c>
    </row>
    <row r="705" spans="1:4" x14ac:dyDescent="0.2">
      <c r="A705" s="5" t="s">
        <v>1110</v>
      </c>
      <c r="B705" s="74">
        <v>41165</v>
      </c>
      <c r="C705" s="1">
        <v>0.5</v>
      </c>
      <c r="D705">
        <v>0</v>
      </c>
    </row>
    <row r="706" spans="1:4" x14ac:dyDescent="0.2">
      <c r="A706" s="5" t="s">
        <v>1111</v>
      </c>
      <c r="B706" s="74">
        <v>41165</v>
      </c>
      <c r="C706" s="1">
        <v>0.5</v>
      </c>
      <c r="D706">
        <v>0</v>
      </c>
    </row>
    <row r="707" spans="1:4" x14ac:dyDescent="0.2">
      <c r="A707" s="5" t="s">
        <v>1112</v>
      </c>
      <c r="B707" s="74">
        <v>41165</v>
      </c>
      <c r="C707" s="1">
        <v>0.5</v>
      </c>
      <c r="D707">
        <v>0</v>
      </c>
    </row>
    <row r="708" spans="1:4" x14ac:dyDescent="0.2">
      <c r="A708" s="5" t="s">
        <v>1113</v>
      </c>
      <c r="B708" s="74">
        <v>41165</v>
      </c>
      <c r="C708" s="1">
        <v>0.5</v>
      </c>
      <c r="D708">
        <v>4700</v>
      </c>
    </row>
    <row r="709" spans="1:4" x14ac:dyDescent="0.2">
      <c r="A709" s="5" t="s">
        <v>1114</v>
      </c>
      <c r="B709" s="74">
        <v>41165</v>
      </c>
      <c r="C709" s="1">
        <v>0.5</v>
      </c>
      <c r="D709">
        <v>12700</v>
      </c>
    </row>
    <row r="710" spans="1:4" x14ac:dyDescent="0.2">
      <c r="A710" s="5" t="s">
        <v>1115</v>
      </c>
      <c r="B710" s="74">
        <v>41165</v>
      </c>
      <c r="C710" s="1">
        <v>0.5</v>
      </c>
      <c r="D710">
        <v>8900</v>
      </c>
    </row>
    <row r="711" spans="1:4" x14ac:dyDescent="0.2">
      <c r="A711" s="5" t="s">
        <v>1116</v>
      </c>
      <c r="B711" s="74">
        <v>41165</v>
      </c>
      <c r="C711" s="1">
        <v>0.5</v>
      </c>
      <c r="D711">
        <v>5500</v>
      </c>
    </row>
    <row r="712" spans="1:4" x14ac:dyDescent="0.2">
      <c r="A712" s="5" t="s">
        <v>1117</v>
      </c>
      <c r="B712" s="74">
        <v>41165</v>
      </c>
      <c r="C712" s="1">
        <v>0.5</v>
      </c>
      <c r="D712">
        <v>18000</v>
      </c>
    </row>
    <row r="713" spans="1:4" x14ac:dyDescent="0.2">
      <c r="A713" s="5" t="s">
        <v>1118</v>
      </c>
      <c r="B713" s="74">
        <v>41165</v>
      </c>
      <c r="C713" s="1">
        <v>0.5</v>
      </c>
      <c r="D713">
        <v>12000</v>
      </c>
    </row>
    <row r="714" spans="1:4" x14ac:dyDescent="0.2">
      <c r="A714" s="5" t="s">
        <v>1119</v>
      </c>
      <c r="B714" s="74">
        <v>41165</v>
      </c>
      <c r="C714" s="1">
        <v>0.5</v>
      </c>
      <c r="D714">
        <v>11100</v>
      </c>
    </row>
    <row r="715" spans="1:4" x14ac:dyDescent="0.2">
      <c r="A715" s="5" t="s">
        <v>1120</v>
      </c>
      <c r="B715" s="74">
        <v>41165</v>
      </c>
      <c r="C715" s="1">
        <v>0.5</v>
      </c>
      <c r="D715">
        <v>10300</v>
      </c>
    </row>
    <row r="716" spans="1:4" x14ac:dyDescent="0.2">
      <c r="A716" s="5" t="s">
        <v>1121</v>
      </c>
      <c r="B716" s="74">
        <v>41165</v>
      </c>
      <c r="C716" s="1">
        <v>0.5</v>
      </c>
      <c r="D716">
        <v>29900</v>
      </c>
    </row>
    <row r="717" spans="1:4" x14ac:dyDescent="0.2">
      <c r="A717" s="5" t="s">
        <v>1122</v>
      </c>
      <c r="B717" s="74">
        <v>41165</v>
      </c>
      <c r="C717" s="1">
        <v>0.5</v>
      </c>
      <c r="D717">
        <v>10000</v>
      </c>
    </row>
    <row r="718" spans="1:4" x14ac:dyDescent="0.2">
      <c r="A718" s="5" t="s">
        <v>1123</v>
      </c>
      <c r="B718" s="74">
        <v>41165</v>
      </c>
      <c r="C718" s="1">
        <v>0.5</v>
      </c>
      <c r="D718">
        <v>2800</v>
      </c>
    </row>
    <row r="719" spans="1:4" x14ac:dyDescent="0.2">
      <c r="A719" s="5" t="s">
        <v>1124</v>
      </c>
      <c r="B719" s="74">
        <v>41165</v>
      </c>
      <c r="C719" s="1">
        <v>0.5</v>
      </c>
      <c r="D719">
        <v>5800</v>
      </c>
    </row>
    <row r="720" spans="1:4" x14ac:dyDescent="0.2">
      <c r="A720" s="5" t="s">
        <v>1125</v>
      </c>
      <c r="B720" s="74">
        <v>41165</v>
      </c>
      <c r="C720" s="1">
        <v>0.5</v>
      </c>
      <c r="D720">
        <v>6300</v>
      </c>
    </row>
    <row r="721" spans="1:4" x14ac:dyDescent="0.2">
      <c r="A721" s="5" t="s">
        <v>1126</v>
      </c>
      <c r="B721" s="74">
        <v>41165</v>
      </c>
      <c r="C721" s="1">
        <v>0.5</v>
      </c>
      <c r="D721">
        <v>0</v>
      </c>
    </row>
    <row r="722" spans="1:4" x14ac:dyDescent="0.2">
      <c r="A722" s="5" t="s">
        <v>1127</v>
      </c>
      <c r="B722" s="74">
        <v>41165</v>
      </c>
      <c r="C722" s="1">
        <v>0.5</v>
      </c>
      <c r="D722">
        <v>3000</v>
      </c>
    </row>
    <row r="723" spans="1:4" x14ac:dyDescent="0.2">
      <c r="A723" s="5" t="s">
        <v>1128</v>
      </c>
      <c r="B723" s="74">
        <v>41165</v>
      </c>
      <c r="C723" s="1">
        <v>0.5</v>
      </c>
      <c r="D723">
        <v>3700</v>
      </c>
    </row>
    <row r="724" spans="1:4" x14ac:dyDescent="0.2">
      <c r="A724" s="5" t="s">
        <v>1129</v>
      </c>
      <c r="B724" s="74">
        <v>41165</v>
      </c>
      <c r="C724" s="1">
        <v>0.5</v>
      </c>
      <c r="D724">
        <v>4500</v>
      </c>
    </row>
    <row r="725" spans="1:4" x14ac:dyDescent="0.2">
      <c r="A725" s="5" t="s">
        <v>1130</v>
      </c>
      <c r="B725" s="74">
        <v>41165</v>
      </c>
      <c r="C725" s="1">
        <v>0.5</v>
      </c>
      <c r="D725">
        <v>3600</v>
      </c>
    </row>
    <row r="726" spans="1:4" x14ac:dyDescent="0.2">
      <c r="A726" s="5" t="s">
        <v>1131</v>
      </c>
      <c r="B726" s="74">
        <v>41165</v>
      </c>
      <c r="C726" s="1">
        <v>0.5</v>
      </c>
      <c r="D726">
        <v>12400</v>
      </c>
    </row>
    <row r="727" spans="1:4" x14ac:dyDescent="0.2">
      <c r="A727" s="5" t="s">
        <v>1132</v>
      </c>
      <c r="B727" s="74">
        <v>41165</v>
      </c>
      <c r="C727" s="1">
        <v>0.5</v>
      </c>
      <c r="D727">
        <v>16200</v>
      </c>
    </row>
    <row r="728" spans="1:4" x14ac:dyDescent="0.2">
      <c r="A728" s="5" t="s">
        <v>1133</v>
      </c>
      <c r="B728" s="74">
        <v>41165</v>
      </c>
      <c r="C728" s="1">
        <v>0.5</v>
      </c>
      <c r="D728">
        <v>20800</v>
      </c>
    </row>
    <row r="729" spans="1:4" x14ac:dyDescent="0.2">
      <c r="A729" s="5" t="s">
        <v>1134</v>
      </c>
      <c r="B729" s="74">
        <v>41165</v>
      </c>
      <c r="C729" s="1">
        <v>0.5</v>
      </c>
      <c r="D729">
        <v>14300</v>
      </c>
    </row>
    <row r="730" spans="1:4" x14ac:dyDescent="0.2">
      <c r="A730" s="5" t="s">
        <v>1135</v>
      </c>
      <c r="B730" s="74">
        <v>41165</v>
      </c>
      <c r="C730" s="1">
        <v>0.5</v>
      </c>
      <c r="D730">
        <v>11700</v>
      </c>
    </row>
    <row r="731" spans="1:4" x14ac:dyDescent="0.2">
      <c r="A731" s="5" t="s">
        <v>1136</v>
      </c>
      <c r="B731" s="74">
        <v>41165</v>
      </c>
      <c r="C731" s="1">
        <v>0.5</v>
      </c>
      <c r="D731">
        <v>7500</v>
      </c>
    </row>
    <row r="732" spans="1:4" x14ac:dyDescent="0.2">
      <c r="A732" s="5" t="s">
        <v>1137</v>
      </c>
      <c r="B732" s="74">
        <v>41165</v>
      </c>
      <c r="C732" s="1">
        <v>0.5</v>
      </c>
      <c r="D732">
        <v>0</v>
      </c>
    </row>
    <row r="733" spans="1:4" x14ac:dyDescent="0.2">
      <c r="A733" s="5" t="s">
        <v>1138</v>
      </c>
      <c r="B733" s="74">
        <v>41165</v>
      </c>
      <c r="C733" s="1">
        <v>0.5</v>
      </c>
      <c r="D733">
        <v>3000</v>
      </c>
    </row>
    <row r="734" spans="1:4" x14ac:dyDescent="0.2">
      <c r="A734" s="5" t="s">
        <v>1139</v>
      </c>
      <c r="B734" s="74">
        <v>41165</v>
      </c>
      <c r="C734" s="1">
        <v>0.5</v>
      </c>
      <c r="D734">
        <v>0</v>
      </c>
    </row>
    <row r="735" spans="1:4" x14ac:dyDescent="0.2">
      <c r="A735" s="5" t="s">
        <v>1140</v>
      </c>
      <c r="B735" s="74">
        <v>41165</v>
      </c>
      <c r="C735" s="1">
        <v>0.5</v>
      </c>
      <c r="D735">
        <v>3700</v>
      </c>
    </row>
    <row r="736" spans="1:4" x14ac:dyDescent="0.2">
      <c r="A736" s="5" t="s">
        <v>1141</v>
      </c>
      <c r="B736" s="74">
        <v>41165</v>
      </c>
      <c r="C736" s="1">
        <v>0.5</v>
      </c>
      <c r="D736">
        <v>14600</v>
      </c>
    </row>
    <row r="737" spans="1:4" x14ac:dyDescent="0.2">
      <c r="A737" s="5" t="s">
        <v>1142</v>
      </c>
      <c r="B737" s="74">
        <v>41165</v>
      </c>
      <c r="C737" s="1">
        <v>0.5</v>
      </c>
      <c r="D737">
        <v>6700</v>
      </c>
    </row>
    <row r="738" spans="1:4" x14ac:dyDescent="0.2">
      <c r="A738" s="5" t="s">
        <v>1143</v>
      </c>
      <c r="B738" s="74">
        <v>41165</v>
      </c>
      <c r="C738" s="1">
        <v>0.5</v>
      </c>
      <c r="D738">
        <v>4300</v>
      </c>
    </row>
    <row r="739" spans="1:4" x14ac:dyDescent="0.2">
      <c r="A739" s="5" t="s">
        <v>1144</v>
      </c>
      <c r="B739" s="74">
        <v>41165</v>
      </c>
      <c r="C739" s="1">
        <v>0.5</v>
      </c>
      <c r="D739">
        <v>5100</v>
      </c>
    </row>
    <row r="740" spans="1:4" x14ac:dyDescent="0.2">
      <c r="A740" s="5" t="s">
        <v>1145</v>
      </c>
      <c r="B740" s="74">
        <v>41165</v>
      </c>
      <c r="C740" s="1">
        <v>0.5</v>
      </c>
      <c r="D740">
        <v>3300</v>
      </c>
    </row>
    <row r="741" spans="1:4" x14ac:dyDescent="0.2">
      <c r="A741" s="5" t="s">
        <v>1146</v>
      </c>
      <c r="B741" s="74">
        <v>41165</v>
      </c>
      <c r="C741" s="1">
        <v>0.5</v>
      </c>
      <c r="D741">
        <v>32500</v>
      </c>
    </row>
    <row r="742" spans="1:4" x14ac:dyDescent="0.2">
      <c r="A742" s="5" t="s">
        <v>1147</v>
      </c>
      <c r="B742" s="74">
        <v>41165</v>
      </c>
      <c r="C742" s="1">
        <v>0.5</v>
      </c>
      <c r="D742">
        <v>18900</v>
      </c>
    </row>
    <row r="743" spans="1:4" x14ac:dyDescent="0.2">
      <c r="A743" s="5" t="s">
        <v>1148</v>
      </c>
      <c r="B743" s="74">
        <v>41165</v>
      </c>
      <c r="C743" s="1">
        <v>0.5</v>
      </c>
      <c r="D743">
        <v>2500</v>
      </c>
    </row>
    <row r="744" spans="1:4" x14ac:dyDescent="0.2">
      <c r="A744" s="5" t="s">
        <v>1149</v>
      </c>
      <c r="B744" s="74">
        <v>41165</v>
      </c>
      <c r="C744" s="1">
        <v>0.5</v>
      </c>
      <c r="D744">
        <v>21000</v>
      </c>
    </row>
    <row r="745" spans="1:4" x14ac:dyDescent="0.2">
      <c r="A745" s="5" t="s">
        <v>1150</v>
      </c>
      <c r="B745" s="74">
        <v>41165</v>
      </c>
      <c r="C745" s="1">
        <v>0.5</v>
      </c>
      <c r="D745">
        <v>5200</v>
      </c>
    </row>
    <row r="746" spans="1:4" x14ac:dyDescent="0.2">
      <c r="A746" s="5" t="s">
        <v>1151</v>
      </c>
      <c r="B746" s="74">
        <v>41165</v>
      </c>
      <c r="C746" s="1">
        <v>0.5</v>
      </c>
      <c r="D746">
        <v>2500</v>
      </c>
    </row>
    <row r="747" spans="1:4" x14ac:dyDescent="0.2">
      <c r="A747" s="5" t="s">
        <v>1152</v>
      </c>
      <c r="B747" s="74">
        <v>41165</v>
      </c>
      <c r="C747" s="1">
        <v>0.5</v>
      </c>
      <c r="D747">
        <v>43500</v>
      </c>
    </row>
    <row r="748" spans="1:4" x14ac:dyDescent="0.2">
      <c r="A748" s="5" t="s">
        <v>1153</v>
      </c>
      <c r="B748" s="74">
        <v>41165</v>
      </c>
      <c r="C748" s="1">
        <v>0.5</v>
      </c>
      <c r="D748">
        <v>10200</v>
      </c>
    </row>
    <row r="749" spans="1:4" x14ac:dyDescent="0.2">
      <c r="A749" s="5" t="s">
        <v>1154</v>
      </c>
      <c r="B749" s="74">
        <v>41165</v>
      </c>
      <c r="C749" s="1">
        <v>0.5</v>
      </c>
      <c r="D749">
        <v>12000</v>
      </c>
    </row>
    <row r="750" spans="1:4" x14ac:dyDescent="0.2">
      <c r="A750" s="5" t="s">
        <v>1155</v>
      </c>
      <c r="B750" s="74">
        <v>41165</v>
      </c>
      <c r="C750" s="1">
        <v>0.5</v>
      </c>
      <c r="D750">
        <v>2700</v>
      </c>
    </row>
    <row r="751" spans="1:4" x14ac:dyDescent="0.2">
      <c r="A751" s="5" t="s">
        <v>1156</v>
      </c>
      <c r="B751" s="74">
        <v>41165</v>
      </c>
      <c r="C751" s="1">
        <v>0.5</v>
      </c>
      <c r="D751">
        <v>3600</v>
      </c>
    </row>
    <row r="752" spans="1:4" x14ac:dyDescent="0.2">
      <c r="A752" s="5" t="s">
        <v>1157</v>
      </c>
      <c r="B752" s="74">
        <v>41165</v>
      </c>
      <c r="C752" s="1">
        <v>0.5</v>
      </c>
      <c r="D752">
        <v>12400</v>
      </c>
    </row>
    <row r="753" spans="1:4" x14ac:dyDescent="0.2">
      <c r="A753" s="5" t="s">
        <v>1158</v>
      </c>
      <c r="B753" s="74">
        <v>41165</v>
      </c>
      <c r="C753" s="1">
        <v>0.5</v>
      </c>
      <c r="D753">
        <v>24900</v>
      </c>
    </row>
    <row r="754" spans="1:4" x14ac:dyDescent="0.2">
      <c r="A754" s="5" t="s">
        <v>1159</v>
      </c>
      <c r="B754" s="74">
        <v>41165</v>
      </c>
      <c r="C754" s="1">
        <v>0.5</v>
      </c>
      <c r="D754">
        <v>9700</v>
      </c>
    </row>
    <row r="755" spans="1:4" x14ac:dyDescent="0.2">
      <c r="A755" s="5" t="s">
        <v>1160</v>
      </c>
      <c r="B755" s="74">
        <v>41165</v>
      </c>
      <c r="C755" s="1">
        <v>0.5</v>
      </c>
      <c r="D755">
        <v>7000</v>
      </c>
    </row>
    <row r="756" spans="1:4" x14ac:dyDescent="0.2">
      <c r="A756" s="5" t="s">
        <v>1161</v>
      </c>
      <c r="B756" s="74">
        <v>41165</v>
      </c>
      <c r="C756" s="1">
        <v>0.5</v>
      </c>
      <c r="D756">
        <v>4800</v>
      </c>
    </row>
    <row r="757" spans="1:4" x14ac:dyDescent="0.2">
      <c r="A757" s="5" t="s">
        <v>1162</v>
      </c>
      <c r="B757" s="74">
        <v>41165</v>
      </c>
      <c r="C757" s="1">
        <v>0.5</v>
      </c>
      <c r="D757">
        <v>3000</v>
      </c>
    </row>
    <row r="758" spans="1:4" x14ac:dyDescent="0.2">
      <c r="A758" s="5" t="s">
        <v>1163</v>
      </c>
      <c r="B758" s="74">
        <v>41165</v>
      </c>
      <c r="C758" s="1">
        <v>0.5</v>
      </c>
      <c r="D758">
        <v>10200</v>
      </c>
    </row>
    <row r="759" spans="1:4" x14ac:dyDescent="0.2">
      <c r="A759" s="5" t="s">
        <v>1164</v>
      </c>
      <c r="B759" s="74">
        <v>41165</v>
      </c>
      <c r="C759" s="1">
        <v>0.5</v>
      </c>
      <c r="D759">
        <v>14300</v>
      </c>
    </row>
    <row r="760" spans="1:4" x14ac:dyDescent="0.2">
      <c r="A760" s="5" t="s">
        <v>1165</v>
      </c>
      <c r="B760" s="74">
        <v>41165</v>
      </c>
      <c r="C760" s="1">
        <v>0.5</v>
      </c>
      <c r="D760">
        <v>9300</v>
      </c>
    </row>
    <row r="761" spans="1:4" x14ac:dyDescent="0.2">
      <c r="A761" s="5" t="s">
        <v>1166</v>
      </c>
      <c r="B761" s="74">
        <v>41165</v>
      </c>
      <c r="C761" s="1">
        <v>0.5</v>
      </c>
      <c r="D761">
        <v>9000</v>
      </c>
    </row>
    <row r="762" spans="1:4" x14ac:dyDescent="0.2">
      <c r="A762" s="5" t="s">
        <v>1167</v>
      </c>
      <c r="B762" s="74">
        <v>41165</v>
      </c>
      <c r="C762" s="1">
        <v>0.5</v>
      </c>
      <c r="D762">
        <v>10000</v>
      </c>
    </row>
    <row r="763" spans="1:4" x14ac:dyDescent="0.2">
      <c r="A763" s="5" t="s">
        <v>1168</v>
      </c>
      <c r="B763" s="74">
        <v>41165</v>
      </c>
      <c r="C763" s="1">
        <v>0.5</v>
      </c>
      <c r="D763">
        <v>3300</v>
      </c>
    </row>
    <row r="764" spans="1:4" x14ac:dyDescent="0.2">
      <c r="A764" s="5" t="s">
        <v>1169</v>
      </c>
      <c r="B764" s="74">
        <v>41165</v>
      </c>
      <c r="C764" s="1">
        <v>0.5</v>
      </c>
      <c r="D764">
        <v>2000</v>
      </c>
    </row>
    <row r="765" spans="1:4" x14ac:dyDescent="0.2">
      <c r="A765" s="5" t="s">
        <v>1170</v>
      </c>
      <c r="B765" s="74">
        <v>41165</v>
      </c>
      <c r="C765" s="1">
        <v>0.5</v>
      </c>
      <c r="D765">
        <v>0</v>
      </c>
    </row>
    <row r="766" spans="1:4" x14ac:dyDescent="0.2">
      <c r="A766" s="5" t="s">
        <v>1171</v>
      </c>
      <c r="B766" s="74">
        <v>41165</v>
      </c>
      <c r="C766" s="1">
        <v>0.5</v>
      </c>
      <c r="D766">
        <v>9100</v>
      </c>
    </row>
    <row r="767" spans="1:4" x14ac:dyDescent="0.2">
      <c r="A767" s="5" t="s">
        <v>1172</v>
      </c>
      <c r="B767" s="74">
        <v>41165</v>
      </c>
      <c r="C767" s="1">
        <v>0.5</v>
      </c>
      <c r="D767">
        <v>3400</v>
      </c>
    </row>
    <row r="768" spans="1:4" x14ac:dyDescent="0.2">
      <c r="A768" s="5" t="s">
        <v>1173</v>
      </c>
      <c r="B768" s="74">
        <v>41165</v>
      </c>
      <c r="C768" s="1">
        <v>0.5</v>
      </c>
      <c r="D768">
        <v>3700</v>
      </c>
    </row>
    <row r="769" spans="1:4" x14ac:dyDescent="0.2">
      <c r="A769" s="5" t="s">
        <v>1174</v>
      </c>
      <c r="B769" s="74">
        <v>41165</v>
      </c>
      <c r="C769" s="1">
        <v>0.5</v>
      </c>
      <c r="D769">
        <v>0</v>
      </c>
    </row>
    <row r="770" spans="1:4" x14ac:dyDescent="0.2">
      <c r="A770" s="5" t="s">
        <v>1175</v>
      </c>
      <c r="B770" s="74">
        <v>41165</v>
      </c>
      <c r="C770" s="1">
        <v>0.5</v>
      </c>
      <c r="D770">
        <v>10000</v>
      </c>
    </row>
    <row r="771" spans="1:4" x14ac:dyDescent="0.2">
      <c r="A771" s="5" t="s">
        <v>1176</v>
      </c>
      <c r="B771" s="74">
        <v>41165</v>
      </c>
      <c r="C771" s="1">
        <v>0.5</v>
      </c>
      <c r="D771">
        <v>20000</v>
      </c>
    </row>
    <row r="772" spans="1:4" x14ac:dyDescent="0.2">
      <c r="A772" s="5" t="s">
        <v>1177</v>
      </c>
      <c r="B772" s="74">
        <v>41165</v>
      </c>
      <c r="C772" s="1">
        <v>0.5</v>
      </c>
      <c r="D772">
        <v>31400</v>
      </c>
    </row>
    <row r="773" spans="1:4" x14ac:dyDescent="0.2">
      <c r="A773" s="5" t="s">
        <v>1178</v>
      </c>
      <c r="B773" s="74">
        <v>41165</v>
      </c>
      <c r="C773" s="1">
        <v>0.5</v>
      </c>
      <c r="D773">
        <v>3000</v>
      </c>
    </row>
    <row r="774" spans="1:4" x14ac:dyDescent="0.2">
      <c r="A774" s="5" t="s">
        <v>1179</v>
      </c>
      <c r="B774" s="74">
        <v>41165</v>
      </c>
      <c r="C774" s="1">
        <v>0.5</v>
      </c>
      <c r="D774">
        <v>2700</v>
      </c>
    </row>
    <row r="775" spans="1:4" x14ac:dyDescent="0.2">
      <c r="A775" s="5" t="s">
        <v>1180</v>
      </c>
      <c r="B775" s="74">
        <v>41165</v>
      </c>
      <c r="C775" s="1">
        <v>0.5</v>
      </c>
      <c r="D775">
        <v>51000</v>
      </c>
    </row>
    <row r="776" spans="1:4" x14ac:dyDescent="0.2">
      <c r="A776" s="5" t="s">
        <v>1181</v>
      </c>
      <c r="B776" s="74">
        <v>41165</v>
      </c>
      <c r="C776" s="1">
        <v>0.5</v>
      </c>
      <c r="D776">
        <v>0</v>
      </c>
    </row>
    <row r="777" spans="1:4" x14ac:dyDescent="0.2">
      <c r="A777" s="5" t="s">
        <v>1182</v>
      </c>
      <c r="B777" s="74">
        <v>41165</v>
      </c>
      <c r="C777" s="1">
        <v>0.5</v>
      </c>
      <c r="D777">
        <v>2500</v>
      </c>
    </row>
    <row r="778" spans="1:4" x14ac:dyDescent="0.2">
      <c r="A778" s="5" t="s">
        <v>1183</v>
      </c>
      <c r="B778" s="74">
        <v>41165</v>
      </c>
      <c r="C778" s="1">
        <v>0.5</v>
      </c>
      <c r="D778">
        <v>5500</v>
      </c>
    </row>
    <row r="779" spans="1:4" x14ac:dyDescent="0.2">
      <c r="A779" s="5" t="s">
        <v>21</v>
      </c>
      <c r="B779" s="74">
        <v>41165</v>
      </c>
      <c r="C779" s="1">
        <v>0.5</v>
      </c>
      <c r="D779">
        <v>4600</v>
      </c>
    </row>
    <row r="780" spans="1:4" x14ac:dyDescent="0.2">
      <c r="A780" s="5" t="s">
        <v>1184</v>
      </c>
      <c r="B780" s="74">
        <v>41165</v>
      </c>
      <c r="C780" s="1">
        <v>0.5</v>
      </c>
      <c r="D780">
        <v>10100</v>
      </c>
    </row>
    <row r="781" spans="1:4" x14ac:dyDescent="0.2">
      <c r="A781" s="5" t="s">
        <v>1185</v>
      </c>
      <c r="B781" s="74">
        <v>41165</v>
      </c>
      <c r="C781" s="1">
        <v>0.5</v>
      </c>
      <c r="D781">
        <v>18000</v>
      </c>
    </row>
    <row r="782" spans="1:4" x14ac:dyDescent="0.2">
      <c r="A782" s="5" t="s">
        <v>1186</v>
      </c>
      <c r="B782" s="74">
        <v>41165</v>
      </c>
      <c r="C782" s="1">
        <v>0.5</v>
      </c>
      <c r="D782">
        <v>37500</v>
      </c>
    </row>
    <row r="783" spans="1:4" x14ac:dyDescent="0.2">
      <c r="A783" s="5" t="s">
        <v>1187</v>
      </c>
      <c r="B783" s="74">
        <v>41165</v>
      </c>
      <c r="C783" s="1">
        <v>0.5</v>
      </c>
      <c r="D783">
        <v>8800</v>
      </c>
    </row>
    <row r="784" spans="1:4" x14ac:dyDescent="0.2">
      <c r="A784" s="5" t="s">
        <v>1188</v>
      </c>
      <c r="B784" s="74">
        <v>41165</v>
      </c>
      <c r="C784" s="1">
        <v>0.5</v>
      </c>
      <c r="D784">
        <v>16900</v>
      </c>
    </row>
    <row r="785" spans="1:4" x14ac:dyDescent="0.2">
      <c r="A785" s="5" t="s">
        <v>12</v>
      </c>
      <c r="B785" s="74">
        <v>41165</v>
      </c>
      <c r="C785" s="1">
        <v>0.5</v>
      </c>
      <c r="D785">
        <v>5900</v>
      </c>
    </row>
    <row r="786" spans="1:4" x14ac:dyDescent="0.2">
      <c r="A786" s="5" t="s">
        <v>1189</v>
      </c>
      <c r="B786" s="74">
        <v>41165</v>
      </c>
      <c r="C786" s="1">
        <v>0.5</v>
      </c>
      <c r="D786">
        <v>3000</v>
      </c>
    </row>
    <row r="787" spans="1:4" x14ac:dyDescent="0.2">
      <c r="A787" s="5" t="s">
        <v>1190</v>
      </c>
      <c r="B787" s="74">
        <v>41165</v>
      </c>
      <c r="C787" s="1">
        <v>0.5</v>
      </c>
      <c r="D787">
        <v>12000</v>
      </c>
    </row>
    <row r="788" spans="1:4" x14ac:dyDescent="0.2">
      <c r="A788" s="5" t="s">
        <v>19</v>
      </c>
      <c r="B788" s="74">
        <v>41165</v>
      </c>
      <c r="C788" s="1">
        <v>0.5</v>
      </c>
      <c r="D788">
        <v>5300</v>
      </c>
    </row>
    <row r="789" spans="1:4" x14ac:dyDescent="0.2">
      <c r="A789" s="5" t="s">
        <v>1191</v>
      </c>
      <c r="B789" s="74">
        <v>41165</v>
      </c>
      <c r="C789" s="1">
        <v>0.5</v>
      </c>
      <c r="D789">
        <v>5900</v>
      </c>
    </row>
    <row r="790" spans="1:4" x14ac:dyDescent="0.2">
      <c r="A790" s="5" t="s">
        <v>1192</v>
      </c>
      <c r="B790" s="74">
        <v>41165</v>
      </c>
      <c r="C790" s="1">
        <v>0.5</v>
      </c>
      <c r="D790">
        <v>4900</v>
      </c>
    </row>
    <row r="791" spans="1:4" x14ac:dyDescent="0.2">
      <c r="A791" s="5" t="s">
        <v>1193</v>
      </c>
      <c r="B791" s="74">
        <v>41165</v>
      </c>
      <c r="C791" s="1">
        <v>0.5</v>
      </c>
      <c r="D791">
        <v>1300</v>
      </c>
    </row>
    <row r="792" spans="1:4" x14ac:dyDescent="0.2">
      <c r="A792" s="5" t="s">
        <v>1194</v>
      </c>
      <c r="B792" s="74">
        <v>41165</v>
      </c>
      <c r="C792" s="1">
        <v>0.5</v>
      </c>
      <c r="D792">
        <v>6300</v>
      </c>
    </row>
    <row r="793" spans="1:4" x14ac:dyDescent="0.2">
      <c r="A793" s="5" t="s">
        <v>17</v>
      </c>
      <c r="B793" s="74">
        <v>41165</v>
      </c>
      <c r="C793" s="1">
        <v>0.5</v>
      </c>
      <c r="D793">
        <v>1800</v>
      </c>
    </row>
    <row r="794" spans="1:4" x14ac:dyDescent="0.2">
      <c r="A794" s="5" t="s">
        <v>1195</v>
      </c>
      <c r="B794" s="74">
        <v>41165</v>
      </c>
      <c r="C794" s="1">
        <v>0.5</v>
      </c>
      <c r="D794">
        <v>9000</v>
      </c>
    </row>
    <row r="795" spans="1:4" x14ac:dyDescent="0.2">
      <c r="A795" s="5" t="s">
        <v>1196</v>
      </c>
      <c r="B795" s="74">
        <v>41165</v>
      </c>
      <c r="C795" s="1">
        <v>0.5</v>
      </c>
      <c r="D795">
        <v>2600</v>
      </c>
    </row>
    <row r="796" spans="1:4" x14ac:dyDescent="0.2">
      <c r="A796" s="5" t="s">
        <v>1197</v>
      </c>
      <c r="B796" s="74">
        <v>41165</v>
      </c>
      <c r="C796" s="1">
        <v>0.5</v>
      </c>
      <c r="D796">
        <v>19500</v>
      </c>
    </row>
    <row r="797" spans="1:4" x14ac:dyDescent="0.2">
      <c r="A797" s="5" t="s">
        <v>1198</v>
      </c>
      <c r="B797" s="74">
        <v>41165</v>
      </c>
      <c r="C797" s="1">
        <v>0.5</v>
      </c>
      <c r="D797">
        <v>7300</v>
      </c>
    </row>
    <row r="798" spans="1:4" x14ac:dyDescent="0.2">
      <c r="A798" s="5" t="s">
        <v>1199</v>
      </c>
      <c r="B798" s="74">
        <v>41165</v>
      </c>
      <c r="C798" s="1">
        <v>0.5</v>
      </c>
      <c r="D798">
        <v>38000</v>
      </c>
    </row>
    <row r="799" spans="1:4" x14ac:dyDescent="0.2">
      <c r="A799" s="5" t="s">
        <v>1200</v>
      </c>
      <c r="B799" s="74">
        <v>41165</v>
      </c>
      <c r="C799" s="1">
        <v>0.5</v>
      </c>
      <c r="D799">
        <v>11000</v>
      </c>
    </row>
    <row r="800" spans="1:4" x14ac:dyDescent="0.2">
      <c r="A800" s="5" t="s">
        <v>1201</v>
      </c>
      <c r="B800" s="74">
        <v>41165</v>
      </c>
      <c r="C800" s="1">
        <v>0.5</v>
      </c>
      <c r="D800">
        <v>7400</v>
      </c>
    </row>
    <row r="801" spans="1:4" x14ac:dyDescent="0.2">
      <c r="A801" s="5" t="s">
        <v>1202</v>
      </c>
      <c r="B801" s="74">
        <v>41165</v>
      </c>
      <c r="C801" s="1">
        <v>0.5</v>
      </c>
      <c r="D801">
        <v>5300</v>
      </c>
    </row>
    <row r="802" spans="1:4" x14ac:dyDescent="0.2">
      <c r="A802" s="5" t="s">
        <v>1203</v>
      </c>
      <c r="B802" s="74">
        <v>41165</v>
      </c>
      <c r="C802" s="1">
        <v>0.5</v>
      </c>
      <c r="D802">
        <v>5000</v>
      </c>
    </row>
    <row r="803" spans="1:4" x14ac:dyDescent="0.2">
      <c r="A803" s="5" t="s">
        <v>1204</v>
      </c>
      <c r="B803" s="74">
        <v>41165</v>
      </c>
      <c r="C803" s="1">
        <v>0.5</v>
      </c>
      <c r="D803">
        <v>18900</v>
      </c>
    </row>
    <row r="804" spans="1:4" x14ac:dyDescent="0.2">
      <c r="A804" s="5" t="s">
        <v>1205</v>
      </c>
      <c r="B804" s="74">
        <v>41165</v>
      </c>
      <c r="C804" s="1">
        <v>0.5</v>
      </c>
      <c r="D804">
        <v>7000</v>
      </c>
    </row>
    <row r="805" spans="1:4" x14ac:dyDescent="0.2">
      <c r="A805" s="5" t="s">
        <v>1206</v>
      </c>
      <c r="B805" s="74">
        <v>41165</v>
      </c>
      <c r="C805" s="1">
        <v>0.5</v>
      </c>
      <c r="D805">
        <v>33700</v>
      </c>
    </row>
    <row r="806" spans="1:4" x14ac:dyDescent="0.2">
      <c r="A806" s="5" t="s">
        <v>1207</v>
      </c>
      <c r="B806" s="74">
        <v>41165</v>
      </c>
      <c r="C806" s="1">
        <v>0.5</v>
      </c>
      <c r="D806">
        <v>10000</v>
      </c>
    </row>
    <row r="807" spans="1:4" x14ac:dyDescent="0.2">
      <c r="A807" s="5" t="s">
        <v>1208</v>
      </c>
      <c r="B807" s="74">
        <v>41165</v>
      </c>
      <c r="C807" s="1">
        <v>0.5</v>
      </c>
      <c r="D807">
        <v>2800</v>
      </c>
    </row>
    <row r="808" spans="1:4" x14ac:dyDescent="0.2">
      <c r="A808" s="5" t="s">
        <v>1209</v>
      </c>
      <c r="B808" s="74">
        <v>41165</v>
      </c>
      <c r="C808" s="1">
        <v>0.5</v>
      </c>
      <c r="D808">
        <v>3300</v>
      </c>
    </row>
    <row r="809" spans="1:4" x14ac:dyDescent="0.2">
      <c r="A809" s="5" t="s">
        <v>1210</v>
      </c>
      <c r="B809" s="74">
        <v>41165</v>
      </c>
      <c r="C809" s="1">
        <v>0.5</v>
      </c>
      <c r="D809">
        <v>10500</v>
      </c>
    </row>
    <row r="810" spans="1:4" x14ac:dyDescent="0.2">
      <c r="A810" s="5" t="s">
        <v>1211</v>
      </c>
      <c r="B810" s="74">
        <v>41165</v>
      </c>
      <c r="C810" s="1">
        <v>0.5</v>
      </c>
      <c r="D810">
        <v>3700</v>
      </c>
    </row>
    <row r="811" spans="1:4" x14ac:dyDescent="0.2">
      <c r="A811" s="5" t="s">
        <v>1212</v>
      </c>
      <c r="B811" s="74">
        <v>41165</v>
      </c>
      <c r="C811" s="1">
        <v>0.5</v>
      </c>
      <c r="D811">
        <v>3700</v>
      </c>
    </row>
    <row r="812" spans="1:4" x14ac:dyDescent="0.2">
      <c r="A812" s="5" t="s">
        <v>1213</v>
      </c>
      <c r="B812" s="74">
        <v>41165</v>
      </c>
      <c r="C812" s="1">
        <v>0.5</v>
      </c>
      <c r="D812">
        <v>8000</v>
      </c>
    </row>
    <row r="813" spans="1:4" x14ac:dyDescent="0.2">
      <c r="A813" s="5" t="s">
        <v>1214</v>
      </c>
      <c r="B813" s="74">
        <v>41165</v>
      </c>
      <c r="C813" s="1">
        <v>0.5</v>
      </c>
      <c r="D813">
        <v>17000</v>
      </c>
    </row>
    <row r="814" spans="1:4" x14ac:dyDescent="0.2">
      <c r="A814" s="5" t="s">
        <v>1215</v>
      </c>
      <c r="B814" s="74">
        <v>41165</v>
      </c>
      <c r="C814" s="1">
        <v>0.5</v>
      </c>
      <c r="D814">
        <v>2200</v>
      </c>
    </row>
    <row r="815" spans="1:4" x14ac:dyDescent="0.2">
      <c r="A815" s="5" t="s">
        <v>1216</v>
      </c>
      <c r="B815" s="74">
        <v>41165</v>
      </c>
      <c r="C815" s="1">
        <v>0.5</v>
      </c>
      <c r="D815">
        <v>4500</v>
      </c>
    </row>
    <row r="816" spans="1:4" x14ac:dyDescent="0.2">
      <c r="A816" s="5" t="s">
        <v>1217</v>
      </c>
      <c r="B816" s="74">
        <v>41165</v>
      </c>
      <c r="C816" s="1">
        <v>0.5</v>
      </c>
      <c r="D816">
        <v>3500</v>
      </c>
    </row>
    <row r="817" spans="1:4" x14ac:dyDescent="0.2">
      <c r="A817" s="5" t="s">
        <v>1218</v>
      </c>
      <c r="B817" s="74">
        <v>41165</v>
      </c>
      <c r="C817" s="1">
        <v>0.5</v>
      </c>
      <c r="D817">
        <v>4300</v>
      </c>
    </row>
    <row r="818" spans="1:4" x14ac:dyDescent="0.2">
      <c r="A818" s="5" t="s">
        <v>1219</v>
      </c>
      <c r="B818" s="74">
        <v>41165</v>
      </c>
      <c r="C818" s="1">
        <v>0.5</v>
      </c>
      <c r="D818">
        <v>3600</v>
      </c>
    </row>
    <row r="819" spans="1:4" x14ac:dyDescent="0.2">
      <c r="A819" s="5" t="s">
        <v>1220</v>
      </c>
      <c r="B819" s="74">
        <v>41165</v>
      </c>
      <c r="C819" s="1">
        <v>0.5</v>
      </c>
      <c r="D819">
        <v>40000</v>
      </c>
    </row>
    <row r="820" spans="1:4" x14ac:dyDescent="0.2">
      <c r="A820" s="5" t="s">
        <v>1221</v>
      </c>
      <c r="B820" s="74">
        <v>41165</v>
      </c>
      <c r="C820" s="1">
        <v>0.5</v>
      </c>
      <c r="D820">
        <v>2700</v>
      </c>
    </row>
    <row r="821" spans="1:4" x14ac:dyDescent="0.2">
      <c r="A821" s="5" t="s">
        <v>1222</v>
      </c>
      <c r="B821" s="74">
        <v>41165</v>
      </c>
      <c r="C821" s="1">
        <v>0.5</v>
      </c>
      <c r="D821">
        <v>7000</v>
      </c>
    </row>
    <row r="822" spans="1:4" x14ac:dyDescent="0.2">
      <c r="A822" s="5" t="s">
        <v>1223</v>
      </c>
      <c r="B822" s="74">
        <v>41165</v>
      </c>
      <c r="C822" s="1">
        <v>0.5</v>
      </c>
      <c r="D822">
        <v>2300</v>
      </c>
    </row>
    <row r="823" spans="1:4" x14ac:dyDescent="0.2">
      <c r="A823" s="5" t="s">
        <v>1224</v>
      </c>
      <c r="B823" s="74">
        <v>41165</v>
      </c>
      <c r="C823" s="1">
        <v>0.5</v>
      </c>
      <c r="D823">
        <v>6500</v>
      </c>
    </row>
    <row r="824" spans="1:4" x14ac:dyDescent="0.2">
      <c r="A824" s="5" t="s">
        <v>1225</v>
      </c>
      <c r="B824" s="74">
        <v>41165</v>
      </c>
      <c r="C824" s="1">
        <v>0.5</v>
      </c>
      <c r="D824">
        <v>8800</v>
      </c>
    </row>
    <row r="825" spans="1:4" x14ac:dyDescent="0.2">
      <c r="A825" s="5" t="s">
        <v>1226</v>
      </c>
      <c r="B825" s="74">
        <v>41165</v>
      </c>
      <c r="C825" s="1">
        <v>0.5</v>
      </c>
      <c r="D825">
        <v>9000</v>
      </c>
    </row>
    <row r="826" spans="1:4" x14ac:dyDescent="0.2">
      <c r="A826" s="5" t="s">
        <v>1227</v>
      </c>
      <c r="B826" s="74">
        <v>41165</v>
      </c>
      <c r="C826" s="1">
        <v>0.5</v>
      </c>
      <c r="D826">
        <v>11500</v>
      </c>
    </row>
    <row r="827" spans="1:4" x14ac:dyDescent="0.2">
      <c r="A827" s="5" t="s">
        <v>1228</v>
      </c>
      <c r="B827" s="74">
        <v>41165</v>
      </c>
      <c r="C827" s="1">
        <v>0.5</v>
      </c>
      <c r="D827">
        <v>3900</v>
      </c>
    </row>
    <row r="828" spans="1:4" x14ac:dyDescent="0.2">
      <c r="A828" s="5" t="s">
        <v>1229</v>
      </c>
      <c r="B828" s="74">
        <v>41165</v>
      </c>
      <c r="C828" s="1">
        <v>0.5</v>
      </c>
      <c r="D828">
        <v>12300</v>
      </c>
    </row>
    <row r="829" spans="1:4" x14ac:dyDescent="0.2">
      <c r="A829" s="5" t="s">
        <v>1230</v>
      </c>
      <c r="B829" s="74">
        <v>41165</v>
      </c>
      <c r="C829" s="1">
        <v>0.5</v>
      </c>
      <c r="D829">
        <v>11000</v>
      </c>
    </row>
    <row r="830" spans="1:4" x14ac:dyDescent="0.2">
      <c r="A830" s="5" t="s">
        <v>1231</v>
      </c>
      <c r="B830" s="74">
        <v>41165</v>
      </c>
      <c r="C830" s="1">
        <v>0.5</v>
      </c>
      <c r="D830">
        <v>5000</v>
      </c>
    </row>
    <row r="831" spans="1:4" x14ac:dyDescent="0.2">
      <c r="A831" s="5" t="s">
        <v>1232</v>
      </c>
      <c r="B831" s="74">
        <v>41165</v>
      </c>
      <c r="C831" s="1">
        <v>0.5</v>
      </c>
      <c r="D831">
        <v>3900</v>
      </c>
    </row>
    <row r="832" spans="1:4" x14ac:dyDescent="0.2">
      <c r="A832" s="5" t="s">
        <v>1233</v>
      </c>
      <c r="B832" s="74">
        <v>41165</v>
      </c>
      <c r="C832" s="1">
        <v>0.5</v>
      </c>
      <c r="D832">
        <v>19000</v>
      </c>
    </row>
    <row r="833" spans="1:4" x14ac:dyDescent="0.2">
      <c r="A833" s="5" t="s">
        <v>1234</v>
      </c>
      <c r="B833" s="74">
        <v>41165</v>
      </c>
      <c r="C833" s="1">
        <v>0.5</v>
      </c>
      <c r="D833">
        <v>1900</v>
      </c>
    </row>
    <row r="834" spans="1:4" x14ac:dyDescent="0.2">
      <c r="A834" s="5" t="s">
        <v>1235</v>
      </c>
      <c r="B834" s="74">
        <v>41165</v>
      </c>
      <c r="C834" s="1">
        <v>0.5</v>
      </c>
      <c r="D834">
        <v>12500</v>
      </c>
    </row>
    <row r="835" spans="1:4" x14ac:dyDescent="0.2">
      <c r="A835" s="5" t="s">
        <v>1236</v>
      </c>
      <c r="B835" s="74">
        <v>41165</v>
      </c>
      <c r="C835" s="1">
        <v>0.5</v>
      </c>
      <c r="D835">
        <v>1600</v>
      </c>
    </row>
    <row r="836" spans="1:4" x14ac:dyDescent="0.2">
      <c r="A836" s="5" t="s">
        <v>1237</v>
      </c>
      <c r="B836" s="74">
        <v>41165</v>
      </c>
      <c r="C836" s="1">
        <v>0.5</v>
      </c>
      <c r="D836">
        <v>2500</v>
      </c>
    </row>
    <row r="837" spans="1:4" x14ac:dyDescent="0.2">
      <c r="A837" s="5" t="s">
        <v>1238</v>
      </c>
      <c r="B837" s="74">
        <v>41165</v>
      </c>
      <c r="C837" s="1">
        <v>0.5</v>
      </c>
      <c r="D837">
        <v>18200</v>
      </c>
    </row>
    <row r="838" spans="1:4" x14ac:dyDescent="0.2">
      <c r="A838" s="5" t="s">
        <v>1239</v>
      </c>
      <c r="B838" s="74">
        <v>41165</v>
      </c>
      <c r="C838" s="1">
        <v>0.5</v>
      </c>
      <c r="D838">
        <v>5600</v>
      </c>
    </row>
    <row r="839" spans="1:4" x14ac:dyDescent="0.2">
      <c r="A839" s="5"/>
    </row>
    <row r="840" spans="1:4" x14ac:dyDescent="0.2">
      <c r="A840" s="5"/>
    </row>
    <row r="841" spans="1:4" x14ac:dyDescent="0.2">
      <c r="A841" s="5"/>
    </row>
    <row r="842" spans="1:4" x14ac:dyDescent="0.2">
      <c r="A842" s="5"/>
    </row>
    <row r="843" spans="1:4" x14ac:dyDescent="0.2">
      <c r="A843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1"/>
  <sheetViews>
    <sheetView workbookViewId="0">
      <selection sqref="A1:Q31"/>
    </sheetView>
  </sheetViews>
  <sheetFormatPr defaultColWidth="11.42578125" defaultRowHeight="12.75" x14ac:dyDescent="0.2"/>
  <cols>
    <col min="1" max="1" width="10.85546875" bestFit="1" customWidth="1"/>
    <col min="2" max="2" width="26.85546875" customWidth="1"/>
    <col min="3" max="3" width="13.5703125" bestFit="1" customWidth="1"/>
    <col min="4" max="4" width="13.42578125" bestFit="1" customWidth="1"/>
    <col min="5" max="5" width="10.7109375" bestFit="1" customWidth="1"/>
    <col min="6" max="6" width="10.42578125" bestFit="1" customWidth="1"/>
    <col min="8" max="8" width="10.140625" bestFit="1" customWidth="1"/>
    <col min="9" max="11" width="11.140625" customWidth="1"/>
    <col min="12" max="12" width="11.28515625" bestFit="1" customWidth="1"/>
    <col min="13" max="13" width="13.85546875" customWidth="1"/>
    <col min="14" max="14" width="8.140625" bestFit="1" customWidth="1"/>
    <col min="16" max="16" width="11.85546875" bestFit="1" customWidth="1"/>
    <col min="17" max="17" width="17.42578125" bestFit="1" customWidth="1"/>
  </cols>
  <sheetData>
    <row r="1" spans="1:17" s="2" customFormat="1" x14ac:dyDescent="0.2">
      <c r="A1" s="3" t="s">
        <v>1</v>
      </c>
      <c r="B1" s="4" t="s">
        <v>2</v>
      </c>
      <c r="C1" s="4" t="s">
        <v>3</v>
      </c>
      <c r="D1" s="4" t="s">
        <v>4</v>
      </c>
      <c r="E1" s="4" t="s">
        <v>8</v>
      </c>
      <c r="F1" s="4" t="s">
        <v>9</v>
      </c>
      <c r="G1" s="3" t="s">
        <v>5</v>
      </c>
      <c r="H1" s="3" t="s">
        <v>6</v>
      </c>
      <c r="I1" s="6" t="s">
        <v>113</v>
      </c>
      <c r="J1" s="6" t="s">
        <v>112</v>
      </c>
      <c r="K1" s="6" t="s">
        <v>111</v>
      </c>
      <c r="L1" s="9" t="s">
        <v>7</v>
      </c>
      <c r="M1" s="3" t="s">
        <v>10</v>
      </c>
      <c r="N1" s="3" t="s">
        <v>11</v>
      </c>
      <c r="O1" s="3" t="s">
        <v>435</v>
      </c>
      <c r="P1" s="3" t="s">
        <v>416</v>
      </c>
      <c r="Q1" s="3" t="s">
        <v>1360</v>
      </c>
    </row>
    <row r="2" spans="1:17" x14ac:dyDescent="0.2">
      <c r="A2" s="2" t="str">
        <f>IF(INDEX(STK_REF!$A:$A,ROW(STK_REF!A2))=0,"",INDEX(STK_REF!$A:$A,ROW(STK_REF!A2)))</f>
        <v>DPM</v>
      </c>
      <c r="B2" t="str">
        <f>IF(A2&lt;&gt;"",VLOOKUP($A2,STK_REF!$A$2:$H$593,3,0),"")</f>
        <v>VNX Fertilizer and Chemicals</v>
      </c>
      <c r="C2" t="str">
        <f>IF(A2&lt;&gt;"",VLOOKUP($A2,STK_REF!$A$2:$H$593,5,0),"")</f>
        <v>VNXHM</v>
      </c>
      <c r="D2" t="str">
        <f>IF(A2&lt;&gt;"",VLOOKUP($A2,STK_REF!$A$2:$H$593,6,0),"")</f>
        <v>VNXBM</v>
      </c>
      <c r="E2" t="str">
        <f>IF($A2&lt;&gt;"",VLOOKUP($A2,STK_REF!$A$2:$H$593,7,0),"")</f>
        <v>VND</v>
      </c>
      <c r="F2">
        <f>IF($A2&lt;&gt;"",VLOOKUP($A2,STK_REF!$A$2:$H$593,8,0),"")</f>
        <v>1</v>
      </c>
      <c r="G2" s="8">
        <v>32200.000000000004</v>
      </c>
      <c r="H2" s="8">
        <f>IF(ISNA(INDEX(STK_FEED!$D$2:$D$838,MATCH(STK_PRICES!A2,STK_FEED!$A$2:$A$838,0))),G2,INDEX(STK_FEED!$D$2:$D$838,MATCH(STK_PRICES!A2,STK_FEED!$A$2:$A$838,0)))</f>
        <v>39200</v>
      </c>
      <c r="I2" s="10"/>
      <c r="J2" s="10"/>
      <c r="K2" s="10"/>
      <c r="L2" s="8">
        <f>IF(A2&lt;&gt;"",IF(H2=0,G2,H2),"")</f>
        <v>39200</v>
      </c>
      <c r="M2" s="75">
        <v>41165</v>
      </c>
      <c r="N2" s="1">
        <v>0</v>
      </c>
      <c r="O2" s="2" t="str">
        <f>INDEX(STK_REF!$K$2:$K$31,MATCH(STK_PRICES!A2,STK_REF!$A$2:$A$31,0))</f>
        <v>DPM</v>
      </c>
    </row>
    <row r="3" spans="1:17" x14ac:dyDescent="0.2">
      <c r="A3" s="2" t="str">
        <f>IF(INDEX(STK_REF!$A:$A,ROW(STK_REF!A3))=0,"",INDEX(STK_REF!$A:$A,ROW(STK_REF!A3)))</f>
        <v>PVC</v>
      </c>
      <c r="B3" t="str">
        <f>IF(A3&lt;&gt;"",VLOOKUP($A3,STK_REF!$A$2:$H$593,3,0),"")</f>
        <v>Drilling Mud Corp</v>
      </c>
      <c r="C3" t="str">
        <f>IF(A3&lt;&gt;"",VLOOKUP($A3,STK_REF!$A$2:$H$593,5,0),"")</f>
        <v>VNXHN</v>
      </c>
      <c r="D3" t="str">
        <f>IF(A3&lt;&gt;"",VLOOKUP($A3,STK_REF!$A$2:$H$593,6,0),"")</f>
        <v>VNXBM</v>
      </c>
      <c r="E3" t="str">
        <f>IF($A3&lt;&gt;"",VLOOKUP($A3,STK_REF!$A$2:$H$593,7,0),"")</f>
        <v>VND</v>
      </c>
      <c r="F3">
        <f>IF($A3&lt;&gt;"",VLOOKUP($A3,STK_REF!$A$2:$H$593,8,0),"")</f>
        <v>1</v>
      </c>
      <c r="G3" s="8">
        <v>38000</v>
      </c>
      <c r="H3" s="8">
        <f>IF(ISNA(INDEX(STK_FEED!$D$2:$D$838,MATCH(STK_PRICES!A3,STK_FEED!$A$2:$A$838,0))),G3,INDEX(STK_FEED!$D$2:$D$838,MATCH(STK_PRICES!A3,STK_FEED!$A$2:$A$838,0)))</f>
        <v>12700</v>
      </c>
      <c r="I3" s="10"/>
      <c r="J3" s="10"/>
      <c r="K3" s="10"/>
      <c r="L3" s="8">
        <f t="shared" ref="L3:L31" si="0">IF(A3&lt;&gt;"",IF(H3=0,G3,H3),"")</f>
        <v>12700</v>
      </c>
      <c r="M3" s="75">
        <v>41165</v>
      </c>
      <c r="N3" s="1">
        <v>0</v>
      </c>
      <c r="O3" s="2" t="str">
        <f>INDEX(STK_REF!$K$2:$K$31,MATCH(STK_PRICES!A3,STK_REF!$A$2:$A$31,0))</f>
        <v>PVC</v>
      </c>
    </row>
    <row r="4" spans="1:17" x14ac:dyDescent="0.2">
      <c r="A4" s="2" t="str">
        <f>IF(INDEX(STK_REF!$A:$A,ROW(STK_REF!A4))=0,"",INDEX(STK_REF!$A:$A,ROW(STK_REF!A4)))</f>
        <v>PET</v>
      </c>
      <c r="B4" t="str">
        <f>IF(A4&lt;&gt;"",VLOOKUP($A4,STK_REF!$A$2:$H$593,3,0),"")</f>
        <v>VNX General Services</v>
      </c>
      <c r="C4" t="str">
        <f>IF(A4&lt;&gt;"",VLOOKUP($A4,STK_REF!$A$2:$H$593,5,0),"")</f>
        <v>VNXHM</v>
      </c>
      <c r="D4" t="str">
        <f>IF(A4&lt;&gt;"",VLOOKUP($A4,STK_REF!$A$2:$H$593,6,0),"")</f>
        <v>VNXCS</v>
      </c>
      <c r="E4" t="str">
        <f>IF($A4&lt;&gt;"",VLOOKUP($A4,STK_REF!$A$2:$H$593,7,0),"")</f>
        <v>VND</v>
      </c>
      <c r="F4">
        <f>IF($A4&lt;&gt;"",VLOOKUP($A4,STK_REF!$A$2:$H$593,8,0),"")</f>
        <v>1</v>
      </c>
      <c r="G4" s="8">
        <v>12700</v>
      </c>
      <c r="H4" s="8">
        <f>IF(ISNA(INDEX(STK_FEED!$D$2:$D$838,MATCH(STK_PRICES!A4,STK_FEED!$A$2:$A$838,0))),G4,INDEX(STK_FEED!$D$2:$D$838,MATCH(STK_PRICES!A4,STK_FEED!$A$2:$A$838,0)))</f>
        <v>11200</v>
      </c>
      <c r="I4" s="10"/>
      <c r="J4" s="10"/>
      <c r="K4" s="10"/>
      <c r="L4" s="8">
        <f t="shared" si="0"/>
        <v>11200</v>
      </c>
      <c r="M4" s="75">
        <v>41165</v>
      </c>
      <c r="N4" s="1">
        <v>0</v>
      </c>
      <c r="O4" s="2" t="str">
        <f>INDEX(STK_REF!$K$2:$K$31,MATCH(STK_PRICES!A4,STK_REF!$A$2:$A$31,0))</f>
        <v>PET</v>
      </c>
    </row>
    <row r="5" spans="1:17" x14ac:dyDescent="0.2">
      <c r="A5" s="2" t="str">
        <f>IF(INDEX(STK_REF!$A:$A,ROW(STK_REF!A5))=0,"",INDEX(STK_REF!$A:$A,ROW(STK_REF!A5)))</f>
        <v>PTL</v>
      </c>
      <c r="B5" t="str">
        <f>IF(A5&lt;&gt;"",VLOOKUP($A5,STK_REF!$A$2:$H$593,3,0),"")</f>
        <v>Petro Capital and Infrastructure Investment</v>
      </c>
      <c r="C5" t="str">
        <f>IF(A5&lt;&gt;"",VLOOKUP($A5,STK_REF!$A$2:$H$593,5,0),"")</f>
        <v>VNXHM</v>
      </c>
      <c r="D5" t="str">
        <f>IF(A5&lt;&gt;"",VLOOKUP($A5,STK_REF!$A$2:$H$593,6,0),"")</f>
        <v>VNXFI</v>
      </c>
      <c r="E5" t="str">
        <f>IF($A5&lt;&gt;"",VLOOKUP($A5,STK_REF!$A$2:$H$593,7,0),"")</f>
        <v>VND</v>
      </c>
      <c r="F5">
        <f>IF($A5&lt;&gt;"",VLOOKUP($A5,STK_REF!$A$2:$H$593,8,0),"")</f>
        <v>1</v>
      </c>
      <c r="G5" s="8">
        <v>15500</v>
      </c>
      <c r="H5" s="8">
        <f>IF(ISNA(INDEX(STK_FEED!$D$2:$D$838,MATCH(STK_PRICES!A5,STK_FEED!$A$2:$A$838,0))),G5,INDEX(STK_FEED!$D$2:$D$838,MATCH(STK_PRICES!A5,STK_FEED!$A$2:$A$838,0)))</f>
        <v>2900</v>
      </c>
      <c r="I5" s="10"/>
      <c r="J5" s="10"/>
      <c r="K5" s="10"/>
      <c r="L5" s="8">
        <f t="shared" si="0"/>
        <v>2900</v>
      </c>
      <c r="M5" s="75">
        <v>41165</v>
      </c>
      <c r="N5" s="1">
        <v>0</v>
      </c>
      <c r="O5" s="2" t="str">
        <f>INDEX(STK_REF!$K$2:$K$31,MATCH(STK_PRICES!A5,STK_REF!$A$2:$A$31,0))</f>
        <v>PTL</v>
      </c>
    </row>
    <row r="6" spans="1:17" x14ac:dyDescent="0.2">
      <c r="A6" s="2" t="str">
        <f>IF(INDEX(STK_REF!$A:$A,ROW(STK_REF!A6))=0,"",INDEX(STK_REF!$A:$A,ROW(STK_REF!A6)))</f>
        <v>PVF</v>
      </c>
      <c r="B6" t="str">
        <f>IF(A6&lt;&gt;"",VLOOKUP($A6,STK_REF!$A$2:$H$593,3,0),"")</f>
        <v>VNX Finance</v>
      </c>
      <c r="C6" t="str">
        <f>IF(A6&lt;&gt;"",VLOOKUP($A6,STK_REF!$A$2:$H$593,5,0),"")</f>
        <v>VNXHM</v>
      </c>
      <c r="D6" t="str">
        <f>IF(A6&lt;&gt;"",VLOOKUP($A6,STK_REF!$A$2:$H$593,6,0),"")</f>
        <v>VNXFI</v>
      </c>
      <c r="E6" t="str">
        <f>IF($A6&lt;&gt;"",VLOOKUP($A6,STK_REF!$A$2:$H$593,7,0),"")</f>
        <v>VND</v>
      </c>
      <c r="F6">
        <f>IF($A6&lt;&gt;"",VLOOKUP($A6,STK_REF!$A$2:$H$593,8,0),"")</f>
        <v>1</v>
      </c>
      <c r="G6" s="8">
        <v>11100</v>
      </c>
      <c r="H6" s="8">
        <f>IF(ISNA(INDEX(STK_FEED!$D$2:$D$838,MATCH(STK_PRICES!A6,STK_FEED!$A$2:$A$838,0))),G6,INDEX(STK_FEED!$D$2:$D$838,MATCH(STK_PRICES!A6,STK_FEED!$A$2:$A$838,0)))</f>
        <v>8300</v>
      </c>
      <c r="I6" s="10"/>
      <c r="J6" s="10"/>
      <c r="K6" s="10"/>
      <c r="L6" s="8">
        <f t="shared" si="0"/>
        <v>8300</v>
      </c>
      <c r="M6" s="75">
        <v>41165</v>
      </c>
      <c r="N6" s="1">
        <v>0</v>
      </c>
      <c r="O6" s="2" t="str">
        <f>INDEX(STK_REF!$K$2:$K$31,MATCH(STK_PRICES!A6,STK_REF!$A$2:$A$31,0))</f>
        <v>PVF</v>
      </c>
    </row>
    <row r="7" spans="1:17" x14ac:dyDescent="0.2">
      <c r="A7" s="2" t="str">
        <f>IF(INDEX(STK_REF!$A:$A,ROW(STK_REF!A7))=0,"",INDEX(STK_REF!$A:$A,ROW(STK_REF!A7)))</f>
        <v>PFL</v>
      </c>
      <c r="B7" t="str">
        <f>IF(A7&lt;&gt;"",VLOOKUP($A7,STK_REF!$A$2:$H$593,3,0),"")</f>
        <v>Petro Dong Do Joint Stock Company</v>
      </c>
      <c r="C7" t="str">
        <f>IF(A7&lt;&gt;"",VLOOKUP($A7,STK_REF!$A$2:$H$593,5,0),"")</f>
        <v>VNXHN</v>
      </c>
      <c r="D7" t="str">
        <f>IF(A7&lt;&gt;"",VLOOKUP($A7,STK_REF!$A$2:$H$593,6,0),"")</f>
        <v>VNXFI</v>
      </c>
      <c r="E7" t="str">
        <f>IF($A7&lt;&gt;"",VLOOKUP($A7,STK_REF!$A$2:$H$593,7,0),"")</f>
        <v>VND</v>
      </c>
      <c r="F7">
        <f>IF($A7&lt;&gt;"",VLOOKUP($A7,STK_REF!$A$2:$H$593,8,0),"")</f>
        <v>1</v>
      </c>
      <c r="G7" s="8">
        <v>15900</v>
      </c>
      <c r="H7" s="8">
        <f>IF(ISNA(INDEX(STK_FEED!$D$2:$D$838,MATCH(STK_PRICES!A7,STK_FEED!$A$2:$A$838,0))),G7,INDEX(STK_FEED!$D$2:$D$838,MATCH(STK_PRICES!A7,STK_FEED!$A$2:$A$838,0)))</f>
        <v>2700</v>
      </c>
      <c r="I7" s="10"/>
      <c r="J7" s="10"/>
      <c r="K7" s="10"/>
      <c r="L7" s="8">
        <f t="shared" si="0"/>
        <v>2700</v>
      </c>
      <c r="M7" s="75">
        <v>41165</v>
      </c>
      <c r="N7" s="1">
        <v>0</v>
      </c>
      <c r="O7" s="2" t="str">
        <f>INDEX(STK_REF!$K$2:$K$31,MATCH(STK_PRICES!A7,STK_REF!$A$2:$A$31,0))</f>
        <v>PFL</v>
      </c>
    </row>
    <row r="8" spans="1:17" x14ac:dyDescent="0.2">
      <c r="A8" s="2" t="str">
        <f>IF(INDEX(STK_REF!$A:$A,ROW(STK_REF!A8))=0,"",INDEX(STK_REF!$A:$A,ROW(STK_REF!A8)))</f>
        <v>PPE</v>
      </c>
      <c r="B8" t="str">
        <f>IF(A8&lt;&gt;"",VLOOKUP($A8,STK_REF!$A$2:$H$593,3,0),"")</f>
        <v>PetroVietnam Power Engineering Consulting JSC</v>
      </c>
      <c r="C8" t="str">
        <f>IF(A8&lt;&gt;"",VLOOKUP($A8,STK_REF!$A$2:$H$593,5,0),"")</f>
        <v>VNXHN</v>
      </c>
      <c r="D8" t="str">
        <f>IF(A8&lt;&gt;"",VLOOKUP($A8,STK_REF!$A$2:$H$593,6,0),"")</f>
        <v>VNXFI</v>
      </c>
      <c r="E8" t="str">
        <f>IF($A8&lt;&gt;"",VLOOKUP($A8,STK_REF!$A$2:$H$593,7,0),"")</f>
        <v>VND</v>
      </c>
      <c r="F8">
        <f>IF($A8&lt;&gt;"",VLOOKUP($A8,STK_REF!$A$2:$H$593,8,0),"")</f>
        <v>1</v>
      </c>
      <c r="G8" s="8">
        <v>35400</v>
      </c>
      <c r="H8" s="8">
        <f>IF(ISNA(INDEX(STK_FEED!$D$2:$D$838,MATCH(STK_PRICES!A8,STK_FEED!$A$2:$A$838,0))),G8,INDEX(STK_FEED!$D$2:$D$838,MATCH(STK_PRICES!A8,STK_FEED!$A$2:$A$838,0)))</f>
        <v>0</v>
      </c>
      <c r="I8" s="10"/>
      <c r="J8" s="10"/>
      <c r="K8" s="10"/>
      <c r="L8" s="8">
        <f t="shared" si="0"/>
        <v>35400</v>
      </c>
      <c r="M8" s="75">
        <v>41165</v>
      </c>
      <c r="N8" s="1">
        <v>0</v>
      </c>
      <c r="O8" s="2" t="str">
        <f>INDEX(STK_REF!$K$2:$K$31,MATCH(STK_PRICES!A8,STK_REF!$A$2:$A$31,0))</f>
        <v>PPE</v>
      </c>
    </row>
    <row r="9" spans="1:17" x14ac:dyDescent="0.2">
      <c r="A9" s="2" t="str">
        <f>IF(INDEX(STK_REF!$A:$A,ROW(STK_REF!A9))=0,"",INDEX(STK_REF!$A:$A,ROW(STK_REF!A9)))</f>
        <v>PSI</v>
      </c>
      <c r="B9" t="str">
        <f>IF(A9&lt;&gt;"",VLOOKUP($A9,STK_REF!$A$2:$H$593,3,0),"")</f>
        <v>VNX Securities Incorporated</v>
      </c>
      <c r="C9" t="str">
        <f>IF(A9&lt;&gt;"",VLOOKUP($A9,STK_REF!$A$2:$H$593,5,0),"")</f>
        <v>VNXHN</v>
      </c>
      <c r="D9" t="str">
        <f>IF(A9&lt;&gt;"",VLOOKUP($A9,STK_REF!$A$2:$H$593,6,0),"")</f>
        <v>VNXFI</v>
      </c>
      <c r="E9" t="str">
        <f>IF($A9&lt;&gt;"",VLOOKUP($A9,STK_REF!$A$2:$H$593,7,0),"")</f>
        <v>VND</v>
      </c>
      <c r="F9">
        <f>IF($A9&lt;&gt;"",VLOOKUP($A9,STK_REF!$A$2:$H$593,8,0),"")</f>
        <v>1</v>
      </c>
      <c r="G9" s="8">
        <v>5200</v>
      </c>
      <c r="H9" s="8">
        <f>IF(ISNA(INDEX(STK_FEED!$D$2:$D$838,MATCH(STK_PRICES!A9,STK_FEED!$A$2:$A$838,0))),G9,INDEX(STK_FEED!$D$2:$D$838,MATCH(STK_PRICES!A9,STK_FEED!$A$2:$A$838,0)))</f>
        <v>3600</v>
      </c>
      <c r="I9" s="10"/>
      <c r="J9" s="10"/>
      <c r="K9" s="10"/>
      <c r="L9" s="8">
        <f t="shared" si="0"/>
        <v>3600</v>
      </c>
      <c r="M9" s="75">
        <v>41165</v>
      </c>
      <c r="N9" s="1">
        <v>0</v>
      </c>
      <c r="O9" s="2" t="str">
        <f>INDEX(STK_REF!$K$2:$K$31,MATCH(STK_PRICES!A9,STK_REF!$A$2:$A$31,0))</f>
        <v>PSI</v>
      </c>
    </row>
    <row r="10" spans="1:17" x14ac:dyDescent="0.2">
      <c r="A10" s="2" t="str">
        <f>IF(INDEX(STK_REF!$A:$A,ROW(STK_REF!A10))=0,"",INDEX(STK_REF!$A:$A,ROW(STK_REF!A10)))</f>
        <v>PVI</v>
      </c>
      <c r="B10" t="str">
        <f>IF(A10&lt;&gt;"",VLOOKUP($A10,STK_REF!$A$2:$H$593,3,0),"")</f>
        <v>VNX Insurance</v>
      </c>
      <c r="C10" t="str">
        <f>IF(A10&lt;&gt;"",VLOOKUP($A10,STK_REF!$A$2:$H$593,5,0),"")</f>
        <v>VNXHN</v>
      </c>
      <c r="D10" t="str">
        <f>IF(A10&lt;&gt;"",VLOOKUP($A10,STK_REF!$A$2:$H$593,6,0),"")</f>
        <v>VNXFI</v>
      </c>
      <c r="E10" t="str">
        <f>IF($A10&lt;&gt;"",VLOOKUP($A10,STK_REF!$A$2:$H$593,7,0),"")</f>
        <v>VND</v>
      </c>
      <c r="F10">
        <f>IF($A10&lt;&gt;"",VLOOKUP($A10,STK_REF!$A$2:$H$593,8,0),"")</f>
        <v>1</v>
      </c>
      <c r="G10" s="8">
        <v>4600</v>
      </c>
      <c r="H10" s="8">
        <f>IF(ISNA(INDEX(STK_FEED!$D$2:$D$838,MATCH(STK_PRICES!A10,STK_FEED!$A$2:$A$838,0))),G10,INDEX(STK_FEED!$D$2:$D$838,MATCH(STK_PRICES!A10,STK_FEED!$A$2:$A$838,0)))</f>
        <v>15900</v>
      </c>
      <c r="I10" s="10"/>
      <c r="J10" s="10"/>
      <c r="K10" s="10"/>
      <c r="L10" s="8">
        <f t="shared" si="0"/>
        <v>15900</v>
      </c>
      <c r="M10" s="75">
        <v>41165</v>
      </c>
      <c r="N10" s="1">
        <v>0</v>
      </c>
      <c r="O10" s="2" t="str">
        <f>INDEX(STK_REF!$K$2:$K$31,MATCH(STK_PRICES!A10,STK_REF!$A$2:$A$31,0))</f>
        <v>PVI</v>
      </c>
    </row>
    <row r="11" spans="1:17" x14ac:dyDescent="0.2">
      <c r="A11" s="2" t="str">
        <f>IF(INDEX(STK_REF!$A:$A,ROW(STK_REF!A11))=0,"",INDEX(STK_REF!$A:$A,ROW(STK_REF!A11)))</f>
        <v>PVR</v>
      </c>
      <c r="B11" t="str">
        <f>IF(A11&lt;&gt;"",VLOOKUP($A11,STK_REF!$A$2:$H$593,3,0),"")</f>
        <v>VNX Premier Recreation</v>
      </c>
      <c r="C11" t="str">
        <f>IF(A11&lt;&gt;"",VLOOKUP($A11,STK_REF!$A$2:$H$593,5,0),"")</f>
        <v>VNXHN</v>
      </c>
      <c r="D11" t="str">
        <f>IF(A11&lt;&gt;"",VLOOKUP($A11,STK_REF!$A$2:$H$593,6,0),"")</f>
        <v>VNXFI</v>
      </c>
      <c r="E11" t="str">
        <f>IF($A11&lt;&gt;"",VLOOKUP($A11,STK_REF!$A$2:$H$593,7,0),"")</f>
        <v>VND</v>
      </c>
      <c r="F11">
        <f>IF($A11&lt;&gt;"",VLOOKUP($A11,STK_REF!$A$2:$H$593,8,0),"")</f>
        <v>1</v>
      </c>
      <c r="G11" s="8">
        <v>24000</v>
      </c>
      <c r="H11" s="8">
        <f>IF(ISNA(INDEX(STK_FEED!$D$2:$D$838,MATCH(STK_PRICES!A11,STK_FEED!$A$2:$A$838,0))),G11,INDEX(STK_FEED!$D$2:$D$838,MATCH(STK_PRICES!A11,STK_FEED!$A$2:$A$838,0)))</f>
        <v>3600</v>
      </c>
      <c r="I11" s="10"/>
      <c r="J11" s="10"/>
      <c r="K11" s="10"/>
      <c r="L11" s="8">
        <f t="shared" si="0"/>
        <v>3600</v>
      </c>
      <c r="M11" s="75">
        <v>41165</v>
      </c>
      <c r="N11" s="1">
        <v>0</v>
      </c>
      <c r="O11" s="2" t="str">
        <f>INDEX(STK_REF!$K$2:$K$31,MATCH(STK_PRICES!A11,STK_REF!$A$2:$A$31,0))</f>
        <v>PVR</v>
      </c>
    </row>
    <row r="12" spans="1:17" x14ac:dyDescent="0.2">
      <c r="A12" s="2" t="str">
        <f>IF(INDEX(STK_REF!$A:$A,ROW(STK_REF!A12))=0,"",INDEX(STK_REF!$A:$A,ROW(STK_REF!A12)))</f>
        <v>PVT</v>
      </c>
      <c r="B12" t="str">
        <f>IF(A12&lt;&gt;"",VLOOKUP($A12,STK_REF!$A$2:$H$593,3,0),"")</f>
        <v>VNX Transportation</v>
      </c>
      <c r="C12" t="str">
        <f>IF(A12&lt;&gt;"",VLOOKUP($A12,STK_REF!$A$2:$H$593,5,0),"")</f>
        <v>VNXHM</v>
      </c>
      <c r="D12" t="str">
        <f>IF(A12&lt;&gt;"",VLOOKUP($A12,STK_REF!$A$2:$H$593,6,0),"")</f>
        <v>VNXIN</v>
      </c>
      <c r="E12" t="str">
        <f>IF($A12&lt;&gt;"",VLOOKUP($A12,STK_REF!$A$2:$H$593,7,0),"")</f>
        <v>VND</v>
      </c>
      <c r="F12">
        <f>IF($A12&lt;&gt;"",VLOOKUP($A12,STK_REF!$A$2:$H$593,8,0),"")</f>
        <v>1</v>
      </c>
      <c r="G12" s="8">
        <v>12100</v>
      </c>
      <c r="H12" s="8">
        <f>IF(ISNA(INDEX(STK_FEED!$D$2:$D$838,MATCH(STK_PRICES!A12,STK_FEED!$A$2:$A$838,0))),G12,INDEX(STK_FEED!$D$2:$D$838,MATCH(STK_PRICES!A12,STK_FEED!$A$2:$A$838,0)))</f>
        <v>4300</v>
      </c>
      <c r="I12" s="10"/>
      <c r="J12" s="10"/>
      <c r="K12" s="10"/>
      <c r="L12" s="8">
        <f t="shared" si="0"/>
        <v>4300</v>
      </c>
      <c r="M12" s="75">
        <v>41165</v>
      </c>
      <c r="N12" s="1">
        <v>0</v>
      </c>
      <c r="O12" s="2" t="str">
        <f>INDEX(STK_REF!$K$2:$K$31,MATCH(STK_PRICES!A12,STK_REF!$A$2:$A$31,0))</f>
        <v>PVT</v>
      </c>
    </row>
    <row r="13" spans="1:17" x14ac:dyDescent="0.2">
      <c r="A13" s="2" t="str">
        <f>IF(INDEX(STK_REF!$A:$A,ROW(STK_REF!A13))=0,"",INDEX(STK_REF!$A:$A,ROW(STK_REF!A13)))</f>
        <v>PXI</v>
      </c>
      <c r="B13" t="str">
        <f>IF(A13&lt;&gt;"",VLOOKUP($A13,STK_REF!$A$2:$H$593,3,0),"")</f>
        <v>Petroleum Industrial and Civil Construction</v>
      </c>
      <c r="C13" t="str">
        <f>IF(A13&lt;&gt;"",VLOOKUP($A13,STK_REF!$A$2:$H$593,5,0),"")</f>
        <v>VNXHM</v>
      </c>
      <c r="D13" t="str">
        <f>IF(A13&lt;&gt;"",VLOOKUP($A13,STK_REF!$A$2:$H$593,6,0),"")</f>
        <v>VNXIN</v>
      </c>
      <c r="E13" t="str">
        <f>IF($A13&lt;&gt;"",VLOOKUP($A13,STK_REF!$A$2:$H$593,7,0),"")</f>
        <v>VND</v>
      </c>
      <c r="F13">
        <f>IF($A13&lt;&gt;"",VLOOKUP($A13,STK_REF!$A$2:$H$593,8,0),"")</f>
        <v>1</v>
      </c>
      <c r="G13" s="8">
        <v>7300</v>
      </c>
      <c r="H13" s="8">
        <f>IF(ISNA(INDEX(STK_FEED!$D$2:$D$838,MATCH(STK_PRICES!A13,STK_FEED!$A$2:$A$838,0))),G13,INDEX(STK_FEED!$D$2:$D$838,MATCH(STK_PRICES!A13,STK_FEED!$A$2:$A$838,0)))</f>
        <v>4000</v>
      </c>
      <c r="I13" s="10"/>
      <c r="J13" s="10"/>
      <c r="K13" s="10"/>
      <c r="L13" s="8">
        <f t="shared" si="0"/>
        <v>4000</v>
      </c>
      <c r="M13" s="75">
        <v>41165</v>
      </c>
      <c r="N13" s="1">
        <v>0</v>
      </c>
      <c r="O13" s="2" t="str">
        <f>INDEX(STK_REF!$K$2:$K$31,MATCH(STK_PRICES!A13,STK_REF!$A$2:$A$31,0))</f>
        <v>PXI</v>
      </c>
    </row>
    <row r="14" spans="1:17" x14ac:dyDescent="0.2">
      <c r="A14" s="2" t="str">
        <f>IF(INDEX(STK_REF!$A:$A,ROW(STK_REF!A14))=0,"",INDEX(STK_REF!$A:$A,ROW(STK_REF!A14)))</f>
        <v>PXM</v>
      </c>
      <c r="B14" t="str">
        <f>IF(A14&lt;&gt;"",VLOOKUP($A14,STK_REF!$A$2:$H$593,3,0),"")</f>
        <v>Mientrung Petroleum Construction</v>
      </c>
      <c r="C14" t="str">
        <f>IF(A14&lt;&gt;"",VLOOKUP($A14,STK_REF!$A$2:$H$593,5,0),"")</f>
        <v>VNXHM</v>
      </c>
      <c r="D14" t="str">
        <f>IF(A14&lt;&gt;"",VLOOKUP($A14,STK_REF!$A$2:$H$593,6,0),"")</f>
        <v>VNXIN</v>
      </c>
      <c r="E14" t="str">
        <f>IF($A14&lt;&gt;"",VLOOKUP($A14,STK_REF!$A$2:$H$593,7,0),"")</f>
        <v>VND</v>
      </c>
      <c r="F14">
        <f>IF($A14&lt;&gt;"",VLOOKUP($A14,STK_REF!$A$2:$H$593,8,0),"")</f>
        <v>1</v>
      </c>
      <c r="G14" s="8">
        <v>16000</v>
      </c>
      <c r="H14" s="8">
        <f>IF(ISNA(INDEX(STK_FEED!$D$2:$D$838,MATCH(STK_PRICES!A14,STK_FEED!$A$2:$A$838,0))),G14,INDEX(STK_FEED!$D$2:$D$838,MATCH(STK_PRICES!A14,STK_FEED!$A$2:$A$838,0)))</f>
        <v>3200</v>
      </c>
      <c r="I14" s="10"/>
      <c r="J14" s="10"/>
      <c r="K14" s="10"/>
      <c r="L14" s="8">
        <f t="shared" si="0"/>
        <v>3200</v>
      </c>
      <c r="M14" s="75">
        <v>41165</v>
      </c>
      <c r="N14" s="1">
        <v>0</v>
      </c>
      <c r="O14" s="2" t="str">
        <f>INDEX(STK_REF!$K$2:$K$31,MATCH(STK_PRICES!A14,STK_REF!$A$2:$A$31,0))</f>
        <v>PXM</v>
      </c>
    </row>
    <row r="15" spans="1:17" x14ac:dyDescent="0.2">
      <c r="A15" s="2" t="str">
        <f>IF(INDEX(STK_REF!$A:$A,ROW(STK_REF!A15))=0,"",INDEX(STK_REF!$A:$A,ROW(STK_REF!A15)))</f>
        <v>PXS</v>
      </c>
      <c r="B15" t="str">
        <f>IF(A15&lt;&gt;"",VLOOKUP($A15,STK_REF!$A$2:$H$593,3,0),"")</f>
        <v>Petroleum Equipment Assembly and Metal Structure</v>
      </c>
      <c r="C15" t="str">
        <f>IF(A15&lt;&gt;"",VLOOKUP($A15,STK_REF!$A$2:$H$593,5,0),"")</f>
        <v>VNXHM</v>
      </c>
      <c r="D15" t="str">
        <f>IF(A15&lt;&gt;"",VLOOKUP($A15,STK_REF!$A$2:$H$593,6,0),"")</f>
        <v>VNXIN</v>
      </c>
      <c r="E15" t="str">
        <f>IF($A15&lt;&gt;"",VLOOKUP($A15,STK_REF!$A$2:$H$593,7,0),"")</f>
        <v>VND</v>
      </c>
      <c r="F15">
        <f>IF($A15&lt;&gt;"",VLOOKUP($A15,STK_REF!$A$2:$H$593,8,0),"")</f>
        <v>1</v>
      </c>
      <c r="G15" s="8">
        <v>8000</v>
      </c>
      <c r="H15" s="8">
        <f>IF(ISNA(INDEX(STK_FEED!$D$2:$D$838,MATCH(STK_PRICES!A15,STK_FEED!$A$2:$A$838,0))),G15,INDEX(STK_FEED!$D$2:$D$838,MATCH(STK_PRICES!A15,STK_FEED!$A$2:$A$838,0)))</f>
        <v>9400</v>
      </c>
      <c r="I15" s="10"/>
      <c r="J15" s="10"/>
      <c r="K15" s="10"/>
      <c r="L15" s="8">
        <f t="shared" si="0"/>
        <v>9400</v>
      </c>
      <c r="M15" s="75">
        <v>41165</v>
      </c>
      <c r="N15" s="1">
        <v>0</v>
      </c>
      <c r="O15" s="2" t="str">
        <f>INDEX(STK_REF!$K$2:$K$31,MATCH(STK_PRICES!A15,STK_REF!$A$2:$A$31,0))</f>
        <v>PXS</v>
      </c>
    </row>
    <row r="16" spans="1:17" x14ac:dyDescent="0.2">
      <c r="A16" s="2" t="str">
        <f>IF(INDEX(STK_REF!$A:$A,ROW(STK_REF!A16))=0,"",INDEX(STK_REF!$A:$A,ROW(STK_REF!A16)))</f>
        <v>PXT</v>
      </c>
      <c r="B16" t="str">
        <f>IF(A16&lt;&gt;"",VLOOKUP($A16,STK_REF!$A$2:$H$593,3,0),"")</f>
        <v>Petroleum Pipeline and Tank Construction</v>
      </c>
      <c r="C16" t="str">
        <f>IF(A16&lt;&gt;"",VLOOKUP($A16,STK_REF!$A$2:$H$593,5,0),"")</f>
        <v>VNXHM</v>
      </c>
      <c r="D16" t="str">
        <f>IF(A16&lt;&gt;"",VLOOKUP($A16,STK_REF!$A$2:$H$593,6,0),"")</f>
        <v>VNXIN</v>
      </c>
      <c r="E16" t="str">
        <f>IF($A16&lt;&gt;"",VLOOKUP($A16,STK_REF!$A$2:$H$593,7,0),"")</f>
        <v>VND</v>
      </c>
      <c r="F16">
        <f>IF($A16&lt;&gt;"",VLOOKUP($A16,STK_REF!$A$2:$H$593,8,0),"")</f>
        <v>1</v>
      </c>
      <c r="G16" s="8">
        <v>10500</v>
      </c>
      <c r="H16" s="8">
        <f>IF(ISNA(INDEX(STK_FEED!$D$2:$D$838,MATCH(STK_PRICES!A16,STK_FEED!$A$2:$A$838,0))),G16,INDEX(STK_FEED!$D$2:$D$838,MATCH(STK_PRICES!A16,STK_FEED!$A$2:$A$838,0)))</f>
        <v>4200</v>
      </c>
      <c r="I16" s="10"/>
      <c r="J16" s="10"/>
      <c r="K16" s="10"/>
      <c r="L16" s="8">
        <f t="shared" si="0"/>
        <v>4200</v>
      </c>
      <c r="M16" s="75">
        <v>41165</v>
      </c>
      <c r="N16" s="1">
        <v>0</v>
      </c>
      <c r="O16" s="2" t="str">
        <f>INDEX(STK_REF!$K$2:$K$31,MATCH(STK_PRICES!A16,STK_REF!$A$2:$A$31,0))</f>
        <v>PXT</v>
      </c>
    </row>
    <row r="17" spans="1:15" x14ac:dyDescent="0.2">
      <c r="A17" s="2" t="str">
        <f>IF(INDEX(STK_REF!$A:$A,ROW(STK_REF!A17))=0,"",INDEX(STK_REF!$A:$A,ROW(STK_REF!A17)))</f>
        <v>PCT</v>
      </c>
      <c r="B17" t="str">
        <f>IF(A17&lt;&gt;"",VLOOKUP($A17,STK_REF!$A$2:$H$593,3,0),"")</f>
        <v>Cuu Long Petro Gas Service Transportation</v>
      </c>
      <c r="C17" t="str">
        <f>IF(A17&lt;&gt;"",VLOOKUP($A17,STK_REF!$A$2:$H$593,5,0),"")</f>
        <v>VNXHN</v>
      </c>
      <c r="D17" t="str">
        <f>IF(A17&lt;&gt;"",VLOOKUP($A17,STK_REF!$A$2:$H$593,6,0),"")</f>
        <v>VNXIN</v>
      </c>
      <c r="E17" t="str">
        <f>IF($A17&lt;&gt;"",VLOOKUP($A17,STK_REF!$A$2:$H$593,7,0),"")</f>
        <v>VND</v>
      </c>
      <c r="F17">
        <f>IF($A17&lt;&gt;"",VLOOKUP($A17,STK_REF!$A$2:$H$593,8,0),"")</f>
        <v>1</v>
      </c>
      <c r="G17" s="8">
        <v>6100</v>
      </c>
      <c r="H17" s="8">
        <f>IF(ISNA(INDEX(STK_FEED!$D$2:$D$838,MATCH(STK_PRICES!A17,STK_FEED!$A$2:$A$838,0))),G17,INDEX(STK_FEED!$D$2:$D$838,MATCH(STK_PRICES!A17,STK_FEED!$A$2:$A$838,0)))</f>
        <v>2900</v>
      </c>
      <c r="I17" s="10"/>
      <c r="J17" s="10"/>
      <c r="K17" s="10"/>
      <c r="L17" s="8">
        <f t="shared" si="0"/>
        <v>2900</v>
      </c>
      <c r="M17" s="75">
        <v>41165</v>
      </c>
      <c r="N17" s="1">
        <v>0</v>
      </c>
      <c r="O17" s="2" t="str">
        <f>INDEX(STK_REF!$K$2:$K$31,MATCH(STK_PRICES!A17,STK_REF!$A$2:$A$31,0))</f>
        <v>PCT</v>
      </c>
    </row>
    <row r="18" spans="1:15" x14ac:dyDescent="0.2">
      <c r="A18" s="2" t="str">
        <f>IF(INDEX(STK_REF!$A:$A,ROW(STK_REF!A18))=0,"",INDEX(STK_REF!$A:$A,ROW(STK_REF!A18)))</f>
        <v>PPS</v>
      </c>
      <c r="B18" t="str">
        <f>IF(A18&lt;&gt;"",VLOOKUP($A18,STK_REF!$A$2:$H$593,3,0),"")</f>
        <v>Petro Vietnam Power Services Joint Stock Company</v>
      </c>
      <c r="C18" t="str">
        <f>IF(A18&lt;&gt;"",VLOOKUP($A18,STK_REF!$A$2:$H$593,5,0),"")</f>
        <v>VNXHN</v>
      </c>
      <c r="D18" t="str">
        <f>IF(A18&lt;&gt;"",VLOOKUP($A18,STK_REF!$A$2:$H$593,6,0),"")</f>
        <v>VNXIN</v>
      </c>
      <c r="E18" t="str">
        <f>IF($A18&lt;&gt;"",VLOOKUP($A18,STK_REF!$A$2:$H$593,7,0),"")</f>
        <v>VND</v>
      </c>
      <c r="F18">
        <f>IF($A18&lt;&gt;"",VLOOKUP($A18,STK_REF!$A$2:$H$593,8,0),"")</f>
        <v>1</v>
      </c>
      <c r="G18" s="8">
        <v>13100</v>
      </c>
      <c r="H18" s="8">
        <f>IF(ISNA(INDEX(STK_FEED!$D$2:$D$838,MATCH(STK_PRICES!A18,STK_FEED!$A$2:$A$838,0))),G18,INDEX(STK_FEED!$D$2:$D$838,MATCH(STK_PRICES!A18,STK_FEED!$A$2:$A$838,0)))</f>
        <v>7200</v>
      </c>
      <c r="I18" s="10"/>
      <c r="J18" s="10"/>
      <c r="K18" s="10"/>
      <c r="L18" s="8">
        <f t="shared" si="0"/>
        <v>7200</v>
      </c>
      <c r="M18" s="75">
        <v>41165</v>
      </c>
      <c r="N18" s="1">
        <v>0</v>
      </c>
      <c r="O18" s="2" t="str">
        <f>INDEX(STK_REF!$K$2:$K$31,MATCH(STK_PRICES!A18,STK_REF!$A$2:$A$31,0))</f>
        <v>PPS</v>
      </c>
    </row>
    <row r="19" spans="1:15" x14ac:dyDescent="0.2">
      <c r="A19" s="2" t="str">
        <f>IF(INDEX(STK_REF!$A:$A,ROW(STK_REF!A19))=0,"",INDEX(STK_REF!$A:$A,ROW(STK_REF!A19)))</f>
        <v>PVE</v>
      </c>
      <c r="B19" t="str">
        <f>IF(A19&lt;&gt;"",VLOOKUP($A19,STK_REF!$A$2:$H$593,3,0),"")</f>
        <v>VNX Investment Consultancy and Engineering</v>
      </c>
      <c r="C19" t="str">
        <f>IF(A19&lt;&gt;"",VLOOKUP($A19,STK_REF!$A$2:$H$593,5,0),"")</f>
        <v>VNXHN</v>
      </c>
      <c r="D19" t="str">
        <f>IF(A19&lt;&gt;"",VLOOKUP($A19,STK_REF!$A$2:$H$593,6,0),"")</f>
        <v>VNXIN</v>
      </c>
      <c r="E19" t="str">
        <f>IF($A19&lt;&gt;"",VLOOKUP($A19,STK_REF!$A$2:$H$593,7,0),"")</f>
        <v>VND</v>
      </c>
      <c r="F19">
        <f>IF($A19&lt;&gt;"",VLOOKUP($A19,STK_REF!$A$2:$H$593,8,0),"")</f>
        <v>1</v>
      </c>
      <c r="G19" s="8">
        <v>7000</v>
      </c>
      <c r="H19" s="8">
        <f>IF(ISNA(INDEX(STK_FEED!$D$2:$D$838,MATCH(STK_PRICES!A19,STK_FEED!$A$2:$A$838,0))),G19,INDEX(STK_FEED!$D$2:$D$838,MATCH(STK_PRICES!A19,STK_FEED!$A$2:$A$838,0)))</f>
        <v>9600</v>
      </c>
      <c r="I19" s="10"/>
      <c r="J19" s="10"/>
      <c r="K19" s="10"/>
      <c r="L19" s="8">
        <f t="shared" si="0"/>
        <v>9600</v>
      </c>
      <c r="M19" s="75">
        <v>41165</v>
      </c>
      <c r="N19" s="1">
        <v>0</v>
      </c>
      <c r="O19" s="2" t="str">
        <f>INDEX(STK_REF!$K$2:$K$31,MATCH(STK_PRICES!A19,STK_REF!$A$2:$A$31,0))</f>
        <v>PVE</v>
      </c>
    </row>
    <row r="20" spans="1:15" x14ac:dyDescent="0.2">
      <c r="A20" s="2" t="str">
        <f>IF(INDEX(STK_REF!$A:$A,ROW(STK_REF!A20))=0,"",INDEX(STK_REF!$A:$A,ROW(STK_REF!A20)))</f>
        <v>PVX</v>
      </c>
      <c r="B20" t="str">
        <f>IF(A20&lt;&gt;"",VLOOKUP($A20,STK_REF!$A$2:$H$593,3,0),"")</f>
        <v>VNX Construction</v>
      </c>
      <c r="C20" t="str">
        <f>IF(A20&lt;&gt;"",VLOOKUP($A20,STK_REF!$A$2:$H$593,5,0),"")</f>
        <v>VNXHN</v>
      </c>
      <c r="D20" t="str">
        <f>IF(A20&lt;&gt;"",VLOOKUP($A20,STK_REF!$A$2:$H$593,6,0),"")</f>
        <v>VNXIN</v>
      </c>
      <c r="E20" t="str">
        <f>IF($A20&lt;&gt;"",VLOOKUP($A20,STK_REF!$A$2:$H$593,7,0),"")</f>
        <v>VND</v>
      </c>
      <c r="F20">
        <f>IF($A20&lt;&gt;"",VLOOKUP($A20,STK_REF!$A$2:$H$593,8,0),"")</f>
        <v>1</v>
      </c>
      <c r="G20" s="8">
        <v>6800</v>
      </c>
      <c r="H20" s="8">
        <f>IF(ISNA(INDEX(STK_FEED!$D$2:$D$838,MATCH(STK_PRICES!A20,STK_FEED!$A$2:$A$838,0))),G20,INDEX(STK_FEED!$D$2:$D$838,MATCH(STK_PRICES!A20,STK_FEED!$A$2:$A$838,0)))</f>
        <v>5200</v>
      </c>
      <c r="I20" s="10"/>
      <c r="J20" s="10"/>
      <c r="K20" s="10"/>
      <c r="L20" s="8">
        <f t="shared" si="0"/>
        <v>5200</v>
      </c>
      <c r="M20" s="75">
        <v>41165</v>
      </c>
      <c r="N20" s="1">
        <v>0</v>
      </c>
      <c r="O20" s="2" t="str">
        <f>INDEX(STK_REF!$K$2:$K$31,MATCH(STK_PRICES!A20,STK_REF!$A$2:$A$31,0))</f>
        <v>PVX</v>
      </c>
    </row>
    <row r="21" spans="1:15" x14ac:dyDescent="0.2">
      <c r="A21" s="2" t="str">
        <f>IF(INDEX(STK_REF!$A:$A,ROW(STK_REF!A21))=0,"",INDEX(STK_REF!$A:$A,ROW(STK_REF!A21)))</f>
        <v>PSP</v>
      </c>
      <c r="B21" t="str">
        <f>IF(A21&lt;&gt;"",VLOOKUP($A21,STK_REF!$A$2:$H$593,3,0),"")</f>
        <v>Dinh Vu Petroleum Service Port</v>
      </c>
      <c r="C21" t="str">
        <f>IF(A21&lt;&gt;"",VLOOKUP($A21,STK_REF!$A$2:$H$593,5,0),"")</f>
        <v>VNXUC</v>
      </c>
      <c r="D21" t="str">
        <f>IF(A21&lt;&gt;"",VLOOKUP($A21,STK_REF!$A$2:$H$593,6,0),"")</f>
        <v>VNXIN</v>
      </c>
      <c r="E21" t="str">
        <f>IF($A21&lt;&gt;"",VLOOKUP($A21,STK_REF!$A$2:$H$593,7,0),"")</f>
        <v>VND</v>
      </c>
      <c r="F21">
        <f>IF($A21&lt;&gt;"",VLOOKUP($A21,STK_REF!$A$2:$H$593,8,0),"")</f>
        <v>1</v>
      </c>
      <c r="G21" s="8">
        <v>7400</v>
      </c>
      <c r="H21" s="8">
        <f>IF(ISNA(INDEX(STK_FEED!$D$2:$D$838,MATCH(STK_PRICES!A21,STK_FEED!$A$2:$A$838,0))),G21,INDEX(STK_FEED!$D$2:$D$838,MATCH(STK_PRICES!A21,STK_FEED!$A$2:$A$838,0)))</f>
        <v>5300</v>
      </c>
      <c r="I21" s="10"/>
      <c r="J21" s="10"/>
      <c r="K21" s="10"/>
      <c r="L21" s="8">
        <f t="shared" si="0"/>
        <v>5300</v>
      </c>
      <c r="M21" s="75">
        <v>41165</v>
      </c>
      <c r="N21" s="1">
        <v>0</v>
      </c>
      <c r="O21" s="2" t="str">
        <f>INDEX(STK_REF!$K$2:$K$31,MATCH(STK_PRICES!A21,STK_REF!$A$2:$A$31,0))</f>
        <v>PSP</v>
      </c>
    </row>
    <row r="22" spans="1:15" x14ac:dyDescent="0.2">
      <c r="A22" s="2" t="str">
        <f>IF(INDEX(STK_REF!$A:$A,ROW(STK_REF!A22))=0,"",INDEX(STK_REF!$A:$A,ROW(STK_REF!A22)))</f>
        <v>PTT</v>
      </c>
      <c r="B22" t="str">
        <f>IF(A22&lt;&gt;"",VLOOKUP($A22,STK_REF!$A$2:$H$593,3,0),"")</f>
        <v>Indochina Petroleum Transportation</v>
      </c>
      <c r="C22" t="str">
        <f>IF(A22&lt;&gt;"",VLOOKUP($A22,STK_REF!$A$2:$H$593,5,0),"")</f>
        <v>VNXUC</v>
      </c>
      <c r="D22" t="str">
        <f>IF(A22&lt;&gt;"",VLOOKUP($A22,STK_REF!$A$2:$H$593,6,0),"")</f>
        <v>VNXIN</v>
      </c>
      <c r="E22" t="str">
        <f>IF($A22&lt;&gt;"",VLOOKUP($A22,STK_REF!$A$2:$H$593,7,0),"")</f>
        <v>VND</v>
      </c>
      <c r="F22">
        <f>IF($A22&lt;&gt;"",VLOOKUP($A22,STK_REF!$A$2:$H$593,8,0),"")</f>
        <v>1</v>
      </c>
      <c r="G22" s="8">
        <v>11100</v>
      </c>
      <c r="H22" s="8">
        <f>IF(ISNA(INDEX(STK_FEED!$D$2:$D$838,MATCH(STK_PRICES!A22,STK_FEED!$A$2:$A$838,0))),G22,INDEX(STK_FEED!$D$2:$D$838,MATCH(STK_PRICES!A22,STK_FEED!$A$2:$A$838,0)))</f>
        <v>1800</v>
      </c>
      <c r="I22" s="10"/>
      <c r="J22" s="10"/>
      <c r="K22" s="10"/>
      <c r="L22" s="8">
        <f t="shared" si="0"/>
        <v>1800</v>
      </c>
      <c r="M22" s="75">
        <v>41165</v>
      </c>
      <c r="N22" s="1">
        <v>0</v>
      </c>
      <c r="O22" s="2" t="str">
        <f>INDEX(STK_REF!$K$2:$K$31,MATCH(STK_PRICES!A22,STK_REF!$A$2:$A$31,0))</f>
        <v>PTT</v>
      </c>
    </row>
    <row r="23" spans="1:15" x14ac:dyDescent="0.2">
      <c r="A23" s="2" t="str">
        <f>IF(INDEX(STK_REF!$A:$A,ROW(STK_REF!A23))=0,"",INDEX(STK_REF!$A:$A,ROW(STK_REF!A23)))</f>
        <v>PGD</v>
      </c>
      <c r="B23" t="str">
        <f>IF(A23&lt;&gt;"",VLOOKUP($A23,STK_REF!$A$2:$H$593,3,0),"")</f>
        <v>VNX Low Pressure Gas Distribution</v>
      </c>
      <c r="C23" t="str">
        <f>IF(A23&lt;&gt;"",VLOOKUP($A23,STK_REF!$A$2:$H$593,5,0),"")</f>
        <v>VNXHM</v>
      </c>
      <c r="D23" t="str">
        <f>IF(A23&lt;&gt;"",VLOOKUP($A23,STK_REF!$A$2:$H$593,6,0),"")</f>
        <v>VNXOG</v>
      </c>
      <c r="E23" t="str">
        <f>IF($A23&lt;&gt;"",VLOOKUP($A23,STK_REF!$A$2:$H$593,7,0),"")</f>
        <v>VND</v>
      </c>
      <c r="F23">
        <f>IF($A23&lt;&gt;"",VLOOKUP($A23,STK_REF!$A$2:$H$593,8,0),"")</f>
        <v>1</v>
      </c>
      <c r="G23" s="8">
        <v>11900</v>
      </c>
      <c r="H23" s="8">
        <f>IF(ISNA(INDEX(STK_FEED!$D$2:$D$838,MATCH(STK_PRICES!A23,STK_FEED!$A$2:$A$838,0))),G23,INDEX(STK_FEED!$D$2:$D$838,MATCH(STK_PRICES!A23,STK_FEED!$A$2:$A$838,0)))</f>
        <v>38800</v>
      </c>
      <c r="I23" s="10"/>
      <c r="J23" s="10"/>
      <c r="K23" s="10"/>
      <c r="L23" s="8">
        <f t="shared" si="0"/>
        <v>38800</v>
      </c>
      <c r="M23" s="75">
        <v>41165</v>
      </c>
      <c r="N23" s="1">
        <v>0</v>
      </c>
      <c r="O23" s="2" t="str">
        <f>INDEX(STK_REF!$K$2:$K$31,MATCH(STK_PRICES!A23,STK_REF!$A$2:$A$31,0))</f>
        <v>PGD</v>
      </c>
    </row>
    <row r="24" spans="1:15" x14ac:dyDescent="0.2">
      <c r="A24" s="2" t="str">
        <f>IF(INDEX(STK_REF!$A:$A,ROW(STK_REF!A24))=0,"",INDEX(STK_REF!$A:$A,ROW(STK_REF!A24)))</f>
        <v>PVD</v>
      </c>
      <c r="B24" t="str">
        <f>IF(A24&lt;&gt;"",VLOOKUP($A24,STK_REF!$A$2:$H$593,3,0),"")</f>
        <v>VNX Drilling &amp; Well Services</v>
      </c>
      <c r="C24" t="str">
        <f>IF(A24&lt;&gt;"",VLOOKUP($A24,STK_REF!$A$2:$H$593,5,0),"")</f>
        <v>VNXHM</v>
      </c>
      <c r="D24" t="str">
        <f>IF(A24&lt;&gt;"",VLOOKUP($A24,STK_REF!$A$2:$H$593,6,0),"")</f>
        <v>VNXOG</v>
      </c>
      <c r="E24" t="str">
        <f>IF($A24&lt;&gt;"",VLOOKUP($A24,STK_REF!$A$2:$H$593,7,0),"")</f>
        <v>VND</v>
      </c>
      <c r="F24">
        <f>IF($A24&lt;&gt;"",VLOOKUP($A24,STK_REF!$A$2:$H$593,8,0),"")</f>
        <v>1</v>
      </c>
      <c r="G24" s="8">
        <v>8800</v>
      </c>
      <c r="H24" s="8">
        <f>IF(ISNA(INDEX(STK_FEED!$D$2:$D$838,MATCH(STK_PRICES!A24,STK_FEED!$A$2:$A$838,0))),G24,INDEX(STK_FEED!$D$2:$D$838,MATCH(STK_PRICES!A24,STK_FEED!$A$2:$A$838,0)))</f>
        <v>35000</v>
      </c>
      <c r="I24" s="10"/>
      <c r="J24" s="10"/>
      <c r="K24" s="10"/>
      <c r="L24" s="8">
        <f t="shared" si="0"/>
        <v>35000</v>
      </c>
      <c r="M24" s="75">
        <v>41165</v>
      </c>
      <c r="N24" s="1">
        <v>0</v>
      </c>
      <c r="O24" s="2" t="str">
        <f>INDEX(STK_REF!$K$2:$K$31,MATCH(STK_PRICES!A24,STK_REF!$A$2:$A$31,0))</f>
        <v>PVD</v>
      </c>
    </row>
    <row r="25" spans="1:15" x14ac:dyDescent="0.2">
      <c r="A25" s="2" t="str">
        <f>IF(INDEX(STK_REF!$A:$A,ROW(STK_REF!A25))=0,"",INDEX(STK_REF!$A:$A,ROW(STK_REF!A25)))</f>
        <v>PCG</v>
      </c>
      <c r="B25" t="str">
        <f>IF(A25&lt;&gt;"",VLOOKUP($A25,STK_REF!$A$2:$H$593,3,0),"")</f>
        <v>PetroVietnam Gas City Investment and Development JSC</v>
      </c>
      <c r="C25" t="str">
        <f>IF(A25&lt;&gt;"",VLOOKUP($A25,STK_REF!$A$2:$H$593,5,0),"")</f>
        <v>VNXHN</v>
      </c>
      <c r="D25" t="str">
        <f>IF(A25&lt;&gt;"",VLOOKUP($A25,STK_REF!$A$2:$H$593,6,0),"")</f>
        <v>VNXOG</v>
      </c>
      <c r="E25" t="str">
        <f>IF($A25&lt;&gt;"",VLOOKUP($A25,STK_REF!$A$2:$H$593,7,0),"")</f>
        <v>VND</v>
      </c>
      <c r="F25">
        <f>IF($A25&lt;&gt;"",VLOOKUP($A25,STK_REF!$A$2:$H$593,8,0),"")</f>
        <v>1</v>
      </c>
      <c r="G25" s="8">
        <v>6100</v>
      </c>
      <c r="H25" s="8">
        <f>IF(ISNA(INDEX(STK_FEED!$D$2:$D$838,MATCH(STK_PRICES!A25,STK_FEED!$A$2:$A$838,0))),G25,INDEX(STK_FEED!$D$2:$D$838,MATCH(STK_PRICES!A25,STK_FEED!$A$2:$A$838,0)))</f>
        <v>0</v>
      </c>
      <c r="I25" s="10"/>
      <c r="J25" s="10"/>
      <c r="K25" s="10"/>
      <c r="L25" s="8">
        <f t="shared" si="0"/>
        <v>6100</v>
      </c>
      <c r="M25" s="75">
        <v>41165</v>
      </c>
      <c r="N25" s="1">
        <v>0</v>
      </c>
      <c r="O25" s="2" t="str">
        <f>INDEX(STK_REF!$K$2:$K$31,MATCH(STK_PRICES!A25,STK_REF!$A$2:$A$31,0))</f>
        <v>PCG</v>
      </c>
    </row>
    <row r="26" spans="1:15" x14ac:dyDescent="0.2">
      <c r="A26" s="2" t="str">
        <f>IF(INDEX(STK_REF!$A:$A,ROW(STK_REF!A26))=0,"",INDEX(STK_REF!$A:$A,ROW(STK_REF!A26)))</f>
        <v>PSG</v>
      </c>
      <c r="B26" t="str">
        <f>IF(A26&lt;&gt;"",VLOOKUP($A26,STK_REF!$A$2:$H$593,3,0),"")</f>
        <v>Saigon Petroleum Constrution And Investment JSC</v>
      </c>
      <c r="C26" t="str">
        <f>IF(A26&lt;&gt;"",VLOOKUP($A26,STK_REF!$A$2:$H$593,5,0),"")</f>
        <v>VNXHN</v>
      </c>
      <c r="D26" t="str">
        <f>IF(A26&lt;&gt;"",VLOOKUP($A26,STK_REF!$A$2:$H$593,6,0),"")</f>
        <v>VNXOG</v>
      </c>
      <c r="E26" t="str">
        <f>IF($A26&lt;&gt;"",VLOOKUP($A26,STK_REF!$A$2:$H$593,7,0),"")</f>
        <v>VND</v>
      </c>
      <c r="F26">
        <f>IF($A26&lt;&gt;"",VLOOKUP($A26,STK_REF!$A$2:$H$593,8,0),"")</f>
        <v>1</v>
      </c>
      <c r="G26" s="8">
        <v>4600</v>
      </c>
      <c r="H26" s="8">
        <f>IF(ISNA(INDEX(STK_FEED!$D$2:$D$838,MATCH(STK_PRICES!A26,STK_FEED!$A$2:$A$838,0))),G26,INDEX(STK_FEED!$D$2:$D$838,MATCH(STK_PRICES!A26,STK_FEED!$A$2:$A$838,0)))</f>
        <v>1300</v>
      </c>
      <c r="I26" s="10"/>
      <c r="J26" s="10"/>
      <c r="K26" s="10"/>
      <c r="L26" s="8">
        <f t="shared" si="0"/>
        <v>1300</v>
      </c>
      <c r="M26" s="75">
        <v>41165</v>
      </c>
      <c r="N26" s="1">
        <v>0</v>
      </c>
      <c r="O26" s="2" t="str">
        <f>INDEX(STK_REF!$K$2:$K$31,MATCH(STK_PRICES!A26,STK_REF!$A$2:$A$31,0))</f>
        <v>PSG</v>
      </c>
    </row>
    <row r="27" spans="1:15" x14ac:dyDescent="0.2">
      <c r="A27" s="2" t="str">
        <f>IF(INDEX(STK_REF!$A:$A,ROW(STK_REF!A27))=0,"",INDEX(STK_REF!$A:$A,ROW(STK_REF!A27)))</f>
        <v>PVS</v>
      </c>
      <c r="B27" t="str">
        <f>IF(A27&lt;&gt;"",VLOOKUP($A27,STK_REF!$A$2:$H$593,3,0),"")</f>
        <v>VNX Technical Services</v>
      </c>
      <c r="C27" t="str">
        <f>IF(A27&lt;&gt;"",VLOOKUP($A27,STK_REF!$A$2:$H$593,5,0),"")</f>
        <v>VNXHN</v>
      </c>
      <c r="D27" t="str">
        <f>IF(A27&lt;&gt;"",VLOOKUP($A27,STK_REF!$A$2:$H$593,6,0),"")</f>
        <v>VNXOG</v>
      </c>
      <c r="E27" t="str">
        <f>IF($A27&lt;&gt;"",VLOOKUP($A27,STK_REF!$A$2:$H$593,7,0),"")</f>
        <v>VND</v>
      </c>
      <c r="F27">
        <f>IF($A27&lt;&gt;"",VLOOKUP($A27,STK_REF!$A$2:$H$593,8,0),"")</f>
        <v>1</v>
      </c>
      <c r="G27" s="8">
        <v>4700</v>
      </c>
      <c r="H27" s="8">
        <f>IF(ISNA(INDEX(STK_FEED!$D$2:$D$838,MATCH(STK_PRICES!A27,STK_FEED!$A$2:$A$838,0))),G27,INDEX(STK_FEED!$D$2:$D$838,MATCH(STK_PRICES!A27,STK_FEED!$A$2:$A$838,0)))</f>
        <v>15200</v>
      </c>
      <c r="I27" s="10"/>
      <c r="J27" s="10"/>
      <c r="K27" s="10"/>
      <c r="L27" s="8">
        <f t="shared" si="0"/>
        <v>15200</v>
      </c>
      <c r="M27" s="75">
        <v>41165</v>
      </c>
      <c r="N27" s="1">
        <v>0</v>
      </c>
      <c r="O27" s="2" t="str">
        <f>INDEX(STK_REF!$K$2:$K$31,MATCH(STK_PRICES!A27,STK_REF!$A$2:$A$31,0))</f>
        <v>PVS</v>
      </c>
    </row>
    <row r="28" spans="1:15" x14ac:dyDescent="0.2">
      <c r="A28" s="2" t="str">
        <f>IF(INDEX(STK_REF!$A:$A,ROW(STK_REF!A28))=0,"",INDEX(STK_REF!$A:$A,ROW(STK_REF!A28)))</f>
        <v>POV</v>
      </c>
      <c r="B28" t="str">
        <f>IF(A28&lt;&gt;"",VLOOKUP($A28,STK_REF!$A$2:$H$593,3,0),"")</f>
        <v>Vung Ang Petroleum</v>
      </c>
      <c r="C28" t="str">
        <f>IF(A28&lt;&gt;"",VLOOKUP($A28,STK_REF!$A$2:$H$593,5,0),"")</f>
        <v>VNXUC</v>
      </c>
      <c r="D28" t="str">
        <f>IF(A28&lt;&gt;"",VLOOKUP($A28,STK_REF!$A$2:$H$593,6,0),"")</f>
        <v>VNXOG</v>
      </c>
      <c r="E28" t="str">
        <f>IF($A28&lt;&gt;"",VLOOKUP($A28,STK_REF!$A$2:$H$593,7,0),"")</f>
        <v>VND</v>
      </c>
      <c r="F28">
        <f>IF($A28&lt;&gt;"",VLOOKUP($A28,STK_REF!$A$2:$H$593,8,0),"")</f>
        <v>1</v>
      </c>
      <c r="G28" s="8">
        <v>3800</v>
      </c>
      <c r="H28" s="8">
        <f>IF(ISNA(INDEX(STK_FEED!$D$2:$D$838,MATCH(STK_PRICES!A28,STK_FEED!$A$2:$A$838,0))),G28,INDEX(STK_FEED!$D$2:$D$838,MATCH(STK_PRICES!A28,STK_FEED!$A$2:$A$838,0)))</f>
        <v>5900</v>
      </c>
      <c r="I28" s="10"/>
      <c r="J28" s="10"/>
      <c r="K28" s="10"/>
      <c r="L28" s="8">
        <f t="shared" si="0"/>
        <v>5900</v>
      </c>
      <c r="M28" s="75">
        <v>41165</v>
      </c>
      <c r="N28" s="1">
        <v>0</v>
      </c>
      <c r="O28" s="2" t="str">
        <f>INDEX(STK_REF!$K$2:$K$31,MATCH(STK_PRICES!A28,STK_REF!$A$2:$A$31,0))</f>
        <v>POV</v>
      </c>
    </row>
    <row r="29" spans="1:15" x14ac:dyDescent="0.2">
      <c r="A29" s="2" t="str">
        <f>IF(INDEX(STK_REF!$A:$A,ROW(STK_REF!A29))=0,"",INDEX(STK_REF!$A:$A,ROW(STK_REF!A29)))</f>
        <v>PGS</v>
      </c>
      <c r="B29" t="str">
        <f>IF(A29&lt;&gt;"",VLOOKUP($A29,STK_REF!$A$2:$H$593,3,0),"")</f>
        <v>VNX Southern Gas</v>
      </c>
      <c r="C29" t="str">
        <f>IF(A29&lt;&gt;"",VLOOKUP($A29,STK_REF!$A$2:$H$593,5,0),"")</f>
        <v>VNXHN</v>
      </c>
      <c r="D29" t="str">
        <f>IF(A29&lt;&gt;"",VLOOKUP($A29,STK_REF!$A$2:$H$593,6,0),"")</f>
        <v>VNXUT</v>
      </c>
      <c r="E29" t="str">
        <f>IF($A29&lt;&gt;"",VLOOKUP($A29,STK_REF!$A$2:$H$593,7,0),"")</f>
        <v>VND</v>
      </c>
      <c r="F29">
        <f>IF($A29&lt;&gt;"",VLOOKUP($A29,STK_REF!$A$2:$H$593,8,0),"")</f>
        <v>1</v>
      </c>
      <c r="G29" s="8">
        <v>3400</v>
      </c>
      <c r="H29" s="8">
        <f>IF(ISNA(INDEX(STK_FEED!$D$2:$D$838,MATCH(STK_PRICES!A29,STK_FEED!$A$2:$A$838,0))),G29,INDEX(STK_FEED!$D$2:$D$838,MATCH(STK_PRICES!A29,STK_FEED!$A$2:$A$838,0)))</f>
        <v>17100</v>
      </c>
      <c r="I29" s="10"/>
      <c r="J29" s="10"/>
      <c r="K29" s="10"/>
      <c r="L29" s="8">
        <f t="shared" si="0"/>
        <v>17100</v>
      </c>
      <c r="M29" s="75">
        <v>41165</v>
      </c>
      <c r="N29" s="1">
        <v>0</v>
      </c>
      <c r="O29" s="2" t="str">
        <f>INDEX(STK_REF!$K$2:$K$31,MATCH(STK_PRICES!A29,STK_REF!$A$2:$A$31,0))</f>
        <v>PGS</v>
      </c>
    </row>
    <row r="30" spans="1:15" x14ac:dyDescent="0.2">
      <c r="A30" s="2" t="str">
        <f>IF(INDEX(STK_REF!$A:$A,ROW(STK_REF!A30))=0,"",INDEX(STK_REF!$A:$A,ROW(STK_REF!A30)))</f>
        <v>PVG</v>
      </c>
      <c r="B30" t="str">
        <f>IF(A30&lt;&gt;"",VLOOKUP($A30,STK_REF!$A$2:$H$593,3,0),"")</f>
        <v>VNX Northern Gas</v>
      </c>
      <c r="C30" t="str">
        <f>IF(A30&lt;&gt;"",VLOOKUP($A30,STK_REF!$A$2:$H$593,5,0),"")</f>
        <v>VNXHN</v>
      </c>
      <c r="D30" t="str">
        <f>IF(A30&lt;&gt;"",VLOOKUP($A30,STK_REF!$A$2:$H$593,6,0),"")</f>
        <v>VNXUT</v>
      </c>
      <c r="E30" t="str">
        <f>IF($A30&lt;&gt;"",VLOOKUP($A30,STK_REF!$A$2:$H$593,7,0),"")</f>
        <v>VND</v>
      </c>
      <c r="F30">
        <f>IF($A30&lt;&gt;"",VLOOKUP($A30,STK_REF!$A$2:$H$593,8,0),"")</f>
        <v>1</v>
      </c>
      <c r="G30" s="8">
        <v>2600</v>
      </c>
      <c r="H30" s="8">
        <f>IF(ISNA(INDEX(STK_FEED!$D$2:$D$838,MATCH(STK_PRICES!A30,STK_FEED!$A$2:$A$838,0))),G30,INDEX(STK_FEED!$D$2:$D$838,MATCH(STK_PRICES!A30,STK_FEED!$A$2:$A$838,0)))</f>
        <v>9300</v>
      </c>
      <c r="I30" s="10"/>
      <c r="J30" s="10"/>
      <c r="K30" s="10"/>
      <c r="L30" s="8">
        <f t="shared" si="0"/>
        <v>9300</v>
      </c>
      <c r="M30" s="75">
        <v>41165</v>
      </c>
      <c r="N30" s="1">
        <v>0</v>
      </c>
      <c r="O30" s="2" t="str">
        <f>INDEX(STK_REF!$K$2:$K$31,MATCH(STK_PRICES!A30,STK_REF!$A$2:$A$31,0))</f>
        <v>PVG</v>
      </c>
    </row>
    <row r="31" spans="1:15" x14ac:dyDescent="0.2">
      <c r="A31" s="2" t="str">
        <f>IF(INDEX(STK_REF!$A:$A,ROW(STK_REF!A31))=0,"",INDEX(STK_REF!$A:$A,ROW(STK_REF!A31)))</f>
        <v>NT2</v>
      </c>
      <c r="B31" t="str">
        <f>IF(A31&lt;&gt;"",VLOOKUP($A31,STK_REF!$A$2:$H$593,3,0),"")</f>
        <v>VNX Power NhonTrach 2</v>
      </c>
      <c r="C31" t="str">
        <f>IF(A31&lt;&gt;"",VLOOKUP($A31,STK_REF!$A$2:$H$593,5,0),"")</f>
        <v>VNXUC</v>
      </c>
      <c r="D31" t="str">
        <f>IF(A31&lt;&gt;"",VLOOKUP($A31,STK_REF!$A$2:$H$593,6,0),"")</f>
        <v>VNXUT</v>
      </c>
      <c r="E31" t="str">
        <f>IF($A31&lt;&gt;"",VLOOKUP($A31,STK_REF!$A$2:$H$593,7,0),"")</f>
        <v>VND</v>
      </c>
      <c r="F31">
        <f>IF($A31&lt;&gt;"",VLOOKUP($A31,STK_REF!$A$2:$H$593,8,0),"")</f>
        <v>1</v>
      </c>
      <c r="G31" s="8">
        <v>5900</v>
      </c>
      <c r="H31" s="8">
        <f>IF(ISNA(INDEX(STK_FEED!$D$2:$D$838,MATCH(STK_PRICES!A31,STK_FEED!$A$2:$A$838,0))),G31,INDEX(STK_FEED!$D$2:$D$838,MATCH(STK_PRICES!A31,STK_FEED!$A$2:$A$838,0)))</f>
        <v>4600</v>
      </c>
      <c r="I31" s="10"/>
      <c r="J31" s="10"/>
      <c r="K31" s="10"/>
      <c r="L31" s="8">
        <f t="shared" si="0"/>
        <v>4600</v>
      </c>
      <c r="M31" s="75">
        <v>41165</v>
      </c>
      <c r="N31" s="1">
        <v>0</v>
      </c>
      <c r="O31" s="2" t="str">
        <f>INDEX(STK_REF!$K$2:$K$31,MATCH(STK_PRICES!A31,STK_REF!$A$2:$A$31,0))</f>
        <v>NT2</v>
      </c>
    </row>
  </sheetData>
  <sortState ref="A2:L33">
    <sortCondition ref="A2:A33"/>
  </sortState>
  <customSheetViews>
    <customSheetView guid="{8EF2C042-D97C-40EA-9E42-A17331664713}">
      <selection activeCell="C18" sqref="C18"/>
      <pageMargins left="0.75" right="0.75" top="1" bottom="1" header="0.4921259845" footer="0.4921259845"/>
      <pageSetup paperSize="9" orientation="portrait" verticalDpi="0"/>
      <headerFooter alignWithMargins="0"/>
    </customSheetView>
    <customSheetView guid="{E8497AD8-A45C-484D-A252-6E26647DB053}">
      <selection activeCell="B4" sqref="B4"/>
      <pageMargins left="0.75" right="0.75" top="1" bottom="1" header="0.4921259845" footer="0.4921259845"/>
      <pageSetup paperSize="9" orientation="portrait" verticalDpi="0"/>
      <headerFooter alignWithMargins="0"/>
    </customSheetView>
    <customSheetView guid="{AAB8C83D-EE7C-4F2D-A040-F04A230A06FD}">
      <selection activeCell="N10" sqref="N10"/>
      <pageMargins left="0.75" right="0.75" top="1" bottom="1" header="0.4921259845" footer="0.4921259845"/>
      <pageSetup paperSize="9" orientation="portrait" verticalDpi="0"/>
      <headerFooter alignWithMargins="0"/>
    </customSheetView>
    <customSheetView guid="{A93D23F5-27FE-48DF-A0DC-3D7A8C6F3CF5}">
      <selection activeCell="A9" sqref="A9"/>
      <pageMargins left="0.75" right="0.75" top="1" bottom="1" header="0.4921259845" footer="0.4921259845"/>
      <pageSetup paperSize="9" orientation="portrait" verticalDpi="0"/>
      <headerFooter alignWithMargins="0"/>
    </customSheetView>
  </customSheetViews>
  <phoneticPr fontId="4" type="noConversion"/>
  <pageMargins left="0.75" right="0.75" top="1" bottom="1" header="0.4921259845" footer="0.492125984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RowHeight="12.75" x14ac:dyDescent="0.2"/>
  <cols>
    <col min="1" max="1" width="12.42578125" customWidth="1"/>
    <col min="2" max="2" width="11.28515625" bestFit="1" customWidth="1"/>
    <col min="3" max="3" width="8.42578125" bestFit="1" customWidth="1"/>
    <col min="4" max="4" width="17.42578125" customWidth="1"/>
    <col min="5" max="5" width="10.7109375" bestFit="1" customWidth="1"/>
    <col min="6" max="6" width="10.28515625" bestFit="1" customWidth="1"/>
  </cols>
  <sheetData>
    <row r="1" spans="1:6" x14ac:dyDescent="0.2">
      <c r="A1" s="3" t="s">
        <v>206</v>
      </c>
      <c r="B1" s="3" t="s">
        <v>207</v>
      </c>
      <c r="C1" s="3" t="s">
        <v>208</v>
      </c>
      <c r="D1" s="3" t="s">
        <v>209</v>
      </c>
      <c r="E1" s="3" t="s">
        <v>210</v>
      </c>
      <c r="F1" s="3" t="s">
        <v>211</v>
      </c>
    </row>
    <row r="2" spans="1:6" x14ac:dyDescent="0.2">
      <c r="A2" t="s">
        <v>212</v>
      </c>
      <c r="B2" t="s">
        <v>83</v>
      </c>
      <c r="C2" t="s">
        <v>14</v>
      </c>
      <c r="D2" s="12">
        <v>29810.68</v>
      </c>
      <c r="E2" s="75">
        <v>41165</v>
      </c>
      <c r="F2" s="1">
        <v>0.49305555555555558</v>
      </c>
    </row>
    <row r="3" spans="1:6" x14ac:dyDescent="0.2">
      <c r="A3" t="s">
        <v>213</v>
      </c>
      <c r="B3" t="s">
        <v>84</v>
      </c>
      <c r="C3" t="s">
        <v>14</v>
      </c>
      <c r="D3" s="12">
        <v>21890</v>
      </c>
      <c r="E3" s="75">
        <v>41165</v>
      </c>
      <c r="F3" s="1">
        <v>0.49305555555555558</v>
      </c>
    </row>
    <row r="4" spans="1:6" x14ac:dyDescent="0.2">
      <c r="A4" t="s">
        <v>214</v>
      </c>
      <c r="B4" t="s">
        <v>85</v>
      </c>
      <c r="C4" t="s">
        <v>14</v>
      </c>
      <c r="D4" s="12">
        <v>282</v>
      </c>
      <c r="E4" s="75">
        <v>41165</v>
      </c>
      <c r="F4" s="1">
        <v>0.49305555555555558</v>
      </c>
    </row>
    <row r="5" spans="1:6" x14ac:dyDescent="0.2">
      <c r="A5" t="str">
        <f>B5&amp;C5</f>
        <v>USDEUR</v>
      </c>
      <c r="B5" t="s">
        <v>84</v>
      </c>
      <c r="C5" t="s">
        <v>83</v>
      </c>
      <c r="D5" s="12">
        <v>0.725553</v>
      </c>
      <c r="E5" s="75">
        <v>41165</v>
      </c>
      <c r="F5" s="1">
        <v>0.46527777777777773</v>
      </c>
    </row>
    <row r="6" spans="1:6" x14ac:dyDescent="0.2">
      <c r="A6" t="str">
        <f>B6&amp;C6</f>
        <v>VNDEUR</v>
      </c>
      <c r="B6" s="5" t="s">
        <v>14</v>
      </c>
      <c r="C6" s="5" t="s">
        <v>83</v>
      </c>
      <c r="D6" s="12">
        <v>3.4727900000000003E-5</v>
      </c>
      <c r="E6" s="75">
        <v>41165</v>
      </c>
      <c r="F6" s="1">
        <v>0.46527777777777773</v>
      </c>
    </row>
    <row r="7" spans="1:6" x14ac:dyDescent="0.2">
      <c r="A7" t="str">
        <f>B7&amp;C7</f>
        <v>JPYEUR</v>
      </c>
      <c r="B7" s="5" t="s">
        <v>85</v>
      </c>
      <c r="C7" s="5" t="s">
        <v>83</v>
      </c>
      <c r="D7" s="12">
        <v>9.4465999999999994E-3</v>
      </c>
      <c r="E7" s="75">
        <v>41165</v>
      </c>
      <c r="F7" s="1">
        <v>0.46527777777777773</v>
      </c>
    </row>
    <row r="8" spans="1:6" x14ac:dyDescent="0.2">
      <c r="A8" t="str">
        <f t="shared" ref="A8:A11" si="0">B8&amp;C8</f>
        <v>VNDVND</v>
      </c>
      <c r="B8" s="5" t="s">
        <v>14</v>
      </c>
      <c r="C8" s="5" t="s">
        <v>14</v>
      </c>
      <c r="D8" s="12">
        <v>1</v>
      </c>
      <c r="E8" s="75">
        <v>41165</v>
      </c>
      <c r="F8" s="1">
        <v>0.46527777777777773</v>
      </c>
    </row>
    <row r="9" spans="1:6" x14ac:dyDescent="0.2">
      <c r="A9" t="str">
        <f t="shared" si="0"/>
        <v>EUREUR</v>
      </c>
      <c r="B9" t="s">
        <v>83</v>
      </c>
      <c r="C9" t="s">
        <v>83</v>
      </c>
      <c r="D9" s="12">
        <v>1</v>
      </c>
      <c r="E9" s="75">
        <v>41165</v>
      </c>
      <c r="F9" s="1">
        <v>0.46527777777777773</v>
      </c>
    </row>
    <row r="10" spans="1:6" x14ac:dyDescent="0.2">
      <c r="A10" t="str">
        <f t="shared" si="0"/>
        <v>USDUSD</v>
      </c>
      <c r="B10" t="s">
        <v>84</v>
      </c>
      <c r="C10" t="s">
        <v>84</v>
      </c>
      <c r="D10" s="12">
        <v>1</v>
      </c>
      <c r="E10" s="75">
        <v>41165</v>
      </c>
      <c r="F10" s="1">
        <v>0.46527777777777773</v>
      </c>
    </row>
    <row r="11" spans="1:6" x14ac:dyDescent="0.2">
      <c r="A11" t="str">
        <f t="shared" si="0"/>
        <v>JPYJPY</v>
      </c>
      <c r="B11" t="s">
        <v>85</v>
      </c>
      <c r="C11" t="s">
        <v>85</v>
      </c>
      <c r="D11" s="12">
        <v>1</v>
      </c>
      <c r="E11" s="75">
        <v>41165</v>
      </c>
      <c r="F11" s="1">
        <v>0.46527777777777773</v>
      </c>
    </row>
  </sheetData>
  <customSheetViews>
    <customSheetView guid="{8EF2C042-D97C-40EA-9E42-A17331664713}">
      <selection activeCell="I23" sqref="I23"/>
      <pageMargins left="0.7" right="0.7" top="0.75" bottom="0.75" header="0.3" footer="0.3"/>
      <pageSetup orientation="portrait" horizontalDpi="0" verticalDpi="0" r:id="rId1"/>
    </customSheetView>
    <customSheetView guid="{E8497AD8-A45C-484D-A252-6E26647DB053}">
      <selection activeCell="D2" sqref="D2"/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  <pageSetup orientation="portrait" r:id="rId2"/>
    </customSheetView>
    <customSheetView guid="{A93D23F5-27FE-48DF-A0DC-3D7A8C6F3CF5}">
      <selection activeCell="D6" sqref="D6"/>
      <pageMargins left="0.7" right="0.7" top="0.75" bottom="0.75" header="0.3" footer="0.3"/>
      <pageSetup orientation="portrait" horizontalDpi="0" verticalDpi="0" r:id="rId3"/>
    </customSheetView>
  </customSheetViews>
  <pageMargins left="0.7" right="0.7" top="0.75" bottom="0.75" header="0.3" footer="0.3"/>
  <pageSetup orientation="portrait" horizontalDpi="0" verticalDpi="0" r:id="rId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S123"/>
  <sheetViews>
    <sheetView tabSelected="1" workbookViewId="0">
      <selection activeCell="F2" sqref="F2:F123"/>
    </sheetView>
  </sheetViews>
  <sheetFormatPr defaultColWidth="11.42578125" defaultRowHeight="12.75" x14ac:dyDescent="0.2"/>
  <cols>
    <col min="1" max="1" width="10.85546875" style="2" bestFit="1" customWidth="1"/>
    <col min="2" max="2" width="45.7109375" bestFit="1" customWidth="1"/>
    <col min="3" max="3" width="17.7109375" bestFit="1" customWidth="1"/>
    <col min="4" max="4" width="16.140625" style="12" bestFit="1" customWidth="1"/>
    <col min="5" max="5" width="16.7109375" style="81" bestFit="1" customWidth="1"/>
    <col min="6" max="6" width="14.42578125" bestFit="1" customWidth="1"/>
    <col min="7" max="7" width="10.140625" bestFit="1" customWidth="1"/>
  </cols>
  <sheetData>
    <row r="1" spans="1:19" x14ac:dyDescent="0.2">
      <c r="A1" s="3" t="s">
        <v>1</v>
      </c>
      <c r="B1" s="4" t="s">
        <v>2</v>
      </c>
      <c r="C1" s="3" t="s">
        <v>54</v>
      </c>
      <c r="D1" s="31" t="s">
        <v>55</v>
      </c>
      <c r="E1" s="80" t="s">
        <v>56</v>
      </c>
      <c r="F1" s="3" t="s">
        <v>57</v>
      </c>
      <c r="G1" s="3" t="s">
        <v>10</v>
      </c>
    </row>
    <row r="2" spans="1:19" x14ac:dyDescent="0.2">
      <c r="A2" s="2" t="s">
        <v>36</v>
      </c>
      <c r="B2" s="5" t="str">
        <f>IF(A2&lt;&gt;"",VLOOKUP($A2,STK_REF!$A$2:$H$593,3,0),"")</f>
        <v>VNX Fertilizer and Chemicals</v>
      </c>
      <c r="C2" s="66">
        <v>377647740</v>
      </c>
      <c r="D2" s="12">
        <v>95.23</v>
      </c>
      <c r="E2" s="81">
        <v>100</v>
      </c>
      <c r="F2" t="s">
        <v>1417</v>
      </c>
      <c r="G2" s="75">
        <v>41165</v>
      </c>
    </row>
    <row r="3" spans="1:19" x14ac:dyDescent="0.2">
      <c r="A3" s="2" t="s">
        <v>24</v>
      </c>
      <c r="B3" s="5" t="str">
        <f>IF(A3&lt;&gt;"",VLOOKUP($A3,STK_REF!$A$2:$H$593,3,0),"")</f>
        <v>VNX Construction</v>
      </c>
      <c r="C3" s="66">
        <v>209740215</v>
      </c>
      <c r="D3" s="12">
        <v>100</v>
      </c>
      <c r="E3" s="81">
        <v>92.123456789000002</v>
      </c>
      <c r="F3" t="s">
        <v>1417</v>
      </c>
      <c r="G3" s="75">
        <v>41165</v>
      </c>
    </row>
    <row r="4" spans="1:19" x14ac:dyDescent="0.2">
      <c r="A4" s="2" t="s">
        <v>39</v>
      </c>
      <c r="B4" s="5" t="str">
        <f>IF(A4&lt;&gt;"",VLOOKUP($A4,STK_REF!$A$2:$H$593,3,0),"")</f>
        <v>VNX Drilling &amp; Well Services</v>
      </c>
      <c r="C4" s="66">
        <v>600000000</v>
      </c>
      <c r="D4" s="12">
        <v>20</v>
      </c>
      <c r="E4" s="81">
        <v>100</v>
      </c>
      <c r="F4" t="s">
        <v>1417</v>
      </c>
      <c r="G4" s="75">
        <v>41165</v>
      </c>
    </row>
    <row r="5" spans="1:19" x14ac:dyDescent="0.2">
      <c r="A5" s="2" t="s">
        <v>35</v>
      </c>
      <c r="B5" s="5" t="str">
        <f>IF(A5&lt;&gt;"",VLOOKUP($A5,STK_REF!$A$2:$H$593,3,0),"")</f>
        <v>VNX Finance</v>
      </c>
      <c r="C5" s="66">
        <v>297802094</v>
      </c>
      <c r="D5" s="12">
        <v>15</v>
      </c>
      <c r="E5" s="81">
        <v>84.123000000000005</v>
      </c>
      <c r="F5" t="s">
        <v>1417</v>
      </c>
      <c r="G5" s="75">
        <v>41165</v>
      </c>
    </row>
    <row r="6" spans="1:19" x14ac:dyDescent="0.2">
      <c r="A6" s="2" t="s">
        <v>47</v>
      </c>
      <c r="B6" s="5" t="str">
        <f>IF(A6&lt;&gt;"",VLOOKUP($A6,STK_REF!$A$2:$H$593,3,0),"")</f>
        <v>VNX Technical Services</v>
      </c>
      <c r="C6" s="66">
        <v>250000000</v>
      </c>
      <c r="D6" s="12">
        <v>100</v>
      </c>
      <c r="E6" s="81">
        <v>100</v>
      </c>
      <c r="F6" t="s">
        <v>1417</v>
      </c>
      <c r="G6" s="75">
        <v>41165</v>
      </c>
    </row>
    <row r="7" spans="1:19" x14ac:dyDescent="0.2">
      <c r="A7" s="2" t="s">
        <v>44</v>
      </c>
      <c r="B7" s="5" t="str">
        <f>IF(A7&lt;&gt;"",VLOOKUP($A7,STK_REF!$A$2:$H$593,3,0),"")</f>
        <v>VNX Southern Gas</v>
      </c>
      <c r="C7" s="66">
        <v>157531264</v>
      </c>
      <c r="D7" s="12">
        <v>100</v>
      </c>
      <c r="E7" s="81">
        <v>100</v>
      </c>
      <c r="F7" t="s">
        <v>1417</v>
      </c>
      <c r="G7" s="75">
        <v>41165</v>
      </c>
    </row>
    <row r="8" spans="1:19" x14ac:dyDescent="0.2">
      <c r="A8" s="2" t="s">
        <v>48</v>
      </c>
      <c r="B8" s="5" t="str">
        <f>IF(A8&lt;&gt;"",VLOOKUP($A8,STK_REF!$A$2:$H$593,3,0),"")</f>
        <v>VNX Insurance</v>
      </c>
      <c r="C8" s="66">
        <v>42900000</v>
      </c>
      <c r="D8" s="12">
        <v>100</v>
      </c>
      <c r="E8" s="81">
        <v>100</v>
      </c>
      <c r="F8" t="s">
        <v>1417</v>
      </c>
      <c r="G8" s="75">
        <v>41165</v>
      </c>
    </row>
    <row r="9" spans="1:19" x14ac:dyDescent="0.2">
      <c r="A9" s="2" t="s">
        <v>45</v>
      </c>
      <c r="B9" s="5" t="str">
        <f>IF(A9&lt;&gt;"",VLOOKUP($A9,STK_REF!$A$2:$H$593,3,0),"")</f>
        <v>Drilling Mud Corp</v>
      </c>
      <c r="C9" s="66">
        <v>256000000</v>
      </c>
      <c r="D9" s="12">
        <v>100</v>
      </c>
      <c r="E9" s="81">
        <v>100</v>
      </c>
      <c r="F9" t="s">
        <v>1417</v>
      </c>
      <c r="G9" s="75">
        <v>41165</v>
      </c>
    </row>
    <row r="10" spans="1:19" x14ac:dyDescent="0.2">
      <c r="A10" s="2" t="s">
        <v>34</v>
      </c>
      <c r="B10" s="5" t="str">
        <f>IF(A10&lt;&gt;"",VLOOKUP($A10,STK_REF!$A$2:$H$593,3,0),"")</f>
        <v>VNX Low Pressure Gas Distribution</v>
      </c>
      <c r="C10" s="66">
        <v>232600000</v>
      </c>
      <c r="D10" s="12">
        <v>100</v>
      </c>
      <c r="E10" s="81">
        <v>100</v>
      </c>
      <c r="F10" t="s">
        <v>1417</v>
      </c>
      <c r="G10" s="75">
        <v>41165</v>
      </c>
    </row>
    <row r="11" spans="1:19" x14ac:dyDescent="0.2">
      <c r="A11" s="2" t="s">
        <v>38</v>
      </c>
      <c r="B11" s="5" t="str">
        <f>IF(A11&lt;&gt;"",VLOOKUP($A11,STK_REF!$A$2:$H$593,3,0),"")</f>
        <v>VNX General Services</v>
      </c>
      <c r="C11" s="66">
        <v>38000000</v>
      </c>
      <c r="D11" s="12">
        <v>100</v>
      </c>
      <c r="E11" s="81">
        <v>100</v>
      </c>
      <c r="F11" t="s">
        <v>1417</v>
      </c>
      <c r="G11" s="75">
        <v>41165</v>
      </c>
    </row>
    <row r="12" spans="1:19" x14ac:dyDescent="0.2">
      <c r="A12" s="2" t="s">
        <v>39</v>
      </c>
      <c r="B12" s="5" t="str">
        <f>IF(A12&lt;&gt;"",VLOOKUP($A12,STK_REF!$A$2:$H$593,3,0),"")</f>
        <v>VNX Drilling &amp; Well Services</v>
      </c>
      <c r="C12" s="66">
        <v>377647740</v>
      </c>
      <c r="D12" s="12">
        <v>100</v>
      </c>
      <c r="E12" s="81">
        <v>100</v>
      </c>
      <c r="F12" s="5" t="s">
        <v>1435</v>
      </c>
      <c r="G12" s="75">
        <v>41165</v>
      </c>
    </row>
    <row r="13" spans="1:19" x14ac:dyDescent="0.2">
      <c r="A13" s="2" t="s">
        <v>48</v>
      </c>
      <c r="B13" s="5" t="str">
        <f>IF(A13&lt;&gt;"",VLOOKUP($A13,STK_REF!$A$2:$H$593,3,0),"")</f>
        <v>VNX Insurance</v>
      </c>
      <c r="C13" s="66">
        <v>209740215</v>
      </c>
      <c r="D13" s="12">
        <v>100</v>
      </c>
      <c r="E13" s="81">
        <v>100</v>
      </c>
      <c r="F13" s="5" t="s">
        <v>1435</v>
      </c>
      <c r="G13" s="75">
        <v>41165</v>
      </c>
    </row>
    <row r="14" spans="1:19" x14ac:dyDescent="0.2">
      <c r="A14" s="2" t="s">
        <v>38</v>
      </c>
      <c r="B14" s="5" t="str">
        <f>IF(A14&lt;&gt;"",VLOOKUP($A14,STK_REF!$A$2:$H$593,3,0),"")</f>
        <v>VNX General Services</v>
      </c>
      <c r="C14" s="66">
        <v>600000000</v>
      </c>
      <c r="D14" s="12">
        <v>100</v>
      </c>
      <c r="E14" s="81">
        <v>100</v>
      </c>
      <c r="F14" s="5" t="s">
        <v>1435</v>
      </c>
      <c r="G14" s="75">
        <v>41165</v>
      </c>
    </row>
    <row r="15" spans="1:19" x14ac:dyDescent="0.2">
      <c r="A15" s="2" t="s">
        <v>47</v>
      </c>
      <c r="B15" s="5" t="str">
        <f>IF(A15&lt;&gt;"",VLOOKUP($A15,STK_REF!$A$2:$H$593,3,0),"")</f>
        <v>VNX Technical Services</v>
      </c>
      <c r="C15" s="66">
        <v>297802094</v>
      </c>
      <c r="D15" s="12">
        <v>100</v>
      </c>
      <c r="E15" s="81">
        <v>100</v>
      </c>
      <c r="F15" s="5" t="s">
        <v>1435</v>
      </c>
      <c r="G15" s="75">
        <v>41165</v>
      </c>
    </row>
    <row r="16" spans="1:19" x14ac:dyDescent="0.2">
      <c r="A16" s="2" t="s">
        <v>36</v>
      </c>
      <c r="B16" s="5" t="str">
        <f>IF(A16&lt;&gt;"",VLOOKUP($A16,STK_REF!$A$2:$H$593,3,0),"")</f>
        <v>VNX Fertilizer and Chemicals</v>
      </c>
      <c r="C16" s="66">
        <v>250000000</v>
      </c>
      <c r="D16" s="12">
        <v>100</v>
      </c>
      <c r="E16" s="81">
        <v>100</v>
      </c>
      <c r="F16" s="5" t="s">
        <v>1435</v>
      </c>
      <c r="G16" s="75">
        <v>41165</v>
      </c>
    </row>
    <row r="17" spans="1:7" x14ac:dyDescent="0.2">
      <c r="A17" s="2" t="s">
        <v>44</v>
      </c>
      <c r="B17" s="5" t="str">
        <f>IF(A17&lt;&gt;"",VLOOKUP($A17,STK_REF!$A$2:$H$593,3,0),"")</f>
        <v>VNX Southern Gas</v>
      </c>
      <c r="C17" s="66">
        <v>157531264</v>
      </c>
      <c r="D17" s="12">
        <v>100</v>
      </c>
      <c r="E17" s="81">
        <v>100</v>
      </c>
      <c r="F17" s="5" t="s">
        <v>1435</v>
      </c>
      <c r="G17" s="75">
        <v>41165</v>
      </c>
    </row>
    <row r="18" spans="1:7" x14ac:dyDescent="0.2">
      <c r="A18" s="2" t="s">
        <v>45</v>
      </c>
      <c r="B18" s="5" t="str">
        <f>IF(A18&lt;&gt;"",VLOOKUP($A18,STK_REF!$A$2:$H$593,3,0),"")</f>
        <v>Drilling Mud Corp</v>
      </c>
      <c r="C18" s="66">
        <v>42900000</v>
      </c>
      <c r="D18" s="12">
        <v>100</v>
      </c>
      <c r="E18" s="81">
        <v>100</v>
      </c>
      <c r="F18" s="5" t="s">
        <v>1435</v>
      </c>
      <c r="G18" s="75">
        <v>41165</v>
      </c>
    </row>
    <row r="19" spans="1:7" x14ac:dyDescent="0.2">
      <c r="A19" s="2" t="s">
        <v>37</v>
      </c>
      <c r="B19" s="5" t="str">
        <f>IF(A19&lt;&gt;"",VLOOKUP($A19,STK_REF!$A$2:$H$593,3,0),"")</f>
        <v>VNX Transportation</v>
      </c>
      <c r="C19" s="66">
        <v>256000000</v>
      </c>
      <c r="D19" s="12">
        <v>100</v>
      </c>
      <c r="E19" s="81">
        <v>100</v>
      </c>
      <c r="F19" s="5" t="s">
        <v>1435</v>
      </c>
      <c r="G19" s="75">
        <v>41165</v>
      </c>
    </row>
    <row r="20" spans="1:7" x14ac:dyDescent="0.2">
      <c r="A20" s="2" t="s">
        <v>43</v>
      </c>
      <c r="B20" s="5" t="str">
        <f>IF(A20&lt;&gt;"",VLOOKUP($A20,STK_REF!$A$2:$H$593,3,0),"")</f>
        <v>VNX Investment Consultancy and Engineering</v>
      </c>
      <c r="C20" s="66">
        <v>232600000</v>
      </c>
      <c r="D20" s="12">
        <v>100</v>
      </c>
      <c r="E20" s="81">
        <v>100</v>
      </c>
      <c r="F20" s="5" t="s">
        <v>1435</v>
      </c>
      <c r="G20" s="75">
        <v>41165</v>
      </c>
    </row>
    <row r="21" spans="1:7" x14ac:dyDescent="0.2">
      <c r="A21" s="2" t="s">
        <v>35</v>
      </c>
      <c r="B21" s="5" t="str">
        <f>IF(A21&lt;&gt;"",VLOOKUP($A21,STK_REF!$A$2:$H$593,3,0),"")</f>
        <v>VNX Finance</v>
      </c>
      <c r="C21" s="66">
        <v>38000000</v>
      </c>
      <c r="D21" s="12">
        <v>100</v>
      </c>
      <c r="E21" s="81">
        <v>100</v>
      </c>
      <c r="F21" s="5" t="s">
        <v>1435</v>
      </c>
      <c r="G21" s="75">
        <v>41165</v>
      </c>
    </row>
    <row r="22" spans="1:7" x14ac:dyDescent="0.2">
      <c r="A22" s="2" t="s">
        <v>42</v>
      </c>
      <c r="B22" s="5" t="str">
        <f>IF(A22&lt;&gt;"",VLOOKUP($A22,STK_REF!$A$2:$H$593,3,0),"")</f>
        <v>VNX Northern Gas</v>
      </c>
      <c r="C22" s="66">
        <v>70371300</v>
      </c>
      <c r="D22" s="12">
        <v>100</v>
      </c>
      <c r="E22" s="81">
        <v>100</v>
      </c>
      <c r="F22" s="5" t="s">
        <v>1435</v>
      </c>
      <c r="G22" s="75">
        <v>41165</v>
      </c>
    </row>
    <row r="23" spans="1:7" x14ac:dyDescent="0.2">
      <c r="A23" s="2" t="s">
        <v>24</v>
      </c>
      <c r="B23" s="5" t="str">
        <f>IF(A23&lt;&gt;"",VLOOKUP($A23,STK_REF!$A$2:$H$593,3,0),"")</f>
        <v>VNX Construction</v>
      </c>
      <c r="C23" s="66">
        <v>100000000</v>
      </c>
      <c r="D23" s="12">
        <v>100</v>
      </c>
      <c r="E23" s="81">
        <v>100</v>
      </c>
      <c r="F23" s="5" t="s">
        <v>1435</v>
      </c>
      <c r="G23" s="75">
        <v>41165</v>
      </c>
    </row>
    <row r="24" spans="1:7" x14ac:dyDescent="0.2">
      <c r="A24" s="2" t="s">
        <v>19</v>
      </c>
      <c r="B24" s="5" t="str">
        <f>IF(A24&lt;&gt;"",VLOOKUP($A24,STK_REF!$A$2:$H$593,3,0),"")</f>
        <v>Dinh Vu Petroleum Service Port</v>
      </c>
      <c r="C24" s="66">
        <v>35000000</v>
      </c>
      <c r="D24" s="12">
        <v>100</v>
      </c>
      <c r="E24" s="81">
        <v>100</v>
      </c>
      <c r="F24" s="5" t="s">
        <v>1435</v>
      </c>
      <c r="G24" s="75">
        <v>41165</v>
      </c>
    </row>
    <row r="25" spans="1:7" x14ac:dyDescent="0.2">
      <c r="A25" s="2" t="s">
        <v>34</v>
      </c>
      <c r="B25" s="5" t="str">
        <f>IF(A25&lt;&gt;"",VLOOKUP($A25,STK_REF!$A$2:$H$593,3,0),"")</f>
        <v>VNX Low Pressure Gas Distribution</v>
      </c>
      <c r="C25" s="66">
        <v>52356713</v>
      </c>
      <c r="D25" s="12">
        <v>100</v>
      </c>
      <c r="E25" s="81">
        <v>100</v>
      </c>
      <c r="F25" s="5" t="s">
        <v>1435</v>
      </c>
      <c r="G25" s="75">
        <v>41165</v>
      </c>
    </row>
    <row r="26" spans="1:7" x14ac:dyDescent="0.2">
      <c r="A26" s="2" t="s">
        <v>21</v>
      </c>
      <c r="B26" s="5" t="str">
        <f>IF(A26&lt;&gt;"",VLOOKUP($A26,STK_REF!$A$2:$H$593,3,0),"")</f>
        <v>VNX Power NhonTrach 2</v>
      </c>
      <c r="C26" s="66">
        <v>37518001</v>
      </c>
      <c r="D26" s="12">
        <v>100</v>
      </c>
      <c r="E26" s="81">
        <v>100</v>
      </c>
      <c r="F26" s="5" t="s">
        <v>1435</v>
      </c>
      <c r="G26" s="75">
        <v>41165</v>
      </c>
    </row>
    <row r="27" spans="1:7" x14ac:dyDescent="0.2">
      <c r="A27" s="2" t="s">
        <v>17</v>
      </c>
      <c r="B27" s="5" t="str">
        <f>IF(A27&lt;&gt;"",VLOOKUP($A27,STK_REF!$A$2:$H$593,3,0),"")</f>
        <v>Indochina Petroleum Transportation</v>
      </c>
      <c r="C27" s="66">
        <v>59841300</v>
      </c>
      <c r="D27" s="12">
        <v>100</v>
      </c>
      <c r="E27" s="81">
        <v>100</v>
      </c>
      <c r="F27" s="5" t="s">
        <v>1435</v>
      </c>
      <c r="G27" s="75">
        <v>41165</v>
      </c>
    </row>
    <row r="28" spans="1:7" x14ac:dyDescent="0.2">
      <c r="A28" s="2" t="s">
        <v>32</v>
      </c>
      <c r="B28" s="5" t="str">
        <f>IF(A28&lt;&gt;"",VLOOKUP($A28,STK_REF!$A$2:$H$593,3,0),"")</f>
        <v>Petroleum Pipeline and Tank Construction</v>
      </c>
      <c r="C28" s="66">
        <v>27719850</v>
      </c>
      <c r="D28" s="12">
        <v>100</v>
      </c>
      <c r="E28" s="81">
        <v>100</v>
      </c>
      <c r="F28" s="5" t="s">
        <v>1435</v>
      </c>
      <c r="G28" s="75">
        <v>41165</v>
      </c>
    </row>
    <row r="29" spans="1:7" x14ac:dyDescent="0.2">
      <c r="A29" s="2" t="s">
        <v>30</v>
      </c>
      <c r="B29" s="5" t="str">
        <f>IF(A29&lt;&gt;"",VLOOKUP($A29,STK_REF!$A$2:$H$593,3,0),"")</f>
        <v>Petroleum Equipment Assembly and Metal Structure</v>
      </c>
      <c r="C29" s="66">
        <v>50000000</v>
      </c>
      <c r="D29" s="12">
        <v>100</v>
      </c>
      <c r="E29" s="81">
        <v>100</v>
      </c>
      <c r="F29" s="5" t="s">
        <v>1435</v>
      </c>
      <c r="G29" s="75">
        <v>41165</v>
      </c>
    </row>
    <row r="30" spans="1:7" x14ac:dyDescent="0.2">
      <c r="A30" s="2" t="s">
        <v>41</v>
      </c>
      <c r="B30" s="5" t="str">
        <f>IF(A30&lt;&gt;"",VLOOKUP($A30,STK_REF!$A$2:$H$593,3,0),"")</f>
        <v>VNX Premier Recreation</v>
      </c>
      <c r="C30" s="66">
        <v>35000000</v>
      </c>
      <c r="D30" s="12">
        <v>100</v>
      </c>
      <c r="E30" s="81">
        <v>100</v>
      </c>
      <c r="F30" s="5" t="s">
        <v>1435</v>
      </c>
      <c r="G30" s="75">
        <v>41165</v>
      </c>
    </row>
    <row r="31" spans="1:7" x14ac:dyDescent="0.2">
      <c r="A31" s="2" t="s">
        <v>28</v>
      </c>
      <c r="B31" s="5" t="str">
        <f>IF(A31&lt;&gt;"",VLOOKUP($A31,STK_REF!$A$2:$H$593,3,0),"")</f>
        <v>Petroleum Industrial and Civil Construction</v>
      </c>
      <c r="C31" s="66">
        <v>30000000</v>
      </c>
      <c r="D31" s="12">
        <v>100</v>
      </c>
      <c r="E31" s="81">
        <v>100</v>
      </c>
      <c r="F31" s="5" t="s">
        <v>1435</v>
      </c>
      <c r="G31" s="75">
        <v>41165</v>
      </c>
    </row>
    <row r="32" spans="1:7" x14ac:dyDescent="0.2">
      <c r="A32" s="2" t="s">
        <v>26</v>
      </c>
      <c r="B32" s="5" t="str">
        <f>IF(A32&lt;&gt;"",VLOOKUP($A32,STK_REF!$A$2:$H$593,3,0),"")</f>
        <v>Mientrung Petroleum Construction</v>
      </c>
      <c r="C32" s="66">
        <v>18000000</v>
      </c>
      <c r="D32" s="12">
        <v>100</v>
      </c>
      <c r="E32" s="81">
        <v>100</v>
      </c>
      <c r="F32" s="5" t="s">
        <v>1435</v>
      </c>
      <c r="G32" s="75">
        <v>41165</v>
      </c>
    </row>
    <row r="33" spans="1:7" x14ac:dyDescent="0.2">
      <c r="A33" s="2" t="s">
        <v>40</v>
      </c>
      <c r="B33" s="5" t="str">
        <f>IF(A33&lt;&gt;"",VLOOKUP($A33,STK_REF!$A$2:$H$593,3,0),"")</f>
        <v>VNX Securities Incorporated</v>
      </c>
      <c r="C33" s="66">
        <v>15000000</v>
      </c>
      <c r="D33" s="12">
        <v>100</v>
      </c>
      <c r="E33" s="81">
        <v>100</v>
      </c>
      <c r="F33" s="5" t="s">
        <v>1435</v>
      </c>
      <c r="G33" s="75">
        <v>41165</v>
      </c>
    </row>
    <row r="34" spans="1:7" x14ac:dyDescent="0.2">
      <c r="A34" s="2" t="s">
        <v>15</v>
      </c>
      <c r="B34" s="5" t="str">
        <f>IF(A34&lt;&gt;"",VLOOKUP($A34,STK_REF!$A$2:$H$593,3,0),"")</f>
        <v>Cuu Long Petro Gas Service Transportation</v>
      </c>
      <c r="C34" s="66">
        <v>15000000</v>
      </c>
      <c r="D34" s="12">
        <v>100</v>
      </c>
      <c r="E34" s="81">
        <v>100</v>
      </c>
      <c r="F34" s="5" t="s">
        <v>1435</v>
      </c>
      <c r="G34" s="75">
        <v>41165</v>
      </c>
    </row>
    <row r="35" spans="1:7" x14ac:dyDescent="0.2">
      <c r="A35" s="2" t="s">
        <v>22</v>
      </c>
      <c r="B35" s="5" t="str">
        <f>IF(A35&lt;&gt;"",VLOOKUP($A35,STK_REF!$A$2:$H$593,3,0),"")</f>
        <v>Petro Capital and Infrastructure Investment</v>
      </c>
      <c r="C35" s="66">
        <v>20000000</v>
      </c>
      <c r="D35" s="12">
        <v>100</v>
      </c>
      <c r="E35" s="81">
        <v>100</v>
      </c>
      <c r="F35" s="5" t="s">
        <v>1435</v>
      </c>
      <c r="G35" s="75">
        <v>41165</v>
      </c>
    </row>
    <row r="36" spans="1:7" x14ac:dyDescent="0.2">
      <c r="A36" s="2" t="s">
        <v>12</v>
      </c>
      <c r="B36" s="5" t="str">
        <f>IF(A36&lt;&gt;"",VLOOKUP($A36,STK_REF!$A$2:$H$593,3,0),"")</f>
        <v>Vung Ang Petroleum</v>
      </c>
      <c r="C36" s="66">
        <v>22500000</v>
      </c>
      <c r="D36" s="12">
        <v>100</v>
      </c>
      <c r="E36" s="81">
        <v>100</v>
      </c>
      <c r="F36" s="5" t="s">
        <v>1435</v>
      </c>
      <c r="G36" s="75">
        <v>41165</v>
      </c>
    </row>
    <row r="37" spans="1:7" x14ac:dyDescent="0.2">
      <c r="A37" s="2" t="s">
        <v>263</v>
      </c>
      <c r="B37" s="5" t="str">
        <f>IF(A37&lt;&gt;"",VLOOKUP($A37,STK_REF!$A$2:$H$593,3,0),"")</f>
        <v>Petro Dong Do Joint Stock Company</v>
      </c>
      <c r="C37" s="66">
        <v>18870000</v>
      </c>
      <c r="D37" s="12">
        <v>100</v>
      </c>
      <c r="E37" s="81">
        <v>100</v>
      </c>
      <c r="F37" s="5" t="s">
        <v>1435</v>
      </c>
      <c r="G37" s="75">
        <v>41165</v>
      </c>
    </row>
    <row r="38" spans="1:7" x14ac:dyDescent="0.2">
      <c r="A38" s="2" t="s">
        <v>265</v>
      </c>
      <c r="B38" s="5" t="str">
        <f>IF(A38&lt;&gt;"",VLOOKUP($A38,STK_REF!$A$2:$H$593,3,0),"")</f>
        <v>PetroVietnam Gas City Investment and Development JSC</v>
      </c>
      <c r="C38" s="66">
        <v>23000000</v>
      </c>
      <c r="D38" s="12">
        <v>100</v>
      </c>
      <c r="E38" s="81">
        <v>100</v>
      </c>
      <c r="F38" s="5" t="s">
        <v>1435</v>
      </c>
      <c r="G38" s="75">
        <v>41165</v>
      </c>
    </row>
    <row r="39" spans="1:7" x14ac:dyDescent="0.2">
      <c r="A39" s="2" t="s">
        <v>267</v>
      </c>
      <c r="B39" s="5" t="str">
        <f>IF(A39&lt;&gt;"",VLOOKUP($A39,STK_REF!$A$2:$H$593,3,0),"")</f>
        <v>Petro Vietnam Power Services Joint Stock Company</v>
      </c>
      <c r="C39" s="66">
        <v>10000000</v>
      </c>
      <c r="D39" s="12">
        <v>100</v>
      </c>
      <c r="E39" s="81">
        <v>100</v>
      </c>
      <c r="F39" s="5" t="s">
        <v>1435</v>
      </c>
      <c r="G39" s="75">
        <v>41165</v>
      </c>
    </row>
    <row r="40" spans="1:7" x14ac:dyDescent="0.2">
      <c r="A40" s="2" t="s">
        <v>269</v>
      </c>
      <c r="B40" s="5" t="str">
        <f>IF(A40&lt;&gt;"",VLOOKUP($A40,STK_REF!$A$2:$H$593,3,0),"")</f>
        <v>Saigon Petroleum Constrution And Investment JSC</v>
      </c>
      <c r="C40" s="66">
        <v>10000000</v>
      </c>
      <c r="D40" s="12">
        <v>100</v>
      </c>
      <c r="E40" s="81">
        <v>100</v>
      </c>
      <c r="F40" s="5" t="s">
        <v>1435</v>
      </c>
      <c r="G40" s="75">
        <v>41165</v>
      </c>
    </row>
    <row r="41" spans="1:7" x14ac:dyDescent="0.2">
      <c r="A41" s="2" t="s">
        <v>271</v>
      </c>
      <c r="B41" s="5" t="str">
        <f>IF(A41&lt;&gt;"",VLOOKUP($A41,STK_REF!$A$2:$H$593,3,0),"")</f>
        <v>PetroVietnam Power Engineering Consulting JSC</v>
      </c>
      <c r="C41" s="66">
        <v>2000000</v>
      </c>
      <c r="D41" s="12">
        <v>100</v>
      </c>
      <c r="E41" s="81">
        <v>100</v>
      </c>
      <c r="F41" s="5" t="s">
        <v>1435</v>
      </c>
      <c r="G41" s="75">
        <v>41165</v>
      </c>
    </row>
    <row r="42" spans="1:7" x14ac:dyDescent="0.2">
      <c r="A42" s="2" t="s">
        <v>36</v>
      </c>
      <c r="B42" s="5" t="str">
        <f>IF(A42&lt;&gt;"",VLOOKUP($A42,STK_REF!$A$2:$H$593,3,0),"")</f>
        <v>VNX Fertilizer and Chemicals</v>
      </c>
      <c r="C42" s="66">
        <v>377647740</v>
      </c>
      <c r="D42" s="12">
        <v>100</v>
      </c>
      <c r="E42" s="81">
        <v>100</v>
      </c>
      <c r="F42" s="5" t="s">
        <v>1453</v>
      </c>
      <c r="G42" s="75">
        <v>41165</v>
      </c>
    </row>
    <row r="43" spans="1:7" x14ac:dyDescent="0.2">
      <c r="A43" s="2" t="s">
        <v>39</v>
      </c>
      <c r="B43" s="5" t="str">
        <f>IF(A43&lt;&gt;"",VLOOKUP($A43,STK_REF!$A$2:$H$593,3,0),"")</f>
        <v>VNX Drilling &amp; Well Services</v>
      </c>
      <c r="C43" s="66">
        <v>70371300</v>
      </c>
      <c r="D43" s="12">
        <v>100</v>
      </c>
      <c r="E43" s="81">
        <v>100</v>
      </c>
      <c r="F43" s="5" t="s">
        <v>1453</v>
      </c>
      <c r="G43" s="75">
        <v>41165</v>
      </c>
    </row>
    <row r="44" spans="1:7" x14ac:dyDescent="0.2">
      <c r="A44" s="2" t="s">
        <v>35</v>
      </c>
      <c r="B44" s="5" t="str">
        <f>IF(A44&lt;&gt;"",VLOOKUP($A44,STK_REF!$A$2:$H$593,3,0),"")</f>
        <v>VNX Finance</v>
      </c>
      <c r="C44" s="66">
        <v>100000000</v>
      </c>
      <c r="D44" s="12">
        <v>100</v>
      </c>
      <c r="E44" s="81">
        <v>100</v>
      </c>
      <c r="F44" s="5" t="s">
        <v>1453</v>
      </c>
      <c r="G44" s="75">
        <v>41165</v>
      </c>
    </row>
    <row r="45" spans="1:7" x14ac:dyDescent="0.2">
      <c r="A45" s="2" t="s">
        <v>47</v>
      </c>
      <c r="B45" s="5" t="str">
        <f>IF(A45&lt;&gt;"",VLOOKUP($A45,STK_REF!$A$2:$H$593,3,0),"")</f>
        <v>VNX Technical Services</v>
      </c>
      <c r="C45" s="66">
        <v>600000000</v>
      </c>
      <c r="D45" s="12">
        <v>100</v>
      </c>
      <c r="E45" s="81">
        <v>100</v>
      </c>
      <c r="F45" s="5" t="s">
        <v>1453</v>
      </c>
      <c r="G45" s="75">
        <v>41165</v>
      </c>
    </row>
    <row r="46" spans="1:7" x14ac:dyDescent="0.2">
      <c r="A46" s="2" t="s">
        <v>24</v>
      </c>
      <c r="B46" s="5" t="str">
        <f>IF(A46&lt;&gt;"",VLOOKUP($A46,STK_REF!$A$2:$H$593,3,0),"")</f>
        <v>VNX Construction</v>
      </c>
      <c r="C46" s="66">
        <v>232600000</v>
      </c>
      <c r="D46" s="12">
        <v>100</v>
      </c>
      <c r="E46" s="81">
        <v>100</v>
      </c>
      <c r="F46" s="5" t="s">
        <v>1453</v>
      </c>
      <c r="G46" s="75">
        <v>41165</v>
      </c>
    </row>
    <row r="47" spans="1:7" x14ac:dyDescent="0.2">
      <c r="A47" s="2" t="s">
        <v>48</v>
      </c>
      <c r="B47" s="5" t="str">
        <f>IF(A47&lt;&gt;"",VLOOKUP($A47,STK_REF!$A$2:$H$593,3,0),"")</f>
        <v>VNX Insurance</v>
      </c>
      <c r="C47" s="66">
        <v>30000000</v>
      </c>
      <c r="D47" s="12">
        <v>100</v>
      </c>
      <c r="E47" s="81">
        <v>100</v>
      </c>
      <c r="F47" s="5" t="s">
        <v>1453</v>
      </c>
      <c r="G47" s="75">
        <v>41165</v>
      </c>
    </row>
    <row r="48" spans="1:7" x14ac:dyDescent="0.2">
      <c r="A48" s="2" t="s">
        <v>34</v>
      </c>
      <c r="B48" s="5" t="str">
        <f>IF(A48&lt;&gt;"",VLOOKUP($A48,STK_REF!$A$2:$H$593,3,0),"")</f>
        <v>VNX Low Pressure Gas Distribution</v>
      </c>
      <c r="C48" s="66">
        <v>15000000</v>
      </c>
      <c r="D48" s="12">
        <v>100</v>
      </c>
      <c r="E48" s="81">
        <v>100</v>
      </c>
      <c r="F48" s="5" t="s">
        <v>1453</v>
      </c>
      <c r="G48" s="75">
        <v>41165</v>
      </c>
    </row>
    <row r="49" spans="1:7" x14ac:dyDescent="0.2">
      <c r="A49" s="2" t="s">
        <v>37</v>
      </c>
      <c r="B49" s="5" t="str">
        <f>IF(A49&lt;&gt;"",VLOOKUP($A49,STK_REF!$A$2:$H$593,3,0),"")</f>
        <v>VNX Transportation</v>
      </c>
      <c r="C49" s="66">
        <v>37518001</v>
      </c>
      <c r="D49" s="12">
        <v>100</v>
      </c>
      <c r="E49" s="81">
        <v>100</v>
      </c>
      <c r="F49" s="5" t="s">
        <v>1453</v>
      </c>
      <c r="G49" s="75">
        <v>41165</v>
      </c>
    </row>
    <row r="50" spans="1:7" x14ac:dyDescent="0.2">
      <c r="A50" s="2" t="s">
        <v>44</v>
      </c>
      <c r="B50" s="5" t="str">
        <f>IF(A50&lt;&gt;"",VLOOKUP($A50,STK_REF!$A$2:$H$593,3,0),"")</f>
        <v>VNX Southern Gas</v>
      </c>
      <c r="C50" s="66">
        <v>20000000</v>
      </c>
      <c r="D50" s="12">
        <v>100</v>
      </c>
      <c r="E50" s="81">
        <v>100</v>
      </c>
      <c r="F50" s="5" t="s">
        <v>1453</v>
      </c>
      <c r="G50" s="75">
        <v>41165</v>
      </c>
    </row>
    <row r="51" spans="1:7" x14ac:dyDescent="0.2">
      <c r="A51" s="2" t="s">
        <v>38</v>
      </c>
      <c r="B51" s="5" t="str">
        <f>IF(A51&lt;&gt;"",VLOOKUP($A51,STK_REF!$A$2:$H$593,3,0),"")</f>
        <v>VNX General Services</v>
      </c>
      <c r="C51" s="66">
        <v>42900000</v>
      </c>
      <c r="D51" s="12">
        <v>100</v>
      </c>
      <c r="E51" s="81">
        <v>100</v>
      </c>
      <c r="F51" s="5" t="s">
        <v>1453</v>
      </c>
      <c r="G51" s="75">
        <v>41165</v>
      </c>
    </row>
    <row r="52" spans="1:7" x14ac:dyDescent="0.2">
      <c r="A52" s="2" t="s">
        <v>22</v>
      </c>
      <c r="B52" s="5" t="str">
        <f>IF(A52&lt;&gt;"",VLOOKUP($A52,STK_REF!$A$2:$H$593,3,0),"")</f>
        <v>Petro Capital and Infrastructure Investment</v>
      </c>
      <c r="C52" s="66">
        <v>209740215</v>
      </c>
      <c r="D52" s="12">
        <v>100</v>
      </c>
      <c r="E52" s="81">
        <v>100</v>
      </c>
      <c r="F52" s="5" t="s">
        <v>1453</v>
      </c>
      <c r="G52" s="75">
        <v>41165</v>
      </c>
    </row>
    <row r="53" spans="1:7" x14ac:dyDescent="0.2">
      <c r="A53" s="2" t="s">
        <v>45</v>
      </c>
      <c r="B53" s="5" t="str">
        <f>IF(A53&lt;&gt;"",VLOOKUP($A53,STK_REF!$A$2:$H$593,3,0),"")</f>
        <v>Drilling Mud Corp</v>
      </c>
      <c r="C53" s="66">
        <v>50000000</v>
      </c>
      <c r="D53" s="12">
        <v>100</v>
      </c>
      <c r="E53" s="81">
        <v>100</v>
      </c>
      <c r="F53" s="5" t="s">
        <v>1453</v>
      </c>
      <c r="G53" s="75">
        <v>41165</v>
      </c>
    </row>
    <row r="54" spans="1:7" x14ac:dyDescent="0.2">
      <c r="A54" s="2" t="s">
        <v>41</v>
      </c>
      <c r="B54" s="5" t="str">
        <f>IF(A54&lt;&gt;"",VLOOKUP($A54,STK_REF!$A$2:$H$593,3,0),"")</f>
        <v>VNX Premier Recreation</v>
      </c>
      <c r="C54" s="66">
        <v>35000000</v>
      </c>
      <c r="D54" s="12">
        <v>100</v>
      </c>
      <c r="E54" s="81">
        <v>100</v>
      </c>
      <c r="F54" s="5" t="s">
        <v>1453</v>
      </c>
      <c r="G54" s="75">
        <v>41165</v>
      </c>
    </row>
    <row r="55" spans="1:7" x14ac:dyDescent="0.2">
      <c r="A55" s="2" t="s">
        <v>42</v>
      </c>
      <c r="B55" s="5" t="str">
        <f>IF(A55&lt;&gt;"",VLOOKUP($A55,STK_REF!$A$2:$H$593,3,0),"")</f>
        <v>VNX Northern Gas</v>
      </c>
      <c r="C55" s="66">
        <v>2000000</v>
      </c>
      <c r="D55" s="12">
        <v>100</v>
      </c>
      <c r="E55" s="81">
        <v>100</v>
      </c>
      <c r="F55" s="5" t="s">
        <v>1453</v>
      </c>
      <c r="G55" s="75">
        <v>41165</v>
      </c>
    </row>
    <row r="56" spans="1:7" x14ac:dyDescent="0.2">
      <c r="A56" s="2" t="s">
        <v>30</v>
      </c>
      <c r="B56" s="5" t="str">
        <f>IF(A56&lt;&gt;"",VLOOKUP($A56,STK_REF!$A$2:$H$593,3,0),"")</f>
        <v>Petroleum Equipment Assembly and Metal Structure</v>
      </c>
      <c r="C56" s="66">
        <v>59841300</v>
      </c>
      <c r="D56" s="12">
        <v>100</v>
      </c>
      <c r="E56" s="81">
        <v>100</v>
      </c>
      <c r="F56" s="5" t="s">
        <v>1453</v>
      </c>
      <c r="G56" s="75">
        <v>41165</v>
      </c>
    </row>
    <row r="57" spans="1:7" x14ac:dyDescent="0.2">
      <c r="A57" s="2" t="s">
        <v>40</v>
      </c>
      <c r="B57" s="5" t="str">
        <f>IF(A57&lt;&gt;"",VLOOKUP($A57,STK_REF!$A$2:$H$593,3,0),"")</f>
        <v>VNX Securities Incorporated</v>
      </c>
      <c r="C57" s="66">
        <v>157531264</v>
      </c>
      <c r="D57" s="12">
        <v>100</v>
      </c>
      <c r="E57" s="81">
        <v>100</v>
      </c>
      <c r="F57" s="5" t="s">
        <v>1453</v>
      </c>
      <c r="G57" s="75">
        <v>41165</v>
      </c>
    </row>
    <row r="58" spans="1:7" x14ac:dyDescent="0.2">
      <c r="A58" s="2" t="s">
        <v>263</v>
      </c>
      <c r="B58" s="5" t="str">
        <f>IF(A58&lt;&gt;"",VLOOKUP($A58,STK_REF!$A$2:$H$593,3,0),"")</f>
        <v>Petro Dong Do Joint Stock Company</v>
      </c>
      <c r="C58" s="66">
        <v>52356713</v>
      </c>
      <c r="D58" s="12">
        <v>100</v>
      </c>
      <c r="E58" s="81">
        <v>100</v>
      </c>
      <c r="F58" s="5" t="s">
        <v>1453</v>
      </c>
      <c r="G58" s="75">
        <v>41165</v>
      </c>
    </row>
    <row r="59" spans="1:7" x14ac:dyDescent="0.2">
      <c r="A59" s="2" t="s">
        <v>269</v>
      </c>
      <c r="B59" s="5" t="str">
        <f>IF(A59&lt;&gt;"",VLOOKUP($A59,STK_REF!$A$2:$H$593,3,0),"")</f>
        <v>Saigon Petroleum Constrution And Investment JSC</v>
      </c>
      <c r="C59" s="66">
        <v>23000000</v>
      </c>
      <c r="D59" s="12">
        <v>100</v>
      </c>
      <c r="E59" s="81">
        <v>100</v>
      </c>
      <c r="F59" s="5" t="s">
        <v>1453</v>
      </c>
      <c r="G59" s="75">
        <v>41165</v>
      </c>
    </row>
    <row r="60" spans="1:7" x14ac:dyDescent="0.2">
      <c r="A60" s="2" t="s">
        <v>43</v>
      </c>
      <c r="B60" s="5" t="str">
        <f>IF(A60&lt;&gt;"",VLOOKUP($A60,STK_REF!$A$2:$H$593,3,0),"")</f>
        <v>VNX Investment Consultancy and Engineering</v>
      </c>
      <c r="C60" s="66">
        <v>15000000</v>
      </c>
      <c r="D60" s="12">
        <v>100</v>
      </c>
      <c r="E60" s="81">
        <v>100</v>
      </c>
      <c r="F60" s="5" t="s">
        <v>1453</v>
      </c>
      <c r="G60" s="75">
        <v>41165</v>
      </c>
    </row>
    <row r="61" spans="1:7" x14ac:dyDescent="0.2">
      <c r="A61" s="2" t="s">
        <v>28</v>
      </c>
      <c r="B61" s="5" t="str">
        <f>IF(A61&lt;&gt;"",VLOOKUP($A61,STK_REF!$A$2:$H$593,3,0),"")</f>
        <v>Petroleum Industrial and Civil Construction</v>
      </c>
      <c r="C61" s="66">
        <v>18000000</v>
      </c>
      <c r="D61" s="12">
        <v>100</v>
      </c>
      <c r="E61" s="81">
        <v>100</v>
      </c>
      <c r="F61" s="5" t="s">
        <v>1453</v>
      </c>
      <c r="G61" s="75">
        <v>41165</v>
      </c>
    </row>
    <row r="62" spans="1:7" x14ac:dyDescent="0.2">
      <c r="A62" s="2" t="s">
        <v>267</v>
      </c>
      <c r="B62" s="5" t="str">
        <f>IF(A62&lt;&gt;"",VLOOKUP($A62,STK_REF!$A$2:$H$593,3,0),"")</f>
        <v>Petro Vietnam Power Services Joint Stock Company</v>
      </c>
      <c r="C62" s="66">
        <v>250000000</v>
      </c>
      <c r="D62" s="12">
        <v>100</v>
      </c>
      <c r="E62" s="81">
        <v>100</v>
      </c>
      <c r="F62" s="5" t="s">
        <v>1453</v>
      </c>
      <c r="G62" s="75">
        <v>41165</v>
      </c>
    </row>
    <row r="63" spans="1:7" x14ac:dyDescent="0.2">
      <c r="A63" s="2" t="s">
        <v>32</v>
      </c>
      <c r="B63" s="5" t="str">
        <f>IF(A63&lt;&gt;"",VLOOKUP($A63,STK_REF!$A$2:$H$593,3,0),"")</f>
        <v>Petroleum Pipeline and Tank Construction</v>
      </c>
      <c r="C63" s="66">
        <v>18870000</v>
      </c>
      <c r="D63" s="12">
        <v>100</v>
      </c>
      <c r="E63" s="81">
        <v>100</v>
      </c>
      <c r="F63" s="5" t="s">
        <v>1453</v>
      </c>
      <c r="G63" s="75">
        <v>41165</v>
      </c>
    </row>
    <row r="64" spans="1:7" x14ac:dyDescent="0.2">
      <c r="A64" s="2" t="s">
        <v>26</v>
      </c>
      <c r="B64" s="5" t="str">
        <f>IF(A64&lt;&gt;"",VLOOKUP($A64,STK_REF!$A$2:$H$593,3,0),"")</f>
        <v>Mientrung Petroleum Construction</v>
      </c>
      <c r="C64" s="66">
        <v>35000000</v>
      </c>
      <c r="D64" s="12">
        <v>100</v>
      </c>
      <c r="E64" s="81">
        <v>100</v>
      </c>
      <c r="F64" s="5" t="s">
        <v>1453</v>
      </c>
      <c r="G64" s="75">
        <v>41165</v>
      </c>
    </row>
    <row r="65" spans="1:7" x14ac:dyDescent="0.2">
      <c r="A65" s="2" t="s">
        <v>265</v>
      </c>
      <c r="B65" s="5" t="str">
        <f>IF(A65&lt;&gt;"",VLOOKUP($A65,STK_REF!$A$2:$H$593,3,0),"")</f>
        <v>PetroVietnam Gas City Investment and Development JSC</v>
      </c>
      <c r="C65" s="66">
        <v>297802094</v>
      </c>
      <c r="D65" s="12">
        <v>100</v>
      </c>
      <c r="E65" s="81">
        <v>100</v>
      </c>
      <c r="F65" s="5" t="s">
        <v>1453</v>
      </c>
      <c r="G65" s="75">
        <v>41165</v>
      </c>
    </row>
    <row r="66" spans="1:7" x14ac:dyDescent="0.2">
      <c r="A66" s="2" t="s">
        <v>15</v>
      </c>
      <c r="B66" s="5" t="str">
        <f>IF(A66&lt;&gt;"",VLOOKUP($A66,STK_REF!$A$2:$H$593,3,0),"")</f>
        <v>Cuu Long Petro Gas Service Transportation</v>
      </c>
      <c r="C66" s="66">
        <v>38000000</v>
      </c>
      <c r="D66" s="12">
        <v>100</v>
      </c>
      <c r="E66" s="81">
        <v>100</v>
      </c>
      <c r="F66" s="5" t="s">
        <v>1453</v>
      </c>
      <c r="G66" s="75">
        <v>41165</v>
      </c>
    </row>
    <row r="67" spans="1:7" x14ac:dyDescent="0.2">
      <c r="A67" s="2" t="s">
        <v>271</v>
      </c>
      <c r="B67" s="5" t="str">
        <f>IF(A67&lt;&gt;"",VLOOKUP($A67,STK_REF!$A$2:$H$593,3,0),"")</f>
        <v>PetroVietnam Power Engineering Consulting JSC</v>
      </c>
      <c r="C67" s="66">
        <v>27719850</v>
      </c>
      <c r="D67" s="12">
        <v>100</v>
      </c>
      <c r="E67" s="81">
        <v>100</v>
      </c>
      <c r="F67" s="5" t="s">
        <v>1453</v>
      </c>
      <c r="G67" s="75">
        <v>41165</v>
      </c>
    </row>
    <row r="68" spans="1:7" x14ac:dyDescent="0.2">
      <c r="A68" s="2" t="s">
        <v>36</v>
      </c>
      <c r="B68" s="5" t="str">
        <f>IF(A68&lt;&gt;"",VLOOKUP($A68,STK_REF!$A$2:$H$593,3,0),"")</f>
        <v>VNX Fertilizer and Chemicals</v>
      </c>
      <c r="C68" s="66">
        <v>377647740</v>
      </c>
      <c r="D68" s="12">
        <v>100</v>
      </c>
      <c r="E68" s="81">
        <v>100</v>
      </c>
      <c r="F68" t="s">
        <v>1461</v>
      </c>
      <c r="G68" s="75">
        <v>41165</v>
      </c>
    </row>
    <row r="69" spans="1:7" x14ac:dyDescent="0.2">
      <c r="A69" s="2" t="s">
        <v>39</v>
      </c>
      <c r="B69" s="5" t="str">
        <f>IF(A69&lt;&gt;"",VLOOKUP($A69,STK_REF!$A$2:$H$593,3,0),"")</f>
        <v>VNX Drilling &amp; Well Services</v>
      </c>
      <c r="C69" s="66">
        <v>70371300</v>
      </c>
      <c r="D69" s="12">
        <v>100</v>
      </c>
      <c r="E69" s="81">
        <v>100</v>
      </c>
      <c r="F69" t="s">
        <v>1461</v>
      </c>
      <c r="G69" s="75">
        <v>41165</v>
      </c>
    </row>
    <row r="70" spans="1:7" x14ac:dyDescent="0.2">
      <c r="A70" s="2" t="s">
        <v>35</v>
      </c>
      <c r="B70" s="5" t="str">
        <f>IF(A70&lt;&gt;"",VLOOKUP($A70,STK_REF!$A$2:$H$593,3,0),"")</f>
        <v>VNX Finance</v>
      </c>
      <c r="C70" s="66">
        <v>100000000</v>
      </c>
      <c r="D70" s="12">
        <v>100</v>
      </c>
      <c r="E70" s="81">
        <v>100</v>
      </c>
      <c r="F70" t="s">
        <v>1461</v>
      </c>
      <c r="G70" s="75">
        <v>41165</v>
      </c>
    </row>
    <row r="71" spans="1:7" x14ac:dyDescent="0.2">
      <c r="A71" s="2" t="s">
        <v>34</v>
      </c>
      <c r="B71" s="5" t="str">
        <f>IF(A71&lt;&gt;"",VLOOKUP($A71,STK_REF!$A$2:$H$593,3,0),"")</f>
        <v>VNX Low Pressure Gas Distribution</v>
      </c>
      <c r="C71" s="66">
        <v>600000000</v>
      </c>
      <c r="D71" s="12">
        <v>100</v>
      </c>
      <c r="E71" s="81">
        <v>100</v>
      </c>
      <c r="F71" t="s">
        <v>1461</v>
      </c>
      <c r="G71" s="75">
        <v>41165</v>
      </c>
    </row>
    <row r="72" spans="1:7" x14ac:dyDescent="0.2">
      <c r="A72" s="2" t="s">
        <v>37</v>
      </c>
      <c r="B72" s="5" t="str">
        <f>IF(A72&lt;&gt;"",VLOOKUP($A72,STK_REF!$A$2:$H$593,3,0),"")</f>
        <v>VNX Transportation</v>
      </c>
      <c r="C72" s="66">
        <v>232600000</v>
      </c>
      <c r="D72" s="12">
        <v>100</v>
      </c>
      <c r="E72" s="81">
        <v>100</v>
      </c>
      <c r="F72" t="s">
        <v>1461</v>
      </c>
      <c r="G72" s="75">
        <v>41165</v>
      </c>
    </row>
    <row r="73" spans="1:7" x14ac:dyDescent="0.2">
      <c r="A73" s="2" t="s">
        <v>38</v>
      </c>
      <c r="B73" s="5" t="str">
        <f>IF(A73&lt;&gt;"",VLOOKUP($A73,STK_REF!$A$2:$H$593,3,0),"")</f>
        <v>VNX General Services</v>
      </c>
      <c r="C73" s="66">
        <v>30000000</v>
      </c>
      <c r="D73" s="12">
        <v>100</v>
      </c>
      <c r="E73" s="81">
        <v>100</v>
      </c>
      <c r="F73" t="s">
        <v>1461</v>
      </c>
      <c r="G73" s="75">
        <v>41165</v>
      </c>
    </row>
    <row r="74" spans="1:7" x14ac:dyDescent="0.2">
      <c r="A74" s="2" t="s">
        <v>22</v>
      </c>
      <c r="B74" s="5" t="str">
        <f>IF(A74&lt;&gt;"",VLOOKUP($A74,STK_REF!$A$2:$H$593,3,0),"")</f>
        <v>Petro Capital and Infrastructure Investment</v>
      </c>
      <c r="C74" s="66">
        <v>15000000</v>
      </c>
      <c r="D74" s="12">
        <v>100</v>
      </c>
      <c r="E74" s="81">
        <v>100</v>
      </c>
      <c r="F74" t="s">
        <v>1461</v>
      </c>
      <c r="G74" s="75">
        <v>41165</v>
      </c>
    </row>
    <row r="75" spans="1:7" x14ac:dyDescent="0.2">
      <c r="A75" s="2" t="s">
        <v>30</v>
      </c>
      <c r="B75" s="5" t="str">
        <f>IF(A75&lt;&gt;"",VLOOKUP($A75,STK_REF!$A$2:$H$593,3,0),"")</f>
        <v>Petroleum Equipment Assembly and Metal Structure</v>
      </c>
      <c r="C75" s="66">
        <v>37518001</v>
      </c>
      <c r="D75" s="12">
        <v>100</v>
      </c>
      <c r="E75" s="81">
        <v>100</v>
      </c>
      <c r="F75" t="s">
        <v>1461</v>
      </c>
      <c r="G75" s="75">
        <v>41165</v>
      </c>
    </row>
    <row r="76" spans="1:7" x14ac:dyDescent="0.2">
      <c r="A76" s="2" t="s">
        <v>28</v>
      </c>
      <c r="B76" s="5" t="str">
        <f>IF(A76&lt;&gt;"",VLOOKUP($A76,STK_REF!$A$2:$H$593,3,0),"")</f>
        <v>Petroleum Industrial and Civil Construction</v>
      </c>
      <c r="C76" s="66">
        <v>20000000</v>
      </c>
      <c r="D76" s="12">
        <v>100</v>
      </c>
      <c r="E76" s="81">
        <v>100</v>
      </c>
      <c r="F76" t="s">
        <v>1461</v>
      </c>
      <c r="G76" s="75">
        <v>41165</v>
      </c>
    </row>
    <row r="77" spans="1:7" x14ac:dyDescent="0.2">
      <c r="A77" s="2" t="s">
        <v>32</v>
      </c>
      <c r="B77" s="5" t="str">
        <f>IF(A77&lt;&gt;"",VLOOKUP($A77,STK_REF!$A$2:$H$593,3,0),"")</f>
        <v>Petroleum Pipeline and Tank Construction</v>
      </c>
      <c r="C77" s="66">
        <v>42900000</v>
      </c>
      <c r="D77" s="12">
        <v>100</v>
      </c>
      <c r="E77" s="81">
        <v>100</v>
      </c>
      <c r="F77" t="s">
        <v>1461</v>
      </c>
      <c r="G77" s="75">
        <v>41165</v>
      </c>
    </row>
    <row r="78" spans="1:7" x14ac:dyDescent="0.2">
      <c r="A78" s="2" t="s">
        <v>26</v>
      </c>
      <c r="B78" s="5" t="str">
        <f>IF(A78&lt;&gt;"",VLOOKUP($A78,STK_REF!$A$2:$H$593,3,0),"")</f>
        <v>Mientrung Petroleum Construction</v>
      </c>
      <c r="C78" s="66">
        <v>209740215</v>
      </c>
      <c r="D78" s="12">
        <v>100</v>
      </c>
      <c r="E78" s="81">
        <v>100</v>
      </c>
      <c r="F78" t="s">
        <v>1461</v>
      </c>
      <c r="G78" s="75">
        <v>41165</v>
      </c>
    </row>
    <row r="79" spans="1:7" x14ac:dyDescent="0.2">
      <c r="A79" s="2" t="s">
        <v>47</v>
      </c>
      <c r="B79" s="5" t="str">
        <f>IF(A79&lt;&gt;"",VLOOKUP($A79,STK_REF!$A$2:$H$593,3,0),"")</f>
        <v>VNX Technical Services</v>
      </c>
      <c r="C79" s="66">
        <v>50000000</v>
      </c>
      <c r="D79" s="12">
        <v>100</v>
      </c>
      <c r="E79" s="81">
        <v>100</v>
      </c>
      <c r="F79" t="s">
        <v>1479</v>
      </c>
      <c r="G79" s="75">
        <v>41165</v>
      </c>
    </row>
    <row r="80" spans="1:7" x14ac:dyDescent="0.2">
      <c r="A80" s="2" t="s">
        <v>24</v>
      </c>
      <c r="B80" s="5" t="str">
        <f>IF(A80&lt;&gt;"",VLOOKUP($A80,STK_REF!$A$2:$H$593,3,0),"")</f>
        <v>VNX Construction</v>
      </c>
      <c r="C80" s="66">
        <v>35000000</v>
      </c>
      <c r="D80" s="12">
        <v>100</v>
      </c>
      <c r="E80" s="81">
        <v>100</v>
      </c>
      <c r="F80" t="s">
        <v>1479</v>
      </c>
      <c r="G80" s="75">
        <v>41165</v>
      </c>
    </row>
    <row r="81" spans="1:7" x14ac:dyDescent="0.2">
      <c r="A81" s="2" t="s">
        <v>48</v>
      </c>
      <c r="B81" s="5" t="str">
        <f>IF(A81&lt;&gt;"",VLOOKUP($A81,STK_REF!$A$2:$H$593,3,0),"")</f>
        <v>VNX Insurance</v>
      </c>
      <c r="C81" s="66">
        <v>2000000</v>
      </c>
      <c r="D81" s="12">
        <v>100</v>
      </c>
      <c r="E81" s="81">
        <v>100</v>
      </c>
      <c r="F81" t="s">
        <v>1479</v>
      </c>
      <c r="G81" s="75">
        <v>41165</v>
      </c>
    </row>
    <row r="82" spans="1:7" x14ac:dyDescent="0.2">
      <c r="A82" s="2" t="s">
        <v>44</v>
      </c>
      <c r="B82" s="5" t="str">
        <f>IF(A82&lt;&gt;"",VLOOKUP($A82,STK_REF!$A$2:$H$593,3,0),"")</f>
        <v>VNX Southern Gas</v>
      </c>
      <c r="C82" s="66">
        <v>59841300</v>
      </c>
      <c r="D82" s="12">
        <v>100</v>
      </c>
      <c r="E82" s="81">
        <v>100</v>
      </c>
      <c r="F82" t="s">
        <v>1479</v>
      </c>
      <c r="G82" s="75">
        <v>41165</v>
      </c>
    </row>
    <row r="83" spans="1:7" x14ac:dyDescent="0.2">
      <c r="A83" s="2" t="s">
        <v>45</v>
      </c>
      <c r="B83" s="5" t="str">
        <f>IF(A83&lt;&gt;"",VLOOKUP($A83,STK_REF!$A$2:$H$593,3,0),"")</f>
        <v>Drilling Mud Corp</v>
      </c>
      <c r="C83" s="66">
        <v>157531264</v>
      </c>
      <c r="D83" s="12">
        <v>100</v>
      </c>
      <c r="E83" s="81">
        <v>100</v>
      </c>
      <c r="F83" t="s">
        <v>1479</v>
      </c>
      <c r="G83" s="75">
        <v>41165</v>
      </c>
    </row>
    <row r="84" spans="1:7" x14ac:dyDescent="0.2">
      <c r="A84" s="2" t="s">
        <v>41</v>
      </c>
      <c r="B84" s="5" t="str">
        <f>IF(A84&lt;&gt;"",VLOOKUP($A84,STK_REF!$A$2:$H$593,3,0),"")</f>
        <v>VNX Premier Recreation</v>
      </c>
      <c r="C84" s="66">
        <v>52356713</v>
      </c>
      <c r="D84" s="12">
        <v>100</v>
      </c>
      <c r="E84" s="81">
        <v>100</v>
      </c>
      <c r="F84" t="s">
        <v>1479</v>
      </c>
      <c r="G84" s="75">
        <v>41165</v>
      </c>
    </row>
    <row r="85" spans="1:7" x14ac:dyDescent="0.2">
      <c r="A85" s="2" t="s">
        <v>42</v>
      </c>
      <c r="B85" s="5" t="str">
        <f>IF(A85&lt;&gt;"",VLOOKUP($A85,STK_REF!$A$2:$H$593,3,0),"")</f>
        <v>VNX Northern Gas</v>
      </c>
      <c r="C85" s="66">
        <v>23000000</v>
      </c>
      <c r="D85" s="12">
        <v>100</v>
      </c>
      <c r="E85" s="81">
        <v>100</v>
      </c>
      <c r="F85" t="s">
        <v>1479</v>
      </c>
      <c r="G85" s="75">
        <v>41165</v>
      </c>
    </row>
    <row r="86" spans="1:7" x14ac:dyDescent="0.2">
      <c r="A86" s="2" t="s">
        <v>40</v>
      </c>
      <c r="B86" s="5" t="str">
        <f>IF(A86&lt;&gt;"",VLOOKUP($A86,STK_REF!$A$2:$H$593,3,0),"")</f>
        <v>VNX Securities Incorporated</v>
      </c>
      <c r="C86" s="66">
        <v>15000000</v>
      </c>
      <c r="D86" s="12">
        <v>100</v>
      </c>
      <c r="E86" s="81">
        <v>100</v>
      </c>
      <c r="F86" t="s">
        <v>1479</v>
      </c>
      <c r="G86" s="75">
        <v>41165</v>
      </c>
    </row>
    <row r="87" spans="1:7" x14ac:dyDescent="0.2">
      <c r="A87" s="2" t="s">
        <v>263</v>
      </c>
      <c r="B87" s="5" t="str">
        <f>IF(A87&lt;&gt;"",VLOOKUP($A87,STK_REF!$A$2:$H$593,3,0),"")</f>
        <v>Petro Dong Do Joint Stock Company</v>
      </c>
      <c r="C87" s="66">
        <v>18000000</v>
      </c>
      <c r="D87" s="12">
        <v>100</v>
      </c>
      <c r="E87" s="81">
        <v>100</v>
      </c>
      <c r="F87" t="s">
        <v>1479</v>
      </c>
      <c r="G87" s="75">
        <v>41165</v>
      </c>
    </row>
    <row r="88" spans="1:7" x14ac:dyDescent="0.2">
      <c r="A88" s="2" t="s">
        <v>269</v>
      </c>
      <c r="B88" s="5" t="str">
        <f>IF(A88&lt;&gt;"",VLOOKUP($A88,STK_REF!$A$2:$H$593,3,0),"")</f>
        <v>Saigon Petroleum Constrution And Investment JSC</v>
      </c>
      <c r="C88" s="66">
        <v>250000000</v>
      </c>
      <c r="D88" s="12">
        <v>100</v>
      </c>
      <c r="E88" s="81">
        <v>100</v>
      </c>
      <c r="F88" t="s">
        <v>1479</v>
      </c>
      <c r="G88" s="75">
        <v>41165</v>
      </c>
    </row>
    <row r="89" spans="1:7" x14ac:dyDescent="0.2">
      <c r="A89" s="2" t="s">
        <v>43</v>
      </c>
      <c r="B89" s="5" t="str">
        <f>IF(A89&lt;&gt;"",VLOOKUP($A89,STK_REF!$A$2:$H$593,3,0),"")</f>
        <v>VNX Investment Consultancy and Engineering</v>
      </c>
      <c r="C89" s="66">
        <v>18870000</v>
      </c>
      <c r="D89" s="12">
        <v>100</v>
      </c>
      <c r="E89" s="81">
        <v>100</v>
      </c>
      <c r="F89" t="s">
        <v>1479</v>
      </c>
      <c r="G89" s="75">
        <v>41165</v>
      </c>
    </row>
    <row r="90" spans="1:7" x14ac:dyDescent="0.2">
      <c r="A90" s="2" t="s">
        <v>267</v>
      </c>
      <c r="B90" s="5" t="str">
        <f>IF(A90&lt;&gt;"",VLOOKUP($A90,STK_REF!$A$2:$H$593,3,0),"")</f>
        <v>Petro Vietnam Power Services Joint Stock Company</v>
      </c>
      <c r="C90" s="66">
        <v>35000000</v>
      </c>
      <c r="D90" s="12">
        <v>100</v>
      </c>
      <c r="E90" s="81">
        <v>100</v>
      </c>
      <c r="F90" t="s">
        <v>1479</v>
      </c>
      <c r="G90" s="75">
        <v>41165</v>
      </c>
    </row>
    <row r="91" spans="1:7" x14ac:dyDescent="0.2">
      <c r="A91" s="2" t="s">
        <v>265</v>
      </c>
      <c r="B91" s="5" t="str">
        <f>IF(A91&lt;&gt;"",VLOOKUP($A91,STK_REF!$A$2:$H$593,3,0),"")</f>
        <v>PetroVietnam Gas City Investment and Development JSC</v>
      </c>
      <c r="C91" s="66">
        <v>297802094</v>
      </c>
      <c r="D91" s="12">
        <v>100</v>
      </c>
      <c r="E91" s="81">
        <v>100</v>
      </c>
      <c r="F91" t="s">
        <v>1479</v>
      </c>
      <c r="G91" s="75">
        <v>41165</v>
      </c>
    </row>
    <row r="92" spans="1:7" x14ac:dyDescent="0.2">
      <c r="A92" s="2" t="s">
        <v>15</v>
      </c>
      <c r="B92" s="5" t="str">
        <f>IF(A92&lt;&gt;"",VLOOKUP($A92,STK_REF!$A$2:$H$593,3,0),"")</f>
        <v>Cuu Long Petro Gas Service Transportation</v>
      </c>
      <c r="C92" s="66">
        <v>38000000</v>
      </c>
      <c r="D92" s="12">
        <v>100</v>
      </c>
      <c r="E92" s="81">
        <v>100</v>
      </c>
      <c r="F92" t="s">
        <v>1479</v>
      </c>
      <c r="G92" s="75">
        <v>41165</v>
      </c>
    </row>
    <row r="93" spans="1:7" x14ac:dyDescent="0.2">
      <c r="A93" s="2" t="s">
        <v>271</v>
      </c>
      <c r="B93" s="5" t="str">
        <f>IF(A93&lt;&gt;"",VLOOKUP($A93,STK_REF!$A$2:$H$593,3,0),"")</f>
        <v>PetroVietnam Power Engineering Consulting JSC</v>
      </c>
      <c r="C93" s="66">
        <v>27719850</v>
      </c>
      <c r="D93" s="12">
        <v>100</v>
      </c>
      <c r="E93" s="81">
        <v>100</v>
      </c>
      <c r="F93" t="s">
        <v>1479</v>
      </c>
      <c r="G93" s="75">
        <v>41165</v>
      </c>
    </row>
    <row r="94" spans="1:7" x14ac:dyDescent="0.2">
      <c r="A94" s="2" t="s">
        <v>36</v>
      </c>
      <c r="B94" s="5" t="str">
        <f>IF(A94&lt;&gt;"",VLOOKUP($A94,STK_REF!$A$2:$H$593,3,0),"")</f>
        <v>VNX Fertilizer and Chemicals</v>
      </c>
      <c r="C94" s="66">
        <v>377647740</v>
      </c>
      <c r="D94" s="12">
        <v>100</v>
      </c>
      <c r="E94" s="81">
        <v>100</v>
      </c>
      <c r="F94" t="s">
        <v>1497</v>
      </c>
      <c r="G94" s="75">
        <v>41165</v>
      </c>
    </row>
    <row r="95" spans="1:7" x14ac:dyDescent="0.2">
      <c r="A95" s="2" t="s">
        <v>38</v>
      </c>
      <c r="B95" s="5" t="str">
        <f>IF(A95&lt;&gt;"",VLOOKUP($A95,STK_REF!$A$2:$H$593,3,0),"")</f>
        <v>VNX General Services</v>
      </c>
      <c r="C95" s="66">
        <v>70371300</v>
      </c>
      <c r="D95" s="12">
        <v>100</v>
      </c>
      <c r="E95" s="81">
        <v>100</v>
      </c>
      <c r="F95" t="s">
        <v>1506</v>
      </c>
      <c r="G95" s="75">
        <v>41165</v>
      </c>
    </row>
    <row r="96" spans="1:7" x14ac:dyDescent="0.2">
      <c r="A96" s="2" t="s">
        <v>35</v>
      </c>
      <c r="B96" s="5" t="str">
        <f>IF(A96&lt;&gt;"",VLOOKUP($A96,STK_REF!$A$2:$H$593,3,0),"")</f>
        <v>VNX Finance</v>
      </c>
      <c r="C96" s="66">
        <v>100000000</v>
      </c>
      <c r="D96" s="12">
        <v>100</v>
      </c>
      <c r="E96" s="81">
        <v>100</v>
      </c>
      <c r="F96" t="s">
        <v>1515</v>
      </c>
      <c r="G96" s="75">
        <v>41165</v>
      </c>
    </row>
    <row r="97" spans="1:7" x14ac:dyDescent="0.2">
      <c r="A97" s="2" t="s">
        <v>48</v>
      </c>
      <c r="B97" s="5" t="str">
        <f>IF(A97&lt;&gt;"",VLOOKUP($A97,STK_REF!$A$2:$H$593,3,0),"")</f>
        <v>VNX Insurance</v>
      </c>
      <c r="C97" s="66">
        <v>600000000</v>
      </c>
      <c r="D97" s="12">
        <v>100</v>
      </c>
      <c r="E97" s="81">
        <v>100</v>
      </c>
      <c r="F97" t="s">
        <v>1515</v>
      </c>
      <c r="G97" s="75">
        <v>41165</v>
      </c>
    </row>
    <row r="98" spans="1:7" x14ac:dyDescent="0.2">
      <c r="A98" s="2" t="s">
        <v>22</v>
      </c>
      <c r="B98" s="5" t="str">
        <f>IF(A98&lt;&gt;"",VLOOKUP($A98,STK_REF!$A$2:$H$593,3,0),"")</f>
        <v>Petro Capital and Infrastructure Investment</v>
      </c>
      <c r="C98" s="66">
        <v>50000000</v>
      </c>
      <c r="D98" s="12">
        <v>100</v>
      </c>
      <c r="E98" s="81">
        <v>100</v>
      </c>
      <c r="F98" t="s">
        <v>1515</v>
      </c>
      <c r="G98" s="75">
        <v>41165</v>
      </c>
    </row>
    <row r="99" spans="1:7" x14ac:dyDescent="0.2">
      <c r="A99" s="2" t="s">
        <v>40</v>
      </c>
      <c r="B99" s="5" t="str">
        <f>IF(A99&lt;&gt;"",VLOOKUP($A99,STK_REF!$A$2:$H$593,3,0),"")</f>
        <v>VNX Securities Incorporated</v>
      </c>
      <c r="C99" s="66">
        <v>2000000</v>
      </c>
      <c r="D99" s="12">
        <v>100</v>
      </c>
      <c r="E99" s="81">
        <v>100</v>
      </c>
      <c r="F99" t="s">
        <v>1515</v>
      </c>
      <c r="G99" s="75">
        <v>41165</v>
      </c>
    </row>
    <row r="100" spans="1:7" x14ac:dyDescent="0.2">
      <c r="A100" s="2" t="s">
        <v>263</v>
      </c>
      <c r="B100" s="5" t="str">
        <f>IF(A100&lt;&gt;"",VLOOKUP($A100,STK_REF!$A$2:$H$593,3,0),"")</f>
        <v>Petro Dong Do Joint Stock Company</v>
      </c>
      <c r="C100" s="66">
        <v>59841300</v>
      </c>
      <c r="D100" s="12">
        <v>100</v>
      </c>
      <c r="E100" s="81">
        <v>100</v>
      </c>
      <c r="F100" t="s">
        <v>1515</v>
      </c>
      <c r="G100" s="75">
        <v>41165</v>
      </c>
    </row>
    <row r="101" spans="1:7" x14ac:dyDescent="0.2">
      <c r="A101" s="2" t="s">
        <v>37</v>
      </c>
      <c r="B101" s="5" t="str">
        <f>IF(A101&lt;&gt;"",VLOOKUP($A101,STK_REF!$A$2:$H$593,3,0),"")</f>
        <v>VNX Transportation</v>
      </c>
      <c r="C101" s="66">
        <v>232600000</v>
      </c>
      <c r="D101" s="12">
        <v>100</v>
      </c>
      <c r="E101" s="81">
        <v>100</v>
      </c>
      <c r="F101" t="s">
        <v>1524</v>
      </c>
      <c r="G101" s="75">
        <v>41165</v>
      </c>
    </row>
    <row r="102" spans="1:7" x14ac:dyDescent="0.2">
      <c r="A102" s="2" t="s">
        <v>28</v>
      </c>
      <c r="B102" s="5" t="str">
        <f>IF(A102&lt;&gt;"",VLOOKUP($A102,STK_REF!$A$2:$H$593,3,0),"")</f>
        <v>Petroleum Industrial and Civil Construction</v>
      </c>
      <c r="C102" s="66">
        <v>30000000</v>
      </c>
      <c r="D102" s="12">
        <v>100</v>
      </c>
      <c r="E102" s="81">
        <v>100</v>
      </c>
      <c r="F102" t="s">
        <v>1524</v>
      </c>
      <c r="G102" s="75">
        <v>41165</v>
      </c>
    </row>
    <row r="103" spans="1:7" x14ac:dyDescent="0.2">
      <c r="A103" s="2" t="s">
        <v>26</v>
      </c>
      <c r="B103" s="5" t="str">
        <f>IF(A103&lt;&gt;"",VLOOKUP($A103,STK_REF!$A$2:$H$593,3,0),"")</f>
        <v>Mientrung Petroleum Construction</v>
      </c>
      <c r="C103" s="66">
        <v>15000000</v>
      </c>
      <c r="D103" s="12">
        <v>100</v>
      </c>
      <c r="E103" s="81">
        <v>100</v>
      </c>
      <c r="F103" t="s">
        <v>1524</v>
      </c>
      <c r="G103" s="75">
        <v>41165</v>
      </c>
    </row>
    <row r="104" spans="1:7" x14ac:dyDescent="0.2">
      <c r="A104" s="2" t="s">
        <v>30</v>
      </c>
      <c r="B104" s="5" t="str">
        <f>IF(A104&lt;&gt;"",VLOOKUP($A104,STK_REF!$A$2:$H$593,3,0),"")</f>
        <v>Petroleum Equipment Assembly and Metal Structure</v>
      </c>
      <c r="C104" s="66">
        <v>37518001</v>
      </c>
      <c r="D104" s="12">
        <v>100</v>
      </c>
      <c r="E104" s="81">
        <v>100</v>
      </c>
      <c r="F104" t="s">
        <v>1524</v>
      </c>
      <c r="G104" s="75">
        <v>41165</v>
      </c>
    </row>
    <row r="105" spans="1:7" x14ac:dyDescent="0.2">
      <c r="A105" s="2" t="s">
        <v>32</v>
      </c>
      <c r="B105" s="5" t="str">
        <f>IF(A105&lt;&gt;"",VLOOKUP($A105,STK_REF!$A$2:$H$593,3,0),"")</f>
        <v>Petroleum Pipeline and Tank Construction</v>
      </c>
      <c r="C105" s="66">
        <v>20000000</v>
      </c>
      <c r="D105" s="12">
        <v>100</v>
      </c>
      <c r="E105" s="81">
        <v>100</v>
      </c>
      <c r="F105" t="s">
        <v>1524</v>
      </c>
      <c r="G105" s="75">
        <v>41165</v>
      </c>
    </row>
    <row r="106" spans="1:7" x14ac:dyDescent="0.2">
      <c r="A106" s="2" t="s">
        <v>15</v>
      </c>
      <c r="B106" s="5" t="str">
        <f>IF(A106&lt;&gt;"",VLOOKUP($A106,STK_REF!$A$2:$H$593,3,0),"")</f>
        <v>Cuu Long Petro Gas Service Transportation</v>
      </c>
      <c r="C106" s="66">
        <v>23000000</v>
      </c>
      <c r="D106" s="12">
        <v>100</v>
      </c>
      <c r="E106" s="81">
        <v>100</v>
      </c>
      <c r="F106" t="s">
        <v>1524</v>
      </c>
      <c r="G106" s="75">
        <v>41165</v>
      </c>
    </row>
    <row r="107" spans="1:7" x14ac:dyDescent="0.2">
      <c r="A107" s="2" t="s">
        <v>267</v>
      </c>
      <c r="B107" s="5" t="str">
        <f>IF(A107&lt;&gt;"",VLOOKUP($A107,STK_REF!$A$2:$H$593,3,0),"")</f>
        <v>Petro Vietnam Power Services Joint Stock Company</v>
      </c>
      <c r="C107" s="66">
        <v>15000000</v>
      </c>
      <c r="D107" s="12">
        <v>100</v>
      </c>
      <c r="E107" s="81">
        <v>100</v>
      </c>
      <c r="F107" t="s">
        <v>1524</v>
      </c>
      <c r="G107" s="75">
        <v>41165</v>
      </c>
    </row>
    <row r="108" spans="1:7" x14ac:dyDescent="0.2">
      <c r="A108" s="2" t="s">
        <v>43</v>
      </c>
      <c r="B108" s="5" t="str">
        <f>IF(A108&lt;&gt;"",VLOOKUP($A108,STK_REF!$A$2:$H$593,3,0),"")</f>
        <v>VNX Investment Consultancy and Engineering</v>
      </c>
      <c r="C108" s="66">
        <v>18000000</v>
      </c>
      <c r="D108" s="12">
        <v>100</v>
      </c>
      <c r="E108" s="81">
        <v>100</v>
      </c>
      <c r="F108" t="s">
        <v>1524</v>
      </c>
      <c r="G108" s="75">
        <v>41165</v>
      </c>
    </row>
    <row r="109" spans="1:7" x14ac:dyDescent="0.2">
      <c r="A109" s="2" t="s">
        <v>24</v>
      </c>
      <c r="B109" s="5" t="str">
        <f>IF(A109&lt;&gt;"",VLOOKUP($A109,STK_REF!$A$2:$H$593,3,0),"")</f>
        <v>VNX Construction</v>
      </c>
      <c r="C109" s="66">
        <v>250000000</v>
      </c>
      <c r="D109" s="12">
        <v>100</v>
      </c>
      <c r="E109" s="81">
        <v>100</v>
      </c>
      <c r="F109" t="s">
        <v>1524</v>
      </c>
      <c r="G109" s="75">
        <v>41165</v>
      </c>
    </row>
    <row r="110" spans="1:7" x14ac:dyDescent="0.2">
      <c r="A110" s="2" t="s">
        <v>19</v>
      </c>
      <c r="B110" s="5" t="str">
        <f>IF(A110&lt;&gt;"",VLOOKUP($A110,STK_REF!$A$2:$H$593,3,0),"")</f>
        <v>Dinh Vu Petroleum Service Port</v>
      </c>
      <c r="C110" s="66">
        <v>22500000</v>
      </c>
      <c r="D110" s="12">
        <v>100</v>
      </c>
      <c r="E110" s="81">
        <v>100</v>
      </c>
      <c r="F110" t="s">
        <v>1524</v>
      </c>
      <c r="G110" s="75">
        <v>41165</v>
      </c>
    </row>
    <row r="111" spans="1:7" x14ac:dyDescent="0.2">
      <c r="A111" s="2" t="s">
        <v>17</v>
      </c>
      <c r="B111" s="5" t="str">
        <f>IF(A111&lt;&gt;"",VLOOKUP($A111,STK_REF!$A$2:$H$593,3,0),"")</f>
        <v>Indochina Petroleum Transportation</v>
      </c>
      <c r="C111" s="66">
        <v>10000000</v>
      </c>
      <c r="D111" s="12">
        <v>100</v>
      </c>
      <c r="E111" s="81">
        <v>100</v>
      </c>
      <c r="F111" t="s">
        <v>1524</v>
      </c>
      <c r="G111" s="75">
        <v>41165</v>
      </c>
    </row>
    <row r="112" spans="1:7" x14ac:dyDescent="0.2">
      <c r="A112" s="2" t="s">
        <v>34</v>
      </c>
      <c r="B112" s="5" t="str">
        <f>IF(A112&lt;&gt;"",VLOOKUP($A112,STK_REF!$A$2:$H$593,3,0),"")</f>
        <v>VNX Low Pressure Gas Distribution</v>
      </c>
      <c r="C112" s="66">
        <v>42900000</v>
      </c>
      <c r="D112" s="12">
        <v>100</v>
      </c>
      <c r="E112" s="81">
        <v>100</v>
      </c>
      <c r="F112" t="s">
        <v>1524</v>
      </c>
      <c r="G112" s="75">
        <v>41165</v>
      </c>
    </row>
    <row r="113" spans="1:7" x14ac:dyDescent="0.2">
      <c r="A113" s="2" t="s">
        <v>39</v>
      </c>
      <c r="B113" s="5" t="str">
        <f>IF(A113&lt;&gt;"",VLOOKUP($A113,STK_REF!$A$2:$H$593,3,0),"")</f>
        <v>VNX Drilling &amp; Well Services</v>
      </c>
      <c r="C113" s="66">
        <v>209740215</v>
      </c>
      <c r="D113" s="12">
        <v>100</v>
      </c>
      <c r="E113" s="81">
        <v>100</v>
      </c>
      <c r="F113" t="s">
        <v>1524</v>
      </c>
      <c r="G113" s="75">
        <v>41165</v>
      </c>
    </row>
    <row r="114" spans="1:7" x14ac:dyDescent="0.2">
      <c r="A114" s="2" t="s">
        <v>265</v>
      </c>
      <c r="B114" s="5" t="str">
        <f>IF(A114&lt;&gt;"",VLOOKUP($A114,STK_REF!$A$2:$H$593,3,0),"")</f>
        <v>PetroVietnam Gas City Investment and Development JSC</v>
      </c>
      <c r="C114" s="66">
        <v>18870000</v>
      </c>
      <c r="D114" s="12">
        <v>100</v>
      </c>
      <c r="E114" s="81">
        <v>100</v>
      </c>
      <c r="F114" t="s">
        <v>1524</v>
      </c>
      <c r="G114" s="75">
        <v>41165</v>
      </c>
    </row>
    <row r="115" spans="1:7" x14ac:dyDescent="0.2">
      <c r="A115" s="2" t="s">
        <v>269</v>
      </c>
      <c r="B115" s="5" t="str">
        <f>IF(A115&lt;&gt;"",VLOOKUP($A115,STK_REF!$A$2:$H$593,3,0),"")</f>
        <v>Saigon Petroleum Constrution And Investment JSC</v>
      </c>
      <c r="C115" s="66">
        <v>35000000</v>
      </c>
      <c r="D115" s="12">
        <v>100</v>
      </c>
      <c r="E115" s="81">
        <v>100</v>
      </c>
      <c r="F115" t="s">
        <v>1524</v>
      </c>
      <c r="G115" s="75">
        <v>41165</v>
      </c>
    </row>
    <row r="116" spans="1:7" x14ac:dyDescent="0.2">
      <c r="A116" s="2" t="s">
        <v>39</v>
      </c>
      <c r="B116" s="5" t="str">
        <f>IF(A116&lt;&gt;"",VLOOKUP($A116,STK_REF!$A$2:$H$593,3,0),"")</f>
        <v>VNX Drilling &amp; Well Services</v>
      </c>
      <c r="C116" s="66">
        <v>297802094</v>
      </c>
      <c r="D116" s="12">
        <v>100</v>
      </c>
      <c r="E116" s="81">
        <v>100</v>
      </c>
      <c r="F116" t="s">
        <v>1533</v>
      </c>
      <c r="G116" s="75">
        <v>41165</v>
      </c>
    </row>
    <row r="117" spans="1:7" x14ac:dyDescent="0.2">
      <c r="A117" s="2" t="s">
        <v>47</v>
      </c>
      <c r="B117" s="5" t="str">
        <f>IF(A117&lt;&gt;"",VLOOKUP($A117,STK_REF!$A$2:$H$593,3,0),"")</f>
        <v>VNX Technical Services</v>
      </c>
      <c r="C117" s="66">
        <v>10000000</v>
      </c>
      <c r="D117" s="12">
        <v>100</v>
      </c>
      <c r="E117" s="81">
        <v>100</v>
      </c>
      <c r="F117" t="s">
        <v>1533</v>
      </c>
      <c r="G117" s="75">
        <v>41165</v>
      </c>
    </row>
    <row r="118" spans="1:7" x14ac:dyDescent="0.2">
      <c r="A118" s="2" t="s">
        <v>44</v>
      </c>
      <c r="B118" s="5" t="str">
        <f>IF(A118&lt;&gt;"",VLOOKUP($A118,STK_REF!$A$2:$H$593,3,0),"")</f>
        <v>VNX Southern Gas</v>
      </c>
      <c r="C118" s="66">
        <v>38000000</v>
      </c>
      <c r="D118" s="12">
        <v>100</v>
      </c>
      <c r="E118" s="81">
        <v>100</v>
      </c>
      <c r="F118" t="s">
        <v>1533</v>
      </c>
      <c r="G118" s="75">
        <v>41165</v>
      </c>
    </row>
    <row r="119" spans="1:7" x14ac:dyDescent="0.2">
      <c r="A119" s="2" t="s">
        <v>45</v>
      </c>
      <c r="B119" s="5" t="str">
        <f>IF(A119&lt;&gt;"",VLOOKUP($A119,STK_REF!$A$2:$H$593,3,0),"")</f>
        <v>Drilling Mud Corp</v>
      </c>
      <c r="C119" s="66">
        <v>27719850</v>
      </c>
      <c r="D119" s="12">
        <v>100</v>
      </c>
      <c r="E119" s="81">
        <v>100</v>
      </c>
      <c r="F119" t="s">
        <v>1533</v>
      </c>
      <c r="G119" s="75">
        <v>41165</v>
      </c>
    </row>
    <row r="120" spans="1:7" x14ac:dyDescent="0.2">
      <c r="A120" s="2" t="s">
        <v>42</v>
      </c>
      <c r="B120" s="5" t="str">
        <f>IF(A120&lt;&gt;"",VLOOKUP($A120,STK_REF!$A$2:$H$593,3,0),"")</f>
        <v>VNX Northern Gas</v>
      </c>
      <c r="C120" s="66">
        <v>256000000</v>
      </c>
      <c r="D120" s="12">
        <v>100</v>
      </c>
      <c r="E120" s="81">
        <v>100</v>
      </c>
      <c r="F120" t="s">
        <v>1533</v>
      </c>
      <c r="G120" s="75">
        <v>41165</v>
      </c>
    </row>
    <row r="121" spans="1:7" x14ac:dyDescent="0.2">
      <c r="A121" s="2" t="s">
        <v>34</v>
      </c>
      <c r="B121" s="5" t="str">
        <f>IF(A121&lt;&gt;"",VLOOKUP($A121,STK_REF!$A$2:$H$593,3,0),"")</f>
        <v>VNX Low Pressure Gas Distribution</v>
      </c>
      <c r="C121" s="66">
        <v>42900000</v>
      </c>
      <c r="D121" s="12">
        <v>100</v>
      </c>
      <c r="E121" s="81">
        <v>100</v>
      </c>
      <c r="F121" s="5" t="s">
        <v>1542</v>
      </c>
      <c r="G121" s="75">
        <v>41165</v>
      </c>
    </row>
    <row r="122" spans="1:7" x14ac:dyDescent="0.2">
      <c r="A122" s="2" t="s">
        <v>21</v>
      </c>
      <c r="B122" s="5" t="str">
        <f>IF(A122&lt;&gt;"",VLOOKUP($A122,STK_REF!$A$2:$H$593,3,0),"")</f>
        <v>VNX Power NhonTrach 2</v>
      </c>
      <c r="C122" s="66">
        <v>256000000</v>
      </c>
      <c r="D122" s="12">
        <v>100</v>
      </c>
      <c r="E122" s="81">
        <v>100</v>
      </c>
      <c r="F122" s="5" t="s">
        <v>1542</v>
      </c>
      <c r="G122" s="75">
        <v>41165</v>
      </c>
    </row>
    <row r="123" spans="1:7" x14ac:dyDescent="0.2">
      <c r="A123" s="2" t="s">
        <v>265</v>
      </c>
      <c r="B123" s="5" t="str">
        <f>IF(A123&lt;&gt;"",VLOOKUP($A123,STK_REF!$A$2:$H$593,3,0),"")</f>
        <v>PetroVietnam Gas City Investment and Development JSC</v>
      </c>
      <c r="C123" s="66">
        <v>18870000</v>
      </c>
      <c r="D123" s="12">
        <v>100</v>
      </c>
      <c r="E123" s="81">
        <v>100</v>
      </c>
      <c r="F123" s="5" t="s">
        <v>1542</v>
      </c>
      <c r="G123" s="75">
        <v>41165</v>
      </c>
    </row>
  </sheetData>
  <customSheetViews>
    <customSheetView guid="{8EF2C042-D97C-40EA-9E42-A17331664713}" topLeftCell="A112">
      <selection activeCell="C121" sqref="C121"/>
      <pageMargins left="0.75" right="0.75" top="1" bottom="1" header="0.4921259845" footer="0.4921259845"/>
      <headerFooter alignWithMargins="0"/>
    </customSheetView>
    <customSheetView guid="{E8497AD8-A45C-484D-A252-6E26647DB053}">
      <selection activeCell="E25" sqref="E25"/>
      <pageMargins left="0.75" right="0.75" top="1" bottom="1" header="0.4921259845" footer="0.4921259845"/>
      <headerFooter alignWithMargins="0"/>
    </customSheetView>
    <customSheetView guid="{AAB8C83D-EE7C-4F2D-A040-F04A230A06FD}">
      <selection activeCell="C7" sqref="C7"/>
      <pageMargins left="0.75" right="0.75" top="1" bottom="1" header="0.4921259845" footer="0.4921259845"/>
      <headerFooter alignWithMargins="0"/>
    </customSheetView>
    <customSheetView guid="{A93D23F5-27FE-48DF-A0DC-3D7A8C6F3CF5}">
      <selection activeCell="C2" sqref="C2"/>
      <pageMargins left="0.75" right="0.75" top="1" bottom="1" header="0.4921259845" footer="0.4921259845"/>
      <pageSetup orientation="portrait" horizontalDpi="0" verticalDpi="0" r:id="rId1"/>
      <headerFooter alignWithMargins="0"/>
    </customSheetView>
  </customSheetViews>
  <phoneticPr fontId="4" type="noConversion"/>
  <pageMargins left="0.75" right="0.75" top="1" bottom="1" header="0.4921259845" footer="0.4921259845"/>
  <pageSetup orientation="portrait" horizontalDpi="0" verticalDpi="0" r:id="rId2"/>
  <headerFooter alignWithMargins="0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B123"/>
  <sheetViews>
    <sheetView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Z2" sqref="Z2"/>
    </sheetView>
  </sheetViews>
  <sheetFormatPr defaultRowHeight="12.75" x14ac:dyDescent="0.2"/>
  <cols>
    <col min="1" max="1" width="10.85546875" bestFit="1" customWidth="1"/>
    <col min="2" max="2" width="49.5703125" bestFit="1" customWidth="1"/>
    <col min="3" max="3" width="17.7109375" customWidth="1"/>
    <col min="4" max="4" width="16.140625" customWidth="1"/>
    <col min="5" max="5" width="15.140625" customWidth="1"/>
    <col min="6" max="6" width="11.28515625" customWidth="1"/>
    <col min="7" max="8" width="10.85546875" customWidth="1"/>
    <col min="9" max="9" width="16.5703125" customWidth="1"/>
    <col min="10" max="10" width="17.42578125" customWidth="1"/>
    <col min="11" max="11" width="21.42578125" style="8" customWidth="1"/>
    <col min="12" max="12" width="10.140625" customWidth="1"/>
    <col min="13" max="13" width="8.140625" customWidth="1"/>
    <col min="14" max="14" width="18.7109375" style="8" customWidth="1"/>
    <col min="15" max="16" width="17.85546875" style="8" customWidth="1"/>
    <col min="17" max="17" width="10.28515625" customWidth="1"/>
    <col min="18" max="18" width="14.42578125" bestFit="1" customWidth="1"/>
    <col min="19" max="19" width="10.5703125" style="12" bestFit="1" customWidth="1"/>
    <col min="20" max="20" width="17.7109375" bestFit="1" customWidth="1"/>
    <col min="21" max="21" width="16.140625" bestFit="1" customWidth="1"/>
    <col min="22" max="22" width="15.140625" bestFit="1" customWidth="1"/>
    <col min="23" max="23" width="11.28515625" bestFit="1" customWidth="1"/>
    <col min="24" max="24" width="13.140625" bestFit="1" customWidth="1"/>
    <col min="25" max="25" width="11.85546875" bestFit="1" customWidth="1"/>
    <col min="26" max="26" width="10.5703125" bestFit="1" customWidth="1"/>
    <col min="27" max="27" width="18.7109375" bestFit="1" customWidth="1"/>
    <col min="28" max="28" width="16.7109375" bestFit="1" customWidth="1"/>
  </cols>
  <sheetData>
    <row r="1" spans="1:28" x14ac:dyDescent="0.2">
      <c r="A1" s="3" t="s">
        <v>1</v>
      </c>
      <c r="B1" s="4" t="s">
        <v>2</v>
      </c>
      <c r="C1" s="4" t="s">
        <v>54</v>
      </c>
      <c r="D1" s="4" t="s">
        <v>55</v>
      </c>
      <c r="E1" s="4" t="s">
        <v>56</v>
      </c>
      <c r="F1" s="4" t="s">
        <v>7</v>
      </c>
      <c r="G1" s="4" t="s">
        <v>8</v>
      </c>
      <c r="H1" s="4" t="s">
        <v>9</v>
      </c>
      <c r="I1" s="4" t="s">
        <v>82</v>
      </c>
      <c r="J1" s="3" t="s">
        <v>136</v>
      </c>
      <c r="K1" s="22" t="s">
        <v>127</v>
      </c>
      <c r="L1" s="3" t="s">
        <v>10</v>
      </c>
      <c r="M1" s="3" t="s">
        <v>11</v>
      </c>
      <c r="N1" s="22" t="s">
        <v>119</v>
      </c>
      <c r="O1" s="7" t="s">
        <v>120</v>
      </c>
      <c r="P1" s="4" t="s">
        <v>121</v>
      </c>
      <c r="Q1" s="3" t="s">
        <v>74</v>
      </c>
      <c r="R1" s="3" t="s">
        <v>57</v>
      </c>
      <c r="S1" s="3" t="s">
        <v>122</v>
      </c>
      <c r="T1" s="3" t="s">
        <v>123</v>
      </c>
      <c r="U1" s="3" t="s">
        <v>124</v>
      </c>
      <c r="V1" s="3" t="s">
        <v>128</v>
      </c>
      <c r="W1" s="3" t="s">
        <v>129</v>
      </c>
      <c r="X1" s="3" t="s">
        <v>130</v>
      </c>
      <c r="Y1" s="3" t="s">
        <v>115</v>
      </c>
      <c r="Z1" s="3" t="s">
        <v>416</v>
      </c>
      <c r="AA1" s="3" t="s">
        <v>1362</v>
      </c>
      <c r="AB1" s="3" t="s">
        <v>1363</v>
      </c>
    </row>
    <row r="2" spans="1:28" x14ac:dyDescent="0.2">
      <c r="A2" s="2" t="str">
        <f>IF(INDEX(IDX_COMPO!$A:$A,ROW(IDX_COMPO!A2))=0,"",INDEX(IDX_COMPO!$A:$A,ROW(IDX_COMPO!A2)))</f>
        <v>DPM</v>
      </c>
      <c r="B2" t="str">
        <f>IF($A2&lt;&gt;"",VLOOKUP($A2,STK_REF!$A$2:$H$593,3,0),"")</f>
        <v>VNX Fertilizer and Chemicals</v>
      </c>
      <c r="C2">
        <f>IF($A2&lt;&gt;"",INDEX(IDX_COMPO!$C:$C,SUMPRODUCT(--(IDX_COMPO!$A:$A=$A2),--($R2=IDX_COMPO!$F:$F),ROW(IDX_COMPO!$F:$F))),"")</f>
        <v>377647740</v>
      </c>
      <c r="D2">
        <f>IF($A2&lt;&gt;"",INDEX(IDX_COMPO!$D:$D,SUMPRODUCT(--(IDX_COMPO!$A:$A=$A2),--($R2=IDX_COMPO!$F:$F),ROW(IDX_COMPO!$F:$F))),"")</f>
        <v>95.23</v>
      </c>
      <c r="E2">
        <f>IF($A2&lt;&gt;"",INDEX(IDX_COMPO!$E:$E,SUMPRODUCT(--(IDX_COMPO!$A:$A=$A2),--($R2=IDX_COMPO!$F:$F),ROW(IDX_COMPO!$F:$F))),"")</f>
        <v>100</v>
      </c>
      <c r="F2" s="10">
        <f>IF($A2&lt;&gt;"",VLOOKUP($A2,STK_PRICES!$A$2:$L$593,12,0),"")</f>
        <v>39200</v>
      </c>
      <c r="G2" t="str">
        <f>IF($A2&lt;&gt;"",VLOOKUP($A2,STK_REF!$A$2:$H$593,7,0),"")</f>
        <v>VND</v>
      </c>
      <c r="H2">
        <f>IF($A2&lt;&gt;"",VLOOKUP($A2,STK_REF!$A$2:$H$593,8,0),"")</f>
        <v>1</v>
      </c>
      <c r="I2" s="8">
        <f>IF(A2&lt;&gt;"",IF(G2=Q2,1,IF(ISNA(VLOOKUP(G2&amp;Q2,CUR_RATES!$A$2:$F$524,4,0)),"",VLOOKUP(G2&amp;Q2,CUR_RATES!$A$2:$F$524,4,0))),"")</f>
        <v>1</v>
      </c>
      <c r="J2" s="10">
        <f>IF(A2&lt;&gt;"",F2*I2,"")</f>
        <v>39200</v>
      </c>
      <c r="K2" s="67">
        <f>IF(A2&lt;&gt;"",$C2*($D2/100)*($E2/100)*(1/$H2)*J2,"")</f>
        <v>14097650557838.4</v>
      </c>
      <c r="L2" s="75">
        <v>41165</v>
      </c>
      <c r="M2" s="1">
        <v>0</v>
      </c>
      <c r="N2" s="8">
        <f>IF(O2&lt;&gt;"",$C2*($D2/100)*($E2/100)*(1/$H2)*O2,"")</f>
        <v>503487519922.79999</v>
      </c>
      <c r="O2" s="29">
        <f t="shared" ref="O2:O65" si="0">IF(P2&lt;&gt;"",P2*I2,"")</f>
        <v>1400</v>
      </c>
      <c r="P2" s="29">
        <f>IF(A2&lt;&gt;"",IF(ISNA(VLOOKUP(A2,STK_DIV!$A$2:$E$1048576,4,0)),"",IF(L2&lt;&gt;VLOOKUP(A2,STK_DIV!$A$2:$E$1048576,5,0),"",VLOOKUP(A2,STK_DIV!$A$2:$E$1048576,4,0))),"")</f>
        <v>1400</v>
      </c>
      <c r="Q2" t="str">
        <f>IF(A2&lt;&gt;"",MID(R2,LEN(R2)-2,LEN(R2)),"")</f>
        <v>VND</v>
      </c>
      <c r="R2" s="2" t="str">
        <f>IF(INDEX(IDX_COMPO!$F:$F,ROW(IDX_COMPO!F2))=0,"",INDEX(IDX_COMPO!$F:$F,ROW(IDX_COMPO!F2)))</f>
        <v>VNX10PRVND</v>
      </c>
      <c r="S2" s="27">
        <f>IF(A2&lt;&gt;"",K2/SUM($K$2:$K$11),"")</f>
        <v>0.35697605291837514</v>
      </c>
      <c r="Y2">
        <v>0</v>
      </c>
    </row>
    <row r="3" spans="1:28" x14ac:dyDescent="0.2">
      <c r="A3" s="2" t="str">
        <f>IF(INDEX(IDX_COMPO!$A:$A,ROW(IDX_COMPO!A3))=0,"",INDEX(IDX_COMPO!$A:$A,ROW(IDX_COMPO!A3)))</f>
        <v>PVX</v>
      </c>
      <c r="B3" t="str">
        <f>IF($A3&lt;&gt;"",VLOOKUP($A3,STK_REF!$A$2:$H$593,3,0),"")</f>
        <v>VNX Construction</v>
      </c>
      <c r="C3">
        <f>IF($A3&lt;&gt;"",INDEX(IDX_COMPO!$C:$C,SUMPRODUCT(--(IDX_COMPO!$A:$A=$A3),--($R3=IDX_COMPO!$F:$F),ROW(IDX_COMPO!$F:$F))),"")</f>
        <v>209740215</v>
      </c>
      <c r="D3">
        <f>IF($A3&lt;&gt;"",INDEX(IDX_COMPO!$D:$D,SUMPRODUCT(--(IDX_COMPO!$A:$A=$A3),--($R3=IDX_COMPO!$F:$F),ROW(IDX_COMPO!$F:$F))),"")</f>
        <v>100</v>
      </c>
      <c r="E3">
        <f>IF($A3&lt;&gt;"",INDEX(IDX_COMPO!$E:$E,SUMPRODUCT(--(IDX_COMPO!$A:$A=$A3),--($R3=IDX_COMPO!$F:$F),ROW(IDX_COMPO!$F:$F))),"")</f>
        <v>92.123456789000002</v>
      </c>
      <c r="F3" s="10">
        <f>IF($A3&lt;&gt;"",VLOOKUP($A3,STK_PRICES!$A$2:$L$593,12,0),"")</f>
        <v>5200</v>
      </c>
      <c r="G3" t="str">
        <f>IF($A3&lt;&gt;"",VLOOKUP($A3,STK_REF!$A$2:$H$593,7,0),"")</f>
        <v>VND</v>
      </c>
      <c r="H3">
        <f>IF($A3&lt;&gt;"",VLOOKUP($A3,STK_REF!$A$2:$H$593,8,0),"")</f>
        <v>1</v>
      </c>
      <c r="I3" s="8">
        <f>IF(A3&lt;&gt;"",IF(G3=Q3,1,IF(ISNA(VLOOKUP(G3&amp;Q3,CUR_RATES!$A$2:$F$524,4,0)),"",VLOOKUP(G3&amp;Q3,CUR_RATES!$A$2:$F$524,4,0))),"")</f>
        <v>1</v>
      </c>
      <c r="J3" s="10">
        <f t="shared" ref="J3:J66" si="1">IF(A3&lt;&gt;"",F3*I3,"")</f>
        <v>5200</v>
      </c>
      <c r="K3" s="67">
        <f t="shared" ref="K3:K66" si="2">IF(A3&lt;&gt;"",$C3*($D3/100)*($E3/100)*(1/$H3)*J3,"")</f>
        <v>1004743668940.3397</v>
      </c>
      <c r="L3" s="75">
        <v>41165</v>
      </c>
      <c r="M3" s="1">
        <v>0</v>
      </c>
      <c r="N3" s="8" t="str">
        <f t="shared" ref="N3:N66" si="3">IF(O3&lt;&gt;"",$C3*($D3/100)*($E3/100)*(1/$H3)*O3,"")</f>
        <v/>
      </c>
      <c r="O3" s="29" t="str">
        <f t="shared" si="0"/>
        <v/>
      </c>
      <c r="P3" s="29" t="str">
        <f>IF(A3&lt;&gt;"",IF(ISNA(VLOOKUP(A3,STK_DIV!$A$2:$E$1048576,4,0)),"",IF(L3&lt;&gt;VLOOKUP(A3,STK_DIV!$A$2:$E$1048576,5,0),"",VLOOKUP(A3,STK_DIV!$A$2:$E$1048576,4,0))),"")</f>
        <v/>
      </c>
      <c r="Q3" t="str">
        <f t="shared" ref="Q3:Q66" si="4">IF(A3&lt;&gt;"",MID(R3,LEN(R3)-2,LEN(R3)),"")</f>
        <v>VND</v>
      </c>
      <c r="R3" s="2" t="str">
        <f>IF(INDEX(IDX_COMPO!$F:$F,ROW(IDX_COMPO!F3))=0,"",INDEX(IDX_COMPO!$F:$F,ROW(IDX_COMPO!F3)))</f>
        <v>VNX10PRVND</v>
      </c>
      <c r="S3" s="27">
        <f t="shared" ref="S3:S66" si="5">IF(A3&lt;&gt;"",K3/SUM($K$2:$K$11),"")</f>
        <v>2.5441787456820329E-2</v>
      </c>
      <c r="Y3">
        <v>0</v>
      </c>
    </row>
    <row r="4" spans="1:28" x14ac:dyDescent="0.2">
      <c r="A4" s="2" t="str">
        <f>IF(INDEX(IDX_COMPO!$A:$A,ROW(IDX_COMPO!A4))=0,"",INDEX(IDX_COMPO!$A:$A,ROW(IDX_COMPO!A4)))</f>
        <v>PVD</v>
      </c>
      <c r="B4" t="str">
        <f>IF($A4&lt;&gt;"",VLOOKUP($A4,STK_REF!$A$2:$H$593,3,0),"")</f>
        <v>VNX Drilling &amp; Well Services</v>
      </c>
      <c r="C4">
        <f>IF($A4&lt;&gt;"",INDEX(IDX_COMPO!$C:$C,SUMPRODUCT(--(IDX_COMPO!$A:$A=$A4),--($R4=IDX_COMPO!$F:$F),ROW(IDX_COMPO!$F:$F))),"")</f>
        <v>600000000</v>
      </c>
      <c r="D4">
        <f>IF($A4&lt;&gt;"",INDEX(IDX_COMPO!$D:$D,SUMPRODUCT(--(IDX_COMPO!$A:$A=$A4),--($R4=IDX_COMPO!$F:$F),ROW(IDX_COMPO!$F:$F))),"")</f>
        <v>20</v>
      </c>
      <c r="E4">
        <f>IF($A4&lt;&gt;"",INDEX(IDX_COMPO!$E:$E,SUMPRODUCT(--(IDX_COMPO!$A:$A=$A4),--($R4=IDX_COMPO!$F:$F),ROW(IDX_COMPO!$F:$F))),"")</f>
        <v>100</v>
      </c>
      <c r="F4" s="10">
        <f>IF($A4&lt;&gt;"",VLOOKUP($A4,STK_PRICES!$A$2:$L$593,12,0),"")</f>
        <v>35000</v>
      </c>
      <c r="G4" t="str">
        <f>IF($A4&lt;&gt;"",VLOOKUP($A4,STK_REF!$A$2:$H$593,7,0),"")</f>
        <v>VND</v>
      </c>
      <c r="H4">
        <f>IF($A4&lt;&gt;"",VLOOKUP($A4,STK_REF!$A$2:$H$593,8,0),"")</f>
        <v>1</v>
      </c>
      <c r="I4" s="8">
        <f>IF(A4&lt;&gt;"",IF(G4=Q4,1,IF(ISNA(VLOOKUP(G4&amp;Q4,CUR_RATES!$A$2:$F$524,4,0)),"",VLOOKUP(G4&amp;Q4,CUR_RATES!$A$2:$F$524,4,0))),"")</f>
        <v>1</v>
      </c>
      <c r="J4" s="10">
        <f t="shared" si="1"/>
        <v>35000</v>
      </c>
      <c r="K4" s="67">
        <f t="shared" si="2"/>
        <v>4200000000000</v>
      </c>
      <c r="L4" s="75">
        <v>41165</v>
      </c>
      <c r="M4" s="1">
        <v>0</v>
      </c>
      <c r="N4" s="8">
        <f t="shared" si="3"/>
        <v>264000000000</v>
      </c>
      <c r="O4" s="29">
        <f t="shared" si="0"/>
        <v>2200</v>
      </c>
      <c r="P4" s="29">
        <f>IF(A4&lt;&gt;"",IF(ISNA(VLOOKUP(A4,STK_DIV!$A$2:$E$1048576,4,0)),"",IF(L4&lt;&gt;VLOOKUP(A4,STK_DIV!$A$2:$E$1048576,5,0),"",VLOOKUP(A4,STK_DIV!$A$2:$E$1048576,4,0))),"")</f>
        <v>2200</v>
      </c>
      <c r="Q4" t="str">
        <f t="shared" si="4"/>
        <v>VND</v>
      </c>
      <c r="R4" s="2" t="str">
        <f>IF(INDEX(IDX_COMPO!$F:$F,ROW(IDX_COMPO!F4))=0,"",INDEX(IDX_COMPO!$F:$F,ROW(IDX_COMPO!F4)))</f>
        <v>VNX10PRVND</v>
      </c>
      <c r="S4" s="27">
        <f t="shared" si="5"/>
        <v>0.1063510133199857</v>
      </c>
      <c r="Y4">
        <v>0</v>
      </c>
    </row>
    <row r="5" spans="1:28" ht="14.25" x14ac:dyDescent="0.2">
      <c r="A5" s="2" t="str">
        <f>IF(INDEX(IDX_COMPO!$A:$A,ROW(IDX_COMPO!A5))=0,"",INDEX(IDX_COMPO!$A:$A,ROW(IDX_COMPO!A5)))</f>
        <v>PVF</v>
      </c>
      <c r="B5" t="str">
        <f>IF($A5&lt;&gt;"",VLOOKUP($A5,STK_REF!$A$2:$H$593,3,0),"")</f>
        <v>VNX Finance</v>
      </c>
      <c r="C5">
        <f>IF($A5&lt;&gt;"",INDEX(IDX_COMPO!$C:$C,SUMPRODUCT(--(IDX_COMPO!$A:$A=$A5),--($R5=IDX_COMPO!$F:$F),ROW(IDX_COMPO!$F:$F))),"")</f>
        <v>297802094</v>
      </c>
      <c r="D5">
        <f>IF($A5&lt;&gt;"",INDEX(IDX_COMPO!$D:$D,SUMPRODUCT(--(IDX_COMPO!$A:$A=$A5),--($R5=IDX_COMPO!$F:$F),ROW(IDX_COMPO!$F:$F))),"")</f>
        <v>15</v>
      </c>
      <c r="E5">
        <f>IF($A5&lt;&gt;"",INDEX(IDX_COMPO!$E:$E,SUMPRODUCT(--(IDX_COMPO!$A:$A=$A5),--($R5=IDX_COMPO!$F:$F),ROW(IDX_COMPO!$F:$F))),"")</f>
        <v>84.123000000000005</v>
      </c>
      <c r="F5" s="10">
        <f>IF($A5&lt;&gt;"",VLOOKUP($A5,STK_PRICES!$A$2:$L$593,12,0),"")</f>
        <v>8300</v>
      </c>
      <c r="G5" t="str">
        <f>IF($A5&lt;&gt;"",VLOOKUP($A5,STK_REF!$A$2:$H$593,7,0),"")</f>
        <v>VND</v>
      </c>
      <c r="H5">
        <f>IF($A5&lt;&gt;"",VLOOKUP($A5,STK_REF!$A$2:$H$593,8,0),"")</f>
        <v>1</v>
      </c>
      <c r="I5" s="8">
        <f>IF(A5&lt;&gt;"",IF(G5=Q5,1,IF(ISNA(VLOOKUP(G5&amp;Q5,CUR_RATES!$A$2:$F$524,4,0)),"",VLOOKUP(G5&amp;Q5,CUR_RATES!$A$2:$F$524,4,0))),"")</f>
        <v>1</v>
      </c>
      <c r="J5" s="10">
        <f t="shared" si="1"/>
        <v>8300</v>
      </c>
      <c r="K5" s="67">
        <f t="shared" si="2"/>
        <v>311897469141.84692</v>
      </c>
      <c r="L5" s="75">
        <v>41165</v>
      </c>
      <c r="M5" s="1">
        <v>0</v>
      </c>
      <c r="N5" s="8">
        <f t="shared" si="3"/>
        <v>18789004165.171501</v>
      </c>
      <c r="O5" s="29">
        <f t="shared" si="0"/>
        <v>500</v>
      </c>
      <c r="P5" s="29">
        <f>IF(A5&lt;&gt;"",IF(ISNA(VLOOKUP(A5,STK_DIV!$A$2:$E$1048576,4,0)),"",IF(L5&lt;&gt;VLOOKUP(A5,STK_DIV!$A$2:$E$1048576,5,0),"",VLOOKUP(A5,STK_DIV!$A$2:$E$1048576,4,0))),"")</f>
        <v>500</v>
      </c>
      <c r="Q5" t="str">
        <f t="shared" si="4"/>
        <v>VND</v>
      </c>
      <c r="R5" s="2" t="str">
        <f>IF(INDEX(IDX_COMPO!$F:$F,ROW(IDX_COMPO!F5))=0,"",INDEX(IDX_COMPO!$F:$F,ROW(IDX_COMPO!F5)))</f>
        <v>VNX10PRVND</v>
      </c>
      <c r="S5" s="27">
        <f t="shared" si="5"/>
        <v>7.8977647369462833E-3</v>
      </c>
      <c r="Y5">
        <v>0</v>
      </c>
      <c r="Z5" s="83"/>
    </row>
    <row r="6" spans="1:28" x14ac:dyDescent="0.2">
      <c r="A6" s="2" t="str">
        <f>IF(INDEX(IDX_COMPO!$A:$A,ROW(IDX_COMPO!A6))=0,"",INDEX(IDX_COMPO!$A:$A,ROW(IDX_COMPO!A6)))</f>
        <v>PVS</v>
      </c>
      <c r="B6" t="str">
        <f>IF($A6&lt;&gt;"",VLOOKUP($A6,STK_REF!$A$2:$H$593,3,0),"")</f>
        <v>VNX Technical Services</v>
      </c>
      <c r="C6">
        <f>IF($A6&lt;&gt;"",INDEX(IDX_COMPO!$C:$C,SUMPRODUCT(--(IDX_COMPO!$A:$A=$A6),--($R6=IDX_COMPO!$F:$F),ROW(IDX_COMPO!$F:$F))),"")</f>
        <v>250000000</v>
      </c>
      <c r="D6">
        <f>IF($A6&lt;&gt;"",INDEX(IDX_COMPO!$D:$D,SUMPRODUCT(--(IDX_COMPO!$A:$A=$A6),--($R6=IDX_COMPO!$F:$F),ROW(IDX_COMPO!$F:$F))),"")</f>
        <v>100</v>
      </c>
      <c r="E6">
        <f>IF($A6&lt;&gt;"",INDEX(IDX_COMPO!$E:$E,SUMPRODUCT(--(IDX_COMPO!$A:$A=$A6),--($R6=IDX_COMPO!$F:$F),ROW(IDX_COMPO!$F:$F))),"")</f>
        <v>100</v>
      </c>
      <c r="F6" s="10">
        <f>IF($A6&lt;&gt;"",VLOOKUP($A6,STK_PRICES!$A$2:$L$593,12,0),"")</f>
        <v>15200</v>
      </c>
      <c r="G6" t="str">
        <f>IF($A6&lt;&gt;"",VLOOKUP($A6,STK_REF!$A$2:$H$593,7,0),"")</f>
        <v>VND</v>
      </c>
      <c r="H6">
        <f>IF($A6&lt;&gt;"",VLOOKUP($A6,STK_REF!$A$2:$H$593,8,0),"")</f>
        <v>1</v>
      </c>
      <c r="I6" s="8">
        <f>IF(A6&lt;&gt;"",IF(G6=Q6,1,IF(ISNA(VLOOKUP(G6&amp;Q6,CUR_RATES!$A$2:$F$524,4,0)),"",VLOOKUP(G6&amp;Q6,CUR_RATES!$A$2:$F$524,4,0))),"")</f>
        <v>1</v>
      </c>
      <c r="J6" s="10">
        <f t="shared" si="1"/>
        <v>15200</v>
      </c>
      <c r="K6" s="67">
        <f t="shared" si="2"/>
        <v>3800000000000</v>
      </c>
      <c r="L6" s="75">
        <v>41165</v>
      </c>
      <c r="M6" s="1">
        <v>0</v>
      </c>
      <c r="N6" s="8" t="str">
        <f t="shared" si="3"/>
        <v/>
      </c>
      <c r="O6" s="29" t="str">
        <f t="shared" si="0"/>
        <v/>
      </c>
      <c r="P6" s="29" t="str">
        <f>IF(A6&lt;&gt;"",IF(ISNA(VLOOKUP(A6,STK_DIV!$A$2:$E$1048576,4,0)),"",IF(L6&lt;&gt;VLOOKUP(A6,STK_DIV!$A$2:$E$1048576,5,0),"",VLOOKUP(A6,STK_DIV!$A$2:$E$1048576,4,0))),"")</f>
        <v/>
      </c>
      <c r="Q6" t="str">
        <f t="shared" si="4"/>
        <v>VND</v>
      </c>
      <c r="R6" s="2" t="str">
        <f>IF(INDEX(IDX_COMPO!$F:$F,ROW(IDX_COMPO!F6))=0,"",INDEX(IDX_COMPO!$F:$F,ROW(IDX_COMPO!F6)))</f>
        <v>VNX10PRVND</v>
      </c>
      <c r="S6" s="27">
        <f t="shared" si="5"/>
        <v>9.622234538474897E-2</v>
      </c>
      <c r="Y6">
        <v>0</v>
      </c>
    </row>
    <row r="7" spans="1:28" x14ac:dyDescent="0.2">
      <c r="A7" s="2" t="str">
        <f>IF(INDEX(IDX_COMPO!$A:$A,ROW(IDX_COMPO!A7))=0,"",INDEX(IDX_COMPO!$A:$A,ROW(IDX_COMPO!A7)))</f>
        <v>PGS</v>
      </c>
      <c r="B7" t="str">
        <f>IF($A7&lt;&gt;"",VLOOKUP($A7,STK_REF!$A$2:$H$593,3,0),"")</f>
        <v>VNX Southern Gas</v>
      </c>
      <c r="C7">
        <f>IF($A7&lt;&gt;"",INDEX(IDX_COMPO!$C:$C,SUMPRODUCT(--(IDX_COMPO!$A:$A=$A7),--($R7=IDX_COMPO!$F:$F),ROW(IDX_COMPO!$F:$F))),"")</f>
        <v>157531264</v>
      </c>
      <c r="D7">
        <f>IF($A7&lt;&gt;"",INDEX(IDX_COMPO!$D:$D,SUMPRODUCT(--(IDX_COMPO!$A:$A=$A7),--($R7=IDX_COMPO!$F:$F),ROW(IDX_COMPO!$F:$F))),"")</f>
        <v>100</v>
      </c>
      <c r="E7">
        <f>IF($A7&lt;&gt;"",INDEX(IDX_COMPO!$E:$E,SUMPRODUCT(--(IDX_COMPO!$A:$A=$A7),--($R7=IDX_COMPO!$F:$F),ROW(IDX_COMPO!$F:$F))),"")</f>
        <v>100</v>
      </c>
      <c r="F7" s="10">
        <f>IF($A7&lt;&gt;"",VLOOKUP($A7,STK_PRICES!$A$2:$L$593,12,0),"")</f>
        <v>17100</v>
      </c>
      <c r="G7" t="str">
        <f>IF($A7&lt;&gt;"",VLOOKUP($A7,STK_REF!$A$2:$H$593,7,0),"")</f>
        <v>VND</v>
      </c>
      <c r="H7">
        <f>IF($A7&lt;&gt;"",VLOOKUP($A7,STK_REF!$A$2:$H$593,8,0),"")</f>
        <v>1</v>
      </c>
      <c r="I7" s="8">
        <f>IF(A7&lt;&gt;"",IF(G7=Q7,1,IF(ISNA(VLOOKUP(G7&amp;Q7,CUR_RATES!$A$2:$F$524,4,0)),"",VLOOKUP(G7&amp;Q7,CUR_RATES!$A$2:$F$524,4,0))),"")</f>
        <v>1</v>
      </c>
      <c r="J7" s="10">
        <f t="shared" si="1"/>
        <v>17100</v>
      </c>
      <c r="K7" s="67">
        <f t="shared" si="2"/>
        <v>2693784614400</v>
      </c>
      <c r="L7" s="75">
        <v>41165</v>
      </c>
      <c r="M7" s="1">
        <v>0</v>
      </c>
      <c r="N7" s="8">
        <f t="shared" si="3"/>
        <v>189037516800</v>
      </c>
      <c r="O7" s="29">
        <f t="shared" si="0"/>
        <v>1200</v>
      </c>
      <c r="P7" s="29">
        <f>IF(A7&lt;&gt;"",IF(ISNA(VLOOKUP(A7,STK_DIV!$A$2:$E$1048576,4,0)),"",IF(L7&lt;&gt;VLOOKUP(A7,STK_DIV!$A$2:$E$1048576,5,0),"",VLOOKUP(A7,STK_DIV!$A$2:$E$1048576,4,0))),"")</f>
        <v>1200</v>
      </c>
      <c r="Q7" t="str">
        <f t="shared" si="4"/>
        <v>VND</v>
      </c>
      <c r="R7" s="2" t="str">
        <f>IF(INDEX(IDX_COMPO!$F:$F,ROW(IDX_COMPO!F7))=0,"",INDEX(IDX_COMPO!$F:$F,ROW(IDX_COMPO!F7)))</f>
        <v>VNX10PRVND</v>
      </c>
      <c r="S7" s="27">
        <f t="shared" si="5"/>
        <v>6.8211124620768324E-2</v>
      </c>
      <c r="Y7">
        <v>0</v>
      </c>
    </row>
    <row r="8" spans="1:28" x14ac:dyDescent="0.2">
      <c r="A8" s="2" t="str">
        <f>IF(INDEX(IDX_COMPO!$A:$A,ROW(IDX_COMPO!A8))=0,"",INDEX(IDX_COMPO!$A:$A,ROW(IDX_COMPO!A8)))</f>
        <v>PVI</v>
      </c>
      <c r="B8" t="str">
        <f>IF($A8&lt;&gt;"",VLOOKUP($A8,STK_REF!$A$2:$H$593,3,0),"")</f>
        <v>VNX Insurance</v>
      </c>
      <c r="C8">
        <f>IF($A8&lt;&gt;"",INDEX(IDX_COMPO!$C:$C,SUMPRODUCT(--(IDX_COMPO!$A:$A=$A8),--($R8=IDX_COMPO!$F:$F),ROW(IDX_COMPO!$F:$F))),"")</f>
        <v>42900000</v>
      </c>
      <c r="D8">
        <f>IF($A8&lt;&gt;"",INDEX(IDX_COMPO!$D:$D,SUMPRODUCT(--(IDX_COMPO!$A:$A=$A8),--($R8=IDX_COMPO!$F:$F),ROW(IDX_COMPO!$F:$F))),"")</f>
        <v>100</v>
      </c>
      <c r="E8">
        <f>IF($A8&lt;&gt;"",INDEX(IDX_COMPO!$E:$E,SUMPRODUCT(--(IDX_COMPO!$A:$A=$A8),--($R8=IDX_COMPO!$F:$F),ROW(IDX_COMPO!$F:$F))),"")</f>
        <v>100</v>
      </c>
      <c r="F8" s="10">
        <f>IF($A8&lt;&gt;"",VLOOKUP($A8,STK_PRICES!$A$2:$L$593,12,0),"")</f>
        <v>15900</v>
      </c>
      <c r="G8" t="str">
        <f>IF($A8&lt;&gt;"",VLOOKUP($A8,STK_REF!$A$2:$H$593,7,0),"")</f>
        <v>VND</v>
      </c>
      <c r="H8">
        <f>IF($A8&lt;&gt;"",VLOOKUP($A8,STK_REF!$A$2:$H$593,8,0),"")</f>
        <v>1</v>
      </c>
      <c r="I8" s="8">
        <f>IF(A8&lt;&gt;"",IF(G8=Q8,1,IF(ISNA(VLOOKUP(G8&amp;Q8,CUR_RATES!$A$2:$F$524,4,0)),"",VLOOKUP(G8&amp;Q8,CUR_RATES!$A$2:$F$524,4,0))),"")</f>
        <v>1</v>
      </c>
      <c r="J8" s="10">
        <f t="shared" si="1"/>
        <v>15900</v>
      </c>
      <c r="K8" s="67">
        <f t="shared" si="2"/>
        <v>682110000000</v>
      </c>
      <c r="L8" s="75">
        <v>41165</v>
      </c>
      <c r="M8" s="1">
        <v>0</v>
      </c>
      <c r="N8" s="8" t="str">
        <f t="shared" si="3"/>
        <v/>
      </c>
      <c r="O8" s="29" t="str">
        <f t="shared" si="0"/>
        <v/>
      </c>
      <c r="P8" s="29" t="str">
        <f>IF(A8&lt;&gt;"",IF(ISNA(VLOOKUP(A8,STK_DIV!$A$2:$E$1048576,4,0)),"",IF(L8&lt;&gt;VLOOKUP(A8,STK_DIV!$A$2:$E$1048576,5,0),"",VLOOKUP(A8,STK_DIV!$A$2:$E$1048576,4,0))),"")</f>
        <v/>
      </c>
      <c r="Q8" t="str">
        <f t="shared" si="4"/>
        <v>VND</v>
      </c>
      <c r="R8" s="2" t="str">
        <f>IF(INDEX(IDX_COMPO!$F:$F,ROW(IDX_COMPO!F8))=0,"",INDEX(IDX_COMPO!$F:$F,ROW(IDX_COMPO!F8)))</f>
        <v>VNX10PRVND</v>
      </c>
      <c r="S8" s="27">
        <f t="shared" si="5"/>
        <v>1.7272164213260822E-2</v>
      </c>
      <c r="Y8">
        <v>0</v>
      </c>
    </row>
    <row r="9" spans="1:28" x14ac:dyDescent="0.2">
      <c r="A9" s="2" t="str">
        <f>IF(INDEX(IDX_COMPO!$A:$A,ROW(IDX_COMPO!A9))=0,"",INDEX(IDX_COMPO!$A:$A,ROW(IDX_COMPO!A9)))</f>
        <v>PVC</v>
      </c>
      <c r="B9" t="str">
        <f>IF($A9&lt;&gt;"",VLOOKUP($A9,STK_REF!$A$2:$H$593,3,0),"")</f>
        <v>Drilling Mud Corp</v>
      </c>
      <c r="C9">
        <f>IF($A9&lt;&gt;"",INDEX(IDX_COMPO!$C:$C,SUMPRODUCT(--(IDX_COMPO!$A:$A=$A9),--($R9=IDX_COMPO!$F:$F),ROW(IDX_COMPO!$F:$F))),"")</f>
        <v>256000000</v>
      </c>
      <c r="D9">
        <f>IF($A9&lt;&gt;"",INDEX(IDX_COMPO!$D:$D,SUMPRODUCT(--(IDX_COMPO!$A:$A=$A9),--($R9=IDX_COMPO!$F:$F),ROW(IDX_COMPO!$F:$F))),"")</f>
        <v>100</v>
      </c>
      <c r="E9">
        <f>IF($A9&lt;&gt;"",INDEX(IDX_COMPO!$E:$E,SUMPRODUCT(--(IDX_COMPO!$A:$A=$A9),--($R9=IDX_COMPO!$F:$F),ROW(IDX_COMPO!$F:$F))),"")</f>
        <v>100</v>
      </c>
      <c r="F9" s="10">
        <f>IF($A9&lt;&gt;"",VLOOKUP($A9,STK_PRICES!$A$2:$L$593,12,0),"")</f>
        <v>12700</v>
      </c>
      <c r="G9" t="str">
        <f>IF($A9&lt;&gt;"",VLOOKUP($A9,STK_REF!$A$2:$H$593,7,0),"")</f>
        <v>VND</v>
      </c>
      <c r="H9">
        <f>IF($A9&lt;&gt;"",VLOOKUP($A9,STK_REF!$A$2:$H$593,8,0),"")</f>
        <v>1</v>
      </c>
      <c r="I9" s="8">
        <f>IF(A9&lt;&gt;"",IF(G9=Q9,1,IF(ISNA(VLOOKUP(G9&amp;Q9,CUR_RATES!$A$2:$F$524,4,0)),"",VLOOKUP(G9&amp;Q9,CUR_RATES!$A$2:$F$524,4,0))),"")</f>
        <v>1</v>
      </c>
      <c r="J9" s="10">
        <f t="shared" si="1"/>
        <v>12700</v>
      </c>
      <c r="K9" s="67">
        <f t="shared" si="2"/>
        <v>3251200000000</v>
      </c>
      <c r="L9" s="75">
        <v>41165</v>
      </c>
      <c r="M9" s="1">
        <v>0</v>
      </c>
      <c r="N9" s="8" t="str">
        <f t="shared" si="3"/>
        <v/>
      </c>
      <c r="O9" s="29" t="str">
        <f t="shared" si="0"/>
        <v/>
      </c>
      <c r="P9" s="29" t="str">
        <f>IF(A9&lt;&gt;"",IF(ISNA(VLOOKUP(A9,STK_DIV!$A$2:$E$1048576,4,0)),"",IF(L9&lt;&gt;VLOOKUP(A9,STK_DIV!$A$2:$E$1048576,5,0),"",VLOOKUP(A9,STK_DIV!$A$2:$E$1048576,4,0))),"")</f>
        <v/>
      </c>
      <c r="Q9" t="str">
        <f t="shared" si="4"/>
        <v>VND</v>
      </c>
      <c r="R9" s="2" t="str">
        <f>IF(INDEX(IDX_COMPO!$F:$F,ROW(IDX_COMPO!F9))=0,"",INDEX(IDX_COMPO!$F:$F,ROW(IDX_COMPO!F9)))</f>
        <v>VNX10PRVND</v>
      </c>
      <c r="S9" s="27">
        <f t="shared" si="5"/>
        <v>8.2325812977604163E-2</v>
      </c>
      <c r="Y9">
        <v>0</v>
      </c>
    </row>
    <row r="10" spans="1:28" x14ac:dyDescent="0.2">
      <c r="A10" s="2" t="str">
        <f>IF(INDEX(IDX_COMPO!$A:$A,ROW(IDX_COMPO!A10))=0,"",INDEX(IDX_COMPO!$A:$A,ROW(IDX_COMPO!A10)))</f>
        <v>PGD</v>
      </c>
      <c r="B10" t="str">
        <f>IF($A10&lt;&gt;"",VLOOKUP($A10,STK_REF!$A$2:$H$593,3,0),"")</f>
        <v>VNX Low Pressure Gas Distribution</v>
      </c>
      <c r="C10">
        <f>IF($A10&lt;&gt;"",INDEX(IDX_COMPO!$C:$C,SUMPRODUCT(--(IDX_COMPO!$A:$A=$A10),--($R10=IDX_COMPO!$F:$F),ROW(IDX_COMPO!$F:$F))),"")</f>
        <v>232600000</v>
      </c>
      <c r="D10">
        <f>IF($A10&lt;&gt;"",INDEX(IDX_COMPO!$D:$D,SUMPRODUCT(--(IDX_COMPO!$A:$A=$A10),--($R10=IDX_COMPO!$F:$F),ROW(IDX_COMPO!$F:$F))),"")</f>
        <v>100</v>
      </c>
      <c r="E10">
        <f>IF($A10&lt;&gt;"",INDEX(IDX_COMPO!$E:$E,SUMPRODUCT(--(IDX_COMPO!$A:$A=$A10),--($R10=IDX_COMPO!$F:$F),ROW(IDX_COMPO!$F:$F))),"")</f>
        <v>100</v>
      </c>
      <c r="F10" s="10">
        <f>IF($A10&lt;&gt;"",VLOOKUP($A10,STK_PRICES!$A$2:$L$593,12,0),"")</f>
        <v>38800</v>
      </c>
      <c r="G10" t="str">
        <f>IF($A10&lt;&gt;"",VLOOKUP($A10,STK_REF!$A$2:$H$593,7,0),"")</f>
        <v>VND</v>
      </c>
      <c r="H10">
        <f>IF($A10&lt;&gt;"",VLOOKUP($A10,STK_REF!$A$2:$H$593,8,0),"")</f>
        <v>1</v>
      </c>
      <c r="I10" s="8">
        <f>IF(A10&lt;&gt;"",IF(G10=Q10,1,IF(ISNA(VLOOKUP(G10&amp;Q10,CUR_RATES!$A$2:$F$524,4,0)),"",VLOOKUP(G10&amp;Q10,CUR_RATES!$A$2:$F$524,4,0))),"")</f>
        <v>1</v>
      </c>
      <c r="J10" s="10">
        <f t="shared" si="1"/>
        <v>38800</v>
      </c>
      <c r="K10" s="67">
        <f t="shared" si="2"/>
        <v>9024880000000</v>
      </c>
      <c r="L10" s="75">
        <v>41165</v>
      </c>
      <c r="M10" s="1">
        <v>0</v>
      </c>
      <c r="N10" s="8" t="str">
        <f t="shared" si="3"/>
        <v/>
      </c>
      <c r="O10" s="29" t="str">
        <f t="shared" si="0"/>
        <v/>
      </c>
      <c r="P10" s="29" t="str">
        <f>IF(A10&lt;&gt;"",IF(ISNA(VLOOKUP(A10,STK_DIV!$A$2:$E$1048576,4,0)),"",IF(L10&lt;&gt;VLOOKUP(A10,STK_DIV!$A$2:$E$1048576,5,0),"",VLOOKUP(A10,STK_DIV!$A$2:$E$1048576,4,0))),"")</f>
        <v/>
      </c>
      <c r="Q10" t="str">
        <f t="shared" si="4"/>
        <v>VND</v>
      </c>
      <c r="R10" s="2" t="str">
        <f>IF(INDEX(IDX_COMPO!$F:$F,ROW(IDX_COMPO!F10))=0,"",INDEX(IDX_COMPO!$F:$F,ROW(IDX_COMPO!F10)))</f>
        <v>VNX10PRVND</v>
      </c>
      <c r="S10" s="27">
        <f t="shared" si="5"/>
        <v>0.22852503168839822</v>
      </c>
      <c r="Y10">
        <v>0</v>
      </c>
    </row>
    <row r="11" spans="1:28" x14ac:dyDescent="0.2">
      <c r="A11" s="2" t="str">
        <f>IF(INDEX(IDX_COMPO!$A:$A,ROW(IDX_COMPO!A11))=0,"",INDEX(IDX_COMPO!$A:$A,ROW(IDX_COMPO!A11)))</f>
        <v>PET</v>
      </c>
      <c r="B11" t="str">
        <f>IF($A11&lt;&gt;"",VLOOKUP($A11,STK_REF!$A$2:$H$593,3,0),"")</f>
        <v>VNX General Services</v>
      </c>
      <c r="C11">
        <f>IF($A11&lt;&gt;"",INDEX(IDX_COMPO!$C:$C,SUMPRODUCT(--(IDX_COMPO!$A:$A=$A11),--($R11=IDX_COMPO!$F:$F),ROW(IDX_COMPO!$F:$F))),"")</f>
        <v>38000000</v>
      </c>
      <c r="D11">
        <f>IF($A11&lt;&gt;"",INDEX(IDX_COMPO!$D:$D,SUMPRODUCT(--(IDX_COMPO!$A:$A=$A11),--($R11=IDX_COMPO!$F:$F),ROW(IDX_COMPO!$F:$F))),"")</f>
        <v>100</v>
      </c>
      <c r="E11">
        <f>IF($A11&lt;&gt;"",INDEX(IDX_COMPO!$E:$E,SUMPRODUCT(--(IDX_COMPO!$A:$A=$A11),--($R11=IDX_COMPO!$F:$F),ROW(IDX_COMPO!$F:$F))),"")</f>
        <v>100</v>
      </c>
      <c r="F11" s="10">
        <f>IF($A11&lt;&gt;"",VLOOKUP($A11,STK_PRICES!$A$2:$L$593,12,0),"")</f>
        <v>11200</v>
      </c>
      <c r="G11" t="str">
        <f>IF($A11&lt;&gt;"",VLOOKUP($A11,STK_REF!$A$2:$H$593,7,0),"")</f>
        <v>VND</v>
      </c>
      <c r="H11">
        <f>IF($A11&lt;&gt;"",VLOOKUP($A11,STK_REF!$A$2:$H$593,8,0),"")</f>
        <v>1</v>
      </c>
      <c r="I11" s="8">
        <f>IF(A11&lt;&gt;"",IF(G11=Q11,1,IF(ISNA(VLOOKUP(G11&amp;Q11,CUR_RATES!$A$2:$F$524,4,0)),"",VLOOKUP(G11&amp;Q11,CUR_RATES!$A$2:$F$524,4,0))),"")</f>
        <v>1</v>
      </c>
      <c r="J11" s="10">
        <f t="shared" si="1"/>
        <v>11200</v>
      </c>
      <c r="K11" s="67">
        <f t="shared" si="2"/>
        <v>425600000000</v>
      </c>
      <c r="L11" s="75">
        <v>41165</v>
      </c>
      <c r="M11" s="1">
        <v>0</v>
      </c>
      <c r="N11" s="8">
        <f t="shared" si="3"/>
        <v>57000000000</v>
      </c>
      <c r="O11" s="29">
        <f t="shared" si="0"/>
        <v>1500</v>
      </c>
      <c r="P11" s="29">
        <f>IF(A11&lt;&gt;"",IF(ISNA(VLOOKUP(A11,STK_DIV!$A$2:$E$1048576,4,0)),"",IF(L11&lt;&gt;VLOOKUP(A11,STK_DIV!$A$2:$E$1048576,5,0),"",VLOOKUP(A11,STK_DIV!$A$2:$E$1048576,4,0))),"")</f>
        <v>1500</v>
      </c>
      <c r="Q11" t="str">
        <f t="shared" si="4"/>
        <v>VND</v>
      </c>
      <c r="R11" s="2" t="str">
        <f>IF(INDEX(IDX_COMPO!$F:$F,ROW(IDX_COMPO!F11))=0,"",INDEX(IDX_COMPO!$F:$F,ROW(IDX_COMPO!F11)))</f>
        <v>VNX10PRVND</v>
      </c>
      <c r="S11" s="27">
        <f t="shared" si="5"/>
        <v>1.0776902683091885E-2</v>
      </c>
      <c r="Y11">
        <v>0</v>
      </c>
    </row>
    <row r="12" spans="1:28" x14ac:dyDescent="0.2">
      <c r="A12" s="2" t="str">
        <f>IF(INDEX(IDX_COMPO!$A:$A,ROW(IDX_COMPO!A12))=0,"",INDEX(IDX_COMPO!$A:$A,ROW(IDX_COMPO!A12)))</f>
        <v>PVD</v>
      </c>
      <c r="B12" t="str">
        <f>IF($A12&lt;&gt;"",VLOOKUP($A12,STK_REF!$A$2:$H$593,3,0),"")</f>
        <v>VNX Drilling &amp; Well Services</v>
      </c>
      <c r="C12">
        <f>IF($A12&lt;&gt;"",INDEX(IDX_COMPO!$C:$C,SUMPRODUCT(--(IDX_COMPO!$A:$A=$A12),--($R12=IDX_COMPO!$F:$F),ROW(IDX_COMPO!$F:$F))),"")</f>
        <v>377647740</v>
      </c>
      <c r="D12">
        <f>IF($A12&lt;&gt;"",INDEX(IDX_COMPO!$D:$D,SUMPRODUCT(--(IDX_COMPO!$A:$A=$A12),--($R12=IDX_COMPO!$F:$F),ROW(IDX_COMPO!$F:$F))),"")</f>
        <v>100</v>
      </c>
      <c r="E12">
        <f>IF($A12&lt;&gt;"",INDEX(IDX_COMPO!$E:$E,SUMPRODUCT(--(IDX_COMPO!$A:$A=$A12),--($R12=IDX_COMPO!$F:$F),ROW(IDX_COMPO!$F:$F))),"")</f>
        <v>100</v>
      </c>
      <c r="F12" s="10">
        <f>IF($A12&lt;&gt;"",VLOOKUP($A12,STK_PRICES!$A$2:$L$593,12,0),"")</f>
        <v>35000</v>
      </c>
      <c r="G12" t="str">
        <f>IF($A12&lt;&gt;"",VLOOKUP($A12,STK_REF!$A$2:$H$593,7,0),"")</f>
        <v>VND</v>
      </c>
      <c r="H12">
        <f>IF($A12&lt;&gt;"",VLOOKUP($A12,STK_REF!$A$2:$H$593,8,0),"")</f>
        <v>1</v>
      </c>
      <c r="I12" s="8">
        <f>IF(A12&lt;&gt;"",IF(G12=Q12,1,IF(ISNA(VLOOKUP(G12&amp;Q12,CUR_RATES!$A$2:$F$524,4,0)),"",VLOOKUP(G12&amp;Q12,CUR_RATES!$A$2:$F$524,4,0))),"")</f>
        <v>1</v>
      </c>
      <c r="J12" s="10">
        <f t="shared" si="1"/>
        <v>35000</v>
      </c>
      <c r="K12" s="67">
        <f t="shared" si="2"/>
        <v>13217670900000</v>
      </c>
      <c r="L12" s="75">
        <v>41165</v>
      </c>
      <c r="M12" s="1">
        <v>0</v>
      </c>
      <c r="N12" s="8">
        <f t="shared" si="3"/>
        <v>830825028000</v>
      </c>
      <c r="O12" s="29">
        <f t="shared" si="0"/>
        <v>2200</v>
      </c>
      <c r="P12" s="29">
        <f>IF(A12&lt;&gt;"",IF(ISNA(VLOOKUP(A12,STK_DIV!$A$2:$E$1048576,4,0)),"",IF(L12&lt;&gt;VLOOKUP(A12,STK_DIV!$A$2:$E$1048576,5,0),"",VLOOKUP(A12,STK_DIV!$A$2:$E$1048576,4,0))),"")</f>
        <v>2200</v>
      </c>
      <c r="Q12" t="str">
        <f t="shared" si="4"/>
        <v>VND</v>
      </c>
      <c r="R12" s="2" t="str">
        <f>IF(INDEX(IDX_COMPO!$F:$F,ROW(IDX_COMPO!F12))=0,"",INDEX(IDX_COMPO!$F:$F,ROW(IDX_COMPO!F12)))</f>
        <v>VNXASPRVND</v>
      </c>
      <c r="S12" s="27">
        <f t="shared" si="5"/>
        <v>0.33469349855835412</v>
      </c>
      <c r="Y12">
        <v>0</v>
      </c>
    </row>
    <row r="13" spans="1:28" x14ac:dyDescent="0.2">
      <c r="A13" s="2" t="str">
        <f>IF(INDEX(IDX_COMPO!$A:$A,ROW(IDX_COMPO!A13))=0,"",INDEX(IDX_COMPO!$A:$A,ROW(IDX_COMPO!A13)))</f>
        <v>PVI</v>
      </c>
      <c r="B13" t="str">
        <f>IF($A13&lt;&gt;"",VLOOKUP($A13,STK_REF!$A$2:$H$593,3,0),"")</f>
        <v>VNX Insurance</v>
      </c>
      <c r="C13">
        <f>IF($A13&lt;&gt;"",INDEX(IDX_COMPO!$C:$C,SUMPRODUCT(--(IDX_COMPO!$A:$A=$A13),--($R13=IDX_COMPO!$F:$F),ROW(IDX_COMPO!$F:$F))),"")</f>
        <v>209740215</v>
      </c>
      <c r="D13">
        <f>IF($A13&lt;&gt;"",INDEX(IDX_COMPO!$D:$D,SUMPRODUCT(--(IDX_COMPO!$A:$A=$A13),--($R13=IDX_COMPO!$F:$F),ROW(IDX_COMPO!$F:$F))),"")</f>
        <v>100</v>
      </c>
      <c r="E13">
        <f>IF($A13&lt;&gt;"",INDEX(IDX_COMPO!$E:$E,SUMPRODUCT(--(IDX_COMPO!$A:$A=$A13),--($R13=IDX_COMPO!$F:$F),ROW(IDX_COMPO!$F:$F))),"")</f>
        <v>100</v>
      </c>
      <c r="F13" s="10">
        <f>IF($A13&lt;&gt;"",VLOOKUP($A13,STK_PRICES!$A$2:$L$593,12,0),"")</f>
        <v>15900</v>
      </c>
      <c r="G13" t="str">
        <f>IF($A13&lt;&gt;"",VLOOKUP($A13,STK_REF!$A$2:$H$593,7,0),"")</f>
        <v>VND</v>
      </c>
      <c r="H13">
        <f>IF($A13&lt;&gt;"",VLOOKUP($A13,STK_REF!$A$2:$H$593,8,0),"")</f>
        <v>1</v>
      </c>
      <c r="I13" s="8">
        <f>IF(A13&lt;&gt;"",IF(G13=Q13,1,IF(ISNA(VLOOKUP(G13&amp;Q13,CUR_RATES!$A$2:$F$524,4,0)),"",VLOOKUP(G13&amp;Q13,CUR_RATES!$A$2:$F$524,4,0))),"")</f>
        <v>1</v>
      </c>
      <c r="J13" s="10">
        <f t="shared" si="1"/>
        <v>15900</v>
      </c>
      <c r="K13" s="67">
        <f t="shared" si="2"/>
        <v>3334869418500</v>
      </c>
      <c r="L13" s="75">
        <v>41165</v>
      </c>
      <c r="M13" s="1">
        <v>0</v>
      </c>
      <c r="N13" s="8" t="str">
        <f t="shared" si="3"/>
        <v/>
      </c>
      <c r="O13" s="29" t="str">
        <f t="shared" si="0"/>
        <v/>
      </c>
      <c r="P13" s="29" t="str">
        <f>IF(A13&lt;&gt;"",IF(ISNA(VLOOKUP(A13,STK_DIV!$A$2:$E$1048576,4,0)),"",IF(L13&lt;&gt;VLOOKUP(A13,STK_DIV!$A$2:$E$1048576,5,0),"",VLOOKUP(A13,STK_DIV!$A$2:$E$1048576,4,0))),"")</f>
        <v/>
      </c>
      <c r="Q13" t="str">
        <f t="shared" si="4"/>
        <v>VND</v>
      </c>
      <c r="R13" s="2" t="str">
        <f>IF(INDEX(IDX_COMPO!$F:$F,ROW(IDX_COMPO!F13))=0,"",INDEX(IDX_COMPO!$F:$F,ROW(IDX_COMPO!F13)))</f>
        <v>VNXASPRVND</v>
      </c>
      <c r="S13" s="27">
        <f t="shared" si="5"/>
        <v>8.4444462368406303E-2</v>
      </c>
      <c r="Y13">
        <v>0</v>
      </c>
    </row>
    <row r="14" spans="1:28" x14ac:dyDescent="0.2">
      <c r="A14" s="2" t="str">
        <f>IF(INDEX(IDX_COMPO!$A:$A,ROW(IDX_COMPO!A14))=0,"",INDEX(IDX_COMPO!$A:$A,ROW(IDX_COMPO!A14)))</f>
        <v>PET</v>
      </c>
      <c r="B14" t="str">
        <f>IF($A14&lt;&gt;"",VLOOKUP($A14,STK_REF!$A$2:$H$593,3,0),"")</f>
        <v>VNX General Services</v>
      </c>
      <c r="C14">
        <f>IF($A14&lt;&gt;"",INDEX(IDX_COMPO!$C:$C,SUMPRODUCT(--(IDX_COMPO!$A:$A=$A14),--($R14=IDX_COMPO!$F:$F),ROW(IDX_COMPO!$F:$F))),"")</f>
        <v>600000000</v>
      </c>
      <c r="D14">
        <f>IF($A14&lt;&gt;"",INDEX(IDX_COMPO!$D:$D,SUMPRODUCT(--(IDX_COMPO!$A:$A=$A14),--($R14=IDX_COMPO!$F:$F),ROW(IDX_COMPO!$F:$F))),"")</f>
        <v>100</v>
      </c>
      <c r="E14">
        <f>IF($A14&lt;&gt;"",INDEX(IDX_COMPO!$E:$E,SUMPRODUCT(--(IDX_COMPO!$A:$A=$A14),--($R14=IDX_COMPO!$F:$F),ROW(IDX_COMPO!$F:$F))),"")</f>
        <v>100</v>
      </c>
      <c r="F14" s="10">
        <f>IF($A14&lt;&gt;"",VLOOKUP($A14,STK_PRICES!$A$2:$L$593,12,0),"")</f>
        <v>11200</v>
      </c>
      <c r="G14" t="str">
        <f>IF($A14&lt;&gt;"",VLOOKUP($A14,STK_REF!$A$2:$H$593,7,0),"")</f>
        <v>VND</v>
      </c>
      <c r="H14">
        <f>IF($A14&lt;&gt;"",VLOOKUP($A14,STK_REF!$A$2:$H$593,8,0),"")</f>
        <v>1</v>
      </c>
      <c r="I14" s="8">
        <f>IF(A14&lt;&gt;"",IF(G14=Q14,1,IF(ISNA(VLOOKUP(G14&amp;Q14,CUR_RATES!$A$2:$F$524,4,0)),"",VLOOKUP(G14&amp;Q14,CUR_RATES!$A$2:$F$524,4,0))),"")</f>
        <v>1</v>
      </c>
      <c r="J14" s="10">
        <f t="shared" si="1"/>
        <v>11200</v>
      </c>
      <c r="K14" s="67">
        <f t="shared" si="2"/>
        <v>6720000000000</v>
      </c>
      <c r="L14" s="75">
        <v>41165</v>
      </c>
      <c r="M14" s="1">
        <v>0</v>
      </c>
      <c r="N14" s="8">
        <f t="shared" si="3"/>
        <v>900000000000</v>
      </c>
      <c r="O14" s="29">
        <f t="shared" si="0"/>
        <v>1500</v>
      </c>
      <c r="P14" s="29">
        <f>IF(A14&lt;&gt;"",IF(ISNA(VLOOKUP(A14,STK_DIV!$A$2:$E$1048576,4,0)),"",IF(L14&lt;&gt;VLOOKUP(A14,STK_DIV!$A$2:$E$1048576,5,0),"",VLOOKUP(A14,STK_DIV!$A$2:$E$1048576,4,0))),"")</f>
        <v>1500</v>
      </c>
      <c r="Q14" t="str">
        <f t="shared" si="4"/>
        <v>VND</v>
      </c>
      <c r="R14" s="2" t="str">
        <f>IF(INDEX(IDX_COMPO!$F:$F,ROW(IDX_COMPO!F14))=0,"",INDEX(IDX_COMPO!$F:$F,ROW(IDX_COMPO!F14)))</f>
        <v>VNXASPRVND</v>
      </c>
      <c r="S14" s="27">
        <f t="shared" si="5"/>
        <v>0.17016162131197712</v>
      </c>
      <c r="Y14">
        <v>0</v>
      </c>
    </row>
    <row r="15" spans="1:28" x14ac:dyDescent="0.2">
      <c r="A15" s="2" t="str">
        <f>IF(INDEX(IDX_COMPO!$A:$A,ROW(IDX_COMPO!A15))=0,"",INDEX(IDX_COMPO!$A:$A,ROW(IDX_COMPO!A15)))</f>
        <v>PVS</v>
      </c>
      <c r="B15" t="str">
        <f>IF($A15&lt;&gt;"",VLOOKUP($A15,STK_REF!$A$2:$H$593,3,0),"")</f>
        <v>VNX Technical Services</v>
      </c>
      <c r="C15">
        <f>IF($A15&lt;&gt;"",INDEX(IDX_COMPO!$C:$C,SUMPRODUCT(--(IDX_COMPO!$A:$A=$A15),--($R15=IDX_COMPO!$F:$F),ROW(IDX_COMPO!$F:$F))),"")</f>
        <v>297802094</v>
      </c>
      <c r="D15">
        <f>IF($A15&lt;&gt;"",INDEX(IDX_COMPO!$D:$D,SUMPRODUCT(--(IDX_COMPO!$A:$A=$A15),--($R15=IDX_COMPO!$F:$F),ROW(IDX_COMPO!$F:$F))),"")</f>
        <v>100</v>
      </c>
      <c r="E15">
        <f>IF($A15&lt;&gt;"",INDEX(IDX_COMPO!$E:$E,SUMPRODUCT(--(IDX_COMPO!$A:$A=$A15),--($R15=IDX_COMPO!$F:$F),ROW(IDX_COMPO!$F:$F))),"")</f>
        <v>100</v>
      </c>
      <c r="F15" s="10">
        <f>IF($A15&lt;&gt;"",VLOOKUP($A15,STK_PRICES!$A$2:$L$593,12,0),"")</f>
        <v>15200</v>
      </c>
      <c r="G15" t="str">
        <f>IF($A15&lt;&gt;"",VLOOKUP($A15,STK_REF!$A$2:$H$593,7,0),"")</f>
        <v>VND</v>
      </c>
      <c r="H15">
        <f>IF($A15&lt;&gt;"",VLOOKUP($A15,STK_REF!$A$2:$H$593,8,0),"")</f>
        <v>1</v>
      </c>
      <c r="I15" s="8">
        <f>IF(A15&lt;&gt;"",IF(G15=Q15,1,IF(ISNA(VLOOKUP(G15&amp;Q15,CUR_RATES!$A$2:$F$524,4,0)),"",VLOOKUP(G15&amp;Q15,CUR_RATES!$A$2:$F$524,4,0))),"")</f>
        <v>1</v>
      </c>
      <c r="J15" s="10">
        <f t="shared" si="1"/>
        <v>15200</v>
      </c>
      <c r="K15" s="67">
        <f t="shared" si="2"/>
        <v>4526591828800</v>
      </c>
      <c r="L15" s="75">
        <v>41165</v>
      </c>
      <c r="M15" s="1">
        <v>0</v>
      </c>
      <c r="N15" s="8" t="str">
        <f t="shared" si="3"/>
        <v/>
      </c>
      <c r="O15" s="29" t="str">
        <f t="shared" si="0"/>
        <v/>
      </c>
      <c r="P15" s="29" t="str">
        <f>IF(A15&lt;&gt;"",IF(ISNA(VLOOKUP(A15,STK_DIV!$A$2:$E$1048576,4,0)),"",IF(L15&lt;&gt;VLOOKUP(A15,STK_DIV!$A$2:$E$1048576,5,0),"",VLOOKUP(A15,STK_DIV!$A$2:$E$1048576,4,0))),"")</f>
        <v/>
      </c>
      <c r="Q15" t="str">
        <f t="shared" si="4"/>
        <v>VND</v>
      </c>
      <c r="R15" s="2" t="str">
        <f>IF(INDEX(IDX_COMPO!$F:$F,ROW(IDX_COMPO!F15))=0,"",INDEX(IDX_COMPO!$F:$F,ROW(IDX_COMPO!F15)))</f>
        <v>VNXASPRVND</v>
      </c>
      <c r="S15" s="27">
        <f t="shared" si="5"/>
        <v>0.11462086378067791</v>
      </c>
      <c r="Y15">
        <v>0</v>
      </c>
    </row>
    <row r="16" spans="1:28" x14ac:dyDescent="0.2">
      <c r="A16" s="2" t="str">
        <f>IF(INDEX(IDX_COMPO!$A:$A,ROW(IDX_COMPO!A16))=0,"",INDEX(IDX_COMPO!$A:$A,ROW(IDX_COMPO!A16)))</f>
        <v>DPM</v>
      </c>
      <c r="B16" t="str">
        <f>IF($A16&lt;&gt;"",VLOOKUP($A16,STK_REF!$A$2:$H$593,3,0),"")</f>
        <v>VNX Fertilizer and Chemicals</v>
      </c>
      <c r="C16">
        <f>IF($A16&lt;&gt;"",INDEX(IDX_COMPO!$C:$C,SUMPRODUCT(--(IDX_COMPO!$A:$A=$A16),--($R16=IDX_COMPO!$F:$F),ROW(IDX_COMPO!$F:$F))),"")</f>
        <v>250000000</v>
      </c>
      <c r="D16">
        <f>IF($A16&lt;&gt;"",INDEX(IDX_COMPO!$D:$D,SUMPRODUCT(--(IDX_COMPO!$A:$A=$A16),--($R16=IDX_COMPO!$F:$F),ROW(IDX_COMPO!$F:$F))),"")</f>
        <v>100</v>
      </c>
      <c r="E16">
        <f>IF($A16&lt;&gt;"",INDEX(IDX_COMPO!$E:$E,SUMPRODUCT(--(IDX_COMPO!$A:$A=$A16),--($R16=IDX_COMPO!$F:$F),ROW(IDX_COMPO!$F:$F))),"")</f>
        <v>100</v>
      </c>
      <c r="F16" s="10">
        <f>IF($A16&lt;&gt;"",VLOOKUP($A16,STK_PRICES!$A$2:$L$593,12,0),"")</f>
        <v>39200</v>
      </c>
      <c r="G16" t="str">
        <f>IF($A16&lt;&gt;"",VLOOKUP($A16,STK_REF!$A$2:$H$593,7,0),"")</f>
        <v>VND</v>
      </c>
      <c r="H16">
        <f>IF($A16&lt;&gt;"",VLOOKUP($A16,STK_REF!$A$2:$H$593,8,0),"")</f>
        <v>1</v>
      </c>
      <c r="I16" s="8">
        <f>IF(A16&lt;&gt;"",IF(G16=Q16,1,IF(ISNA(VLOOKUP(G16&amp;Q16,CUR_RATES!$A$2:$F$524,4,0)),"",VLOOKUP(G16&amp;Q16,CUR_RATES!$A$2:$F$524,4,0))),"")</f>
        <v>1</v>
      </c>
      <c r="J16" s="10">
        <f t="shared" si="1"/>
        <v>39200</v>
      </c>
      <c r="K16" s="67">
        <f t="shared" si="2"/>
        <v>9800000000000</v>
      </c>
      <c r="L16" s="75">
        <v>41165</v>
      </c>
      <c r="M16" s="1">
        <v>0</v>
      </c>
      <c r="N16" s="8">
        <f t="shared" si="3"/>
        <v>350000000000</v>
      </c>
      <c r="O16" s="29">
        <f t="shared" si="0"/>
        <v>1400</v>
      </c>
      <c r="P16" s="29">
        <f>IF(A16&lt;&gt;"",IF(ISNA(VLOOKUP(A16,STK_DIV!$A$2:$E$1048576,4,0)),"",IF(L16&lt;&gt;VLOOKUP(A16,STK_DIV!$A$2:$E$1048576,5,0),"",VLOOKUP(A16,STK_DIV!$A$2:$E$1048576,4,0))),"")</f>
        <v>1400</v>
      </c>
      <c r="Q16" t="str">
        <f t="shared" si="4"/>
        <v>VND</v>
      </c>
      <c r="R16" s="2" t="str">
        <f>IF(INDEX(IDX_COMPO!$F:$F,ROW(IDX_COMPO!F16))=0,"",INDEX(IDX_COMPO!$F:$F,ROW(IDX_COMPO!F16)))</f>
        <v>VNXASPRVND</v>
      </c>
      <c r="S16" s="27">
        <f t="shared" si="5"/>
        <v>0.24815236441329996</v>
      </c>
      <c r="Y16">
        <v>0</v>
      </c>
    </row>
    <row r="17" spans="1:25" x14ac:dyDescent="0.2">
      <c r="A17" s="2" t="str">
        <f>IF(INDEX(IDX_COMPO!$A:$A,ROW(IDX_COMPO!A17))=0,"",INDEX(IDX_COMPO!$A:$A,ROW(IDX_COMPO!A17)))</f>
        <v>PGS</v>
      </c>
      <c r="B17" t="str">
        <f>IF($A17&lt;&gt;"",VLOOKUP($A17,STK_REF!$A$2:$H$593,3,0),"")</f>
        <v>VNX Southern Gas</v>
      </c>
      <c r="C17">
        <f>IF($A17&lt;&gt;"",INDEX(IDX_COMPO!$C:$C,SUMPRODUCT(--(IDX_COMPO!$A:$A=$A17),--($R17=IDX_COMPO!$F:$F),ROW(IDX_COMPO!$F:$F))),"")</f>
        <v>157531264</v>
      </c>
      <c r="D17">
        <f>IF($A17&lt;&gt;"",INDEX(IDX_COMPO!$D:$D,SUMPRODUCT(--(IDX_COMPO!$A:$A=$A17),--($R17=IDX_COMPO!$F:$F),ROW(IDX_COMPO!$F:$F))),"")</f>
        <v>100</v>
      </c>
      <c r="E17">
        <f>IF($A17&lt;&gt;"",INDEX(IDX_COMPO!$E:$E,SUMPRODUCT(--(IDX_COMPO!$A:$A=$A17),--($R17=IDX_COMPO!$F:$F),ROW(IDX_COMPO!$F:$F))),"")</f>
        <v>100</v>
      </c>
      <c r="F17" s="10">
        <f>IF($A17&lt;&gt;"",VLOOKUP($A17,STK_PRICES!$A$2:$L$593,12,0),"")</f>
        <v>17100</v>
      </c>
      <c r="G17" t="str">
        <f>IF($A17&lt;&gt;"",VLOOKUP($A17,STK_REF!$A$2:$H$593,7,0),"")</f>
        <v>VND</v>
      </c>
      <c r="H17">
        <f>IF($A17&lt;&gt;"",VLOOKUP($A17,STK_REF!$A$2:$H$593,8,0),"")</f>
        <v>1</v>
      </c>
      <c r="I17" s="8">
        <f>IF(A17&lt;&gt;"",IF(G17=Q17,1,IF(ISNA(VLOOKUP(G17&amp;Q17,CUR_RATES!$A$2:$F$524,4,0)),"",VLOOKUP(G17&amp;Q17,CUR_RATES!$A$2:$F$524,4,0))),"")</f>
        <v>1</v>
      </c>
      <c r="J17" s="10">
        <f t="shared" si="1"/>
        <v>17100</v>
      </c>
      <c r="K17" s="67">
        <f t="shared" si="2"/>
        <v>2693784614400</v>
      </c>
      <c r="L17" s="75">
        <v>41165</v>
      </c>
      <c r="M17" s="1">
        <v>0</v>
      </c>
      <c r="N17" s="8">
        <f t="shared" si="3"/>
        <v>189037516800</v>
      </c>
      <c r="O17" s="29">
        <f t="shared" si="0"/>
        <v>1200</v>
      </c>
      <c r="P17" s="29">
        <f>IF(A17&lt;&gt;"",IF(ISNA(VLOOKUP(A17,STK_DIV!$A$2:$E$1048576,4,0)),"",IF(L17&lt;&gt;VLOOKUP(A17,STK_DIV!$A$2:$E$1048576,5,0),"",VLOOKUP(A17,STK_DIV!$A$2:$E$1048576,4,0))),"")</f>
        <v>1200</v>
      </c>
      <c r="Q17" t="str">
        <f t="shared" si="4"/>
        <v>VND</v>
      </c>
      <c r="R17" s="2" t="str">
        <f>IF(INDEX(IDX_COMPO!$F:$F,ROW(IDX_COMPO!F17))=0,"",INDEX(IDX_COMPO!$F:$F,ROW(IDX_COMPO!F17)))</f>
        <v>VNXASPRVND</v>
      </c>
      <c r="S17" s="27">
        <f t="shared" si="5"/>
        <v>6.8211124620768324E-2</v>
      </c>
      <c r="Y17">
        <v>0</v>
      </c>
    </row>
    <row r="18" spans="1:25" x14ac:dyDescent="0.2">
      <c r="A18" s="2" t="str">
        <f>IF(INDEX(IDX_COMPO!$A:$A,ROW(IDX_COMPO!A18))=0,"",INDEX(IDX_COMPO!$A:$A,ROW(IDX_COMPO!A18)))</f>
        <v>PVC</v>
      </c>
      <c r="B18" t="str">
        <f>IF($A18&lt;&gt;"",VLOOKUP($A18,STK_REF!$A$2:$H$593,3,0),"")</f>
        <v>Drilling Mud Corp</v>
      </c>
      <c r="C18">
        <f>IF($A18&lt;&gt;"",INDEX(IDX_COMPO!$C:$C,SUMPRODUCT(--(IDX_COMPO!$A:$A=$A18),--($R18=IDX_COMPO!$F:$F),ROW(IDX_COMPO!$F:$F))),"")</f>
        <v>42900000</v>
      </c>
      <c r="D18">
        <f>IF($A18&lt;&gt;"",INDEX(IDX_COMPO!$D:$D,SUMPRODUCT(--(IDX_COMPO!$A:$A=$A18),--($R18=IDX_COMPO!$F:$F),ROW(IDX_COMPO!$F:$F))),"")</f>
        <v>100</v>
      </c>
      <c r="E18">
        <f>IF($A18&lt;&gt;"",INDEX(IDX_COMPO!$E:$E,SUMPRODUCT(--(IDX_COMPO!$A:$A=$A18),--($R18=IDX_COMPO!$F:$F),ROW(IDX_COMPO!$F:$F))),"")</f>
        <v>100</v>
      </c>
      <c r="F18" s="10">
        <f>IF($A18&lt;&gt;"",VLOOKUP($A18,STK_PRICES!$A$2:$L$593,12,0),"")</f>
        <v>12700</v>
      </c>
      <c r="G18" t="str">
        <f>IF($A18&lt;&gt;"",VLOOKUP($A18,STK_REF!$A$2:$H$593,7,0),"")</f>
        <v>VND</v>
      </c>
      <c r="H18">
        <f>IF($A18&lt;&gt;"",VLOOKUP($A18,STK_REF!$A$2:$H$593,8,0),"")</f>
        <v>1</v>
      </c>
      <c r="I18" s="8">
        <f>IF(A18&lt;&gt;"",IF(G18=Q18,1,IF(ISNA(VLOOKUP(G18&amp;Q18,CUR_RATES!$A$2:$F$524,4,0)),"",VLOOKUP(G18&amp;Q18,CUR_RATES!$A$2:$F$524,4,0))),"")</f>
        <v>1</v>
      </c>
      <c r="J18" s="10">
        <f t="shared" si="1"/>
        <v>12700</v>
      </c>
      <c r="K18" s="67">
        <f t="shared" si="2"/>
        <v>544830000000</v>
      </c>
      <c r="L18" s="75">
        <v>41165</v>
      </c>
      <c r="M18" s="1">
        <v>0</v>
      </c>
      <c r="N18" s="8" t="str">
        <f t="shared" si="3"/>
        <v/>
      </c>
      <c r="O18" s="29" t="str">
        <f t="shared" si="0"/>
        <v/>
      </c>
      <c r="P18" s="29" t="str">
        <f>IF(A18&lt;&gt;"",IF(ISNA(VLOOKUP(A18,STK_DIV!$A$2:$E$1048576,4,0)),"",IF(L18&lt;&gt;VLOOKUP(A18,STK_DIV!$A$2:$E$1048576,5,0),"",VLOOKUP(A18,STK_DIV!$A$2:$E$1048576,4,0))),"")</f>
        <v/>
      </c>
      <c r="Q18" t="str">
        <f t="shared" si="4"/>
        <v>VND</v>
      </c>
      <c r="R18" s="2" t="str">
        <f>IF(INDEX(IDX_COMPO!$F:$F,ROW(IDX_COMPO!F18))=0,"",INDEX(IDX_COMPO!$F:$F,ROW(IDX_COMPO!F18)))</f>
        <v>VNXASPRVND</v>
      </c>
      <c r="S18" s="27">
        <f t="shared" si="5"/>
        <v>1.3796005377887574E-2</v>
      </c>
      <c r="Y18">
        <v>0</v>
      </c>
    </row>
    <row r="19" spans="1:25" x14ac:dyDescent="0.2">
      <c r="A19" s="2" t="str">
        <f>IF(INDEX(IDX_COMPO!$A:$A,ROW(IDX_COMPO!A19))=0,"",INDEX(IDX_COMPO!$A:$A,ROW(IDX_COMPO!A19)))</f>
        <v>PVT</v>
      </c>
      <c r="B19" t="str">
        <f>IF($A19&lt;&gt;"",VLOOKUP($A19,STK_REF!$A$2:$H$593,3,0),"")</f>
        <v>VNX Transportation</v>
      </c>
      <c r="C19">
        <f>IF($A19&lt;&gt;"",INDEX(IDX_COMPO!$C:$C,SUMPRODUCT(--(IDX_COMPO!$A:$A=$A19),--($R19=IDX_COMPO!$F:$F),ROW(IDX_COMPO!$F:$F))),"")</f>
        <v>256000000</v>
      </c>
      <c r="D19">
        <f>IF($A19&lt;&gt;"",INDEX(IDX_COMPO!$D:$D,SUMPRODUCT(--(IDX_COMPO!$A:$A=$A19),--($R19=IDX_COMPO!$F:$F),ROW(IDX_COMPO!$F:$F))),"")</f>
        <v>100</v>
      </c>
      <c r="E19">
        <f>IF($A19&lt;&gt;"",INDEX(IDX_COMPO!$E:$E,SUMPRODUCT(--(IDX_COMPO!$A:$A=$A19),--($R19=IDX_COMPO!$F:$F),ROW(IDX_COMPO!$F:$F))),"")</f>
        <v>100</v>
      </c>
      <c r="F19" s="10">
        <f>IF($A19&lt;&gt;"",VLOOKUP($A19,STK_PRICES!$A$2:$L$593,12,0),"")</f>
        <v>4300</v>
      </c>
      <c r="G19" t="str">
        <f>IF($A19&lt;&gt;"",VLOOKUP($A19,STK_REF!$A$2:$H$593,7,0),"")</f>
        <v>VND</v>
      </c>
      <c r="H19">
        <f>IF($A19&lt;&gt;"",VLOOKUP($A19,STK_REF!$A$2:$H$593,8,0),"")</f>
        <v>1</v>
      </c>
      <c r="I19" s="8">
        <f>IF(A19&lt;&gt;"",IF(G19=Q19,1,IF(ISNA(VLOOKUP(G19&amp;Q19,CUR_RATES!$A$2:$F$524,4,0)),"",VLOOKUP(G19&amp;Q19,CUR_RATES!$A$2:$F$524,4,0))),"")</f>
        <v>1</v>
      </c>
      <c r="J19" s="10">
        <f t="shared" si="1"/>
        <v>4300</v>
      </c>
      <c r="K19" s="67">
        <f t="shared" si="2"/>
        <v>1100800000000</v>
      </c>
      <c r="L19" s="75">
        <v>41165</v>
      </c>
      <c r="M19" s="1">
        <v>0</v>
      </c>
      <c r="N19" s="8" t="str">
        <f t="shared" si="3"/>
        <v/>
      </c>
      <c r="O19" s="29" t="str">
        <f t="shared" si="0"/>
        <v/>
      </c>
      <c r="P19" s="29" t="str">
        <f>IF(A19&lt;&gt;"",IF(ISNA(VLOOKUP(A19,STK_DIV!$A$2:$E$1048576,4,0)),"",IF(L19&lt;&gt;VLOOKUP(A19,STK_DIV!$A$2:$E$1048576,5,0),"",VLOOKUP(A19,STK_DIV!$A$2:$E$1048576,4,0))),"")</f>
        <v/>
      </c>
      <c r="Q19" t="str">
        <f t="shared" si="4"/>
        <v>VND</v>
      </c>
      <c r="R19" s="2" t="str">
        <f>IF(INDEX(IDX_COMPO!$F:$F,ROW(IDX_COMPO!F19))=0,"",INDEX(IDX_COMPO!$F:$F,ROW(IDX_COMPO!F19)))</f>
        <v>VNXASPRVND</v>
      </c>
      <c r="S19" s="27">
        <f t="shared" si="5"/>
        <v>2.7874094157771489E-2</v>
      </c>
      <c r="Y19">
        <v>0</v>
      </c>
    </row>
    <row r="20" spans="1:25" x14ac:dyDescent="0.2">
      <c r="A20" s="2" t="str">
        <f>IF(INDEX(IDX_COMPO!$A:$A,ROW(IDX_COMPO!A20))=0,"",INDEX(IDX_COMPO!$A:$A,ROW(IDX_COMPO!A20)))</f>
        <v>PVE</v>
      </c>
      <c r="B20" t="str">
        <f>IF($A20&lt;&gt;"",VLOOKUP($A20,STK_REF!$A$2:$H$593,3,0),"")</f>
        <v>VNX Investment Consultancy and Engineering</v>
      </c>
      <c r="C20">
        <f>IF($A20&lt;&gt;"",INDEX(IDX_COMPO!$C:$C,SUMPRODUCT(--(IDX_COMPO!$A:$A=$A20),--($R20=IDX_COMPO!$F:$F),ROW(IDX_COMPO!$F:$F))),"")</f>
        <v>232600000</v>
      </c>
      <c r="D20">
        <f>IF($A20&lt;&gt;"",INDEX(IDX_COMPO!$D:$D,SUMPRODUCT(--(IDX_COMPO!$A:$A=$A20),--($R20=IDX_COMPO!$F:$F),ROW(IDX_COMPO!$F:$F))),"")</f>
        <v>100</v>
      </c>
      <c r="E20">
        <f>IF($A20&lt;&gt;"",INDEX(IDX_COMPO!$E:$E,SUMPRODUCT(--(IDX_COMPO!$A:$A=$A20),--($R20=IDX_COMPO!$F:$F),ROW(IDX_COMPO!$F:$F))),"")</f>
        <v>100</v>
      </c>
      <c r="F20" s="10">
        <f>IF($A20&lt;&gt;"",VLOOKUP($A20,STK_PRICES!$A$2:$L$593,12,0),"")</f>
        <v>9600</v>
      </c>
      <c r="G20" t="str">
        <f>IF($A20&lt;&gt;"",VLOOKUP($A20,STK_REF!$A$2:$H$593,7,0),"")</f>
        <v>VND</v>
      </c>
      <c r="H20">
        <f>IF($A20&lt;&gt;"",VLOOKUP($A20,STK_REF!$A$2:$H$593,8,0),"")</f>
        <v>1</v>
      </c>
      <c r="I20" s="8">
        <f>IF(A20&lt;&gt;"",IF(G20=Q20,1,IF(ISNA(VLOOKUP(G20&amp;Q20,CUR_RATES!$A$2:$F$524,4,0)),"",VLOOKUP(G20&amp;Q20,CUR_RATES!$A$2:$F$524,4,0))),"")</f>
        <v>1</v>
      </c>
      <c r="J20" s="10">
        <f t="shared" si="1"/>
        <v>9600</v>
      </c>
      <c r="K20" s="67">
        <f t="shared" si="2"/>
        <v>2232960000000</v>
      </c>
      <c r="L20" s="75">
        <v>41165</v>
      </c>
      <c r="M20" s="1">
        <v>0</v>
      </c>
      <c r="N20" s="8" t="str">
        <f t="shared" si="3"/>
        <v/>
      </c>
      <c r="O20" s="29" t="str">
        <f t="shared" si="0"/>
        <v/>
      </c>
      <c r="P20" s="29" t="str">
        <f>IF(A20&lt;&gt;"",IF(ISNA(VLOOKUP(A20,STK_DIV!$A$2:$E$1048576,4,0)),"",IF(L20&lt;&gt;VLOOKUP(A20,STK_DIV!$A$2:$E$1048576,5,0),"",VLOOKUP(A20,STK_DIV!$A$2:$E$1048576,4,0))),"")</f>
        <v/>
      </c>
      <c r="Q20" t="str">
        <f t="shared" si="4"/>
        <v>VND</v>
      </c>
      <c r="R20" s="2" t="str">
        <f>IF(INDEX(IDX_COMPO!$F:$F,ROW(IDX_COMPO!F20))=0,"",INDEX(IDX_COMPO!$F:$F,ROW(IDX_COMPO!F20)))</f>
        <v>VNXASPRVND</v>
      </c>
      <c r="S20" s="27">
        <f t="shared" si="5"/>
        <v>5.6542275881665542E-2</v>
      </c>
      <c r="Y20">
        <v>0</v>
      </c>
    </row>
    <row r="21" spans="1:25" x14ac:dyDescent="0.2">
      <c r="A21" s="2" t="str">
        <f>IF(INDEX(IDX_COMPO!$A:$A,ROW(IDX_COMPO!A21))=0,"",INDEX(IDX_COMPO!$A:$A,ROW(IDX_COMPO!A21)))</f>
        <v>PVF</v>
      </c>
      <c r="B21" t="str">
        <f>IF($A21&lt;&gt;"",VLOOKUP($A21,STK_REF!$A$2:$H$593,3,0),"")</f>
        <v>VNX Finance</v>
      </c>
      <c r="C21">
        <f>IF($A21&lt;&gt;"",INDEX(IDX_COMPO!$C:$C,SUMPRODUCT(--(IDX_COMPO!$A:$A=$A21),--($R21=IDX_COMPO!$F:$F),ROW(IDX_COMPO!$F:$F))),"")</f>
        <v>38000000</v>
      </c>
      <c r="D21">
        <f>IF($A21&lt;&gt;"",INDEX(IDX_COMPO!$D:$D,SUMPRODUCT(--(IDX_COMPO!$A:$A=$A21),--($R21=IDX_COMPO!$F:$F),ROW(IDX_COMPO!$F:$F))),"")</f>
        <v>100</v>
      </c>
      <c r="E21">
        <f>IF($A21&lt;&gt;"",INDEX(IDX_COMPO!$E:$E,SUMPRODUCT(--(IDX_COMPO!$A:$A=$A21),--($R21=IDX_COMPO!$F:$F),ROW(IDX_COMPO!$F:$F))),"")</f>
        <v>100</v>
      </c>
      <c r="F21" s="10">
        <f>IF($A21&lt;&gt;"",VLOOKUP($A21,STK_PRICES!$A$2:$L$593,12,0),"")</f>
        <v>8300</v>
      </c>
      <c r="G21" t="str">
        <f>IF($A21&lt;&gt;"",VLOOKUP($A21,STK_REF!$A$2:$H$593,7,0),"")</f>
        <v>VND</v>
      </c>
      <c r="H21">
        <f>IF($A21&lt;&gt;"",VLOOKUP($A21,STK_REF!$A$2:$H$593,8,0),"")</f>
        <v>1</v>
      </c>
      <c r="I21" s="8">
        <f>IF(A21&lt;&gt;"",IF(G21=Q21,1,IF(ISNA(VLOOKUP(G21&amp;Q21,CUR_RATES!$A$2:$F$524,4,0)),"",VLOOKUP(G21&amp;Q21,CUR_RATES!$A$2:$F$524,4,0))),"")</f>
        <v>1</v>
      </c>
      <c r="J21" s="10">
        <f t="shared" si="1"/>
        <v>8300</v>
      </c>
      <c r="K21" s="67">
        <f t="shared" si="2"/>
        <v>315400000000</v>
      </c>
      <c r="L21" s="75">
        <v>41165</v>
      </c>
      <c r="M21" s="1">
        <v>0</v>
      </c>
      <c r="N21" s="8">
        <f t="shared" si="3"/>
        <v>19000000000</v>
      </c>
      <c r="O21" s="29">
        <f t="shared" si="0"/>
        <v>500</v>
      </c>
      <c r="P21" s="29">
        <f>IF(A21&lt;&gt;"",IF(ISNA(VLOOKUP(A21,STK_DIV!$A$2:$E$1048576,4,0)),"",IF(L21&lt;&gt;VLOOKUP(A21,STK_DIV!$A$2:$E$1048576,5,0),"",VLOOKUP(A21,STK_DIV!$A$2:$E$1048576,4,0))),"")</f>
        <v>500</v>
      </c>
      <c r="Q21" t="str">
        <f t="shared" si="4"/>
        <v>VND</v>
      </c>
      <c r="R21" s="2" t="str">
        <f>IF(INDEX(IDX_COMPO!$F:$F,ROW(IDX_COMPO!F21))=0,"",INDEX(IDX_COMPO!$F:$F,ROW(IDX_COMPO!F21)))</f>
        <v>VNXASPRVND</v>
      </c>
      <c r="S21" s="27">
        <f t="shared" si="5"/>
        <v>7.9864546669341646E-3</v>
      </c>
      <c r="Y21">
        <v>0</v>
      </c>
    </row>
    <row r="22" spans="1:25" x14ac:dyDescent="0.2">
      <c r="A22" s="2" t="str">
        <f>IF(INDEX(IDX_COMPO!$A:$A,ROW(IDX_COMPO!A22))=0,"",INDEX(IDX_COMPO!$A:$A,ROW(IDX_COMPO!A22)))</f>
        <v>PVG</v>
      </c>
      <c r="B22" t="str">
        <f>IF($A22&lt;&gt;"",VLOOKUP($A22,STK_REF!$A$2:$H$593,3,0),"")</f>
        <v>VNX Northern Gas</v>
      </c>
      <c r="C22">
        <f>IF($A22&lt;&gt;"",INDEX(IDX_COMPO!$C:$C,SUMPRODUCT(--(IDX_COMPO!$A:$A=$A22),--($R22=IDX_COMPO!$F:$F),ROW(IDX_COMPO!$F:$F))),"")</f>
        <v>70371300</v>
      </c>
      <c r="D22">
        <f>IF($A22&lt;&gt;"",INDEX(IDX_COMPO!$D:$D,SUMPRODUCT(--(IDX_COMPO!$A:$A=$A22),--($R22=IDX_COMPO!$F:$F),ROW(IDX_COMPO!$F:$F))),"")</f>
        <v>100</v>
      </c>
      <c r="E22">
        <f>IF($A22&lt;&gt;"",INDEX(IDX_COMPO!$E:$E,SUMPRODUCT(--(IDX_COMPO!$A:$A=$A22),--($R22=IDX_COMPO!$F:$F),ROW(IDX_COMPO!$F:$F))),"")</f>
        <v>100</v>
      </c>
      <c r="F22" s="10">
        <f>IF($A22&lt;&gt;"",VLOOKUP($A22,STK_PRICES!$A$2:$L$593,12,0),"")</f>
        <v>9300</v>
      </c>
      <c r="G22" t="str">
        <f>IF($A22&lt;&gt;"",VLOOKUP($A22,STK_REF!$A$2:$H$593,7,0),"")</f>
        <v>VND</v>
      </c>
      <c r="H22">
        <f>IF($A22&lt;&gt;"",VLOOKUP($A22,STK_REF!$A$2:$H$593,8,0),"")</f>
        <v>1</v>
      </c>
      <c r="I22" s="8">
        <f>IF(A22&lt;&gt;"",IF(G22=Q22,1,IF(ISNA(VLOOKUP(G22&amp;Q22,CUR_RATES!$A$2:$F$524,4,0)),"",VLOOKUP(G22&amp;Q22,CUR_RATES!$A$2:$F$524,4,0))),"")</f>
        <v>1</v>
      </c>
      <c r="J22" s="10">
        <f t="shared" si="1"/>
        <v>9300</v>
      </c>
      <c r="K22" s="67">
        <f t="shared" si="2"/>
        <v>654453090000</v>
      </c>
      <c r="L22" s="75">
        <v>41165</v>
      </c>
      <c r="M22" s="1">
        <v>0</v>
      </c>
      <c r="N22" s="8" t="str">
        <f t="shared" si="3"/>
        <v/>
      </c>
      <c r="O22" s="29" t="str">
        <f t="shared" si="0"/>
        <v/>
      </c>
      <c r="P22" s="29" t="str">
        <f>IF(A22&lt;&gt;"",IF(ISNA(VLOOKUP(A22,STK_DIV!$A$2:$E$1048576,4,0)),"",IF(L22&lt;&gt;VLOOKUP(A22,STK_DIV!$A$2:$E$1048576,5,0),"",VLOOKUP(A22,STK_DIV!$A$2:$E$1048576,4,0))),"")</f>
        <v/>
      </c>
      <c r="Q22" t="str">
        <f t="shared" si="4"/>
        <v>VND</v>
      </c>
      <c r="R22" s="2" t="str">
        <f>IF(INDEX(IDX_COMPO!$F:$F,ROW(IDX_COMPO!F22))=0,"",INDEX(IDX_COMPO!$F:$F,ROW(IDX_COMPO!F22)))</f>
        <v>VNXASPRVND</v>
      </c>
      <c r="S22" s="27">
        <f t="shared" si="5"/>
        <v>1.6571845069498999E-2</v>
      </c>
      <c r="T22">
        <v>1400000000</v>
      </c>
      <c r="U22">
        <v>90</v>
      </c>
      <c r="V22">
        <v>100</v>
      </c>
      <c r="W22">
        <v>15.23</v>
      </c>
      <c r="X22">
        <v>0</v>
      </c>
      <c r="Y22">
        <v>1</v>
      </c>
    </row>
    <row r="23" spans="1:25" x14ac:dyDescent="0.2">
      <c r="A23" s="2" t="str">
        <f>IF(INDEX(IDX_COMPO!$A:$A,ROW(IDX_COMPO!A23))=0,"",INDEX(IDX_COMPO!$A:$A,ROW(IDX_COMPO!A23)))</f>
        <v>PVX</v>
      </c>
      <c r="B23" t="str">
        <f>IF($A23&lt;&gt;"",VLOOKUP($A23,STK_REF!$A$2:$H$593,3,0),"")</f>
        <v>VNX Construction</v>
      </c>
      <c r="C23">
        <f>IF($A23&lt;&gt;"",INDEX(IDX_COMPO!$C:$C,SUMPRODUCT(--(IDX_COMPO!$A:$A=$A23),--($R23=IDX_COMPO!$F:$F),ROW(IDX_COMPO!$F:$F))),"")</f>
        <v>100000000</v>
      </c>
      <c r="D23">
        <f>IF($A23&lt;&gt;"",INDEX(IDX_COMPO!$D:$D,SUMPRODUCT(--(IDX_COMPO!$A:$A=$A23),--($R23=IDX_COMPO!$F:$F),ROW(IDX_COMPO!$F:$F))),"")</f>
        <v>100</v>
      </c>
      <c r="E23">
        <f>IF($A23&lt;&gt;"",INDEX(IDX_COMPO!$E:$E,SUMPRODUCT(--(IDX_COMPO!$A:$A=$A23),--($R23=IDX_COMPO!$F:$F),ROW(IDX_COMPO!$F:$F))),"")</f>
        <v>100</v>
      </c>
      <c r="F23" s="10">
        <f>IF($A23&lt;&gt;"",VLOOKUP($A23,STK_PRICES!$A$2:$L$593,12,0),"")</f>
        <v>5200</v>
      </c>
      <c r="G23" t="str">
        <f>IF($A23&lt;&gt;"",VLOOKUP($A23,STK_REF!$A$2:$H$593,7,0),"")</f>
        <v>VND</v>
      </c>
      <c r="H23">
        <f>IF($A23&lt;&gt;"",VLOOKUP($A23,STK_REF!$A$2:$H$593,8,0),"")</f>
        <v>1</v>
      </c>
      <c r="I23" s="8">
        <f>IF(A23&lt;&gt;"",IF(G23=Q23,1,IF(ISNA(VLOOKUP(G23&amp;Q23,CUR_RATES!$A$2:$F$524,4,0)),"",VLOOKUP(G23&amp;Q23,CUR_RATES!$A$2:$F$524,4,0))),"")</f>
        <v>1</v>
      </c>
      <c r="J23" s="10">
        <f t="shared" si="1"/>
        <v>5200</v>
      </c>
      <c r="K23" s="67">
        <f t="shared" si="2"/>
        <v>520000000000</v>
      </c>
      <c r="L23" s="75">
        <v>41165</v>
      </c>
      <c r="M23" s="1">
        <v>0</v>
      </c>
      <c r="N23" s="8" t="str">
        <f t="shared" si="3"/>
        <v/>
      </c>
      <c r="O23" s="29" t="str">
        <f t="shared" si="0"/>
        <v/>
      </c>
      <c r="P23" s="29" t="str">
        <f>IF(A23&lt;&gt;"",IF(ISNA(VLOOKUP(A23,STK_DIV!$A$2:$E$1048576,4,0)),"",IF(L23&lt;&gt;VLOOKUP(A23,STK_DIV!$A$2:$E$1048576,5,0),"",VLOOKUP(A23,STK_DIV!$A$2:$E$1048576,4,0))),"")</f>
        <v/>
      </c>
      <c r="Q23" t="str">
        <f t="shared" si="4"/>
        <v>VND</v>
      </c>
      <c r="R23" s="2" t="str">
        <f>IF(INDEX(IDX_COMPO!$F:$F,ROW(IDX_COMPO!F23))=0,"",INDEX(IDX_COMPO!$F:$F,ROW(IDX_COMPO!F23)))</f>
        <v>VNXASPRVND</v>
      </c>
      <c r="S23" s="27">
        <f t="shared" si="5"/>
        <v>1.3167268315807753E-2</v>
      </c>
      <c r="Y23">
        <v>0</v>
      </c>
    </row>
    <row r="24" spans="1:25" x14ac:dyDescent="0.2">
      <c r="A24" s="2" t="str">
        <f>IF(INDEX(IDX_COMPO!$A:$A,ROW(IDX_COMPO!A24))=0,"",INDEX(IDX_COMPO!$A:$A,ROW(IDX_COMPO!A24)))</f>
        <v>PSP</v>
      </c>
      <c r="B24" t="str">
        <f>IF($A24&lt;&gt;"",VLOOKUP($A24,STK_REF!$A$2:$H$593,3,0),"")</f>
        <v>Dinh Vu Petroleum Service Port</v>
      </c>
      <c r="C24">
        <f>IF($A24&lt;&gt;"",INDEX(IDX_COMPO!$C:$C,SUMPRODUCT(--(IDX_COMPO!$A:$A=$A24),--($R24=IDX_COMPO!$F:$F),ROW(IDX_COMPO!$F:$F))),"")</f>
        <v>35000000</v>
      </c>
      <c r="D24">
        <f>IF($A24&lt;&gt;"",INDEX(IDX_COMPO!$D:$D,SUMPRODUCT(--(IDX_COMPO!$A:$A=$A24),--($R24=IDX_COMPO!$F:$F),ROW(IDX_COMPO!$F:$F))),"")</f>
        <v>100</v>
      </c>
      <c r="E24">
        <f>IF($A24&lt;&gt;"",INDEX(IDX_COMPO!$E:$E,SUMPRODUCT(--(IDX_COMPO!$A:$A=$A24),--($R24=IDX_COMPO!$F:$F),ROW(IDX_COMPO!$F:$F))),"")</f>
        <v>100</v>
      </c>
      <c r="F24" s="10">
        <f>IF($A24&lt;&gt;"",VLOOKUP($A24,STK_PRICES!$A$2:$L$593,12,0),"")</f>
        <v>5300</v>
      </c>
      <c r="G24" t="str">
        <f>IF($A24&lt;&gt;"",VLOOKUP($A24,STK_REF!$A$2:$H$593,7,0),"")</f>
        <v>VND</v>
      </c>
      <c r="H24">
        <f>IF($A24&lt;&gt;"",VLOOKUP($A24,STK_REF!$A$2:$H$593,8,0),"")</f>
        <v>1</v>
      </c>
      <c r="I24" s="8">
        <f>IF(A24&lt;&gt;"",IF(G24=Q24,1,IF(ISNA(VLOOKUP(G24&amp;Q24,CUR_RATES!$A$2:$F$524,4,0)),"",VLOOKUP(G24&amp;Q24,CUR_RATES!$A$2:$F$524,4,0))),"")</f>
        <v>1</v>
      </c>
      <c r="J24" s="10">
        <f t="shared" si="1"/>
        <v>5300</v>
      </c>
      <c r="K24" s="67">
        <f t="shared" si="2"/>
        <v>185500000000</v>
      </c>
      <c r="L24" s="75">
        <v>41165</v>
      </c>
      <c r="M24" s="1">
        <v>0</v>
      </c>
      <c r="N24" s="8" t="str">
        <f t="shared" si="3"/>
        <v/>
      </c>
      <c r="O24" s="29" t="str">
        <f t="shared" si="0"/>
        <v/>
      </c>
      <c r="P24" s="29" t="str">
        <f>IF(A24&lt;&gt;"",IF(ISNA(VLOOKUP(A24,STK_DIV!$A$2:$E$1048576,4,0)),"",IF(L24&lt;&gt;VLOOKUP(A24,STK_DIV!$A$2:$E$1048576,5,0),"",VLOOKUP(A24,STK_DIV!$A$2:$E$1048576,4,0))),"")</f>
        <v/>
      </c>
      <c r="Q24" t="str">
        <f t="shared" si="4"/>
        <v>VND</v>
      </c>
      <c r="R24" s="2" t="str">
        <f>IF(INDEX(IDX_COMPO!$F:$F,ROW(IDX_COMPO!F24))=0,"",INDEX(IDX_COMPO!$F:$F,ROW(IDX_COMPO!F24)))</f>
        <v>VNXASPRVND</v>
      </c>
      <c r="S24" s="27">
        <f t="shared" si="5"/>
        <v>4.6971697549660352E-3</v>
      </c>
      <c r="Y24">
        <v>0</v>
      </c>
    </row>
    <row r="25" spans="1:25" x14ac:dyDescent="0.2">
      <c r="A25" s="2" t="str">
        <f>IF(INDEX(IDX_COMPO!$A:$A,ROW(IDX_COMPO!A25))=0,"",INDEX(IDX_COMPO!$A:$A,ROW(IDX_COMPO!A25)))</f>
        <v>PGD</v>
      </c>
      <c r="B25" t="str">
        <f>IF($A25&lt;&gt;"",VLOOKUP($A25,STK_REF!$A$2:$H$593,3,0),"")</f>
        <v>VNX Low Pressure Gas Distribution</v>
      </c>
      <c r="C25">
        <f>IF($A25&lt;&gt;"",INDEX(IDX_COMPO!$C:$C,SUMPRODUCT(--(IDX_COMPO!$A:$A=$A25),--($R25=IDX_COMPO!$F:$F),ROW(IDX_COMPO!$F:$F))),"")</f>
        <v>52356713</v>
      </c>
      <c r="D25">
        <f>IF($A25&lt;&gt;"",INDEX(IDX_COMPO!$D:$D,SUMPRODUCT(--(IDX_COMPO!$A:$A=$A25),--($R25=IDX_COMPO!$F:$F),ROW(IDX_COMPO!$F:$F))),"")</f>
        <v>100</v>
      </c>
      <c r="E25">
        <f>IF($A25&lt;&gt;"",INDEX(IDX_COMPO!$E:$E,SUMPRODUCT(--(IDX_COMPO!$A:$A=$A25),--($R25=IDX_COMPO!$F:$F),ROW(IDX_COMPO!$F:$F))),"")</f>
        <v>100</v>
      </c>
      <c r="F25" s="10">
        <f>IF($A25&lt;&gt;"",VLOOKUP($A25,STK_PRICES!$A$2:$L$593,12,0),"")</f>
        <v>38800</v>
      </c>
      <c r="G25" t="str">
        <f>IF($A25&lt;&gt;"",VLOOKUP($A25,STK_REF!$A$2:$H$593,7,0),"")</f>
        <v>VND</v>
      </c>
      <c r="H25">
        <f>IF($A25&lt;&gt;"",VLOOKUP($A25,STK_REF!$A$2:$H$593,8,0),"")</f>
        <v>1</v>
      </c>
      <c r="I25" s="8">
        <f>IF(A25&lt;&gt;"",IF(G25=Q25,1,IF(ISNA(VLOOKUP(G25&amp;Q25,CUR_RATES!$A$2:$F$524,4,0)),"",VLOOKUP(G25&amp;Q25,CUR_RATES!$A$2:$F$524,4,0))),"")</f>
        <v>1</v>
      </c>
      <c r="J25" s="10">
        <f t="shared" si="1"/>
        <v>38800</v>
      </c>
      <c r="K25" s="67">
        <f t="shared" si="2"/>
        <v>2031440464400</v>
      </c>
      <c r="L25" s="75">
        <v>41165</v>
      </c>
      <c r="M25" s="1">
        <v>0</v>
      </c>
      <c r="N25" s="8" t="str">
        <f t="shared" si="3"/>
        <v/>
      </c>
      <c r="O25" s="29" t="str">
        <f t="shared" si="0"/>
        <v/>
      </c>
      <c r="P25" s="29" t="str">
        <f>IF(A25&lt;&gt;"",IF(ISNA(VLOOKUP(A25,STK_DIV!$A$2:$E$1048576,4,0)),"",IF(L25&lt;&gt;VLOOKUP(A25,STK_DIV!$A$2:$E$1048576,5,0),"",VLOOKUP(A25,STK_DIV!$A$2:$E$1048576,4,0))),"")</f>
        <v/>
      </c>
      <c r="Q25" t="str">
        <f t="shared" si="4"/>
        <v>VND</v>
      </c>
      <c r="R25" s="2" t="str">
        <f>IF(INDEX(IDX_COMPO!$F:$F,ROW(IDX_COMPO!F25))=0,"",INDEX(IDX_COMPO!$F:$F,ROW(IDX_COMPO!F25)))</f>
        <v>VNXASPRVND</v>
      </c>
      <c r="S25" s="27">
        <f t="shared" si="5"/>
        <v>5.1439464735276746E-2</v>
      </c>
      <c r="Y25">
        <v>0</v>
      </c>
    </row>
    <row r="26" spans="1:25" x14ac:dyDescent="0.2">
      <c r="A26" s="2" t="str">
        <f>IF(INDEX(IDX_COMPO!$A:$A,ROW(IDX_COMPO!A26))=0,"",INDEX(IDX_COMPO!$A:$A,ROW(IDX_COMPO!A26)))</f>
        <v>NT2</v>
      </c>
      <c r="B26" t="str">
        <f>IF($A26&lt;&gt;"",VLOOKUP($A26,STK_REF!$A$2:$H$593,3,0),"")</f>
        <v>VNX Power NhonTrach 2</v>
      </c>
      <c r="C26">
        <f>IF($A26&lt;&gt;"",INDEX(IDX_COMPO!$C:$C,SUMPRODUCT(--(IDX_COMPO!$A:$A=$A26),--($R26=IDX_COMPO!$F:$F),ROW(IDX_COMPO!$F:$F))),"")</f>
        <v>37518001</v>
      </c>
      <c r="D26">
        <f>IF($A26&lt;&gt;"",INDEX(IDX_COMPO!$D:$D,SUMPRODUCT(--(IDX_COMPO!$A:$A=$A26),--($R26=IDX_COMPO!$F:$F),ROW(IDX_COMPO!$F:$F))),"")</f>
        <v>100</v>
      </c>
      <c r="E26">
        <f>IF($A26&lt;&gt;"",INDEX(IDX_COMPO!$E:$E,SUMPRODUCT(--(IDX_COMPO!$A:$A=$A26),--($R26=IDX_COMPO!$F:$F),ROW(IDX_COMPO!$F:$F))),"")</f>
        <v>100</v>
      </c>
      <c r="F26" s="10">
        <f>IF($A26&lt;&gt;"",VLOOKUP($A26,STK_PRICES!$A$2:$L$593,12,0),"")</f>
        <v>4600</v>
      </c>
      <c r="G26" t="str">
        <f>IF($A26&lt;&gt;"",VLOOKUP($A26,STK_REF!$A$2:$H$593,7,0),"")</f>
        <v>VND</v>
      </c>
      <c r="H26">
        <f>IF($A26&lt;&gt;"",VLOOKUP($A26,STK_REF!$A$2:$H$593,8,0),"")</f>
        <v>1</v>
      </c>
      <c r="I26" s="8">
        <f>IF(A26&lt;&gt;"",IF(G26=Q26,1,IF(ISNA(VLOOKUP(G26&amp;Q26,CUR_RATES!$A$2:$F$524,4,0)),"",VLOOKUP(G26&amp;Q26,CUR_RATES!$A$2:$F$524,4,0))),"")</f>
        <v>1</v>
      </c>
      <c r="J26" s="10">
        <f t="shared" si="1"/>
        <v>4600</v>
      </c>
      <c r="K26" s="67">
        <f t="shared" si="2"/>
        <v>172582804600</v>
      </c>
      <c r="L26" s="75">
        <v>41165</v>
      </c>
      <c r="M26" s="1">
        <v>0</v>
      </c>
      <c r="N26" s="8" t="str">
        <f t="shared" si="3"/>
        <v/>
      </c>
      <c r="O26" s="29" t="str">
        <f t="shared" si="0"/>
        <v/>
      </c>
      <c r="P26" s="29" t="str">
        <f>IF(A26&lt;&gt;"",IF(ISNA(VLOOKUP(A26,STK_DIV!$A$2:$E$1048576,4,0)),"",IF(L26&lt;&gt;VLOOKUP(A26,STK_DIV!$A$2:$E$1048576,5,0),"",VLOOKUP(A26,STK_DIV!$A$2:$E$1048576,4,0))),"")</f>
        <v/>
      </c>
      <c r="Q26" t="str">
        <f t="shared" si="4"/>
        <v>VND</v>
      </c>
      <c r="R26" s="2" t="str">
        <f>IF(INDEX(IDX_COMPO!$F:$F,ROW(IDX_COMPO!F26))=0,"",INDEX(IDX_COMPO!$F:$F,ROW(IDX_COMPO!F26)))</f>
        <v>VNXASPRVND</v>
      </c>
      <c r="S26" s="27">
        <f t="shared" si="5"/>
        <v>4.3700847978131166E-3</v>
      </c>
      <c r="Y26">
        <v>0</v>
      </c>
    </row>
    <row r="27" spans="1:25" x14ac:dyDescent="0.2">
      <c r="A27" s="2" t="str">
        <f>IF(INDEX(IDX_COMPO!$A:$A,ROW(IDX_COMPO!A27))=0,"",INDEX(IDX_COMPO!$A:$A,ROW(IDX_COMPO!A27)))</f>
        <v>PTT</v>
      </c>
      <c r="B27" t="str">
        <f>IF($A27&lt;&gt;"",VLOOKUP($A27,STK_REF!$A$2:$H$593,3,0),"")</f>
        <v>Indochina Petroleum Transportation</v>
      </c>
      <c r="C27">
        <f>IF($A27&lt;&gt;"",INDEX(IDX_COMPO!$C:$C,SUMPRODUCT(--(IDX_COMPO!$A:$A=$A27),--($R27=IDX_COMPO!$F:$F),ROW(IDX_COMPO!$F:$F))),"")</f>
        <v>59841300</v>
      </c>
      <c r="D27">
        <f>IF($A27&lt;&gt;"",INDEX(IDX_COMPO!$D:$D,SUMPRODUCT(--(IDX_COMPO!$A:$A=$A27),--($R27=IDX_COMPO!$F:$F),ROW(IDX_COMPO!$F:$F))),"")</f>
        <v>100</v>
      </c>
      <c r="E27">
        <f>IF($A27&lt;&gt;"",INDEX(IDX_COMPO!$E:$E,SUMPRODUCT(--(IDX_COMPO!$A:$A=$A27),--($R27=IDX_COMPO!$F:$F),ROW(IDX_COMPO!$F:$F))),"")</f>
        <v>100</v>
      </c>
      <c r="F27" s="10">
        <f>IF($A27&lt;&gt;"",VLOOKUP($A27,STK_PRICES!$A$2:$L$593,12,0),"")</f>
        <v>1800</v>
      </c>
      <c r="G27" t="str">
        <f>IF($A27&lt;&gt;"",VLOOKUP($A27,STK_REF!$A$2:$H$593,7,0),"")</f>
        <v>VND</v>
      </c>
      <c r="H27">
        <f>IF($A27&lt;&gt;"",VLOOKUP($A27,STK_REF!$A$2:$H$593,8,0),"")</f>
        <v>1</v>
      </c>
      <c r="I27" s="8">
        <f>IF(A27&lt;&gt;"",IF(G27=Q27,1,IF(ISNA(VLOOKUP(G27&amp;Q27,CUR_RATES!$A$2:$F$524,4,0)),"",VLOOKUP(G27&amp;Q27,CUR_RATES!$A$2:$F$524,4,0))),"")</f>
        <v>1</v>
      </c>
      <c r="J27" s="10">
        <f t="shared" si="1"/>
        <v>1800</v>
      </c>
      <c r="K27" s="67">
        <f t="shared" si="2"/>
        <v>107714340000</v>
      </c>
      <c r="L27" s="75">
        <v>41165</v>
      </c>
      <c r="M27" s="1">
        <v>0</v>
      </c>
      <c r="N27" s="8" t="str">
        <f t="shared" si="3"/>
        <v/>
      </c>
      <c r="O27" s="29" t="str">
        <f t="shared" si="0"/>
        <v/>
      </c>
      <c r="P27" s="29" t="str">
        <f>IF(A27&lt;&gt;"",IF(ISNA(VLOOKUP(A27,STK_DIV!$A$2:$E$1048576,4,0)),"",IF(L27&lt;&gt;VLOOKUP(A27,STK_DIV!$A$2:$E$1048576,5,0),"",VLOOKUP(A27,STK_DIV!$A$2:$E$1048576,4,0))),"")</f>
        <v/>
      </c>
      <c r="Q27" t="str">
        <f t="shared" si="4"/>
        <v>VND</v>
      </c>
      <c r="R27" s="2" t="str">
        <f>IF(INDEX(IDX_COMPO!$F:$F,ROW(IDX_COMPO!F27))=0,"",INDEX(IDX_COMPO!$F:$F,ROW(IDX_COMPO!F27)))</f>
        <v>VNXASPRVND</v>
      </c>
      <c r="S27" s="27">
        <f t="shared" si="5"/>
        <v>2.7275069543079688E-3</v>
      </c>
      <c r="Y27">
        <v>0</v>
      </c>
    </row>
    <row r="28" spans="1:25" x14ac:dyDescent="0.2">
      <c r="A28" s="2" t="str">
        <f>IF(INDEX(IDX_COMPO!$A:$A,ROW(IDX_COMPO!A28))=0,"",INDEX(IDX_COMPO!$A:$A,ROW(IDX_COMPO!A28)))</f>
        <v>PXT</v>
      </c>
      <c r="B28" t="str">
        <f>IF($A28&lt;&gt;"",VLOOKUP($A28,STK_REF!$A$2:$H$593,3,0),"")</f>
        <v>Petroleum Pipeline and Tank Construction</v>
      </c>
      <c r="C28">
        <f>IF($A28&lt;&gt;"",INDEX(IDX_COMPO!$C:$C,SUMPRODUCT(--(IDX_COMPO!$A:$A=$A28),--($R28=IDX_COMPO!$F:$F),ROW(IDX_COMPO!$F:$F))),"")</f>
        <v>27719850</v>
      </c>
      <c r="D28">
        <f>IF($A28&lt;&gt;"",INDEX(IDX_COMPO!$D:$D,SUMPRODUCT(--(IDX_COMPO!$A:$A=$A28),--($R28=IDX_COMPO!$F:$F),ROW(IDX_COMPO!$F:$F))),"")</f>
        <v>100</v>
      </c>
      <c r="E28">
        <f>IF($A28&lt;&gt;"",INDEX(IDX_COMPO!$E:$E,SUMPRODUCT(--(IDX_COMPO!$A:$A=$A28),--($R28=IDX_COMPO!$F:$F),ROW(IDX_COMPO!$F:$F))),"")</f>
        <v>100</v>
      </c>
      <c r="F28" s="10">
        <f>IF($A28&lt;&gt;"",VLOOKUP($A28,STK_PRICES!$A$2:$L$593,12,0),"")</f>
        <v>4200</v>
      </c>
      <c r="G28" t="str">
        <f>IF($A28&lt;&gt;"",VLOOKUP($A28,STK_REF!$A$2:$H$593,7,0),"")</f>
        <v>VND</v>
      </c>
      <c r="H28">
        <f>IF($A28&lt;&gt;"",VLOOKUP($A28,STK_REF!$A$2:$H$593,8,0),"")</f>
        <v>1</v>
      </c>
      <c r="I28" s="8">
        <f>IF(A28&lt;&gt;"",IF(G28=Q28,1,IF(ISNA(VLOOKUP(G28&amp;Q28,CUR_RATES!$A$2:$F$524,4,0)),"",VLOOKUP(G28&amp;Q28,CUR_RATES!$A$2:$F$524,4,0))),"")</f>
        <v>1</v>
      </c>
      <c r="J28" s="10">
        <f t="shared" si="1"/>
        <v>4200</v>
      </c>
      <c r="K28" s="67">
        <f t="shared" si="2"/>
        <v>116423370000</v>
      </c>
      <c r="L28" s="75">
        <v>41165</v>
      </c>
      <c r="M28" s="1">
        <v>0</v>
      </c>
      <c r="N28" s="8" t="str">
        <f t="shared" si="3"/>
        <v/>
      </c>
      <c r="O28" s="29" t="str">
        <f t="shared" si="0"/>
        <v/>
      </c>
      <c r="P28" s="29" t="str">
        <f>IF(A28&lt;&gt;"",IF(ISNA(VLOOKUP(A28,STK_DIV!$A$2:$E$1048576,4,0)),"",IF(L28&lt;&gt;VLOOKUP(A28,STK_DIV!$A$2:$E$1048576,5,0),"",VLOOKUP(A28,STK_DIV!$A$2:$E$1048576,4,0))),"")</f>
        <v/>
      </c>
      <c r="Q28" t="str">
        <f t="shared" si="4"/>
        <v>VND</v>
      </c>
      <c r="R28" s="2" t="str">
        <f>IF(INDEX(IDX_COMPO!$F:$F,ROW(IDX_COMPO!F28))=0,"",INDEX(IDX_COMPO!$F:$F,ROW(IDX_COMPO!F28)))</f>
        <v>VNXASPRVND</v>
      </c>
      <c r="S28" s="27">
        <f t="shared" si="5"/>
        <v>2.9480341365780054E-3</v>
      </c>
      <c r="T28">
        <v>1000000000</v>
      </c>
      <c r="U28">
        <v>100</v>
      </c>
      <c r="V28">
        <v>100</v>
      </c>
      <c r="W28">
        <v>22.9</v>
      </c>
      <c r="X28">
        <v>0</v>
      </c>
      <c r="Y28">
        <v>1</v>
      </c>
    </row>
    <row r="29" spans="1:25" x14ac:dyDescent="0.2">
      <c r="A29" s="2" t="str">
        <f>IF(INDEX(IDX_COMPO!$A:$A,ROW(IDX_COMPO!A29))=0,"",INDEX(IDX_COMPO!$A:$A,ROW(IDX_COMPO!A29)))</f>
        <v>PXS</v>
      </c>
      <c r="B29" t="str">
        <f>IF($A29&lt;&gt;"",VLOOKUP($A29,STK_REF!$A$2:$H$593,3,0),"")</f>
        <v>Petroleum Equipment Assembly and Metal Structure</v>
      </c>
      <c r="C29">
        <f>IF($A29&lt;&gt;"",INDEX(IDX_COMPO!$C:$C,SUMPRODUCT(--(IDX_COMPO!$A:$A=$A29),--($R29=IDX_COMPO!$F:$F),ROW(IDX_COMPO!$F:$F))),"")</f>
        <v>50000000</v>
      </c>
      <c r="D29">
        <f>IF($A29&lt;&gt;"",INDEX(IDX_COMPO!$D:$D,SUMPRODUCT(--(IDX_COMPO!$A:$A=$A29),--($R29=IDX_COMPO!$F:$F),ROW(IDX_COMPO!$F:$F))),"")</f>
        <v>100</v>
      </c>
      <c r="E29">
        <f>IF($A29&lt;&gt;"",INDEX(IDX_COMPO!$E:$E,SUMPRODUCT(--(IDX_COMPO!$A:$A=$A29),--($R29=IDX_COMPO!$F:$F),ROW(IDX_COMPO!$F:$F))),"")</f>
        <v>100</v>
      </c>
      <c r="F29" s="10">
        <f>IF($A29&lt;&gt;"",VLOOKUP($A29,STK_PRICES!$A$2:$L$593,12,0),"")</f>
        <v>9400</v>
      </c>
      <c r="G29" t="str">
        <f>IF($A29&lt;&gt;"",VLOOKUP($A29,STK_REF!$A$2:$H$593,7,0),"")</f>
        <v>VND</v>
      </c>
      <c r="H29">
        <f>IF($A29&lt;&gt;"",VLOOKUP($A29,STK_REF!$A$2:$H$593,8,0),"")</f>
        <v>1</v>
      </c>
      <c r="I29" s="8">
        <f>IF(A29&lt;&gt;"",IF(G29=Q29,1,IF(ISNA(VLOOKUP(G29&amp;Q29,CUR_RATES!$A$2:$F$524,4,0)),"",VLOOKUP(G29&amp;Q29,CUR_RATES!$A$2:$F$524,4,0))),"")</f>
        <v>1</v>
      </c>
      <c r="J29" s="10">
        <f t="shared" si="1"/>
        <v>9400</v>
      </c>
      <c r="K29" s="67">
        <f t="shared" si="2"/>
        <v>470000000000</v>
      </c>
      <c r="L29" s="75">
        <v>41165</v>
      </c>
      <c r="M29" s="1">
        <v>0</v>
      </c>
      <c r="N29" s="8" t="str">
        <f t="shared" si="3"/>
        <v/>
      </c>
      <c r="O29" s="29" t="str">
        <f t="shared" si="0"/>
        <v/>
      </c>
      <c r="P29" s="29" t="str">
        <f>IF(A29&lt;&gt;"",IF(ISNA(VLOOKUP(A29,STK_DIV!$A$2:$E$1048576,4,0)),"",IF(L29&lt;&gt;VLOOKUP(A29,STK_DIV!$A$2:$E$1048576,5,0),"",VLOOKUP(A29,STK_DIV!$A$2:$E$1048576,4,0))),"")</f>
        <v/>
      </c>
      <c r="Q29" t="str">
        <f t="shared" si="4"/>
        <v>VND</v>
      </c>
      <c r="R29" s="2" t="str">
        <f>IF(INDEX(IDX_COMPO!$F:$F,ROW(IDX_COMPO!F29))=0,"",INDEX(IDX_COMPO!$F:$F,ROW(IDX_COMPO!F29)))</f>
        <v>VNXASPRVND</v>
      </c>
      <c r="S29" s="27">
        <f t="shared" si="5"/>
        <v>1.1901184823903161E-2</v>
      </c>
      <c r="Y29">
        <v>0</v>
      </c>
    </row>
    <row r="30" spans="1:25" x14ac:dyDescent="0.2">
      <c r="A30" s="2" t="str">
        <f>IF(INDEX(IDX_COMPO!$A:$A,ROW(IDX_COMPO!A30))=0,"",INDEX(IDX_COMPO!$A:$A,ROW(IDX_COMPO!A30)))</f>
        <v>PVR</v>
      </c>
      <c r="B30" t="str">
        <f>IF($A30&lt;&gt;"",VLOOKUP($A30,STK_REF!$A$2:$H$593,3,0),"")</f>
        <v>VNX Premier Recreation</v>
      </c>
      <c r="C30">
        <f>IF($A30&lt;&gt;"",INDEX(IDX_COMPO!$C:$C,SUMPRODUCT(--(IDX_COMPO!$A:$A=$A30),--($R30=IDX_COMPO!$F:$F),ROW(IDX_COMPO!$F:$F))),"")</f>
        <v>35000000</v>
      </c>
      <c r="D30">
        <f>IF($A30&lt;&gt;"",INDEX(IDX_COMPO!$D:$D,SUMPRODUCT(--(IDX_COMPO!$A:$A=$A30),--($R30=IDX_COMPO!$F:$F),ROW(IDX_COMPO!$F:$F))),"")</f>
        <v>100</v>
      </c>
      <c r="E30">
        <f>IF($A30&lt;&gt;"",INDEX(IDX_COMPO!$E:$E,SUMPRODUCT(--(IDX_COMPO!$A:$A=$A30),--($R30=IDX_COMPO!$F:$F),ROW(IDX_COMPO!$F:$F))),"")</f>
        <v>100</v>
      </c>
      <c r="F30" s="10">
        <f>IF($A30&lt;&gt;"",VLOOKUP($A30,STK_PRICES!$A$2:$L$593,12,0),"")</f>
        <v>3600</v>
      </c>
      <c r="G30" t="str">
        <f>IF($A30&lt;&gt;"",VLOOKUP($A30,STK_REF!$A$2:$H$593,7,0),"")</f>
        <v>VND</v>
      </c>
      <c r="H30">
        <f>IF($A30&lt;&gt;"",VLOOKUP($A30,STK_REF!$A$2:$H$593,8,0),"")</f>
        <v>1</v>
      </c>
      <c r="I30" s="8">
        <f>IF(A30&lt;&gt;"",IF(G30=Q30,1,IF(ISNA(VLOOKUP(G30&amp;Q30,CUR_RATES!$A$2:$F$524,4,0)),"",VLOOKUP(G30&amp;Q30,CUR_RATES!$A$2:$F$524,4,0))),"")</f>
        <v>1</v>
      </c>
      <c r="J30" s="10">
        <f t="shared" si="1"/>
        <v>3600</v>
      </c>
      <c r="K30" s="67">
        <f t="shared" si="2"/>
        <v>126000000000</v>
      </c>
      <c r="L30" s="75">
        <v>41165</v>
      </c>
      <c r="M30" s="1">
        <v>0</v>
      </c>
      <c r="N30" s="8" t="str">
        <f t="shared" si="3"/>
        <v/>
      </c>
      <c r="O30" s="29" t="str">
        <f t="shared" si="0"/>
        <v/>
      </c>
      <c r="P30" s="29" t="str">
        <f>IF(A30&lt;&gt;"",IF(ISNA(VLOOKUP(A30,STK_DIV!$A$2:$E$1048576,4,0)),"",IF(L30&lt;&gt;VLOOKUP(A30,STK_DIV!$A$2:$E$1048576,5,0),"",VLOOKUP(A30,STK_DIV!$A$2:$E$1048576,4,0))),"")</f>
        <v/>
      </c>
      <c r="Q30" t="str">
        <f t="shared" si="4"/>
        <v>VND</v>
      </c>
      <c r="R30" s="2" t="str">
        <f>IF(INDEX(IDX_COMPO!$F:$F,ROW(IDX_COMPO!F30))=0,"",INDEX(IDX_COMPO!$F:$F,ROW(IDX_COMPO!F30)))</f>
        <v>VNXASPRVND</v>
      </c>
      <c r="S30" s="27">
        <f t="shared" si="5"/>
        <v>3.1905303995995709E-3</v>
      </c>
      <c r="Y30">
        <v>0</v>
      </c>
    </row>
    <row r="31" spans="1:25" x14ac:dyDescent="0.2">
      <c r="A31" s="2" t="str">
        <f>IF(INDEX(IDX_COMPO!$A:$A,ROW(IDX_COMPO!A31))=0,"",INDEX(IDX_COMPO!$A:$A,ROW(IDX_COMPO!A31)))</f>
        <v>PXI</v>
      </c>
      <c r="B31" t="str">
        <f>IF($A31&lt;&gt;"",VLOOKUP($A31,STK_REF!$A$2:$H$593,3,0),"")</f>
        <v>Petroleum Industrial and Civil Construction</v>
      </c>
      <c r="C31">
        <f>IF($A31&lt;&gt;"",INDEX(IDX_COMPO!$C:$C,SUMPRODUCT(--(IDX_COMPO!$A:$A=$A31),--($R31=IDX_COMPO!$F:$F),ROW(IDX_COMPO!$F:$F))),"")</f>
        <v>30000000</v>
      </c>
      <c r="D31">
        <f>IF($A31&lt;&gt;"",INDEX(IDX_COMPO!$D:$D,SUMPRODUCT(--(IDX_COMPO!$A:$A=$A31),--($R31=IDX_COMPO!$F:$F),ROW(IDX_COMPO!$F:$F))),"")</f>
        <v>100</v>
      </c>
      <c r="E31">
        <f>IF($A31&lt;&gt;"",INDEX(IDX_COMPO!$E:$E,SUMPRODUCT(--(IDX_COMPO!$A:$A=$A31),--($R31=IDX_COMPO!$F:$F),ROW(IDX_COMPO!$F:$F))),"")</f>
        <v>100</v>
      </c>
      <c r="F31" s="10">
        <f>IF($A31&lt;&gt;"",VLOOKUP($A31,STK_PRICES!$A$2:$L$593,12,0),"")</f>
        <v>4000</v>
      </c>
      <c r="G31" t="str">
        <f>IF($A31&lt;&gt;"",VLOOKUP($A31,STK_REF!$A$2:$H$593,7,0),"")</f>
        <v>VND</v>
      </c>
      <c r="H31">
        <f>IF($A31&lt;&gt;"",VLOOKUP($A31,STK_REF!$A$2:$H$593,8,0),"")</f>
        <v>1</v>
      </c>
      <c r="I31" s="8">
        <f>IF(A31&lt;&gt;"",IF(G31=Q31,1,IF(ISNA(VLOOKUP(G31&amp;Q31,CUR_RATES!$A$2:$F$524,4,0)),"",VLOOKUP(G31&amp;Q31,CUR_RATES!$A$2:$F$524,4,0))),"")</f>
        <v>1</v>
      </c>
      <c r="J31" s="10">
        <f t="shared" si="1"/>
        <v>4000</v>
      </c>
      <c r="K31" s="67">
        <f t="shared" si="2"/>
        <v>120000000000</v>
      </c>
      <c r="L31" s="75">
        <v>41165</v>
      </c>
      <c r="M31" s="1">
        <v>0</v>
      </c>
      <c r="N31" s="8" t="str">
        <f t="shared" si="3"/>
        <v/>
      </c>
      <c r="O31" s="29" t="str">
        <f t="shared" si="0"/>
        <v/>
      </c>
      <c r="P31" s="29" t="str">
        <f>IF(A31&lt;&gt;"",IF(ISNA(VLOOKUP(A31,STK_DIV!$A$2:$E$1048576,4,0)),"",IF(L31&lt;&gt;VLOOKUP(A31,STK_DIV!$A$2:$E$1048576,5,0),"",VLOOKUP(A31,STK_DIV!$A$2:$E$1048576,4,0))),"")</f>
        <v/>
      </c>
      <c r="Q31" t="str">
        <f t="shared" si="4"/>
        <v>VND</v>
      </c>
      <c r="R31" s="2" t="str">
        <f>IF(INDEX(IDX_COMPO!$F:$F,ROW(IDX_COMPO!F31))=0,"",INDEX(IDX_COMPO!$F:$F,ROW(IDX_COMPO!F31)))</f>
        <v>VNXASPRVND</v>
      </c>
      <c r="S31" s="27">
        <f t="shared" si="5"/>
        <v>3.0386003805710198E-3</v>
      </c>
      <c r="Y31">
        <v>0</v>
      </c>
    </row>
    <row r="32" spans="1:25" x14ac:dyDescent="0.2">
      <c r="A32" s="2" t="str">
        <f>IF(INDEX(IDX_COMPO!$A:$A,ROW(IDX_COMPO!A32))=0,"",INDEX(IDX_COMPO!$A:$A,ROW(IDX_COMPO!A32)))</f>
        <v>PXM</v>
      </c>
      <c r="B32" t="str">
        <f>IF($A32&lt;&gt;"",VLOOKUP($A32,STK_REF!$A$2:$H$593,3,0),"")</f>
        <v>Mientrung Petroleum Construction</v>
      </c>
      <c r="C32">
        <f>IF($A32&lt;&gt;"",INDEX(IDX_COMPO!$C:$C,SUMPRODUCT(--(IDX_COMPO!$A:$A=$A32),--($R32=IDX_COMPO!$F:$F),ROW(IDX_COMPO!$F:$F))),"")</f>
        <v>18000000</v>
      </c>
      <c r="D32">
        <f>IF($A32&lt;&gt;"",INDEX(IDX_COMPO!$D:$D,SUMPRODUCT(--(IDX_COMPO!$A:$A=$A32),--($R32=IDX_COMPO!$F:$F),ROW(IDX_COMPO!$F:$F))),"")</f>
        <v>100</v>
      </c>
      <c r="E32">
        <f>IF($A32&lt;&gt;"",INDEX(IDX_COMPO!$E:$E,SUMPRODUCT(--(IDX_COMPO!$A:$A=$A32),--($R32=IDX_COMPO!$F:$F),ROW(IDX_COMPO!$F:$F))),"")</f>
        <v>100</v>
      </c>
      <c r="F32" s="10">
        <f>IF($A32&lt;&gt;"",VLOOKUP($A32,STK_PRICES!$A$2:$L$593,12,0),"")</f>
        <v>3200</v>
      </c>
      <c r="G32" t="str">
        <f>IF($A32&lt;&gt;"",VLOOKUP($A32,STK_REF!$A$2:$H$593,7,0),"")</f>
        <v>VND</v>
      </c>
      <c r="H32">
        <f>IF($A32&lt;&gt;"",VLOOKUP($A32,STK_REF!$A$2:$H$593,8,0),"")</f>
        <v>1</v>
      </c>
      <c r="I32" s="8">
        <f>IF(A32&lt;&gt;"",IF(G32=Q32,1,IF(ISNA(VLOOKUP(G32&amp;Q32,CUR_RATES!$A$2:$F$524,4,0)),"",VLOOKUP(G32&amp;Q32,CUR_RATES!$A$2:$F$524,4,0))),"")</f>
        <v>1</v>
      </c>
      <c r="J32" s="10">
        <f t="shared" si="1"/>
        <v>3200</v>
      </c>
      <c r="K32" s="67">
        <f t="shared" si="2"/>
        <v>57600000000</v>
      </c>
      <c r="L32" s="75">
        <v>41165</v>
      </c>
      <c r="M32" s="1">
        <v>0</v>
      </c>
      <c r="N32" s="8" t="str">
        <f t="shared" si="3"/>
        <v/>
      </c>
      <c r="O32" s="29" t="str">
        <f t="shared" si="0"/>
        <v/>
      </c>
      <c r="P32" s="29" t="str">
        <f>IF(A32&lt;&gt;"",IF(ISNA(VLOOKUP(A32,STK_DIV!$A$2:$E$1048576,4,0)),"",IF(L32&lt;&gt;VLOOKUP(A32,STK_DIV!$A$2:$E$1048576,5,0),"",VLOOKUP(A32,STK_DIV!$A$2:$E$1048576,4,0))),"")</f>
        <v/>
      </c>
      <c r="Q32" t="str">
        <f t="shared" si="4"/>
        <v>VND</v>
      </c>
      <c r="R32" s="2" t="str">
        <f>IF(INDEX(IDX_COMPO!$F:$F,ROW(IDX_COMPO!F32))=0,"",INDEX(IDX_COMPO!$F:$F,ROW(IDX_COMPO!F32)))</f>
        <v>VNXASPRVND</v>
      </c>
      <c r="S32" s="27">
        <f t="shared" si="5"/>
        <v>1.4585281826740896E-3</v>
      </c>
      <c r="T32">
        <v>240000000</v>
      </c>
      <c r="U32">
        <v>100</v>
      </c>
      <c r="V32">
        <v>10</v>
      </c>
      <c r="W32">
        <v>12.2</v>
      </c>
      <c r="X32">
        <v>0</v>
      </c>
      <c r="Y32">
        <v>1</v>
      </c>
    </row>
    <row r="33" spans="1:25" x14ac:dyDescent="0.2">
      <c r="A33" s="2" t="str">
        <f>IF(INDEX(IDX_COMPO!$A:$A,ROW(IDX_COMPO!A33))=0,"",INDEX(IDX_COMPO!$A:$A,ROW(IDX_COMPO!A33)))</f>
        <v>PSI</v>
      </c>
      <c r="B33" t="str">
        <f>IF($A33&lt;&gt;"",VLOOKUP($A33,STK_REF!$A$2:$H$593,3,0),"")</f>
        <v>VNX Securities Incorporated</v>
      </c>
      <c r="C33">
        <f>IF($A33&lt;&gt;"",INDEX(IDX_COMPO!$C:$C,SUMPRODUCT(--(IDX_COMPO!$A:$A=$A33),--($R33=IDX_COMPO!$F:$F),ROW(IDX_COMPO!$F:$F))),"")</f>
        <v>15000000</v>
      </c>
      <c r="D33">
        <f>IF($A33&lt;&gt;"",INDEX(IDX_COMPO!$D:$D,SUMPRODUCT(--(IDX_COMPO!$A:$A=$A33),--($R33=IDX_COMPO!$F:$F),ROW(IDX_COMPO!$F:$F))),"")</f>
        <v>100</v>
      </c>
      <c r="E33">
        <f>IF($A33&lt;&gt;"",INDEX(IDX_COMPO!$E:$E,SUMPRODUCT(--(IDX_COMPO!$A:$A=$A33),--($R33=IDX_COMPO!$F:$F),ROW(IDX_COMPO!$F:$F))),"")</f>
        <v>100</v>
      </c>
      <c r="F33" s="10">
        <f>IF($A33&lt;&gt;"",VLOOKUP($A33,STK_PRICES!$A$2:$L$593,12,0),"")</f>
        <v>3600</v>
      </c>
      <c r="G33" t="str">
        <f>IF($A33&lt;&gt;"",VLOOKUP($A33,STK_REF!$A$2:$H$593,7,0),"")</f>
        <v>VND</v>
      </c>
      <c r="H33">
        <f>IF($A33&lt;&gt;"",VLOOKUP($A33,STK_REF!$A$2:$H$593,8,0),"")</f>
        <v>1</v>
      </c>
      <c r="I33" s="8">
        <f>IF(A33&lt;&gt;"",IF(G33=Q33,1,IF(ISNA(VLOOKUP(G33&amp;Q33,CUR_RATES!$A$2:$F$524,4,0)),"",VLOOKUP(G33&amp;Q33,CUR_RATES!$A$2:$F$524,4,0))),"")</f>
        <v>1</v>
      </c>
      <c r="J33" s="10">
        <f t="shared" si="1"/>
        <v>3600</v>
      </c>
      <c r="K33" s="67">
        <f t="shared" si="2"/>
        <v>54000000000</v>
      </c>
      <c r="L33" s="75">
        <v>41165</v>
      </c>
      <c r="M33" s="1">
        <v>0</v>
      </c>
      <c r="N33" s="8" t="str">
        <f t="shared" si="3"/>
        <v/>
      </c>
      <c r="O33" s="29" t="str">
        <f t="shared" si="0"/>
        <v/>
      </c>
      <c r="P33" s="29" t="str">
        <f>IF(A33&lt;&gt;"",IF(ISNA(VLOOKUP(A33,STK_DIV!$A$2:$E$1048576,4,0)),"",IF(L33&lt;&gt;VLOOKUP(A33,STK_DIV!$A$2:$E$1048576,5,0),"",VLOOKUP(A33,STK_DIV!$A$2:$E$1048576,4,0))),"")</f>
        <v/>
      </c>
      <c r="Q33" t="str">
        <f t="shared" si="4"/>
        <v>VND</v>
      </c>
      <c r="R33" s="2" t="str">
        <f>IF(INDEX(IDX_COMPO!$F:$F,ROW(IDX_COMPO!F33))=0,"",INDEX(IDX_COMPO!$F:$F,ROW(IDX_COMPO!F33)))</f>
        <v>VNXASPRVND</v>
      </c>
      <c r="S33" s="27">
        <f t="shared" si="5"/>
        <v>1.367370171256959E-3</v>
      </c>
      <c r="Y33">
        <v>0</v>
      </c>
    </row>
    <row r="34" spans="1:25" x14ac:dyDescent="0.2">
      <c r="A34" s="2" t="str">
        <f>IF(INDEX(IDX_COMPO!$A:$A,ROW(IDX_COMPO!A34))=0,"",INDEX(IDX_COMPO!$A:$A,ROW(IDX_COMPO!A34)))</f>
        <v>PCT</v>
      </c>
      <c r="B34" t="str">
        <f>IF($A34&lt;&gt;"",VLOOKUP($A34,STK_REF!$A$2:$H$593,3,0),"")</f>
        <v>Cuu Long Petro Gas Service Transportation</v>
      </c>
      <c r="C34">
        <f>IF($A34&lt;&gt;"",INDEX(IDX_COMPO!$C:$C,SUMPRODUCT(--(IDX_COMPO!$A:$A=$A34),--($R34=IDX_COMPO!$F:$F),ROW(IDX_COMPO!$F:$F))),"")</f>
        <v>15000000</v>
      </c>
      <c r="D34">
        <f>IF($A34&lt;&gt;"",INDEX(IDX_COMPO!$D:$D,SUMPRODUCT(--(IDX_COMPO!$A:$A=$A34),--($R34=IDX_COMPO!$F:$F),ROW(IDX_COMPO!$F:$F))),"")</f>
        <v>100</v>
      </c>
      <c r="E34">
        <f>IF($A34&lt;&gt;"",INDEX(IDX_COMPO!$E:$E,SUMPRODUCT(--(IDX_COMPO!$A:$A=$A34),--($R34=IDX_COMPO!$F:$F),ROW(IDX_COMPO!$F:$F))),"")</f>
        <v>100</v>
      </c>
      <c r="F34" s="10">
        <f>IF($A34&lt;&gt;"",VLOOKUP($A34,STK_PRICES!$A$2:$L$593,12,0),"")</f>
        <v>2900</v>
      </c>
      <c r="G34" t="str">
        <f>IF($A34&lt;&gt;"",VLOOKUP($A34,STK_REF!$A$2:$H$593,7,0),"")</f>
        <v>VND</v>
      </c>
      <c r="H34">
        <f>IF($A34&lt;&gt;"",VLOOKUP($A34,STK_REF!$A$2:$H$593,8,0),"")</f>
        <v>1</v>
      </c>
      <c r="I34" s="8">
        <f>IF(A34&lt;&gt;"",IF(G34=Q34,1,IF(ISNA(VLOOKUP(G34&amp;Q34,CUR_RATES!$A$2:$F$524,4,0)),"",VLOOKUP(G34&amp;Q34,CUR_RATES!$A$2:$F$524,4,0))),"")</f>
        <v>1</v>
      </c>
      <c r="J34" s="10">
        <f t="shared" si="1"/>
        <v>2900</v>
      </c>
      <c r="K34" s="67">
        <f t="shared" si="2"/>
        <v>43500000000</v>
      </c>
      <c r="L34" s="75">
        <v>41165</v>
      </c>
      <c r="M34" s="1">
        <v>0</v>
      </c>
      <c r="N34" s="8" t="str">
        <f t="shared" si="3"/>
        <v/>
      </c>
      <c r="O34" s="29" t="str">
        <f t="shared" si="0"/>
        <v/>
      </c>
      <c r="P34" s="29" t="str">
        <f>IF(A34&lt;&gt;"",IF(ISNA(VLOOKUP(A34,STK_DIV!$A$2:$E$1048576,4,0)),"",IF(L34&lt;&gt;VLOOKUP(A34,STK_DIV!$A$2:$E$1048576,5,0),"",VLOOKUP(A34,STK_DIV!$A$2:$E$1048576,4,0))),"")</f>
        <v/>
      </c>
      <c r="Q34" t="str">
        <f t="shared" si="4"/>
        <v>VND</v>
      </c>
      <c r="R34" s="2" t="str">
        <f>IF(INDEX(IDX_COMPO!$F:$F,ROW(IDX_COMPO!F34))=0,"",INDEX(IDX_COMPO!$F:$F,ROW(IDX_COMPO!F34)))</f>
        <v>VNXASPRVND</v>
      </c>
      <c r="S34" s="27">
        <f t="shared" si="5"/>
        <v>1.1014926379569947E-3</v>
      </c>
      <c r="Y34">
        <v>0</v>
      </c>
    </row>
    <row r="35" spans="1:25" x14ac:dyDescent="0.2">
      <c r="A35" s="2" t="str">
        <f>IF(INDEX(IDX_COMPO!$A:$A,ROW(IDX_COMPO!A35))=0,"",INDEX(IDX_COMPO!$A:$A,ROW(IDX_COMPO!A35)))</f>
        <v>PTL</v>
      </c>
      <c r="B35" t="str">
        <f>IF($A35&lt;&gt;"",VLOOKUP($A35,STK_REF!$A$2:$H$593,3,0),"")</f>
        <v>Petro Capital and Infrastructure Investment</v>
      </c>
      <c r="C35">
        <f>IF($A35&lt;&gt;"",INDEX(IDX_COMPO!$C:$C,SUMPRODUCT(--(IDX_COMPO!$A:$A=$A35),--($R35=IDX_COMPO!$F:$F),ROW(IDX_COMPO!$F:$F))),"")</f>
        <v>20000000</v>
      </c>
      <c r="D35">
        <f>IF($A35&lt;&gt;"",INDEX(IDX_COMPO!$D:$D,SUMPRODUCT(--(IDX_COMPO!$A:$A=$A35),--($R35=IDX_COMPO!$F:$F),ROW(IDX_COMPO!$F:$F))),"")</f>
        <v>100</v>
      </c>
      <c r="E35">
        <f>IF($A35&lt;&gt;"",INDEX(IDX_COMPO!$E:$E,SUMPRODUCT(--(IDX_COMPO!$A:$A=$A35),--($R35=IDX_COMPO!$F:$F),ROW(IDX_COMPO!$F:$F))),"")</f>
        <v>100</v>
      </c>
      <c r="F35" s="10">
        <f>IF($A35&lt;&gt;"",VLOOKUP($A35,STK_PRICES!$A$2:$L$593,12,0),"")</f>
        <v>2900</v>
      </c>
      <c r="G35" t="str">
        <f>IF($A35&lt;&gt;"",VLOOKUP($A35,STK_REF!$A$2:$H$593,7,0),"")</f>
        <v>VND</v>
      </c>
      <c r="H35">
        <f>IF($A35&lt;&gt;"",VLOOKUP($A35,STK_REF!$A$2:$H$593,8,0),"")</f>
        <v>1</v>
      </c>
      <c r="I35" s="8">
        <f>IF(A35&lt;&gt;"",IF(G35=Q35,1,IF(ISNA(VLOOKUP(G35&amp;Q35,CUR_RATES!$A$2:$F$524,4,0)),"",VLOOKUP(G35&amp;Q35,CUR_RATES!$A$2:$F$524,4,0))),"")</f>
        <v>1</v>
      </c>
      <c r="J35" s="10">
        <f t="shared" si="1"/>
        <v>2900</v>
      </c>
      <c r="K35" s="67">
        <f t="shared" si="2"/>
        <v>58000000000</v>
      </c>
      <c r="L35" s="75">
        <v>41165</v>
      </c>
      <c r="M35" s="1">
        <v>0</v>
      </c>
      <c r="N35" s="8" t="str">
        <f t="shared" si="3"/>
        <v/>
      </c>
      <c r="O35" s="29" t="str">
        <f t="shared" si="0"/>
        <v/>
      </c>
      <c r="P35" s="29" t="str">
        <f>IF(A35&lt;&gt;"",IF(ISNA(VLOOKUP(A35,STK_DIV!$A$2:$E$1048576,4,0)),"",IF(L35&lt;&gt;VLOOKUP(A35,STK_DIV!$A$2:$E$1048576,5,0),"",VLOOKUP(A35,STK_DIV!$A$2:$E$1048576,4,0))),"")</f>
        <v/>
      </c>
      <c r="Q35" t="str">
        <f t="shared" si="4"/>
        <v>VND</v>
      </c>
      <c r="R35" s="2" t="str">
        <f>IF(INDEX(IDX_COMPO!$F:$F,ROW(IDX_COMPO!F35))=0,"",INDEX(IDX_COMPO!$F:$F,ROW(IDX_COMPO!F35)))</f>
        <v>VNXASPRVND</v>
      </c>
      <c r="S35" s="27">
        <f t="shared" si="5"/>
        <v>1.4686568506093263E-3</v>
      </c>
      <c r="Y35">
        <v>0</v>
      </c>
    </row>
    <row r="36" spans="1:25" x14ac:dyDescent="0.2">
      <c r="A36" s="2" t="str">
        <f>IF(INDEX(IDX_COMPO!$A:$A,ROW(IDX_COMPO!A36))=0,"",INDEX(IDX_COMPO!$A:$A,ROW(IDX_COMPO!A36)))</f>
        <v>POV</v>
      </c>
      <c r="B36" t="str">
        <f>IF($A36&lt;&gt;"",VLOOKUP($A36,STK_REF!$A$2:$H$593,3,0),"")</f>
        <v>Vung Ang Petroleum</v>
      </c>
      <c r="C36">
        <f>IF($A36&lt;&gt;"",INDEX(IDX_COMPO!$C:$C,SUMPRODUCT(--(IDX_COMPO!$A:$A=$A36),--($R36=IDX_COMPO!$F:$F),ROW(IDX_COMPO!$F:$F))),"")</f>
        <v>22500000</v>
      </c>
      <c r="D36">
        <f>IF($A36&lt;&gt;"",INDEX(IDX_COMPO!$D:$D,SUMPRODUCT(--(IDX_COMPO!$A:$A=$A36),--($R36=IDX_COMPO!$F:$F),ROW(IDX_COMPO!$F:$F))),"")</f>
        <v>100</v>
      </c>
      <c r="E36">
        <f>IF($A36&lt;&gt;"",INDEX(IDX_COMPO!$E:$E,SUMPRODUCT(--(IDX_COMPO!$A:$A=$A36),--($R36=IDX_COMPO!$F:$F),ROW(IDX_COMPO!$F:$F))),"")</f>
        <v>100</v>
      </c>
      <c r="F36" s="10">
        <f>IF($A36&lt;&gt;"",VLOOKUP($A36,STK_PRICES!$A$2:$L$593,12,0),"")</f>
        <v>5900</v>
      </c>
      <c r="G36" t="str">
        <f>IF($A36&lt;&gt;"",VLOOKUP($A36,STK_REF!$A$2:$H$593,7,0),"")</f>
        <v>VND</v>
      </c>
      <c r="H36">
        <f>IF($A36&lt;&gt;"",VLOOKUP($A36,STK_REF!$A$2:$H$593,8,0),"")</f>
        <v>1</v>
      </c>
      <c r="I36" s="8">
        <f>IF(A36&lt;&gt;"",IF(G36=Q36,1,IF(ISNA(VLOOKUP(G36&amp;Q36,CUR_RATES!$A$2:$F$524,4,0)),"",VLOOKUP(G36&amp;Q36,CUR_RATES!$A$2:$F$524,4,0))),"")</f>
        <v>1</v>
      </c>
      <c r="J36" s="10">
        <f t="shared" si="1"/>
        <v>5900</v>
      </c>
      <c r="K36" s="67">
        <f t="shared" si="2"/>
        <v>132750000000</v>
      </c>
      <c r="L36" s="75">
        <v>41165</v>
      </c>
      <c r="M36" s="1">
        <v>0</v>
      </c>
      <c r="N36" s="8" t="str">
        <f t="shared" si="3"/>
        <v/>
      </c>
      <c r="O36" s="29" t="str">
        <f t="shared" si="0"/>
        <v/>
      </c>
      <c r="P36" s="29" t="str">
        <f>IF(A36&lt;&gt;"",IF(ISNA(VLOOKUP(A36,STK_DIV!$A$2:$E$1048576,4,0)),"",IF(L36&lt;&gt;VLOOKUP(A36,STK_DIV!$A$2:$E$1048576,5,0),"",VLOOKUP(A36,STK_DIV!$A$2:$E$1048576,4,0))),"")</f>
        <v/>
      </c>
      <c r="Q36" t="str">
        <f t="shared" si="4"/>
        <v>VND</v>
      </c>
      <c r="R36" s="2" t="str">
        <f>IF(INDEX(IDX_COMPO!$F:$F,ROW(IDX_COMPO!F36))=0,"",INDEX(IDX_COMPO!$F:$F,ROW(IDX_COMPO!F36)))</f>
        <v>VNXASPRVND</v>
      </c>
      <c r="S36" s="27">
        <f t="shared" si="5"/>
        <v>3.3614516710066909E-3</v>
      </c>
      <c r="Y36">
        <v>0</v>
      </c>
    </row>
    <row r="37" spans="1:25" x14ac:dyDescent="0.2">
      <c r="A37" s="2" t="str">
        <f>IF(INDEX(IDX_COMPO!$A:$A,ROW(IDX_COMPO!A37))=0,"",INDEX(IDX_COMPO!$A:$A,ROW(IDX_COMPO!A37)))</f>
        <v>PFL</v>
      </c>
      <c r="B37" t="str">
        <f>IF($A37&lt;&gt;"",VLOOKUP($A37,STK_REF!$A$2:$H$593,3,0),"")</f>
        <v>Petro Dong Do Joint Stock Company</v>
      </c>
      <c r="C37">
        <f>IF($A37&lt;&gt;"",INDEX(IDX_COMPO!$C:$C,SUMPRODUCT(--(IDX_COMPO!$A:$A=$A37),--($R37=IDX_COMPO!$F:$F),ROW(IDX_COMPO!$F:$F))),"")</f>
        <v>18870000</v>
      </c>
      <c r="D37">
        <f>IF($A37&lt;&gt;"",INDEX(IDX_COMPO!$D:$D,SUMPRODUCT(--(IDX_COMPO!$A:$A=$A37),--($R37=IDX_COMPO!$F:$F),ROW(IDX_COMPO!$F:$F))),"")</f>
        <v>100</v>
      </c>
      <c r="E37">
        <f>IF($A37&lt;&gt;"",INDEX(IDX_COMPO!$E:$E,SUMPRODUCT(--(IDX_COMPO!$A:$A=$A37),--($R37=IDX_COMPO!$F:$F),ROW(IDX_COMPO!$F:$F))),"")</f>
        <v>100</v>
      </c>
      <c r="F37" s="10">
        <f>IF($A37&lt;&gt;"",VLOOKUP($A37,STK_PRICES!$A$2:$L$593,12,0),"")</f>
        <v>2700</v>
      </c>
      <c r="G37" t="str">
        <f>IF($A37&lt;&gt;"",VLOOKUP($A37,STK_REF!$A$2:$H$593,7,0),"")</f>
        <v>VND</v>
      </c>
      <c r="H37">
        <f>IF($A37&lt;&gt;"",VLOOKUP($A37,STK_REF!$A$2:$H$593,8,0),"")</f>
        <v>1</v>
      </c>
      <c r="I37" s="8">
        <f>IF(A37&lt;&gt;"",IF(G37=Q37,1,IF(ISNA(VLOOKUP(G37&amp;Q37,CUR_RATES!$A$2:$F$524,4,0)),"",VLOOKUP(G37&amp;Q37,CUR_RATES!$A$2:$F$524,4,0))),"")</f>
        <v>1</v>
      </c>
      <c r="J37" s="10">
        <f t="shared" si="1"/>
        <v>2700</v>
      </c>
      <c r="K37" s="67">
        <f t="shared" si="2"/>
        <v>50949000000</v>
      </c>
      <c r="L37" s="75">
        <v>41165</v>
      </c>
      <c r="M37" s="1">
        <v>0</v>
      </c>
      <c r="N37" s="8" t="str">
        <f t="shared" si="3"/>
        <v/>
      </c>
      <c r="O37" s="29" t="str">
        <f t="shared" si="0"/>
        <v/>
      </c>
      <c r="P37" s="29" t="str">
        <f>IF(A37&lt;&gt;"",IF(ISNA(VLOOKUP(A37,STK_DIV!$A$2:$E$1048576,4,0)),"",IF(L37&lt;&gt;VLOOKUP(A37,STK_DIV!$A$2:$E$1048576,5,0),"",VLOOKUP(A37,STK_DIV!$A$2:$E$1048576,4,0))),"")</f>
        <v/>
      </c>
      <c r="Q37" t="str">
        <f t="shared" si="4"/>
        <v>VND</v>
      </c>
      <c r="R37" s="2" t="str">
        <f>IF(INDEX(IDX_COMPO!$F:$F,ROW(IDX_COMPO!F37))=0,"",INDEX(IDX_COMPO!$F:$F,ROW(IDX_COMPO!F37)))</f>
        <v>VNXASPRVND</v>
      </c>
      <c r="S37" s="27">
        <f t="shared" si="5"/>
        <v>1.2901137565809408E-3</v>
      </c>
      <c r="Y37">
        <v>0</v>
      </c>
    </row>
    <row r="38" spans="1:25" x14ac:dyDescent="0.2">
      <c r="A38" s="2" t="str">
        <f>IF(INDEX(IDX_COMPO!$A:$A,ROW(IDX_COMPO!A38))=0,"",INDEX(IDX_COMPO!$A:$A,ROW(IDX_COMPO!A38)))</f>
        <v>PCG</v>
      </c>
      <c r="B38" t="str">
        <f>IF($A38&lt;&gt;"",VLOOKUP($A38,STK_REF!$A$2:$H$593,3,0),"")</f>
        <v>PetroVietnam Gas City Investment and Development JSC</v>
      </c>
      <c r="C38">
        <f>IF($A38&lt;&gt;"",INDEX(IDX_COMPO!$C:$C,SUMPRODUCT(--(IDX_COMPO!$A:$A=$A38),--($R38=IDX_COMPO!$F:$F),ROW(IDX_COMPO!$F:$F))),"")</f>
        <v>23000000</v>
      </c>
      <c r="D38">
        <f>IF($A38&lt;&gt;"",INDEX(IDX_COMPO!$D:$D,SUMPRODUCT(--(IDX_COMPO!$A:$A=$A38),--($R38=IDX_COMPO!$F:$F),ROW(IDX_COMPO!$F:$F))),"")</f>
        <v>100</v>
      </c>
      <c r="E38">
        <f>IF($A38&lt;&gt;"",INDEX(IDX_COMPO!$E:$E,SUMPRODUCT(--(IDX_COMPO!$A:$A=$A38),--($R38=IDX_COMPO!$F:$F),ROW(IDX_COMPO!$F:$F))),"")</f>
        <v>100</v>
      </c>
      <c r="F38" s="10">
        <f>IF($A38&lt;&gt;"",VLOOKUP($A38,STK_PRICES!$A$2:$L$593,12,0),"")</f>
        <v>6100</v>
      </c>
      <c r="G38" t="str">
        <f>IF($A38&lt;&gt;"",VLOOKUP($A38,STK_REF!$A$2:$H$593,7,0),"")</f>
        <v>VND</v>
      </c>
      <c r="H38">
        <f>IF($A38&lt;&gt;"",VLOOKUP($A38,STK_REF!$A$2:$H$593,8,0),"")</f>
        <v>1</v>
      </c>
      <c r="I38" s="8">
        <f>IF(A38&lt;&gt;"",IF(G38=Q38,1,IF(ISNA(VLOOKUP(G38&amp;Q38,CUR_RATES!$A$2:$F$524,4,0)),"",VLOOKUP(G38&amp;Q38,CUR_RATES!$A$2:$F$524,4,0))),"")</f>
        <v>1</v>
      </c>
      <c r="J38" s="10">
        <f t="shared" si="1"/>
        <v>6100</v>
      </c>
      <c r="K38" s="67">
        <f t="shared" si="2"/>
        <v>140300000000</v>
      </c>
      <c r="L38" s="75">
        <v>41165</v>
      </c>
      <c r="M38" s="1">
        <v>0</v>
      </c>
      <c r="N38" s="8" t="str">
        <f t="shared" si="3"/>
        <v/>
      </c>
      <c r="O38" s="29" t="str">
        <f t="shared" si="0"/>
        <v/>
      </c>
      <c r="P38" s="29" t="str">
        <f>IF(A38&lt;&gt;"",IF(ISNA(VLOOKUP(A38,STK_DIV!$A$2:$E$1048576,4,0)),"",IF(L38&lt;&gt;VLOOKUP(A38,STK_DIV!$A$2:$E$1048576,5,0),"",VLOOKUP(A38,STK_DIV!$A$2:$E$1048576,4,0))),"")</f>
        <v/>
      </c>
      <c r="Q38" t="str">
        <f t="shared" si="4"/>
        <v>VND</v>
      </c>
      <c r="R38" s="2" t="str">
        <f>IF(INDEX(IDX_COMPO!$F:$F,ROW(IDX_COMPO!F38))=0,"",INDEX(IDX_COMPO!$F:$F,ROW(IDX_COMPO!F38)))</f>
        <v>VNXASPRVND</v>
      </c>
      <c r="S38" s="27">
        <f t="shared" si="5"/>
        <v>3.5526302782842843E-3</v>
      </c>
      <c r="Y38">
        <v>0</v>
      </c>
    </row>
    <row r="39" spans="1:25" x14ac:dyDescent="0.2">
      <c r="A39" s="2" t="str">
        <f>IF(INDEX(IDX_COMPO!$A:$A,ROW(IDX_COMPO!A39))=0,"",INDEX(IDX_COMPO!$A:$A,ROW(IDX_COMPO!A39)))</f>
        <v>PPS</v>
      </c>
      <c r="B39" t="str">
        <f>IF($A39&lt;&gt;"",VLOOKUP($A39,STK_REF!$A$2:$H$593,3,0),"")</f>
        <v>Petro Vietnam Power Services Joint Stock Company</v>
      </c>
      <c r="C39">
        <f>IF($A39&lt;&gt;"",INDEX(IDX_COMPO!$C:$C,SUMPRODUCT(--(IDX_COMPO!$A:$A=$A39),--($R39=IDX_COMPO!$F:$F),ROW(IDX_COMPO!$F:$F))),"")</f>
        <v>10000000</v>
      </c>
      <c r="D39">
        <f>IF($A39&lt;&gt;"",INDEX(IDX_COMPO!$D:$D,SUMPRODUCT(--(IDX_COMPO!$A:$A=$A39),--($R39=IDX_COMPO!$F:$F),ROW(IDX_COMPO!$F:$F))),"")</f>
        <v>100</v>
      </c>
      <c r="E39">
        <f>IF($A39&lt;&gt;"",INDEX(IDX_COMPO!$E:$E,SUMPRODUCT(--(IDX_COMPO!$A:$A=$A39),--($R39=IDX_COMPO!$F:$F),ROW(IDX_COMPO!$F:$F))),"")</f>
        <v>100</v>
      </c>
      <c r="F39" s="10">
        <f>IF($A39&lt;&gt;"",VLOOKUP($A39,STK_PRICES!$A$2:$L$593,12,0),"")</f>
        <v>7200</v>
      </c>
      <c r="G39" t="str">
        <f>IF($A39&lt;&gt;"",VLOOKUP($A39,STK_REF!$A$2:$H$593,7,0),"")</f>
        <v>VND</v>
      </c>
      <c r="H39">
        <f>IF($A39&lt;&gt;"",VLOOKUP($A39,STK_REF!$A$2:$H$593,8,0),"")</f>
        <v>1</v>
      </c>
      <c r="I39" s="8">
        <f>IF(A39&lt;&gt;"",IF(G39=Q39,1,IF(ISNA(VLOOKUP(G39&amp;Q39,CUR_RATES!$A$2:$F$524,4,0)),"",VLOOKUP(G39&amp;Q39,CUR_RATES!$A$2:$F$524,4,0))),"")</f>
        <v>1</v>
      </c>
      <c r="J39" s="10">
        <f t="shared" si="1"/>
        <v>7200</v>
      </c>
      <c r="K39" s="67">
        <f t="shared" si="2"/>
        <v>72000000000</v>
      </c>
      <c r="L39" s="75">
        <v>41165</v>
      </c>
      <c r="M39" s="1">
        <v>0</v>
      </c>
      <c r="N39" s="8" t="str">
        <f t="shared" si="3"/>
        <v/>
      </c>
      <c r="O39" s="29" t="str">
        <f t="shared" si="0"/>
        <v/>
      </c>
      <c r="P39" s="29" t="str">
        <f>IF(A39&lt;&gt;"",IF(ISNA(VLOOKUP(A39,STK_DIV!$A$2:$E$1048576,4,0)),"",IF(L39&lt;&gt;VLOOKUP(A39,STK_DIV!$A$2:$E$1048576,5,0),"",VLOOKUP(A39,STK_DIV!$A$2:$E$1048576,4,0))),"")</f>
        <v/>
      </c>
      <c r="Q39" t="str">
        <f t="shared" si="4"/>
        <v>VND</v>
      </c>
      <c r="R39" s="2" t="str">
        <f>IF(INDEX(IDX_COMPO!$F:$F,ROW(IDX_COMPO!F39))=0,"",INDEX(IDX_COMPO!$F:$F,ROW(IDX_COMPO!F39)))</f>
        <v>VNXASPRVND</v>
      </c>
      <c r="S39" s="27">
        <f t="shared" si="5"/>
        <v>1.8231602283426121E-3</v>
      </c>
      <c r="Y39">
        <v>0</v>
      </c>
    </row>
    <row r="40" spans="1:25" x14ac:dyDescent="0.2">
      <c r="A40" s="2" t="str">
        <f>IF(INDEX(IDX_COMPO!$A:$A,ROW(IDX_COMPO!A40))=0,"",INDEX(IDX_COMPO!$A:$A,ROW(IDX_COMPO!A40)))</f>
        <v>PSG</v>
      </c>
      <c r="B40" t="str">
        <f>IF($A40&lt;&gt;"",VLOOKUP($A40,STK_REF!$A$2:$H$593,3,0),"")</f>
        <v>Saigon Petroleum Constrution And Investment JSC</v>
      </c>
      <c r="C40">
        <f>IF($A40&lt;&gt;"",INDEX(IDX_COMPO!$C:$C,SUMPRODUCT(--(IDX_COMPO!$A:$A=$A40),--($R40=IDX_COMPO!$F:$F),ROW(IDX_COMPO!$F:$F))),"")</f>
        <v>10000000</v>
      </c>
      <c r="D40">
        <f>IF($A40&lt;&gt;"",INDEX(IDX_COMPO!$D:$D,SUMPRODUCT(--(IDX_COMPO!$A:$A=$A40),--($R40=IDX_COMPO!$F:$F),ROW(IDX_COMPO!$F:$F))),"")</f>
        <v>100</v>
      </c>
      <c r="E40">
        <f>IF($A40&lt;&gt;"",INDEX(IDX_COMPO!$E:$E,SUMPRODUCT(--(IDX_COMPO!$A:$A=$A40),--($R40=IDX_COMPO!$F:$F),ROW(IDX_COMPO!$F:$F))),"")</f>
        <v>100</v>
      </c>
      <c r="F40" s="10">
        <f>IF($A40&lt;&gt;"",VLOOKUP($A40,STK_PRICES!$A$2:$L$593,12,0),"")</f>
        <v>1300</v>
      </c>
      <c r="G40" t="str">
        <f>IF($A40&lt;&gt;"",VLOOKUP($A40,STK_REF!$A$2:$H$593,7,0),"")</f>
        <v>VND</v>
      </c>
      <c r="H40">
        <f>IF($A40&lt;&gt;"",VLOOKUP($A40,STK_REF!$A$2:$H$593,8,0),"")</f>
        <v>1</v>
      </c>
      <c r="I40" s="8">
        <f>IF(A40&lt;&gt;"",IF(G40=Q40,1,IF(ISNA(VLOOKUP(G40&amp;Q40,CUR_RATES!$A$2:$F$524,4,0)),"",VLOOKUP(G40&amp;Q40,CUR_RATES!$A$2:$F$524,4,0))),"")</f>
        <v>1</v>
      </c>
      <c r="J40" s="10">
        <f t="shared" si="1"/>
        <v>1300</v>
      </c>
      <c r="K40" s="67">
        <f t="shared" si="2"/>
        <v>13000000000</v>
      </c>
      <c r="L40" s="75">
        <v>41165</v>
      </c>
      <c r="M40" s="1">
        <v>0</v>
      </c>
      <c r="N40" s="8" t="str">
        <f t="shared" si="3"/>
        <v/>
      </c>
      <c r="O40" s="29" t="str">
        <f t="shared" si="0"/>
        <v/>
      </c>
      <c r="P40" s="29" t="str">
        <f>IF(A40&lt;&gt;"",IF(ISNA(VLOOKUP(A40,STK_DIV!$A$2:$E$1048576,4,0)),"",IF(L40&lt;&gt;VLOOKUP(A40,STK_DIV!$A$2:$E$1048576,5,0),"",VLOOKUP(A40,STK_DIV!$A$2:$E$1048576,4,0))),"")</f>
        <v/>
      </c>
      <c r="Q40" t="str">
        <f t="shared" si="4"/>
        <v>VND</v>
      </c>
      <c r="R40" s="2" t="str">
        <f>IF(INDEX(IDX_COMPO!$F:$F,ROW(IDX_COMPO!F40))=0,"",INDEX(IDX_COMPO!$F:$F,ROW(IDX_COMPO!F40)))</f>
        <v>VNXASPRVND</v>
      </c>
      <c r="S40" s="27">
        <f t="shared" si="5"/>
        <v>3.2918170789519386E-4</v>
      </c>
      <c r="Y40">
        <v>0</v>
      </c>
    </row>
    <row r="41" spans="1:25" x14ac:dyDescent="0.2">
      <c r="A41" s="2" t="str">
        <f>IF(INDEX(IDX_COMPO!$A:$A,ROW(IDX_COMPO!A41))=0,"",INDEX(IDX_COMPO!$A:$A,ROW(IDX_COMPO!A41)))</f>
        <v>PPE</v>
      </c>
      <c r="B41" t="str">
        <f>IF($A41&lt;&gt;"",VLOOKUP($A41,STK_REF!$A$2:$H$593,3,0),"")</f>
        <v>PetroVietnam Power Engineering Consulting JSC</v>
      </c>
      <c r="C41">
        <f>IF($A41&lt;&gt;"",INDEX(IDX_COMPO!$C:$C,SUMPRODUCT(--(IDX_COMPO!$A:$A=$A41),--($R41=IDX_COMPO!$F:$F),ROW(IDX_COMPO!$F:$F))),"")</f>
        <v>2000000</v>
      </c>
      <c r="D41">
        <f>IF($A41&lt;&gt;"",INDEX(IDX_COMPO!$D:$D,SUMPRODUCT(--(IDX_COMPO!$A:$A=$A41),--($R41=IDX_COMPO!$F:$F),ROW(IDX_COMPO!$F:$F))),"")</f>
        <v>100</v>
      </c>
      <c r="E41">
        <f>IF($A41&lt;&gt;"",INDEX(IDX_COMPO!$E:$E,SUMPRODUCT(--(IDX_COMPO!$A:$A=$A41),--($R41=IDX_COMPO!$F:$F),ROW(IDX_COMPO!$F:$F))),"")</f>
        <v>100</v>
      </c>
      <c r="F41" s="10">
        <f>IF($A41&lt;&gt;"",VLOOKUP($A41,STK_PRICES!$A$2:$L$593,12,0),"")</f>
        <v>35400</v>
      </c>
      <c r="G41" t="str">
        <f>IF($A41&lt;&gt;"",VLOOKUP($A41,STK_REF!$A$2:$H$593,7,0),"")</f>
        <v>VND</v>
      </c>
      <c r="H41">
        <f>IF($A41&lt;&gt;"",VLOOKUP($A41,STK_REF!$A$2:$H$593,8,0),"")</f>
        <v>1</v>
      </c>
      <c r="I41" s="8">
        <f>IF(A41&lt;&gt;"",IF(G41=Q41,1,IF(ISNA(VLOOKUP(G41&amp;Q41,CUR_RATES!$A$2:$F$524,4,0)),"",VLOOKUP(G41&amp;Q41,CUR_RATES!$A$2:$F$524,4,0))),"")</f>
        <v>1</v>
      </c>
      <c r="J41" s="10">
        <f t="shared" si="1"/>
        <v>35400</v>
      </c>
      <c r="K41" s="67">
        <f t="shared" si="2"/>
        <v>70800000000</v>
      </c>
      <c r="L41" s="75">
        <v>41165</v>
      </c>
      <c r="M41" s="1">
        <v>0</v>
      </c>
      <c r="N41" s="8" t="str">
        <f t="shared" si="3"/>
        <v/>
      </c>
      <c r="O41" s="29" t="str">
        <f t="shared" si="0"/>
        <v/>
      </c>
      <c r="P41" s="29" t="str">
        <f>IF(A41&lt;&gt;"",IF(ISNA(VLOOKUP(A41,STK_DIV!$A$2:$E$1048576,4,0)),"",IF(L41&lt;&gt;VLOOKUP(A41,STK_DIV!$A$2:$E$1048576,5,0),"",VLOOKUP(A41,STK_DIV!$A$2:$E$1048576,4,0))),"")</f>
        <v/>
      </c>
      <c r="Q41" t="str">
        <f t="shared" si="4"/>
        <v>VND</v>
      </c>
      <c r="R41" s="2" t="str">
        <f>IF(INDEX(IDX_COMPO!$F:$F,ROW(IDX_COMPO!F41))=0,"",INDEX(IDX_COMPO!$F:$F,ROW(IDX_COMPO!F41)))</f>
        <v>VNXASPRVND</v>
      </c>
      <c r="S41" s="27">
        <f t="shared" si="5"/>
        <v>1.7927742245369019E-3</v>
      </c>
      <c r="Y41">
        <v>0</v>
      </c>
    </row>
    <row r="42" spans="1:25" x14ac:dyDescent="0.2">
      <c r="A42" s="2" t="str">
        <f>IF(INDEX(IDX_COMPO!$A:$A,ROW(IDX_COMPO!A42))=0,"",INDEX(IDX_COMPO!$A:$A,ROW(IDX_COMPO!A42)))</f>
        <v>DPM</v>
      </c>
      <c r="B42" t="str">
        <f>IF($A42&lt;&gt;"",VLOOKUP($A42,STK_REF!$A$2:$H$593,3,0),"")</f>
        <v>VNX Fertilizer and Chemicals</v>
      </c>
      <c r="C42">
        <f>IF($A42&lt;&gt;"",INDEX(IDX_COMPO!$C:$C,SUMPRODUCT(--(IDX_COMPO!$A:$A=$A42),--($R42=IDX_COMPO!$F:$F),ROW(IDX_COMPO!$F:$F))),"")</f>
        <v>377647740</v>
      </c>
      <c r="D42">
        <f>IF($A42&lt;&gt;"",INDEX(IDX_COMPO!$D:$D,SUMPRODUCT(--(IDX_COMPO!$A:$A=$A42),--($R42=IDX_COMPO!$F:$F),ROW(IDX_COMPO!$F:$F))),"")</f>
        <v>100</v>
      </c>
      <c r="E42">
        <f>IF($A42&lt;&gt;"",INDEX(IDX_COMPO!$E:$E,SUMPRODUCT(--(IDX_COMPO!$A:$A=$A42),--($R42=IDX_COMPO!$F:$F),ROW(IDX_COMPO!$F:$F))),"")</f>
        <v>100</v>
      </c>
      <c r="F42" s="10">
        <f>IF($A42&lt;&gt;"",VLOOKUP($A42,STK_PRICES!$A$2:$L$593,12,0),"")</f>
        <v>39200</v>
      </c>
      <c r="G42" t="str">
        <f>IF($A42&lt;&gt;"",VLOOKUP($A42,STK_REF!$A$2:$H$593,7,0),"")</f>
        <v>VND</v>
      </c>
      <c r="H42">
        <f>IF($A42&lt;&gt;"",VLOOKUP($A42,STK_REF!$A$2:$H$593,8,0),"")</f>
        <v>1</v>
      </c>
      <c r="I42" s="8">
        <f>IF(A42&lt;&gt;"",IF(G42=Q42,1,IF(ISNA(VLOOKUP(G42&amp;Q42,CUR_RATES!$A$2:$F$524,4,0)),"",VLOOKUP(G42&amp;Q42,CUR_RATES!$A$2:$F$524,4,0))),"")</f>
        <v>1</v>
      </c>
      <c r="J42" s="10">
        <f t="shared" si="1"/>
        <v>39200</v>
      </c>
      <c r="K42" s="67">
        <f t="shared" si="2"/>
        <v>14803791408000</v>
      </c>
      <c r="L42" s="75">
        <v>41165</v>
      </c>
      <c r="M42" s="1">
        <v>0</v>
      </c>
      <c r="N42" s="8">
        <f t="shared" si="3"/>
        <v>528706836000</v>
      </c>
      <c r="O42" s="29">
        <f t="shared" si="0"/>
        <v>1400</v>
      </c>
      <c r="P42" s="29">
        <f>IF(A42&lt;&gt;"",IF(ISNA(VLOOKUP(A42,STK_DIV!$A$2:$E$1048576,4,0)),"",IF(L42&lt;&gt;VLOOKUP(A42,STK_DIV!$A$2:$E$1048576,5,0),"",VLOOKUP(A42,STK_DIV!$A$2:$E$1048576,4,0))),"")</f>
        <v>1400</v>
      </c>
      <c r="Q42" t="str">
        <f t="shared" si="4"/>
        <v>VND</v>
      </c>
      <c r="R42" s="2" t="str">
        <f>IF(INDEX(IDX_COMPO!$F:$F,ROW(IDX_COMPO!F42))=0,"",INDEX(IDX_COMPO!$F:$F,ROW(IDX_COMPO!F42)))</f>
        <v>VNXCOPRVND</v>
      </c>
      <c r="S42" s="27">
        <f t="shared" si="5"/>
        <v>0.37485671838535661</v>
      </c>
      <c r="Y42">
        <v>0</v>
      </c>
    </row>
    <row r="43" spans="1:25" x14ac:dyDescent="0.2">
      <c r="A43" s="2" t="str">
        <f>IF(INDEX(IDX_COMPO!$A:$A,ROW(IDX_COMPO!A43))=0,"",INDEX(IDX_COMPO!$A:$A,ROW(IDX_COMPO!A43)))</f>
        <v>PVD</v>
      </c>
      <c r="B43" t="str">
        <f>IF($A43&lt;&gt;"",VLOOKUP($A43,STK_REF!$A$2:$H$593,3,0),"")</f>
        <v>VNX Drilling &amp; Well Services</v>
      </c>
      <c r="C43">
        <f>IF($A43&lt;&gt;"",INDEX(IDX_COMPO!$C:$C,SUMPRODUCT(--(IDX_COMPO!$A:$A=$A43),--($R43=IDX_COMPO!$F:$F),ROW(IDX_COMPO!$F:$F))),"")</f>
        <v>70371300</v>
      </c>
      <c r="D43">
        <f>IF($A43&lt;&gt;"",INDEX(IDX_COMPO!$D:$D,SUMPRODUCT(--(IDX_COMPO!$A:$A=$A43),--($R43=IDX_COMPO!$F:$F),ROW(IDX_COMPO!$F:$F))),"")</f>
        <v>100</v>
      </c>
      <c r="E43">
        <f>IF($A43&lt;&gt;"",INDEX(IDX_COMPO!$E:$E,SUMPRODUCT(--(IDX_COMPO!$A:$A=$A43),--($R43=IDX_COMPO!$F:$F),ROW(IDX_COMPO!$F:$F))),"")</f>
        <v>100</v>
      </c>
      <c r="F43" s="10">
        <f>IF($A43&lt;&gt;"",VLOOKUP($A43,STK_PRICES!$A$2:$L$593,12,0),"")</f>
        <v>35000</v>
      </c>
      <c r="G43" t="str">
        <f>IF($A43&lt;&gt;"",VLOOKUP($A43,STK_REF!$A$2:$H$593,7,0),"")</f>
        <v>VND</v>
      </c>
      <c r="H43">
        <f>IF($A43&lt;&gt;"",VLOOKUP($A43,STK_REF!$A$2:$H$593,8,0),"")</f>
        <v>1</v>
      </c>
      <c r="I43" s="8">
        <f>IF(A43&lt;&gt;"",IF(G43=Q43,1,IF(ISNA(VLOOKUP(G43&amp;Q43,CUR_RATES!$A$2:$F$524,4,0)),"",VLOOKUP(G43&amp;Q43,CUR_RATES!$A$2:$F$524,4,0))),"")</f>
        <v>1</v>
      </c>
      <c r="J43" s="10">
        <f t="shared" si="1"/>
        <v>35000</v>
      </c>
      <c r="K43" s="67">
        <f t="shared" si="2"/>
        <v>2462995500000</v>
      </c>
      <c r="L43" s="75">
        <v>41165</v>
      </c>
      <c r="M43" s="1">
        <v>0</v>
      </c>
      <c r="N43" s="8">
        <f t="shared" si="3"/>
        <v>154816860000</v>
      </c>
      <c r="O43" s="29">
        <f t="shared" si="0"/>
        <v>2200</v>
      </c>
      <c r="P43" s="29">
        <f>IF(A43&lt;&gt;"",IF(ISNA(VLOOKUP(A43,STK_DIV!$A$2:$E$1048576,4,0)),"",IF(L43&lt;&gt;VLOOKUP(A43,STK_DIV!$A$2:$E$1048576,5,0),"",VLOOKUP(A43,STK_DIV!$A$2:$E$1048576,4,0))),"")</f>
        <v>2200</v>
      </c>
      <c r="Q43" t="str">
        <f t="shared" si="4"/>
        <v>VND</v>
      </c>
      <c r="R43" s="2" t="str">
        <f>IF(INDEX(IDX_COMPO!$F:$F,ROW(IDX_COMPO!F43))=0,"",INDEX(IDX_COMPO!$F:$F,ROW(IDX_COMPO!F43)))</f>
        <v>VNXCOPRVND</v>
      </c>
      <c r="S43" s="27">
        <f t="shared" si="5"/>
        <v>6.2367158863705911E-2</v>
      </c>
      <c r="Y43">
        <v>0</v>
      </c>
    </row>
    <row r="44" spans="1:25" x14ac:dyDescent="0.2">
      <c r="A44" s="2" t="str">
        <f>IF(INDEX(IDX_COMPO!$A:$A,ROW(IDX_COMPO!A44))=0,"",INDEX(IDX_COMPO!$A:$A,ROW(IDX_COMPO!A44)))</f>
        <v>PVF</v>
      </c>
      <c r="B44" t="str">
        <f>IF($A44&lt;&gt;"",VLOOKUP($A44,STK_REF!$A$2:$H$593,3,0),"")</f>
        <v>VNX Finance</v>
      </c>
      <c r="C44">
        <f>IF($A44&lt;&gt;"",INDEX(IDX_COMPO!$C:$C,SUMPRODUCT(--(IDX_COMPO!$A:$A=$A44),--($R44=IDX_COMPO!$F:$F),ROW(IDX_COMPO!$F:$F))),"")</f>
        <v>100000000</v>
      </c>
      <c r="D44">
        <f>IF($A44&lt;&gt;"",INDEX(IDX_COMPO!$D:$D,SUMPRODUCT(--(IDX_COMPO!$A:$A=$A44),--($R44=IDX_COMPO!$F:$F),ROW(IDX_COMPO!$F:$F))),"")</f>
        <v>100</v>
      </c>
      <c r="E44">
        <f>IF($A44&lt;&gt;"",INDEX(IDX_COMPO!$E:$E,SUMPRODUCT(--(IDX_COMPO!$A:$A=$A44),--($R44=IDX_COMPO!$F:$F),ROW(IDX_COMPO!$F:$F))),"")</f>
        <v>100</v>
      </c>
      <c r="F44" s="10">
        <f>IF($A44&lt;&gt;"",VLOOKUP($A44,STK_PRICES!$A$2:$L$593,12,0),"")</f>
        <v>8300</v>
      </c>
      <c r="G44" t="str">
        <f>IF($A44&lt;&gt;"",VLOOKUP($A44,STK_REF!$A$2:$H$593,7,0),"")</f>
        <v>VND</v>
      </c>
      <c r="H44">
        <f>IF($A44&lt;&gt;"",VLOOKUP($A44,STK_REF!$A$2:$H$593,8,0),"")</f>
        <v>1</v>
      </c>
      <c r="I44" s="8">
        <f>IF(A44&lt;&gt;"",IF(G44=Q44,1,IF(ISNA(VLOOKUP(G44&amp;Q44,CUR_RATES!$A$2:$F$524,4,0)),"",VLOOKUP(G44&amp;Q44,CUR_RATES!$A$2:$F$524,4,0))),"")</f>
        <v>1</v>
      </c>
      <c r="J44" s="10">
        <f t="shared" si="1"/>
        <v>8300</v>
      </c>
      <c r="K44" s="67">
        <f t="shared" si="2"/>
        <v>830000000000</v>
      </c>
      <c r="L44" s="75">
        <v>41165</v>
      </c>
      <c r="M44" s="1">
        <v>0</v>
      </c>
      <c r="N44" s="8">
        <f t="shared" si="3"/>
        <v>50000000000</v>
      </c>
      <c r="O44" s="29">
        <f t="shared" si="0"/>
        <v>500</v>
      </c>
      <c r="P44" s="29">
        <f>IF(A44&lt;&gt;"",IF(ISNA(VLOOKUP(A44,STK_DIV!$A$2:$E$1048576,4,0)),"",IF(L44&lt;&gt;VLOOKUP(A44,STK_DIV!$A$2:$E$1048576,5,0),"",VLOOKUP(A44,STK_DIV!$A$2:$E$1048576,4,0))),"")</f>
        <v>500</v>
      </c>
      <c r="Q44" t="str">
        <f t="shared" si="4"/>
        <v>VND</v>
      </c>
      <c r="R44" s="2" t="str">
        <f>IF(INDEX(IDX_COMPO!$F:$F,ROW(IDX_COMPO!F44))=0,"",INDEX(IDX_COMPO!$F:$F,ROW(IDX_COMPO!F44)))</f>
        <v>VNXCOPRVND</v>
      </c>
      <c r="S44" s="27">
        <f t="shared" si="5"/>
        <v>2.1016985965616221E-2</v>
      </c>
      <c r="Y44">
        <v>0</v>
      </c>
    </row>
    <row r="45" spans="1:25" x14ac:dyDescent="0.2">
      <c r="A45" s="2" t="str">
        <f>IF(INDEX(IDX_COMPO!$A:$A,ROW(IDX_COMPO!A45))=0,"",INDEX(IDX_COMPO!$A:$A,ROW(IDX_COMPO!A45)))</f>
        <v>PVS</v>
      </c>
      <c r="B45" t="str">
        <f>IF($A45&lt;&gt;"",VLOOKUP($A45,STK_REF!$A$2:$H$593,3,0),"")</f>
        <v>VNX Technical Services</v>
      </c>
      <c r="C45">
        <f>IF($A45&lt;&gt;"",INDEX(IDX_COMPO!$C:$C,SUMPRODUCT(--(IDX_COMPO!$A:$A=$A45),--($R45=IDX_COMPO!$F:$F),ROW(IDX_COMPO!$F:$F))),"")</f>
        <v>600000000</v>
      </c>
      <c r="D45">
        <f>IF($A45&lt;&gt;"",INDEX(IDX_COMPO!$D:$D,SUMPRODUCT(--(IDX_COMPO!$A:$A=$A45),--($R45=IDX_COMPO!$F:$F),ROW(IDX_COMPO!$F:$F))),"")</f>
        <v>100</v>
      </c>
      <c r="E45">
        <f>IF($A45&lt;&gt;"",INDEX(IDX_COMPO!$E:$E,SUMPRODUCT(--(IDX_COMPO!$A:$A=$A45),--($R45=IDX_COMPO!$F:$F),ROW(IDX_COMPO!$F:$F))),"")</f>
        <v>100</v>
      </c>
      <c r="F45" s="10">
        <f>IF($A45&lt;&gt;"",VLOOKUP($A45,STK_PRICES!$A$2:$L$593,12,0),"")</f>
        <v>15200</v>
      </c>
      <c r="G45" t="str">
        <f>IF($A45&lt;&gt;"",VLOOKUP($A45,STK_REF!$A$2:$H$593,7,0),"")</f>
        <v>VND</v>
      </c>
      <c r="H45">
        <f>IF($A45&lt;&gt;"",VLOOKUP($A45,STK_REF!$A$2:$H$593,8,0),"")</f>
        <v>1</v>
      </c>
      <c r="I45" s="8">
        <f>IF(A45&lt;&gt;"",IF(G45=Q45,1,IF(ISNA(VLOOKUP(G45&amp;Q45,CUR_RATES!$A$2:$F$524,4,0)),"",VLOOKUP(G45&amp;Q45,CUR_RATES!$A$2:$F$524,4,0))),"")</f>
        <v>1</v>
      </c>
      <c r="J45" s="10">
        <f t="shared" si="1"/>
        <v>15200</v>
      </c>
      <c r="K45" s="67">
        <f t="shared" si="2"/>
        <v>9120000000000</v>
      </c>
      <c r="L45" s="75">
        <v>41165</v>
      </c>
      <c r="M45" s="1">
        <v>0</v>
      </c>
      <c r="N45" s="8" t="str">
        <f t="shared" si="3"/>
        <v/>
      </c>
      <c r="O45" s="29" t="str">
        <f t="shared" si="0"/>
        <v/>
      </c>
      <c r="P45" s="29" t="str">
        <f>IF(A45&lt;&gt;"",IF(ISNA(VLOOKUP(A45,STK_DIV!$A$2:$E$1048576,4,0)),"",IF(L45&lt;&gt;VLOOKUP(A45,STK_DIV!$A$2:$E$1048576,5,0),"",VLOOKUP(A45,STK_DIV!$A$2:$E$1048576,4,0))),"")</f>
        <v/>
      </c>
      <c r="Q45" t="str">
        <f t="shared" si="4"/>
        <v>VND</v>
      </c>
      <c r="R45" s="2" t="str">
        <f>IF(INDEX(IDX_COMPO!$F:$F,ROW(IDX_COMPO!F45))=0,"",INDEX(IDX_COMPO!$F:$F,ROW(IDX_COMPO!F45)))</f>
        <v>VNXCOPRVND</v>
      </c>
      <c r="S45" s="27">
        <f t="shared" si="5"/>
        <v>0.23093362892339753</v>
      </c>
      <c r="Y45">
        <v>0</v>
      </c>
    </row>
    <row r="46" spans="1:25" x14ac:dyDescent="0.2">
      <c r="A46" s="2" t="str">
        <f>IF(INDEX(IDX_COMPO!$A:$A,ROW(IDX_COMPO!A46))=0,"",INDEX(IDX_COMPO!$A:$A,ROW(IDX_COMPO!A46)))</f>
        <v>PVX</v>
      </c>
      <c r="B46" t="str">
        <f>IF($A46&lt;&gt;"",VLOOKUP($A46,STK_REF!$A$2:$H$593,3,0),"")</f>
        <v>VNX Construction</v>
      </c>
      <c r="C46">
        <f>IF($A46&lt;&gt;"",INDEX(IDX_COMPO!$C:$C,SUMPRODUCT(--(IDX_COMPO!$A:$A=$A46),--($R46=IDX_COMPO!$F:$F),ROW(IDX_COMPO!$F:$F))),"")</f>
        <v>232600000</v>
      </c>
      <c r="D46">
        <f>IF($A46&lt;&gt;"",INDEX(IDX_COMPO!$D:$D,SUMPRODUCT(--(IDX_COMPO!$A:$A=$A46),--($R46=IDX_COMPO!$F:$F),ROW(IDX_COMPO!$F:$F))),"")</f>
        <v>100</v>
      </c>
      <c r="E46">
        <f>IF($A46&lt;&gt;"",INDEX(IDX_COMPO!$E:$E,SUMPRODUCT(--(IDX_COMPO!$A:$A=$A46),--($R46=IDX_COMPO!$F:$F),ROW(IDX_COMPO!$F:$F))),"")</f>
        <v>100</v>
      </c>
      <c r="F46" s="10">
        <f>IF($A46&lt;&gt;"",VLOOKUP($A46,STK_PRICES!$A$2:$L$593,12,0),"")</f>
        <v>5200</v>
      </c>
      <c r="G46" t="str">
        <f>IF($A46&lt;&gt;"",VLOOKUP($A46,STK_REF!$A$2:$H$593,7,0),"")</f>
        <v>VND</v>
      </c>
      <c r="H46">
        <f>IF($A46&lt;&gt;"",VLOOKUP($A46,STK_REF!$A$2:$H$593,8,0),"")</f>
        <v>1</v>
      </c>
      <c r="I46" s="8">
        <f>IF(A46&lt;&gt;"",IF(G46=Q46,1,IF(ISNA(VLOOKUP(G46&amp;Q46,CUR_RATES!$A$2:$F$524,4,0)),"",VLOOKUP(G46&amp;Q46,CUR_RATES!$A$2:$F$524,4,0))),"")</f>
        <v>1</v>
      </c>
      <c r="J46" s="10">
        <f t="shared" si="1"/>
        <v>5200</v>
      </c>
      <c r="K46" s="67">
        <f t="shared" si="2"/>
        <v>1209520000000</v>
      </c>
      <c r="L46" s="75">
        <v>41165</v>
      </c>
      <c r="M46" s="1">
        <v>0</v>
      </c>
      <c r="N46" s="8" t="str">
        <f t="shared" si="3"/>
        <v/>
      </c>
      <c r="O46" s="29" t="str">
        <f t="shared" si="0"/>
        <v/>
      </c>
      <c r="P46" s="29" t="str">
        <f>IF(A46&lt;&gt;"",IF(ISNA(VLOOKUP(A46,STK_DIV!$A$2:$E$1048576,4,0)),"",IF(L46&lt;&gt;VLOOKUP(A46,STK_DIV!$A$2:$E$1048576,5,0),"",VLOOKUP(A46,STK_DIV!$A$2:$E$1048576,4,0))),"")</f>
        <v/>
      </c>
      <c r="Q46" t="str">
        <f t="shared" si="4"/>
        <v>VND</v>
      </c>
      <c r="R46" s="2" t="str">
        <f>IF(INDEX(IDX_COMPO!$F:$F,ROW(IDX_COMPO!F46))=0,"",INDEX(IDX_COMPO!$F:$F,ROW(IDX_COMPO!F46)))</f>
        <v>VNXCOPRVND</v>
      </c>
      <c r="S46" s="27">
        <f t="shared" si="5"/>
        <v>3.0627066102568833E-2</v>
      </c>
      <c r="Y46">
        <v>0</v>
      </c>
    </row>
    <row r="47" spans="1:25" x14ac:dyDescent="0.2">
      <c r="A47" s="2" t="str">
        <f>IF(INDEX(IDX_COMPO!$A:$A,ROW(IDX_COMPO!A47))=0,"",INDEX(IDX_COMPO!$A:$A,ROW(IDX_COMPO!A47)))</f>
        <v>PVI</v>
      </c>
      <c r="B47" t="str">
        <f>IF($A47&lt;&gt;"",VLOOKUP($A47,STK_REF!$A$2:$H$593,3,0),"")</f>
        <v>VNX Insurance</v>
      </c>
      <c r="C47">
        <f>IF($A47&lt;&gt;"",INDEX(IDX_COMPO!$C:$C,SUMPRODUCT(--(IDX_COMPO!$A:$A=$A47),--($R47=IDX_COMPO!$F:$F),ROW(IDX_COMPO!$F:$F))),"")</f>
        <v>30000000</v>
      </c>
      <c r="D47">
        <f>IF($A47&lt;&gt;"",INDEX(IDX_COMPO!$D:$D,SUMPRODUCT(--(IDX_COMPO!$A:$A=$A47),--($R47=IDX_COMPO!$F:$F),ROW(IDX_COMPO!$F:$F))),"")</f>
        <v>100</v>
      </c>
      <c r="E47">
        <f>IF($A47&lt;&gt;"",INDEX(IDX_COMPO!$E:$E,SUMPRODUCT(--(IDX_COMPO!$A:$A=$A47),--($R47=IDX_COMPO!$F:$F),ROW(IDX_COMPO!$F:$F))),"")</f>
        <v>100</v>
      </c>
      <c r="F47" s="10">
        <f>IF($A47&lt;&gt;"",VLOOKUP($A47,STK_PRICES!$A$2:$L$593,12,0),"")</f>
        <v>15900</v>
      </c>
      <c r="G47" t="str">
        <f>IF($A47&lt;&gt;"",VLOOKUP($A47,STK_REF!$A$2:$H$593,7,0),"")</f>
        <v>VND</v>
      </c>
      <c r="H47">
        <f>IF($A47&lt;&gt;"",VLOOKUP($A47,STK_REF!$A$2:$H$593,8,0),"")</f>
        <v>1</v>
      </c>
      <c r="I47" s="8">
        <f>IF(A47&lt;&gt;"",IF(G47=Q47,1,IF(ISNA(VLOOKUP(G47&amp;Q47,CUR_RATES!$A$2:$F$524,4,0)),"",VLOOKUP(G47&amp;Q47,CUR_RATES!$A$2:$F$524,4,0))),"")</f>
        <v>1</v>
      </c>
      <c r="J47" s="10">
        <f t="shared" si="1"/>
        <v>15900</v>
      </c>
      <c r="K47" s="67">
        <f t="shared" si="2"/>
        <v>477000000000</v>
      </c>
      <c r="L47" s="75">
        <v>41165</v>
      </c>
      <c r="M47" s="1">
        <v>0</v>
      </c>
      <c r="N47" s="8" t="str">
        <f t="shared" si="3"/>
        <v/>
      </c>
      <c r="O47" s="29" t="str">
        <f t="shared" si="0"/>
        <v/>
      </c>
      <c r="P47" s="29" t="str">
        <f>IF(A47&lt;&gt;"",IF(ISNA(VLOOKUP(A47,STK_DIV!$A$2:$E$1048576,4,0)),"",IF(L47&lt;&gt;VLOOKUP(A47,STK_DIV!$A$2:$E$1048576,5,0),"",VLOOKUP(A47,STK_DIV!$A$2:$E$1048576,4,0))),"")</f>
        <v/>
      </c>
      <c r="Q47" t="str">
        <f t="shared" si="4"/>
        <v>VND</v>
      </c>
      <c r="R47" s="2" t="str">
        <f>IF(INDEX(IDX_COMPO!$F:$F,ROW(IDX_COMPO!F47))=0,"",INDEX(IDX_COMPO!$F:$F,ROW(IDX_COMPO!F47)))</f>
        <v>VNXCOPRVND</v>
      </c>
      <c r="S47" s="27">
        <f t="shared" si="5"/>
        <v>1.2078436512769804E-2</v>
      </c>
      <c r="Y47">
        <v>0</v>
      </c>
    </row>
    <row r="48" spans="1:25" x14ac:dyDescent="0.2">
      <c r="A48" s="2" t="str">
        <f>IF(INDEX(IDX_COMPO!$A:$A,ROW(IDX_COMPO!A48))=0,"",INDEX(IDX_COMPO!$A:$A,ROW(IDX_COMPO!A48)))</f>
        <v>PGD</v>
      </c>
      <c r="B48" t="str">
        <f>IF($A48&lt;&gt;"",VLOOKUP($A48,STK_REF!$A$2:$H$593,3,0),"")</f>
        <v>VNX Low Pressure Gas Distribution</v>
      </c>
      <c r="C48">
        <f>IF($A48&lt;&gt;"",INDEX(IDX_COMPO!$C:$C,SUMPRODUCT(--(IDX_COMPO!$A:$A=$A48),--($R48=IDX_COMPO!$F:$F),ROW(IDX_COMPO!$F:$F))),"")</f>
        <v>15000000</v>
      </c>
      <c r="D48">
        <f>IF($A48&lt;&gt;"",INDEX(IDX_COMPO!$D:$D,SUMPRODUCT(--(IDX_COMPO!$A:$A=$A48),--($R48=IDX_COMPO!$F:$F),ROW(IDX_COMPO!$F:$F))),"")</f>
        <v>100</v>
      </c>
      <c r="E48">
        <f>IF($A48&lt;&gt;"",INDEX(IDX_COMPO!$E:$E,SUMPRODUCT(--(IDX_COMPO!$A:$A=$A48),--($R48=IDX_COMPO!$F:$F),ROW(IDX_COMPO!$F:$F))),"")</f>
        <v>100</v>
      </c>
      <c r="F48" s="10">
        <f>IF($A48&lt;&gt;"",VLOOKUP($A48,STK_PRICES!$A$2:$L$593,12,0),"")</f>
        <v>38800</v>
      </c>
      <c r="G48" t="str">
        <f>IF($A48&lt;&gt;"",VLOOKUP($A48,STK_REF!$A$2:$H$593,7,0),"")</f>
        <v>VND</v>
      </c>
      <c r="H48">
        <f>IF($A48&lt;&gt;"",VLOOKUP($A48,STK_REF!$A$2:$H$593,8,0),"")</f>
        <v>1</v>
      </c>
      <c r="I48" s="8">
        <f>IF(A48&lt;&gt;"",IF(G48=Q48,1,IF(ISNA(VLOOKUP(G48&amp;Q48,CUR_RATES!$A$2:$F$524,4,0)),"",VLOOKUP(G48&amp;Q48,CUR_RATES!$A$2:$F$524,4,0))),"")</f>
        <v>1</v>
      </c>
      <c r="J48" s="10">
        <f t="shared" si="1"/>
        <v>38800</v>
      </c>
      <c r="K48" s="67">
        <f t="shared" si="2"/>
        <v>582000000000</v>
      </c>
      <c r="L48" s="75">
        <v>41165</v>
      </c>
      <c r="M48" s="1">
        <v>0</v>
      </c>
      <c r="N48" s="8" t="str">
        <f t="shared" si="3"/>
        <v/>
      </c>
      <c r="O48" s="29" t="str">
        <f t="shared" si="0"/>
        <v/>
      </c>
      <c r="P48" s="29" t="str">
        <f>IF(A48&lt;&gt;"",IF(ISNA(VLOOKUP(A48,STK_DIV!$A$2:$E$1048576,4,0)),"",IF(L48&lt;&gt;VLOOKUP(A48,STK_DIV!$A$2:$E$1048576,5,0),"",VLOOKUP(A48,STK_DIV!$A$2:$E$1048576,4,0))),"")</f>
        <v/>
      </c>
      <c r="Q48" t="str">
        <f t="shared" si="4"/>
        <v>VND</v>
      </c>
      <c r="R48" s="2" t="str">
        <f>IF(INDEX(IDX_COMPO!$F:$F,ROW(IDX_COMPO!F48))=0,"",INDEX(IDX_COMPO!$F:$F,ROW(IDX_COMPO!F48)))</f>
        <v>VNXCOPRVND</v>
      </c>
      <c r="S48" s="27">
        <f t="shared" si="5"/>
        <v>1.4737211845769448E-2</v>
      </c>
      <c r="Y48">
        <v>0</v>
      </c>
    </row>
    <row r="49" spans="1:25" x14ac:dyDescent="0.2">
      <c r="A49" s="2" t="str">
        <f>IF(INDEX(IDX_COMPO!$A:$A,ROW(IDX_COMPO!A49))=0,"",INDEX(IDX_COMPO!$A:$A,ROW(IDX_COMPO!A49)))</f>
        <v>PVT</v>
      </c>
      <c r="B49" t="str">
        <f>IF($A49&lt;&gt;"",VLOOKUP($A49,STK_REF!$A$2:$H$593,3,0),"")</f>
        <v>VNX Transportation</v>
      </c>
      <c r="C49">
        <f>IF($A49&lt;&gt;"",INDEX(IDX_COMPO!$C:$C,SUMPRODUCT(--(IDX_COMPO!$A:$A=$A49),--($R49=IDX_COMPO!$F:$F),ROW(IDX_COMPO!$F:$F))),"")</f>
        <v>37518001</v>
      </c>
      <c r="D49">
        <f>IF($A49&lt;&gt;"",INDEX(IDX_COMPO!$D:$D,SUMPRODUCT(--(IDX_COMPO!$A:$A=$A49),--($R49=IDX_COMPO!$F:$F),ROW(IDX_COMPO!$F:$F))),"")</f>
        <v>100</v>
      </c>
      <c r="E49">
        <f>IF($A49&lt;&gt;"",INDEX(IDX_COMPO!$E:$E,SUMPRODUCT(--(IDX_COMPO!$A:$A=$A49),--($R49=IDX_COMPO!$F:$F),ROW(IDX_COMPO!$F:$F))),"")</f>
        <v>100</v>
      </c>
      <c r="F49" s="10">
        <f>IF($A49&lt;&gt;"",VLOOKUP($A49,STK_PRICES!$A$2:$L$593,12,0),"")</f>
        <v>4300</v>
      </c>
      <c r="G49" t="str">
        <f>IF($A49&lt;&gt;"",VLOOKUP($A49,STK_REF!$A$2:$H$593,7,0),"")</f>
        <v>VND</v>
      </c>
      <c r="H49">
        <f>IF($A49&lt;&gt;"",VLOOKUP($A49,STK_REF!$A$2:$H$593,8,0),"")</f>
        <v>1</v>
      </c>
      <c r="I49" s="8">
        <f>IF(A49&lt;&gt;"",IF(G49=Q49,1,IF(ISNA(VLOOKUP(G49&amp;Q49,CUR_RATES!$A$2:$F$524,4,0)),"",VLOOKUP(G49&amp;Q49,CUR_RATES!$A$2:$F$524,4,0))),"")</f>
        <v>1</v>
      </c>
      <c r="J49" s="10">
        <f t="shared" si="1"/>
        <v>4300</v>
      </c>
      <c r="K49" s="67">
        <f t="shared" si="2"/>
        <v>161327404300</v>
      </c>
      <c r="L49" s="75">
        <v>41165</v>
      </c>
      <c r="M49" s="1">
        <v>0</v>
      </c>
      <c r="N49" s="8" t="str">
        <f t="shared" si="3"/>
        <v/>
      </c>
      <c r="O49" s="29" t="str">
        <f t="shared" si="0"/>
        <v/>
      </c>
      <c r="P49" s="29" t="str">
        <f>IF(A49&lt;&gt;"",IF(ISNA(VLOOKUP(A49,STK_DIV!$A$2:$E$1048576,4,0)),"",IF(L49&lt;&gt;VLOOKUP(A49,STK_DIV!$A$2:$E$1048576,5,0),"",VLOOKUP(A49,STK_DIV!$A$2:$E$1048576,4,0))),"")</f>
        <v/>
      </c>
      <c r="Q49" t="str">
        <f t="shared" si="4"/>
        <v>VND</v>
      </c>
      <c r="R49" s="2" t="str">
        <f>IF(INDEX(IDX_COMPO!$F:$F,ROW(IDX_COMPO!F49))=0,"",INDEX(IDX_COMPO!$F:$F,ROW(IDX_COMPO!F49)))</f>
        <v>VNXCOPRVND</v>
      </c>
      <c r="S49" s="27">
        <f t="shared" si="5"/>
        <v>4.0850792675209569E-3</v>
      </c>
      <c r="Y49">
        <v>0</v>
      </c>
    </row>
    <row r="50" spans="1:25" x14ac:dyDescent="0.2">
      <c r="A50" s="2" t="str">
        <f>IF(INDEX(IDX_COMPO!$A:$A,ROW(IDX_COMPO!A50))=0,"",INDEX(IDX_COMPO!$A:$A,ROW(IDX_COMPO!A50)))</f>
        <v>PGS</v>
      </c>
      <c r="B50" t="str">
        <f>IF($A50&lt;&gt;"",VLOOKUP($A50,STK_REF!$A$2:$H$593,3,0),"")</f>
        <v>VNX Southern Gas</v>
      </c>
      <c r="C50">
        <f>IF($A50&lt;&gt;"",INDEX(IDX_COMPO!$C:$C,SUMPRODUCT(--(IDX_COMPO!$A:$A=$A50),--($R50=IDX_COMPO!$F:$F),ROW(IDX_COMPO!$F:$F))),"")</f>
        <v>20000000</v>
      </c>
      <c r="D50">
        <f>IF($A50&lt;&gt;"",INDEX(IDX_COMPO!$D:$D,SUMPRODUCT(--(IDX_COMPO!$A:$A=$A50),--($R50=IDX_COMPO!$F:$F),ROW(IDX_COMPO!$F:$F))),"")</f>
        <v>100</v>
      </c>
      <c r="E50">
        <f>IF($A50&lt;&gt;"",INDEX(IDX_COMPO!$E:$E,SUMPRODUCT(--(IDX_COMPO!$A:$A=$A50),--($R50=IDX_COMPO!$F:$F),ROW(IDX_COMPO!$F:$F))),"")</f>
        <v>100</v>
      </c>
      <c r="F50" s="10">
        <f>IF($A50&lt;&gt;"",VLOOKUP($A50,STK_PRICES!$A$2:$L$593,12,0),"")</f>
        <v>17100</v>
      </c>
      <c r="G50" t="str">
        <f>IF($A50&lt;&gt;"",VLOOKUP($A50,STK_REF!$A$2:$H$593,7,0),"")</f>
        <v>VND</v>
      </c>
      <c r="H50">
        <f>IF($A50&lt;&gt;"",VLOOKUP($A50,STK_REF!$A$2:$H$593,8,0),"")</f>
        <v>1</v>
      </c>
      <c r="I50" s="8">
        <f>IF(A50&lt;&gt;"",IF(G50=Q50,1,IF(ISNA(VLOOKUP(G50&amp;Q50,CUR_RATES!$A$2:$F$524,4,0)),"",VLOOKUP(G50&amp;Q50,CUR_RATES!$A$2:$F$524,4,0))),"")</f>
        <v>1</v>
      </c>
      <c r="J50" s="10">
        <f t="shared" si="1"/>
        <v>17100</v>
      </c>
      <c r="K50" s="67">
        <f t="shared" si="2"/>
        <v>342000000000</v>
      </c>
      <c r="L50" s="75">
        <v>41165</v>
      </c>
      <c r="M50" s="1">
        <v>0</v>
      </c>
      <c r="N50" s="8">
        <f t="shared" si="3"/>
        <v>24000000000</v>
      </c>
      <c r="O50" s="29">
        <f t="shared" si="0"/>
        <v>1200</v>
      </c>
      <c r="P50" s="29">
        <f>IF(A50&lt;&gt;"",IF(ISNA(VLOOKUP(A50,STK_DIV!$A$2:$E$1048576,4,0)),"",IF(L50&lt;&gt;VLOOKUP(A50,STK_DIV!$A$2:$E$1048576,5,0),"",VLOOKUP(A50,STK_DIV!$A$2:$E$1048576,4,0))),"")</f>
        <v>1200</v>
      </c>
      <c r="Q50" t="str">
        <f t="shared" si="4"/>
        <v>VND</v>
      </c>
      <c r="R50" s="2" t="str">
        <f>IF(INDEX(IDX_COMPO!$F:$F,ROW(IDX_COMPO!F50))=0,"",INDEX(IDX_COMPO!$F:$F,ROW(IDX_COMPO!F50)))</f>
        <v>VNXCOPRVND</v>
      </c>
      <c r="S50" s="27">
        <f t="shared" si="5"/>
        <v>8.6600110846274062E-3</v>
      </c>
      <c r="Y50">
        <v>0</v>
      </c>
    </row>
    <row r="51" spans="1:25" x14ac:dyDescent="0.2">
      <c r="A51" s="2" t="str">
        <f>IF(INDEX(IDX_COMPO!$A:$A,ROW(IDX_COMPO!A51))=0,"",INDEX(IDX_COMPO!$A:$A,ROW(IDX_COMPO!A51)))</f>
        <v>PET</v>
      </c>
      <c r="B51" t="str">
        <f>IF($A51&lt;&gt;"",VLOOKUP($A51,STK_REF!$A$2:$H$593,3,0),"")</f>
        <v>VNX General Services</v>
      </c>
      <c r="C51">
        <f>IF($A51&lt;&gt;"",INDEX(IDX_COMPO!$C:$C,SUMPRODUCT(--(IDX_COMPO!$A:$A=$A51),--($R51=IDX_COMPO!$F:$F),ROW(IDX_COMPO!$F:$F))),"")</f>
        <v>42900000</v>
      </c>
      <c r="D51">
        <f>IF($A51&lt;&gt;"",INDEX(IDX_COMPO!$D:$D,SUMPRODUCT(--(IDX_COMPO!$A:$A=$A51),--($R51=IDX_COMPO!$F:$F),ROW(IDX_COMPO!$F:$F))),"")</f>
        <v>100</v>
      </c>
      <c r="E51">
        <f>IF($A51&lt;&gt;"",INDEX(IDX_COMPO!$E:$E,SUMPRODUCT(--(IDX_COMPO!$A:$A=$A51),--($R51=IDX_COMPO!$F:$F),ROW(IDX_COMPO!$F:$F))),"")</f>
        <v>100</v>
      </c>
      <c r="F51" s="10">
        <f>IF($A51&lt;&gt;"",VLOOKUP($A51,STK_PRICES!$A$2:$L$593,12,0),"")</f>
        <v>11200</v>
      </c>
      <c r="G51" t="str">
        <f>IF($A51&lt;&gt;"",VLOOKUP($A51,STK_REF!$A$2:$H$593,7,0),"")</f>
        <v>VND</v>
      </c>
      <c r="H51">
        <f>IF($A51&lt;&gt;"",VLOOKUP($A51,STK_REF!$A$2:$H$593,8,0),"")</f>
        <v>1</v>
      </c>
      <c r="I51" s="8">
        <f>IF(A51&lt;&gt;"",IF(G51=Q51,1,IF(ISNA(VLOOKUP(G51&amp;Q51,CUR_RATES!$A$2:$F$524,4,0)),"",VLOOKUP(G51&amp;Q51,CUR_RATES!$A$2:$F$524,4,0))),"")</f>
        <v>1</v>
      </c>
      <c r="J51" s="10">
        <f t="shared" si="1"/>
        <v>11200</v>
      </c>
      <c r="K51" s="67">
        <f t="shared" si="2"/>
        <v>480480000000</v>
      </c>
      <c r="L51" s="75">
        <v>41165</v>
      </c>
      <c r="M51" s="1">
        <v>0</v>
      </c>
      <c r="N51" s="8">
        <f t="shared" si="3"/>
        <v>64350000000</v>
      </c>
      <c r="O51" s="29">
        <f t="shared" si="0"/>
        <v>1500</v>
      </c>
      <c r="P51" s="29">
        <f>IF(A51&lt;&gt;"",IF(ISNA(VLOOKUP(A51,STK_DIV!$A$2:$E$1048576,4,0)),"",IF(L51&lt;&gt;VLOOKUP(A51,STK_DIV!$A$2:$E$1048576,5,0),"",VLOOKUP(A51,STK_DIV!$A$2:$E$1048576,4,0))),"")</f>
        <v>1500</v>
      </c>
      <c r="Q51" t="str">
        <f t="shared" si="4"/>
        <v>VND</v>
      </c>
      <c r="R51" s="2" t="str">
        <f>IF(INDEX(IDX_COMPO!$F:$F,ROW(IDX_COMPO!F51))=0,"",INDEX(IDX_COMPO!$F:$F,ROW(IDX_COMPO!F51)))</f>
        <v>VNXCOPRVND</v>
      </c>
      <c r="S51" s="27">
        <f t="shared" si="5"/>
        <v>1.2166555923806364E-2</v>
      </c>
      <c r="Y51">
        <v>0</v>
      </c>
    </row>
    <row r="52" spans="1:25" x14ac:dyDescent="0.2">
      <c r="A52" s="2" t="str">
        <f>IF(INDEX(IDX_COMPO!$A:$A,ROW(IDX_COMPO!A52))=0,"",INDEX(IDX_COMPO!$A:$A,ROW(IDX_COMPO!A52)))</f>
        <v>PTL</v>
      </c>
      <c r="B52" t="str">
        <f>IF($A52&lt;&gt;"",VLOOKUP($A52,STK_REF!$A$2:$H$593,3,0),"")</f>
        <v>Petro Capital and Infrastructure Investment</v>
      </c>
      <c r="C52">
        <f>IF($A52&lt;&gt;"",INDEX(IDX_COMPO!$C:$C,SUMPRODUCT(--(IDX_COMPO!$A:$A=$A52),--($R52=IDX_COMPO!$F:$F),ROW(IDX_COMPO!$F:$F))),"")</f>
        <v>209740215</v>
      </c>
      <c r="D52">
        <f>IF($A52&lt;&gt;"",INDEX(IDX_COMPO!$D:$D,SUMPRODUCT(--(IDX_COMPO!$A:$A=$A52),--($R52=IDX_COMPO!$F:$F),ROW(IDX_COMPO!$F:$F))),"")</f>
        <v>100</v>
      </c>
      <c r="E52">
        <f>IF($A52&lt;&gt;"",INDEX(IDX_COMPO!$E:$E,SUMPRODUCT(--(IDX_COMPO!$A:$A=$A52),--($R52=IDX_COMPO!$F:$F),ROW(IDX_COMPO!$F:$F))),"")</f>
        <v>100</v>
      </c>
      <c r="F52" s="10">
        <f>IF($A52&lt;&gt;"",VLOOKUP($A52,STK_PRICES!$A$2:$L$593,12,0),"")</f>
        <v>2900</v>
      </c>
      <c r="G52" t="str">
        <f>IF($A52&lt;&gt;"",VLOOKUP($A52,STK_REF!$A$2:$H$593,7,0),"")</f>
        <v>VND</v>
      </c>
      <c r="H52">
        <f>IF($A52&lt;&gt;"",VLOOKUP($A52,STK_REF!$A$2:$H$593,8,0),"")</f>
        <v>1</v>
      </c>
      <c r="I52" s="8">
        <f>IF(A52&lt;&gt;"",IF(G52=Q52,1,IF(ISNA(VLOOKUP(G52&amp;Q52,CUR_RATES!$A$2:$F$524,4,0)),"",VLOOKUP(G52&amp;Q52,CUR_RATES!$A$2:$F$524,4,0))),"")</f>
        <v>1</v>
      </c>
      <c r="J52" s="10">
        <f t="shared" si="1"/>
        <v>2900</v>
      </c>
      <c r="K52" s="67">
        <f t="shared" si="2"/>
        <v>608246623500</v>
      </c>
      <c r="L52" s="75">
        <v>41165</v>
      </c>
      <c r="M52" s="1">
        <v>0</v>
      </c>
      <c r="N52" s="8" t="str">
        <f t="shared" si="3"/>
        <v/>
      </c>
      <c r="O52" s="29" t="str">
        <f t="shared" si="0"/>
        <v/>
      </c>
      <c r="P52" s="29" t="str">
        <f>IF(A52&lt;&gt;"",IF(ISNA(VLOOKUP(A52,STK_DIV!$A$2:$E$1048576,4,0)),"",IF(L52&lt;&gt;VLOOKUP(A52,STK_DIV!$A$2:$E$1048576,5,0),"",VLOOKUP(A52,STK_DIV!$A$2:$E$1048576,4,0))),"")</f>
        <v/>
      </c>
      <c r="Q52" t="str">
        <f t="shared" si="4"/>
        <v>VND</v>
      </c>
      <c r="R52" s="2" t="str">
        <f>IF(INDEX(IDX_COMPO!$F:$F,ROW(IDX_COMPO!F52))=0,"",INDEX(IDX_COMPO!$F:$F,ROW(IDX_COMPO!F52)))</f>
        <v>VNXCOPRVND</v>
      </c>
      <c r="S52" s="27">
        <f t="shared" si="5"/>
        <v>1.5401820180401149E-2</v>
      </c>
      <c r="Y52">
        <v>0</v>
      </c>
    </row>
    <row r="53" spans="1:25" x14ac:dyDescent="0.2">
      <c r="A53" s="2" t="str">
        <f>IF(INDEX(IDX_COMPO!$A:$A,ROW(IDX_COMPO!A53))=0,"",INDEX(IDX_COMPO!$A:$A,ROW(IDX_COMPO!A53)))</f>
        <v>PVC</v>
      </c>
      <c r="B53" t="str">
        <f>IF($A53&lt;&gt;"",VLOOKUP($A53,STK_REF!$A$2:$H$593,3,0),"")</f>
        <v>Drilling Mud Corp</v>
      </c>
      <c r="C53">
        <f>IF($A53&lt;&gt;"",INDEX(IDX_COMPO!$C:$C,SUMPRODUCT(--(IDX_COMPO!$A:$A=$A53),--($R53=IDX_COMPO!$F:$F),ROW(IDX_COMPO!$F:$F))),"")</f>
        <v>50000000</v>
      </c>
      <c r="D53">
        <f>IF($A53&lt;&gt;"",INDEX(IDX_COMPO!$D:$D,SUMPRODUCT(--(IDX_COMPO!$A:$A=$A53),--($R53=IDX_COMPO!$F:$F),ROW(IDX_COMPO!$F:$F))),"")</f>
        <v>100</v>
      </c>
      <c r="E53">
        <f>IF($A53&lt;&gt;"",INDEX(IDX_COMPO!$E:$E,SUMPRODUCT(--(IDX_COMPO!$A:$A=$A53),--($R53=IDX_COMPO!$F:$F),ROW(IDX_COMPO!$F:$F))),"")</f>
        <v>100</v>
      </c>
      <c r="F53" s="10">
        <f>IF($A53&lt;&gt;"",VLOOKUP($A53,STK_PRICES!$A$2:$L$593,12,0),"")</f>
        <v>12700</v>
      </c>
      <c r="G53" t="str">
        <f>IF($A53&lt;&gt;"",VLOOKUP($A53,STK_REF!$A$2:$H$593,7,0),"")</f>
        <v>VND</v>
      </c>
      <c r="H53">
        <f>IF($A53&lt;&gt;"",VLOOKUP($A53,STK_REF!$A$2:$H$593,8,0),"")</f>
        <v>1</v>
      </c>
      <c r="I53" s="8">
        <f>IF(A53&lt;&gt;"",IF(G53=Q53,1,IF(ISNA(VLOOKUP(G53&amp;Q53,CUR_RATES!$A$2:$F$524,4,0)),"",VLOOKUP(G53&amp;Q53,CUR_RATES!$A$2:$F$524,4,0))),"")</f>
        <v>1</v>
      </c>
      <c r="J53" s="10">
        <f t="shared" si="1"/>
        <v>12700</v>
      </c>
      <c r="K53" s="67">
        <f t="shared" si="2"/>
        <v>635000000000</v>
      </c>
      <c r="L53" s="75">
        <v>41165</v>
      </c>
      <c r="M53" s="1">
        <v>0</v>
      </c>
      <c r="N53" s="8" t="str">
        <f t="shared" si="3"/>
        <v/>
      </c>
      <c r="O53" s="29" t="str">
        <f t="shared" si="0"/>
        <v/>
      </c>
      <c r="P53" s="29" t="str">
        <f>IF(A53&lt;&gt;"",IF(ISNA(VLOOKUP(A53,STK_DIV!$A$2:$E$1048576,4,0)),"",IF(L53&lt;&gt;VLOOKUP(A53,STK_DIV!$A$2:$E$1048576,5,0),"",VLOOKUP(A53,STK_DIV!$A$2:$E$1048576,4,0))),"")</f>
        <v/>
      </c>
      <c r="Q53" t="str">
        <f t="shared" si="4"/>
        <v>VND</v>
      </c>
      <c r="R53" s="2" t="str">
        <f>IF(INDEX(IDX_COMPO!$F:$F,ROW(IDX_COMPO!F53))=0,"",INDEX(IDX_COMPO!$F:$F,ROW(IDX_COMPO!F53)))</f>
        <v>VNXCOPRVND</v>
      </c>
      <c r="S53" s="27">
        <f t="shared" si="5"/>
        <v>1.6079260347188314E-2</v>
      </c>
      <c r="Y53">
        <v>0</v>
      </c>
    </row>
    <row r="54" spans="1:25" x14ac:dyDescent="0.2">
      <c r="A54" s="2" t="str">
        <f>IF(INDEX(IDX_COMPO!$A:$A,ROW(IDX_COMPO!A54))=0,"",INDEX(IDX_COMPO!$A:$A,ROW(IDX_COMPO!A54)))</f>
        <v>PVR</v>
      </c>
      <c r="B54" t="str">
        <f>IF($A54&lt;&gt;"",VLOOKUP($A54,STK_REF!$A$2:$H$593,3,0),"")</f>
        <v>VNX Premier Recreation</v>
      </c>
      <c r="C54">
        <f>IF($A54&lt;&gt;"",INDEX(IDX_COMPO!$C:$C,SUMPRODUCT(--(IDX_COMPO!$A:$A=$A54),--($R54=IDX_COMPO!$F:$F),ROW(IDX_COMPO!$F:$F))),"")</f>
        <v>35000000</v>
      </c>
      <c r="D54">
        <f>IF($A54&lt;&gt;"",INDEX(IDX_COMPO!$D:$D,SUMPRODUCT(--(IDX_COMPO!$A:$A=$A54),--($R54=IDX_COMPO!$F:$F),ROW(IDX_COMPO!$F:$F))),"")</f>
        <v>100</v>
      </c>
      <c r="E54">
        <f>IF($A54&lt;&gt;"",INDEX(IDX_COMPO!$E:$E,SUMPRODUCT(--(IDX_COMPO!$A:$A=$A54),--($R54=IDX_COMPO!$F:$F),ROW(IDX_COMPO!$F:$F))),"")</f>
        <v>100</v>
      </c>
      <c r="F54" s="10">
        <f>IF($A54&lt;&gt;"",VLOOKUP($A54,STK_PRICES!$A$2:$L$593,12,0),"")</f>
        <v>3600</v>
      </c>
      <c r="G54" t="str">
        <f>IF($A54&lt;&gt;"",VLOOKUP($A54,STK_REF!$A$2:$H$593,7,0),"")</f>
        <v>VND</v>
      </c>
      <c r="H54">
        <f>IF($A54&lt;&gt;"",VLOOKUP($A54,STK_REF!$A$2:$H$593,8,0),"")</f>
        <v>1</v>
      </c>
      <c r="I54" s="8">
        <f>IF(A54&lt;&gt;"",IF(G54=Q54,1,IF(ISNA(VLOOKUP(G54&amp;Q54,CUR_RATES!$A$2:$F$524,4,0)),"",VLOOKUP(G54&amp;Q54,CUR_RATES!$A$2:$F$524,4,0))),"")</f>
        <v>1</v>
      </c>
      <c r="J54" s="10">
        <f t="shared" si="1"/>
        <v>3600</v>
      </c>
      <c r="K54" s="67">
        <f t="shared" si="2"/>
        <v>126000000000</v>
      </c>
      <c r="L54" s="75">
        <v>41165</v>
      </c>
      <c r="M54" s="1">
        <v>0</v>
      </c>
      <c r="N54" s="8" t="str">
        <f t="shared" si="3"/>
        <v/>
      </c>
      <c r="O54" s="29" t="str">
        <f t="shared" si="0"/>
        <v/>
      </c>
      <c r="P54" s="29" t="str">
        <f>IF(A54&lt;&gt;"",IF(ISNA(VLOOKUP(A54,STK_DIV!$A$2:$E$1048576,4,0)),"",IF(L54&lt;&gt;VLOOKUP(A54,STK_DIV!$A$2:$E$1048576,5,0),"",VLOOKUP(A54,STK_DIV!$A$2:$E$1048576,4,0))),"")</f>
        <v/>
      </c>
      <c r="Q54" t="str">
        <f t="shared" si="4"/>
        <v>VND</v>
      </c>
      <c r="R54" s="2" t="str">
        <f>IF(INDEX(IDX_COMPO!$F:$F,ROW(IDX_COMPO!F54))=0,"",INDEX(IDX_COMPO!$F:$F,ROW(IDX_COMPO!F54)))</f>
        <v>VNXCOPRVND</v>
      </c>
      <c r="S54" s="27">
        <f t="shared" si="5"/>
        <v>3.1905303995995709E-3</v>
      </c>
      <c r="Y54">
        <v>0</v>
      </c>
    </row>
    <row r="55" spans="1:25" x14ac:dyDescent="0.2">
      <c r="A55" s="2" t="str">
        <f>IF(INDEX(IDX_COMPO!$A:$A,ROW(IDX_COMPO!A55))=0,"",INDEX(IDX_COMPO!$A:$A,ROW(IDX_COMPO!A55)))</f>
        <v>PVG</v>
      </c>
      <c r="B55" t="str">
        <f>IF($A55&lt;&gt;"",VLOOKUP($A55,STK_REF!$A$2:$H$593,3,0),"")</f>
        <v>VNX Northern Gas</v>
      </c>
      <c r="C55">
        <f>IF($A55&lt;&gt;"",INDEX(IDX_COMPO!$C:$C,SUMPRODUCT(--(IDX_COMPO!$A:$A=$A55),--($R55=IDX_COMPO!$F:$F),ROW(IDX_COMPO!$F:$F))),"")</f>
        <v>2000000</v>
      </c>
      <c r="D55">
        <f>IF($A55&lt;&gt;"",INDEX(IDX_COMPO!$D:$D,SUMPRODUCT(--(IDX_COMPO!$A:$A=$A55),--($R55=IDX_COMPO!$F:$F),ROW(IDX_COMPO!$F:$F))),"")</f>
        <v>100</v>
      </c>
      <c r="E55">
        <f>IF($A55&lt;&gt;"",INDEX(IDX_COMPO!$E:$E,SUMPRODUCT(--(IDX_COMPO!$A:$A=$A55),--($R55=IDX_COMPO!$F:$F),ROW(IDX_COMPO!$F:$F))),"")</f>
        <v>100</v>
      </c>
      <c r="F55" s="10">
        <f>IF($A55&lt;&gt;"",VLOOKUP($A55,STK_PRICES!$A$2:$L$593,12,0),"")</f>
        <v>9300</v>
      </c>
      <c r="G55" t="str">
        <f>IF($A55&lt;&gt;"",VLOOKUP($A55,STK_REF!$A$2:$H$593,7,0),"")</f>
        <v>VND</v>
      </c>
      <c r="H55">
        <f>IF($A55&lt;&gt;"",VLOOKUP($A55,STK_REF!$A$2:$H$593,8,0),"")</f>
        <v>1</v>
      </c>
      <c r="I55" s="8">
        <f>IF(A55&lt;&gt;"",IF(G55=Q55,1,IF(ISNA(VLOOKUP(G55&amp;Q55,CUR_RATES!$A$2:$F$524,4,0)),"",VLOOKUP(G55&amp;Q55,CUR_RATES!$A$2:$F$524,4,0))),"")</f>
        <v>1</v>
      </c>
      <c r="J55" s="10">
        <f t="shared" si="1"/>
        <v>9300</v>
      </c>
      <c r="K55" s="67">
        <f t="shared" si="2"/>
        <v>18600000000</v>
      </c>
      <c r="L55" s="75">
        <v>41165</v>
      </c>
      <c r="M55" s="1">
        <v>0</v>
      </c>
      <c r="N55" s="8" t="str">
        <f t="shared" si="3"/>
        <v/>
      </c>
      <c r="O55" s="29" t="str">
        <f t="shared" si="0"/>
        <v/>
      </c>
      <c r="P55" s="29" t="str">
        <f>IF(A55&lt;&gt;"",IF(ISNA(VLOOKUP(A55,STK_DIV!$A$2:$E$1048576,4,0)),"",IF(L55&lt;&gt;VLOOKUP(A55,STK_DIV!$A$2:$E$1048576,5,0),"",VLOOKUP(A55,STK_DIV!$A$2:$E$1048576,4,0))),"")</f>
        <v/>
      </c>
      <c r="Q55" t="str">
        <f t="shared" si="4"/>
        <v>VND</v>
      </c>
      <c r="R55" s="2" t="str">
        <f>IF(INDEX(IDX_COMPO!$F:$F,ROW(IDX_COMPO!F55))=0,"",INDEX(IDX_COMPO!$F:$F,ROW(IDX_COMPO!F55)))</f>
        <v>VNXCOPRVND</v>
      </c>
      <c r="S55" s="27">
        <f t="shared" si="5"/>
        <v>4.709830589885081E-4</v>
      </c>
      <c r="Y55">
        <v>0</v>
      </c>
    </row>
    <row r="56" spans="1:25" x14ac:dyDescent="0.2">
      <c r="A56" s="2" t="str">
        <f>IF(INDEX(IDX_COMPO!$A:$A,ROW(IDX_COMPO!A56))=0,"",INDEX(IDX_COMPO!$A:$A,ROW(IDX_COMPO!A56)))</f>
        <v>PXS</v>
      </c>
      <c r="B56" t="str">
        <f>IF($A56&lt;&gt;"",VLOOKUP($A56,STK_REF!$A$2:$H$593,3,0),"")</f>
        <v>Petroleum Equipment Assembly and Metal Structure</v>
      </c>
      <c r="C56">
        <f>IF($A56&lt;&gt;"",INDEX(IDX_COMPO!$C:$C,SUMPRODUCT(--(IDX_COMPO!$A:$A=$A56),--($R56=IDX_COMPO!$F:$F),ROW(IDX_COMPO!$F:$F))),"")</f>
        <v>59841300</v>
      </c>
      <c r="D56">
        <f>IF($A56&lt;&gt;"",INDEX(IDX_COMPO!$D:$D,SUMPRODUCT(--(IDX_COMPO!$A:$A=$A56),--($R56=IDX_COMPO!$F:$F),ROW(IDX_COMPO!$F:$F))),"")</f>
        <v>100</v>
      </c>
      <c r="E56">
        <f>IF($A56&lt;&gt;"",INDEX(IDX_COMPO!$E:$E,SUMPRODUCT(--(IDX_COMPO!$A:$A=$A56),--($R56=IDX_COMPO!$F:$F),ROW(IDX_COMPO!$F:$F))),"")</f>
        <v>100</v>
      </c>
      <c r="F56" s="10">
        <f>IF($A56&lt;&gt;"",VLOOKUP($A56,STK_PRICES!$A$2:$L$593,12,0),"")</f>
        <v>9400</v>
      </c>
      <c r="G56" t="str">
        <f>IF($A56&lt;&gt;"",VLOOKUP($A56,STK_REF!$A$2:$H$593,7,0),"")</f>
        <v>VND</v>
      </c>
      <c r="H56">
        <f>IF($A56&lt;&gt;"",VLOOKUP($A56,STK_REF!$A$2:$H$593,8,0),"")</f>
        <v>1</v>
      </c>
      <c r="I56" s="8">
        <f>IF(A56&lt;&gt;"",IF(G56=Q56,1,IF(ISNA(VLOOKUP(G56&amp;Q56,CUR_RATES!$A$2:$F$524,4,0)),"",VLOOKUP(G56&amp;Q56,CUR_RATES!$A$2:$F$524,4,0))),"")</f>
        <v>1</v>
      </c>
      <c r="J56" s="10">
        <f t="shared" si="1"/>
        <v>9400</v>
      </c>
      <c r="K56" s="67">
        <f t="shared" si="2"/>
        <v>562508220000</v>
      </c>
      <c r="L56" s="75">
        <v>41165</v>
      </c>
      <c r="M56" s="1">
        <v>0</v>
      </c>
      <c r="N56" s="8" t="str">
        <f t="shared" si="3"/>
        <v/>
      </c>
      <c r="O56" s="29" t="str">
        <f t="shared" si="0"/>
        <v/>
      </c>
      <c r="P56" s="29" t="str">
        <f>IF(A56&lt;&gt;"",IF(ISNA(VLOOKUP(A56,STK_DIV!$A$2:$E$1048576,4,0)),"",IF(L56&lt;&gt;VLOOKUP(A56,STK_DIV!$A$2:$E$1048576,5,0),"",VLOOKUP(A56,STK_DIV!$A$2:$E$1048576,4,0))),"")</f>
        <v/>
      </c>
      <c r="Q56" t="str">
        <f t="shared" si="4"/>
        <v>VND</v>
      </c>
      <c r="R56" s="2" t="str">
        <f>IF(INDEX(IDX_COMPO!$F:$F,ROW(IDX_COMPO!F56))=0,"",INDEX(IDX_COMPO!$F:$F,ROW(IDX_COMPO!F56)))</f>
        <v>VNXCOPRVND</v>
      </c>
      <c r="S56" s="27">
        <f t="shared" si="5"/>
        <v>1.4243647428052725E-2</v>
      </c>
      <c r="Y56">
        <v>0</v>
      </c>
    </row>
    <row r="57" spans="1:25" x14ac:dyDescent="0.2">
      <c r="A57" s="2" t="str">
        <f>IF(INDEX(IDX_COMPO!$A:$A,ROW(IDX_COMPO!A57))=0,"",INDEX(IDX_COMPO!$A:$A,ROW(IDX_COMPO!A57)))</f>
        <v>PSI</v>
      </c>
      <c r="B57" t="str">
        <f>IF($A57&lt;&gt;"",VLOOKUP($A57,STK_REF!$A$2:$H$593,3,0),"")</f>
        <v>VNX Securities Incorporated</v>
      </c>
      <c r="C57">
        <f>IF($A57&lt;&gt;"",INDEX(IDX_COMPO!$C:$C,SUMPRODUCT(--(IDX_COMPO!$A:$A=$A57),--($R57=IDX_COMPO!$F:$F),ROW(IDX_COMPO!$F:$F))),"")</f>
        <v>157531264</v>
      </c>
      <c r="D57">
        <f>IF($A57&lt;&gt;"",INDEX(IDX_COMPO!$D:$D,SUMPRODUCT(--(IDX_COMPO!$A:$A=$A57),--($R57=IDX_COMPO!$F:$F),ROW(IDX_COMPO!$F:$F))),"")</f>
        <v>100</v>
      </c>
      <c r="E57">
        <f>IF($A57&lt;&gt;"",INDEX(IDX_COMPO!$E:$E,SUMPRODUCT(--(IDX_COMPO!$A:$A=$A57),--($R57=IDX_COMPO!$F:$F),ROW(IDX_COMPO!$F:$F))),"")</f>
        <v>100</v>
      </c>
      <c r="F57" s="10">
        <f>IF($A57&lt;&gt;"",VLOOKUP($A57,STK_PRICES!$A$2:$L$593,12,0),"")</f>
        <v>3600</v>
      </c>
      <c r="G57" t="str">
        <f>IF($A57&lt;&gt;"",VLOOKUP($A57,STK_REF!$A$2:$H$593,7,0),"")</f>
        <v>VND</v>
      </c>
      <c r="H57">
        <f>IF($A57&lt;&gt;"",VLOOKUP($A57,STK_REF!$A$2:$H$593,8,0),"")</f>
        <v>1</v>
      </c>
      <c r="I57" s="8">
        <f>IF(A57&lt;&gt;"",IF(G57=Q57,1,IF(ISNA(VLOOKUP(G57&amp;Q57,CUR_RATES!$A$2:$F$524,4,0)),"",VLOOKUP(G57&amp;Q57,CUR_RATES!$A$2:$F$524,4,0))),"")</f>
        <v>1</v>
      </c>
      <c r="J57" s="10">
        <f t="shared" si="1"/>
        <v>3600</v>
      </c>
      <c r="K57" s="67">
        <f t="shared" si="2"/>
        <v>567112550400</v>
      </c>
      <c r="L57" s="75">
        <v>41165</v>
      </c>
      <c r="M57" s="1">
        <v>0</v>
      </c>
      <c r="N57" s="8" t="str">
        <f t="shared" si="3"/>
        <v/>
      </c>
      <c r="O57" s="29" t="str">
        <f t="shared" si="0"/>
        <v/>
      </c>
      <c r="P57" s="29" t="str">
        <f>IF(A57&lt;&gt;"",IF(ISNA(VLOOKUP(A57,STK_DIV!$A$2:$E$1048576,4,0)),"",IF(L57&lt;&gt;VLOOKUP(A57,STK_DIV!$A$2:$E$1048576,5,0),"",VLOOKUP(A57,STK_DIV!$A$2:$E$1048576,4,0))),"")</f>
        <v/>
      </c>
      <c r="Q57" t="str">
        <f t="shared" si="4"/>
        <v>VND</v>
      </c>
      <c r="R57" s="2" t="str">
        <f>IF(INDEX(IDX_COMPO!$F:$F,ROW(IDX_COMPO!F57))=0,"",INDEX(IDX_COMPO!$F:$F,ROW(IDX_COMPO!F57)))</f>
        <v>VNXCOPRVND</v>
      </c>
      <c r="S57" s="27">
        <f t="shared" si="5"/>
        <v>1.4360236762267015E-2</v>
      </c>
      <c r="Y57">
        <v>0</v>
      </c>
    </row>
    <row r="58" spans="1:25" x14ac:dyDescent="0.2">
      <c r="A58" s="2" t="str">
        <f>IF(INDEX(IDX_COMPO!$A:$A,ROW(IDX_COMPO!A58))=0,"",INDEX(IDX_COMPO!$A:$A,ROW(IDX_COMPO!A58)))</f>
        <v>PFL</v>
      </c>
      <c r="B58" t="str">
        <f>IF($A58&lt;&gt;"",VLOOKUP($A58,STK_REF!$A$2:$H$593,3,0),"")</f>
        <v>Petro Dong Do Joint Stock Company</v>
      </c>
      <c r="C58">
        <f>IF($A58&lt;&gt;"",INDEX(IDX_COMPO!$C:$C,SUMPRODUCT(--(IDX_COMPO!$A:$A=$A58),--($R58=IDX_COMPO!$F:$F),ROW(IDX_COMPO!$F:$F))),"")</f>
        <v>52356713</v>
      </c>
      <c r="D58">
        <f>IF($A58&lt;&gt;"",INDEX(IDX_COMPO!$D:$D,SUMPRODUCT(--(IDX_COMPO!$A:$A=$A58),--($R58=IDX_COMPO!$F:$F),ROW(IDX_COMPO!$F:$F))),"")</f>
        <v>100</v>
      </c>
      <c r="E58">
        <f>IF($A58&lt;&gt;"",INDEX(IDX_COMPO!$E:$E,SUMPRODUCT(--(IDX_COMPO!$A:$A=$A58),--($R58=IDX_COMPO!$F:$F),ROW(IDX_COMPO!$F:$F))),"")</f>
        <v>100</v>
      </c>
      <c r="F58" s="10">
        <f>IF($A58&lt;&gt;"",VLOOKUP($A58,STK_PRICES!$A$2:$L$593,12,0),"")</f>
        <v>2700</v>
      </c>
      <c r="G58" t="str">
        <f>IF($A58&lt;&gt;"",VLOOKUP($A58,STK_REF!$A$2:$H$593,7,0),"")</f>
        <v>VND</v>
      </c>
      <c r="H58">
        <f>IF($A58&lt;&gt;"",VLOOKUP($A58,STK_REF!$A$2:$H$593,8,0),"")</f>
        <v>1</v>
      </c>
      <c r="I58" s="8">
        <f>IF(A58&lt;&gt;"",IF(G58=Q58,1,IF(ISNA(VLOOKUP(G58&amp;Q58,CUR_RATES!$A$2:$F$524,4,0)),"",VLOOKUP(G58&amp;Q58,CUR_RATES!$A$2:$F$524,4,0))),"")</f>
        <v>1</v>
      </c>
      <c r="J58" s="10">
        <f t="shared" si="1"/>
        <v>2700</v>
      </c>
      <c r="K58" s="67">
        <f t="shared" si="2"/>
        <v>141363125100</v>
      </c>
      <c r="L58" s="75">
        <v>41165</v>
      </c>
      <c r="M58" s="1">
        <v>0</v>
      </c>
      <c r="N58" s="8" t="str">
        <f t="shared" si="3"/>
        <v/>
      </c>
      <c r="O58" s="29" t="str">
        <f t="shared" si="0"/>
        <v/>
      </c>
      <c r="P58" s="29" t="str">
        <f>IF(A58&lt;&gt;"",IF(ISNA(VLOOKUP(A58,STK_DIV!$A$2:$E$1048576,4,0)),"",IF(L58&lt;&gt;VLOOKUP(A58,STK_DIV!$A$2:$E$1048576,5,0),"",VLOOKUP(A58,STK_DIV!$A$2:$E$1048576,4,0))),"")</f>
        <v/>
      </c>
      <c r="Q58" t="str">
        <f t="shared" si="4"/>
        <v>VND</v>
      </c>
      <c r="R58" s="2" t="str">
        <f>IF(INDEX(IDX_COMPO!$F:$F,ROW(IDX_COMPO!F58))=0,"",INDEX(IDX_COMPO!$F:$F,ROW(IDX_COMPO!F58)))</f>
        <v>VNXCOPRVND</v>
      </c>
      <c r="S58" s="27">
        <f t="shared" si="5"/>
        <v>3.5795503810630725E-3</v>
      </c>
      <c r="Y58">
        <v>0</v>
      </c>
    </row>
    <row r="59" spans="1:25" x14ac:dyDescent="0.2">
      <c r="A59" s="2" t="str">
        <f>IF(INDEX(IDX_COMPO!$A:$A,ROW(IDX_COMPO!A59))=0,"",INDEX(IDX_COMPO!$A:$A,ROW(IDX_COMPO!A59)))</f>
        <v>PSG</v>
      </c>
      <c r="B59" t="str">
        <f>IF($A59&lt;&gt;"",VLOOKUP($A59,STK_REF!$A$2:$H$593,3,0),"")</f>
        <v>Saigon Petroleum Constrution And Investment JSC</v>
      </c>
      <c r="C59">
        <f>IF($A59&lt;&gt;"",INDEX(IDX_COMPO!$C:$C,SUMPRODUCT(--(IDX_COMPO!$A:$A=$A59),--($R59=IDX_COMPO!$F:$F),ROW(IDX_COMPO!$F:$F))),"")</f>
        <v>23000000</v>
      </c>
      <c r="D59">
        <f>IF($A59&lt;&gt;"",INDEX(IDX_COMPO!$D:$D,SUMPRODUCT(--(IDX_COMPO!$A:$A=$A59),--($R59=IDX_COMPO!$F:$F),ROW(IDX_COMPO!$F:$F))),"")</f>
        <v>100</v>
      </c>
      <c r="E59">
        <f>IF($A59&lt;&gt;"",INDEX(IDX_COMPO!$E:$E,SUMPRODUCT(--(IDX_COMPO!$A:$A=$A59),--($R59=IDX_COMPO!$F:$F),ROW(IDX_COMPO!$F:$F))),"")</f>
        <v>100</v>
      </c>
      <c r="F59" s="10">
        <f>IF($A59&lt;&gt;"",VLOOKUP($A59,STK_PRICES!$A$2:$L$593,12,0),"")</f>
        <v>1300</v>
      </c>
      <c r="G59" t="str">
        <f>IF($A59&lt;&gt;"",VLOOKUP($A59,STK_REF!$A$2:$H$593,7,0),"")</f>
        <v>VND</v>
      </c>
      <c r="H59">
        <f>IF($A59&lt;&gt;"",VLOOKUP($A59,STK_REF!$A$2:$H$593,8,0),"")</f>
        <v>1</v>
      </c>
      <c r="I59" s="8">
        <f>IF(A59&lt;&gt;"",IF(G59=Q59,1,IF(ISNA(VLOOKUP(G59&amp;Q59,CUR_RATES!$A$2:$F$524,4,0)),"",VLOOKUP(G59&amp;Q59,CUR_RATES!$A$2:$F$524,4,0))),"")</f>
        <v>1</v>
      </c>
      <c r="J59" s="10">
        <f t="shared" si="1"/>
        <v>1300</v>
      </c>
      <c r="K59" s="67">
        <f t="shared" si="2"/>
        <v>29900000000</v>
      </c>
      <c r="L59" s="75">
        <v>41165</v>
      </c>
      <c r="M59" s="1">
        <v>0</v>
      </c>
      <c r="N59" s="8" t="str">
        <f t="shared" si="3"/>
        <v/>
      </c>
      <c r="O59" s="29" t="str">
        <f t="shared" si="0"/>
        <v/>
      </c>
      <c r="P59" s="29" t="str">
        <f>IF(A59&lt;&gt;"",IF(ISNA(VLOOKUP(A59,STK_DIV!$A$2:$E$1048576,4,0)),"",IF(L59&lt;&gt;VLOOKUP(A59,STK_DIV!$A$2:$E$1048576,5,0),"",VLOOKUP(A59,STK_DIV!$A$2:$E$1048576,4,0))),"")</f>
        <v/>
      </c>
      <c r="Q59" t="str">
        <f t="shared" si="4"/>
        <v>VND</v>
      </c>
      <c r="R59" s="2" t="str">
        <f>IF(INDEX(IDX_COMPO!$F:$F,ROW(IDX_COMPO!F59))=0,"",INDEX(IDX_COMPO!$F:$F,ROW(IDX_COMPO!F59)))</f>
        <v>VNXCOPRVND</v>
      </c>
      <c r="S59" s="27">
        <f t="shared" si="5"/>
        <v>7.5711792815894583E-4</v>
      </c>
      <c r="Y59">
        <v>0</v>
      </c>
    </row>
    <row r="60" spans="1:25" x14ac:dyDescent="0.2">
      <c r="A60" s="2" t="str">
        <f>IF(INDEX(IDX_COMPO!$A:$A,ROW(IDX_COMPO!A60))=0,"",INDEX(IDX_COMPO!$A:$A,ROW(IDX_COMPO!A60)))</f>
        <v>PVE</v>
      </c>
      <c r="B60" t="str">
        <f>IF($A60&lt;&gt;"",VLOOKUP($A60,STK_REF!$A$2:$H$593,3,0),"")</f>
        <v>VNX Investment Consultancy and Engineering</v>
      </c>
      <c r="C60">
        <f>IF($A60&lt;&gt;"",INDEX(IDX_COMPO!$C:$C,SUMPRODUCT(--(IDX_COMPO!$A:$A=$A60),--($R60=IDX_COMPO!$F:$F),ROW(IDX_COMPO!$F:$F))),"")</f>
        <v>15000000</v>
      </c>
      <c r="D60">
        <f>IF($A60&lt;&gt;"",INDEX(IDX_COMPO!$D:$D,SUMPRODUCT(--(IDX_COMPO!$A:$A=$A60),--($R60=IDX_COMPO!$F:$F),ROW(IDX_COMPO!$F:$F))),"")</f>
        <v>100</v>
      </c>
      <c r="E60">
        <f>IF($A60&lt;&gt;"",INDEX(IDX_COMPO!$E:$E,SUMPRODUCT(--(IDX_COMPO!$A:$A=$A60),--($R60=IDX_COMPO!$F:$F),ROW(IDX_COMPO!$F:$F))),"")</f>
        <v>100</v>
      </c>
      <c r="F60" s="10">
        <f>IF($A60&lt;&gt;"",VLOOKUP($A60,STK_PRICES!$A$2:$L$593,12,0),"")</f>
        <v>9600</v>
      </c>
      <c r="G60" t="str">
        <f>IF($A60&lt;&gt;"",VLOOKUP($A60,STK_REF!$A$2:$H$593,7,0),"")</f>
        <v>VND</v>
      </c>
      <c r="H60">
        <f>IF($A60&lt;&gt;"",VLOOKUP($A60,STK_REF!$A$2:$H$593,8,0),"")</f>
        <v>1</v>
      </c>
      <c r="I60" s="8">
        <f>IF(A60&lt;&gt;"",IF(G60=Q60,1,IF(ISNA(VLOOKUP(G60&amp;Q60,CUR_RATES!$A$2:$F$524,4,0)),"",VLOOKUP(G60&amp;Q60,CUR_RATES!$A$2:$F$524,4,0))),"")</f>
        <v>1</v>
      </c>
      <c r="J60" s="10">
        <f t="shared" si="1"/>
        <v>9600</v>
      </c>
      <c r="K60" s="67">
        <f t="shared" si="2"/>
        <v>144000000000</v>
      </c>
      <c r="L60" s="75">
        <v>41165</v>
      </c>
      <c r="M60" s="1">
        <v>0</v>
      </c>
      <c r="N60" s="8" t="str">
        <f t="shared" si="3"/>
        <v/>
      </c>
      <c r="O60" s="29" t="str">
        <f t="shared" si="0"/>
        <v/>
      </c>
      <c r="P60" s="29" t="str">
        <f>IF(A60&lt;&gt;"",IF(ISNA(VLOOKUP(A60,STK_DIV!$A$2:$E$1048576,4,0)),"",IF(L60&lt;&gt;VLOOKUP(A60,STK_DIV!$A$2:$E$1048576,5,0),"",VLOOKUP(A60,STK_DIV!$A$2:$E$1048576,4,0))),"")</f>
        <v/>
      </c>
      <c r="Q60" t="str">
        <f t="shared" si="4"/>
        <v>VND</v>
      </c>
      <c r="R60" s="2" t="str">
        <f>IF(INDEX(IDX_COMPO!$F:$F,ROW(IDX_COMPO!F60))=0,"",INDEX(IDX_COMPO!$F:$F,ROW(IDX_COMPO!F60)))</f>
        <v>VNXCOPRVND</v>
      </c>
      <c r="S60" s="27">
        <f t="shared" si="5"/>
        <v>3.6463204566852241E-3</v>
      </c>
      <c r="Y60">
        <v>0</v>
      </c>
    </row>
    <row r="61" spans="1:25" x14ac:dyDescent="0.2">
      <c r="A61" s="2" t="str">
        <f>IF(INDEX(IDX_COMPO!$A:$A,ROW(IDX_COMPO!A61))=0,"",INDEX(IDX_COMPO!$A:$A,ROW(IDX_COMPO!A61)))</f>
        <v>PXI</v>
      </c>
      <c r="B61" t="str">
        <f>IF($A61&lt;&gt;"",VLOOKUP($A61,STK_REF!$A$2:$H$593,3,0),"")</f>
        <v>Petroleum Industrial and Civil Construction</v>
      </c>
      <c r="C61">
        <f>IF($A61&lt;&gt;"",INDEX(IDX_COMPO!$C:$C,SUMPRODUCT(--(IDX_COMPO!$A:$A=$A61),--($R61=IDX_COMPO!$F:$F),ROW(IDX_COMPO!$F:$F))),"")</f>
        <v>18000000</v>
      </c>
      <c r="D61">
        <f>IF($A61&lt;&gt;"",INDEX(IDX_COMPO!$D:$D,SUMPRODUCT(--(IDX_COMPO!$A:$A=$A61),--($R61=IDX_COMPO!$F:$F),ROW(IDX_COMPO!$F:$F))),"")</f>
        <v>100</v>
      </c>
      <c r="E61">
        <f>IF($A61&lt;&gt;"",INDEX(IDX_COMPO!$E:$E,SUMPRODUCT(--(IDX_COMPO!$A:$A=$A61),--($R61=IDX_COMPO!$F:$F),ROW(IDX_COMPO!$F:$F))),"")</f>
        <v>100</v>
      </c>
      <c r="F61" s="10">
        <f>IF($A61&lt;&gt;"",VLOOKUP($A61,STK_PRICES!$A$2:$L$593,12,0),"")</f>
        <v>4000</v>
      </c>
      <c r="G61" t="str">
        <f>IF($A61&lt;&gt;"",VLOOKUP($A61,STK_REF!$A$2:$H$593,7,0),"")</f>
        <v>VND</v>
      </c>
      <c r="H61">
        <f>IF($A61&lt;&gt;"",VLOOKUP($A61,STK_REF!$A$2:$H$593,8,0),"")</f>
        <v>1</v>
      </c>
      <c r="I61" s="8">
        <f>IF(A61&lt;&gt;"",IF(G61=Q61,1,IF(ISNA(VLOOKUP(G61&amp;Q61,CUR_RATES!$A$2:$F$524,4,0)),"",VLOOKUP(G61&amp;Q61,CUR_RATES!$A$2:$F$524,4,0))),"")</f>
        <v>1</v>
      </c>
      <c r="J61" s="10">
        <f t="shared" si="1"/>
        <v>4000</v>
      </c>
      <c r="K61" s="67">
        <f t="shared" si="2"/>
        <v>72000000000</v>
      </c>
      <c r="L61" s="75">
        <v>41165</v>
      </c>
      <c r="M61" s="1">
        <v>0</v>
      </c>
      <c r="N61" s="8" t="str">
        <f t="shared" si="3"/>
        <v/>
      </c>
      <c r="O61" s="29" t="str">
        <f t="shared" si="0"/>
        <v/>
      </c>
      <c r="P61" s="29" t="str">
        <f>IF(A61&lt;&gt;"",IF(ISNA(VLOOKUP(A61,STK_DIV!$A$2:$E$1048576,4,0)),"",IF(L61&lt;&gt;VLOOKUP(A61,STK_DIV!$A$2:$E$1048576,5,0),"",VLOOKUP(A61,STK_DIV!$A$2:$E$1048576,4,0))),"")</f>
        <v/>
      </c>
      <c r="Q61" t="str">
        <f t="shared" si="4"/>
        <v>VND</v>
      </c>
      <c r="R61" s="2" t="str">
        <f>IF(INDEX(IDX_COMPO!$F:$F,ROW(IDX_COMPO!F61))=0,"",INDEX(IDX_COMPO!$F:$F,ROW(IDX_COMPO!F61)))</f>
        <v>VNXCOPRVND</v>
      </c>
      <c r="S61" s="27">
        <f t="shared" si="5"/>
        <v>1.8231602283426121E-3</v>
      </c>
      <c r="Y61">
        <v>0</v>
      </c>
    </row>
    <row r="62" spans="1:25" x14ac:dyDescent="0.2">
      <c r="A62" s="2" t="str">
        <f>IF(INDEX(IDX_COMPO!$A:$A,ROW(IDX_COMPO!A62))=0,"",INDEX(IDX_COMPO!$A:$A,ROW(IDX_COMPO!A62)))</f>
        <v>PPS</v>
      </c>
      <c r="B62" t="str">
        <f>IF($A62&lt;&gt;"",VLOOKUP($A62,STK_REF!$A$2:$H$593,3,0),"")</f>
        <v>Petro Vietnam Power Services Joint Stock Company</v>
      </c>
      <c r="C62">
        <f>IF($A62&lt;&gt;"",INDEX(IDX_COMPO!$C:$C,SUMPRODUCT(--(IDX_COMPO!$A:$A=$A62),--($R62=IDX_COMPO!$F:$F),ROW(IDX_COMPO!$F:$F))),"")</f>
        <v>250000000</v>
      </c>
      <c r="D62">
        <f>IF($A62&lt;&gt;"",INDEX(IDX_COMPO!$D:$D,SUMPRODUCT(--(IDX_COMPO!$A:$A=$A62),--($R62=IDX_COMPO!$F:$F),ROW(IDX_COMPO!$F:$F))),"")</f>
        <v>100</v>
      </c>
      <c r="E62">
        <f>IF($A62&lt;&gt;"",INDEX(IDX_COMPO!$E:$E,SUMPRODUCT(--(IDX_COMPO!$A:$A=$A62),--($R62=IDX_COMPO!$F:$F),ROW(IDX_COMPO!$F:$F))),"")</f>
        <v>100</v>
      </c>
      <c r="F62" s="10">
        <f>IF($A62&lt;&gt;"",VLOOKUP($A62,STK_PRICES!$A$2:$L$593,12,0),"")</f>
        <v>7200</v>
      </c>
      <c r="G62" t="str">
        <f>IF($A62&lt;&gt;"",VLOOKUP($A62,STK_REF!$A$2:$H$593,7,0),"")</f>
        <v>VND</v>
      </c>
      <c r="H62">
        <f>IF($A62&lt;&gt;"",VLOOKUP($A62,STK_REF!$A$2:$H$593,8,0),"")</f>
        <v>1</v>
      </c>
      <c r="I62" s="8">
        <f>IF(A62&lt;&gt;"",IF(G62=Q62,1,IF(ISNA(VLOOKUP(G62&amp;Q62,CUR_RATES!$A$2:$F$524,4,0)),"",VLOOKUP(G62&amp;Q62,CUR_RATES!$A$2:$F$524,4,0))),"")</f>
        <v>1</v>
      </c>
      <c r="J62" s="10">
        <f t="shared" si="1"/>
        <v>7200</v>
      </c>
      <c r="K62" s="67">
        <f t="shared" si="2"/>
        <v>1800000000000</v>
      </c>
      <c r="L62" s="75">
        <v>41165</v>
      </c>
      <c r="M62" s="1">
        <v>0</v>
      </c>
      <c r="N62" s="8" t="str">
        <f t="shared" si="3"/>
        <v/>
      </c>
      <c r="O62" s="29" t="str">
        <f t="shared" si="0"/>
        <v/>
      </c>
      <c r="P62" s="29" t="str">
        <f>IF(A62&lt;&gt;"",IF(ISNA(VLOOKUP(A62,STK_DIV!$A$2:$E$1048576,4,0)),"",IF(L62&lt;&gt;VLOOKUP(A62,STK_DIV!$A$2:$E$1048576,5,0),"",VLOOKUP(A62,STK_DIV!$A$2:$E$1048576,4,0))),"")</f>
        <v/>
      </c>
      <c r="Q62" t="str">
        <f t="shared" si="4"/>
        <v>VND</v>
      </c>
      <c r="R62" s="2" t="str">
        <f>IF(INDEX(IDX_COMPO!$F:$F,ROW(IDX_COMPO!F62))=0,"",INDEX(IDX_COMPO!$F:$F,ROW(IDX_COMPO!F62)))</f>
        <v>VNXCOPRVND</v>
      </c>
      <c r="S62" s="27">
        <f t="shared" si="5"/>
        <v>4.5579005708565302E-2</v>
      </c>
      <c r="Y62">
        <v>0</v>
      </c>
    </row>
    <row r="63" spans="1:25" x14ac:dyDescent="0.2">
      <c r="A63" s="2" t="str">
        <f>IF(INDEX(IDX_COMPO!$A:$A,ROW(IDX_COMPO!A63))=0,"",INDEX(IDX_COMPO!$A:$A,ROW(IDX_COMPO!A63)))</f>
        <v>PXT</v>
      </c>
      <c r="B63" t="str">
        <f>IF($A63&lt;&gt;"",VLOOKUP($A63,STK_REF!$A$2:$H$593,3,0),"")</f>
        <v>Petroleum Pipeline and Tank Construction</v>
      </c>
      <c r="C63">
        <f>IF($A63&lt;&gt;"",INDEX(IDX_COMPO!$C:$C,SUMPRODUCT(--(IDX_COMPO!$A:$A=$A63),--($R63=IDX_COMPO!$F:$F),ROW(IDX_COMPO!$F:$F))),"")</f>
        <v>18870000</v>
      </c>
      <c r="D63">
        <f>IF($A63&lt;&gt;"",INDEX(IDX_COMPO!$D:$D,SUMPRODUCT(--(IDX_COMPO!$A:$A=$A63),--($R63=IDX_COMPO!$F:$F),ROW(IDX_COMPO!$F:$F))),"")</f>
        <v>100</v>
      </c>
      <c r="E63">
        <f>IF($A63&lt;&gt;"",INDEX(IDX_COMPO!$E:$E,SUMPRODUCT(--(IDX_COMPO!$A:$A=$A63),--($R63=IDX_COMPO!$F:$F),ROW(IDX_COMPO!$F:$F))),"")</f>
        <v>100</v>
      </c>
      <c r="F63" s="10">
        <f>IF($A63&lt;&gt;"",VLOOKUP($A63,STK_PRICES!$A$2:$L$593,12,0),"")</f>
        <v>4200</v>
      </c>
      <c r="G63" t="str">
        <f>IF($A63&lt;&gt;"",VLOOKUP($A63,STK_REF!$A$2:$H$593,7,0),"")</f>
        <v>VND</v>
      </c>
      <c r="H63">
        <f>IF($A63&lt;&gt;"",VLOOKUP($A63,STK_REF!$A$2:$H$593,8,0),"")</f>
        <v>1</v>
      </c>
      <c r="I63" s="8">
        <f>IF(A63&lt;&gt;"",IF(G63=Q63,1,IF(ISNA(VLOOKUP(G63&amp;Q63,CUR_RATES!$A$2:$F$524,4,0)),"",VLOOKUP(G63&amp;Q63,CUR_RATES!$A$2:$F$524,4,0))),"")</f>
        <v>1</v>
      </c>
      <c r="J63" s="10">
        <f t="shared" si="1"/>
        <v>4200</v>
      </c>
      <c r="K63" s="67">
        <f t="shared" si="2"/>
        <v>79254000000</v>
      </c>
      <c r="L63" s="75">
        <v>41165</v>
      </c>
      <c r="M63" s="1">
        <v>0</v>
      </c>
      <c r="N63" s="8" t="str">
        <f t="shared" si="3"/>
        <v/>
      </c>
      <c r="O63" s="29" t="str">
        <f t="shared" si="0"/>
        <v/>
      </c>
      <c r="P63" s="29" t="str">
        <f>IF(A63&lt;&gt;"",IF(ISNA(VLOOKUP(A63,STK_DIV!$A$2:$E$1048576,4,0)),"",IF(L63&lt;&gt;VLOOKUP(A63,STK_DIV!$A$2:$E$1048576,5,0),"",VLOOKUP(A63,STK_DIV!$A$2:$E$1048576,4,0))),"")</f>
        <v/>
      </c>
      <c r="Q63" t="str">
        <f t="shared" si="4"/>
        <v>VND</v>
      </c>
      <c r="R63" s="2" t="str">
        <f>IF(INDEX(IDX_COMPO!$F:$F,ROW(IDX_COMPO!F63))=0,"",INDEX(IDX_COMPO!$F:$F,ROW(IDX_COMPO!F63)))</f>
        <v>VNXCOPRVND</v>
      </c>
      <c r="S63" s="27">
        <f t="shared" si="5"/>
        <v>2.00684362134813E-3</v>
      </c>
      <c r="Y63">
        <v>0</v>
      </c>
    </row>
    <row r="64" spans="1:25" x14ac:dyDescent="0.2">
      <c r="A64" s="2" t="str">
        <f>IF(INDEX(IDX_COMPO!$A:$A,ROW(IDX_COMPO!A64))=0,"",INDEX(IDX_COMPO!$A:$A,ROW(IDX_COMPO!A64)))</f>
        <v>PXM</v>
      </c>
      <c r="B64" t="str">
        <f>IF($A64&lt;&gt;"",VLOOKUP($A64,STK_REF!$A$2:$H$593,3,0),"")</f>
        <v>Mientrung Petroleum Construction</v>
      </c>
      <c r="C64">
        <f>IF($A64&lt;&gt;"",INDEX(IDX_COMPO!$C:$C,SUMPRODUCT(--(IDX_COMPO!$A:$A=$A64),--($R64=IDX_COMPO!$F:$F),ROW(IDX_COMPO!$F:$F))),"")</f>
        <v>35000000</v>
      </c>
      <c r="D64">
        <f>IF($A64&lt;&gt;"",INDEX(IDX_COMPO!$D:$D,SUMPRODUCT(--(IDX_COMPO!$A:$A=$A64),--($R64=IDX_COMPO!$F:$F),ROW(IDX_COMPO!$F:$F))),"")</f>
        <v>100</v>
      </c>
      <c r="E64">
        <f>IF($A64&lt;&gt;"",INDEX(IDX_COMPO!$E:$E,SUMPRODUCT(--(IDX_COMPO!$A:$A=$A64),--($R64=IDX_COMPO!$F:$F),ROW(IDX_COMPO!$F:$F))),"")</f>
        <v>100</v>
      </c>
      <c r="F64" s="10">
        <f>IF($A64&lt;&gt;"",VLOOKUP($A64,STK_PRICES!$A$2:$L$593,12,0),"")</f>
        <v>3200</v>
      </c>
      <c r="G64" t="str">
        <f>IF($A64&lt;&gt;"",VLOOKUP($A64,STK_REF!$A$2:$H$593,7,0),"")</f>
        <v>VND</v>
      </c>
      <c r="H64">
        <f>IF($A64&lt;&gt;"",VLOOKUP($A64,STK_REF!$A$2:$H$593,8,0),"")</f>
        <v>1</v>
      </c>
      <c r="I64" s="8">
        <f>IF(A64&lt;&gt;"",IF(G64=Q64,1,IF(ISNA(VLOOKUP(G64&amp;Q64,CUR_RATES!$A$2:$F$524,4,0)),"",VLOOKUP(G64&amp;Q64,CUR_RATES!$A$2:$F$524,4,0))),"")</f>
        <v>1</v>
      </c>
      <c r="J64" s="10">
        <f t="shared" si="1"/>
        <v>3200</v>
      </c>
      <c r="K64" s="67">
        <f t="shared" si="2"/>
        <v>112000000000</v>
      </c>
      <c r="L64" s="75">
        <v>41165</v>
      </c>
      <c r="M64" s="1">
        <v>0</v>
      </c>
      <c r="N64" s="8" t="str">
        <f t="shared" si="3"/>
        <v/>
      </c>
      <c r="O64" s="29" t="str">
        <f t="shared" si="0"/>
        <v/>
      </c>
      <c r="P64" s="29" t="str">
        <f>IF(A64&lt;&gt;"",IF(ISNA(VLOOKUP(A64,STK_DIV!$A$2:$E$1048576,4,0)),"",IF(L64&lt;&gt;VLOOKUP(A64,STK_DIV!$A$2:$E$1048576,5,0),"",VLOOKUP(A64,STK_DIV!$A$2:$E$1048576,4,0))),"")</f>
        <v/>
      </c>
      <c r="Q64" t="str">
        <f t="shared" si="4"/>
        <v>VND</v>
      </c>
      <c r="R64" s="2" t="str">
        <f>IF(INDEX(IDX_COMPO!$F:$F,ROW(IDX_COMPO!F64))=0,"",INDEX(IDX_COMPO!$F:$F,ROW(IDX_COMPO!F64)))</f>
        <v>VNXCOPRVND</v>
      </c>
      <c r="S64" s="27">
        <f t="shared" si="5"/>
        <v>2.8360270218662853E-3</v>
      </c>
      <c r="Y64">
        <v>0</v>
      </c>
    </row>
    <row r="65" spans="1:25" x14ac:dyDescent="0.2">
      <c r="A65" s="2" t="str">
        <f>IF(INDEX(IDX_COMPO!$A:$A,ROW(IDX_COMPO!A65))=0,"",INDEX(IDX_COMPO!$A:$A,ROW(IDX_COMPO!A65)))</f>
        <v>PCG</v>
      </c>
      <c r="B65" t="str">
        <f>IF($A65&lt;&gt;"",VLOOKUP($A65,STK_REF!$A$2:$H$593,3,0),"")</f>
        <v>PetroVietnam Gas City Investment and Development JSC</v>
      </c>
      <c r="C65">
        <f>IF($A65&lt;&gt;"",INDEX(IDX_COMPO!$C:$C,SUMPRODUCT(--(IDX_COMPO!$A:$A=$A65),--($R65=IDX_COMPO!$F:$F),ROW(IDX_COMPO!$F:$F))),"")</f>
        <v>297802094</v>
      </c>
      <c r="D65">
        <f>IF($A65&lt;&gt;"",INDEX(IDX_COMPO!$D:$D,SUMPRODUCT(--(IDX_COMPO!$A:$A=$A65),--($R65=IDX_COMPO!$F:$F),ROW(IDX_COMPO!$F:$F))),"")</f>
        <v>100</v>
      </c>
      <c r="E65">
        <f>IF($A65&lt;&gt;"",INDEX(IDX_COMPO!$E:$E,SUMPRODUCT(--(IDX_COMPO!$A:$A=$A65),--($R65=IDX_COMPO!$F:$F),ROW(IDX_COMPO!$F:$F))),"")</f>
        <v>100</v>
      </c>
      <c r="F65" s="10">
        <f>IF($A65&lt;&gt;"",VLOOKUP($A65,STK_PRICES!$A$2:$L$593,12,0),"")</f>
        <v>6100</v>
      </c>
      <c r="G65" t="str">
        <f>IF($A65&lt;&gt;"",VLOOKUP($A65,STK_REF!$A$2:$H$593,7,0),"")</f>
        <v>VND</v>
      </c>
      <c r="H65">
        <f>IF($A65&lt;&gt;"",VLOOKUP($A65,STK_REF!$A$2:$H$593,8,0),"")</f>
        <v>1</v>
      </c>
      <c r="I65" s="8">
        <f>IF(A65&lt;&gt;"",IF(G65=Q65,1,IF(ISNA(VLOOKUP(G65&amp;Q65,CUR_RATES!$A$2:$F$524,4,0)),"",VLOOKUP(G65&amp;Q65,CUR_RATES!$A$2:$F$524,4,0))),"")</f>
        <v>1</v>
      </c>
      <c r="J65" s="10">
        <f t="shared" si="1"/>
        <v>6100</v>
      </c>
      <c r="K65" s="67">
        <f t="shared" si="2"/>
        <v>1816592773400</v>
      </c>
      <c r="L65" s="75">
        <v>41165</v>
      </c>
      <c r="M65" s="1">
        <v>0</v>
      </c>
      <c r="N65" s="8" t="str">
        <f t="shared" si="3"/>
        <v/>
      </c>
      <c r="O65" s="29" t="str">
        <f t="shared" si="0"/>
        <v/>
      </c>
      <c r="P65" s="29" t="str">
        <f>IF(A65&lt;&gt;"",IF(ISNA(VLOOKUP(A65,STK_DIV!$A$2:$E$1048576,4,0)),"",IF(L65&lt;&gt;VLOOKUP(A65,STK_DIV!$A$2:$E$1048576,5,0),"",VLOOKUP(A65,STK_DIV!$A$2:$E$1048576,4,0))),"")</f>
        <v/>
      </c>
      <c r="Q65" t="str">
        <f t="shared" si="4"/>
        <v>VND</v>
      </c>
      <c r="R65" s="2" t="str">
        <f>IF(INDEX(IDX_COMPO!$F:$F,ROW(IDX_COMPO!F65))=0,"",INDEX(IDX_COMPO!$F:$F,ROW(IDX_COMPO!F65)))</f>
        <v>VNXCOPRVND</v>
      </c>
      <c r="S65" s="27">
        <f t="shared" si="5"/>
        <v>4.5999162438298373E-2</v>
      </c>
      <c r="Y65">
        <v>0</v>
      </c>
    </row>
    <row r="66" spans="1:25" x14ac:dyDescent="0.2">
      <c r="A66" s="2" t="str">
        <f>IF(INDEX(IDX_COMPO!$A:$A,ROW(IDX_COMPO!A66))=0,"",INDEX(IDX_COMPO!$A:$A,ROW(IDX_COMPO!A66)))</f>
        <v>PCT</v>
      </c>
      <c r="B66" t="str">
        <f>IF($A66&lt;&gt;"",VLOOKUP($A66,STK_REF!$A$2:$H$593,3,0),"")</f>
        <v>Cuu Long Petro Gas Service Transportation</v>
      </c>
      <c r="C66">
        <f>IF($A66&lt;&gt;"",INDEX(IDX_COMPO!$C:$C,SUMPRODUCT(--(IDX_COMPO!$A:$A=$A66),--($R66=IDX_COMPO!$F:$F),ROW(IDX_COMPO!$F:$F))),"")</f>
        <v>38000000</v>
      </c>
      <c r="D66">
        <f>IF($A66&lt;&gt;"",INDEX(IDX_COMPO!$D:$D,SUMPRODUCT(--(IDX_COMPO!$A:$A=$A66),--($R66=IDX_COMPO!$F:$F),ROW(IDX_COMPO!$F:$F))),"")</f>
        <v>100</v>
      </c>
      <c r="E66">
        <f>IF($A66&lt;&gt;"",INDEX(IDX_COMPO!$E:$E,SUMPRODUCT(--(IDX_COMPO!$A:$A=$A66),--($R66=IDX_COMPO!$F:$F),ROW(IDX_COMPO!$F:$F))),"")</f>
        <v>100</v>
      </c>
      <c r="F66" s="10">
        <f>IF($A66&lt;&gt;"",VLOOKUP($A66,STK_PRICES!$A$2:$L$593,12,0),"")</f>
        <v>2900</v>
      </c>
      <c r="G66" t="str">
        <f>IF($A66&lt;&gt;"",VLOOKUP($A66,STK_REF!$A$2:$H$593,7,0),"")</f>
        <v>VND</v>
      </c>
      <c r="H66">
        <f>IF($A66&lt;&gt;"",VLOOKUP($A66,STK_REF!$A$2:$H$593,8,0),"")</f>
        <v>1</v>
      </c>
      <c r="I66" s="8">
        <f>IF(A66&lt;&gt;"",IF(G66=Q66,1,IF(ISNA(VLOOKUP(G66&amp;Q66,CUR_RATES!$A$2:$F$524,4,0)),"",VLOOKUP(G66&amp;Q66,CUR_RATES!$A$2:$F$524,4,0))),"")</f>
        <v>1</v>
      </c>
      <c r="J66" s="10">
        <f t="shared" si="1"/>
        <v>2900</v>
      </c>
      <c r="K66" s="67">
        <f t="shared" si="2"/>
        <v>110200000000</v>
      </c>
      <c r="L66" s="75">
        <v>41165</v>
      </c>
      <c r="M66" s="1">
        <v>0</v>
      </c>
      <c r="N66" s="8" t="str">
        <f t="shared" si="3"/>
        <v/>
      </c>
      <c r="O66" s="29" t="str">
        <f t="shared" ref="O66:O123" si="6">IF(P66&lt;&gt;"",P66*I66,"")</f>
        <v/>
      </c>
      <c r="P66" s="29" t="str">
        <f>IF(A66&lt;&gt;"",IF(ISNA(VLOOKUP(A66,STK_DIV!$A$2:$E$1048576,4,0)),"",IF(L66&lt;&gt;VLOOKUP(A66,STK_DIV!$A$2:$E$1048576,5,0),"",VLOOKUP(A66,STK_DIV!$A$2:$E$1048576,4,0))),"")</f>
        <v/>
      </c>
      <c r="Q66" t="str">
        <f t="shared" si="4"/>
        <v>VND</v>
      </c>
      <c r="R66" s="2" t="str">
        <f>IF(INDEX(IDX_COMPO!$F:$F,ROW(IDX_COMPO!F66))=0,"",INDEX(IDX_COMPO!$F:$F,ROW(IDX_COMPO!F66)))</f>
        <v>VNXCOPRVND</v>
      </c>
      <c r="S66" s="27">
        <f t="shared" si="5"/>
        <v>2.7904480161577202E-3</v>
      </c>
      <c r="Y66">
        <v>0</v>
      </c>
    </row>
    <row r="67" spans="1:25" x14ac:dyDescent="0.2">
      <c r="A67" s="2" t="str">
        <f>IF(INDEX(IDX_COMPO!$A:$A,ROW(IDX_COMPO!A67))=0,"",INDEX(IDX_COMPO!$A:$A,ROW(IDX_COMPO!A67)))</f>
        <v>PPE</v>
      </c>
      <c r="B67" t="str">
        <f>IF($A67&lt;&gt;"",VLOOKUP($A67,STK_REF!$A$2:$H$593,3,0),"")</f>
        <v>PetroVietnam Power Engineering Consulting JSC</v>
      </c>
      <c r="C67">
        <f>IF($A67&lt;&gt;"",INDEX(IDX_COMPO!$C:$C,SUMPRODUCT(--(IDX_COMPO!$A:$A=$A67),--($R67=IDX_COMPO!$F:$F),ROW(IDX_COMPO!$F:$F))),"")</f>
        <v>27719850</v>
      </c>
      <c r="D67">
        <f>IF($A67&lt;&gt;"",INDEX(IDX_COMPO!$D:$D,SUMPRODUCT(--(IDX_COMPO!$A:$A=$A67),--($R67=IDX_COMPO!$F:$F),ROW(IDX_COMPO!$F:$F))),"")</f>
        <v>100</v>
      </c>
      <c r="E67">
        <f>IF($A67&lt;&gt;"",INDEX(IDX_COMPO!$E:$E,SUMPRODUCT(--(IDX_COMPO!$A:$A=$A67),--($R67=IDX_COMPO!$F:$F),ROW(IDX_COMPO!$F:$F))),"")</f>
        <v>100</v>
      </c>
      <c r="F67" s="10">
        <f>IF($A67&lt;&gt;"",VLOOKUP($A67,STK_PRICES!$A$2:$L$593,12,0),"")</f>
        <v>35400</v>
      </c>
      <c r="G67" t="str">
        <f>IF($A67&lt;&gt;"",VLOOKUP($A67,STK_REF!$A$2:$H$593,7,0),"")</f>
        <v>VND</v>
      </c>
      <c r="H67">
        <f>IF($A67&lt;&gt;"",VLOOKUP($A67,STK_REF!$A$2:$H$593,8,0),"")</f>
        <v>1</v>
      </c>
      <c r="I67" s="8">
        <f>IF(A67&lt;&gt;"",IF(G67=Q67,1,IF(ISNA(VLOOKUP(G67&amp;Q67,CUR_RATES!$A$2:$F$524,4,0)),"",VLOOKUP(G67&amp;Q67,CUR_RATES!$A$2:$F$524,4,0))),"")</f>
        <v>1</v>
      </c>
      <c r="J67" s="10">
        <f t="shared" ref="J67:J123" si="7">IF(A67&lt;&gt;"",F67*I67,"")</f>
        <v>35400</v>
      </c>
      <c r="K67" s="67">
        <f t="shared" ref="K67:K123" si="8">IF(A67&lt;&gt;"",$C67*($D67/100)*($E67/100)*(1/$H67)*J67,"")</f>
        <v>981282690000</v>
      </c>
      <c r="L67" s="75">
        <v>41165</v>
      </c>
      <c r="M67" s="1">
        <v>0</v>
      </c>
      <c r="N67" s="8" t="str">
        <f t="shared" ref="N67:N123" si="9">IF(O67&lt;&gt;"",$C67*($D67/100)*($E67/100)*(1/$H67)*O67,"")</f>
        <v/>
      </c>
      <c r="O67" s="29" t="str">
        <f t="shared" si="6"/>
        <v/>
      </c>
      <c r="P67" s="29" t="str">
        <f>IF(A67&lt;&gt;"",IF(ISNA(VLOOKUP(A67,STK_DIV!$A$2:$E$1048576,4,0)),"",IF(L67&lt;&gt;VLOOKUP(A67,STK_DIV!$A$2:$E$1048576,5,0),"",VLOOKUP(A67,STK_DIV!$A$2:$E$1048576,4,0))),"")</f>
        <v/>
      </c>
      <c r="Q67" t="str">
        <f t="shared" ref="Q67:Q123" si="10">IF(A67&lt;&gt;"",MID(R67,LEN(R67)-2,LEN(R67)),"")</f>
        <v>VND</v>
      </c>
      <c r="R67" s="2" t="str">
        <f>IF(INDEX(IDX_COMPO!$F:$F,ROW(IDX_COMPO!F67))=0,"",INDEX(IDX_COMPO!$F:$F,ROW(IDX_COMPO!F67)))</f>
        <v>VNXCOPRVND</v>
      </c>
      <c r="S67" s="27">
        <f t="shared" ref="S67:S123" si="11">IF(A67&lt;&gt;"",K67/SUM($K$2:$K$11),"")</f>
        <v>2.4847716294014617E-2</v>
      </c>
      <c r="Y67">
        <v>0</v>
      </c>
    </row>
    <row r="68" spans="1:25" x14ac:dyDescent="0.2">
      <c r="A68" s="2" t="str">
        <f>IF(INDEX(IDX_COMPO!$A:$A,ROW(IDX_COMPO!A68))=0,"",INDEX(IDX_COMPO!$A:$A,ROW(IDX_COMPO!A68)))</f>
        <v>DPM</v>
      </c>
      <c r="B68" t="str">
        <f>IF($A68&lt;&gt;"",VLOOKUP($A68,STK_REF!$A$2:$H$593,3,0),"")</f>
        <v>VNX Fertilizer and Chemicals</v>
      </c>
      <c r="C68">
        <f>IF($A68&lt;&gt;"",INDEX(IDX_COMPO!$C:$C,SUMPRODUCT(--(IDX_COMPO!$A:$A=$A68),--($R68=IDX_COMPO!$F:$F),ROW(IDX_COMPO!$F:$F))),"")</f>
        <v>377647740</v>
      </c>
      <c r="D68">
        <f>IF($A68&lt;&gt;"",INDEX(IDX_COMPO!$D:$D,SUMPRODUCT(--(IDX_COMPO!$A:$A=$A68),--($R68=IDX_COMPO!$F:$F),ROW(IDX_COMPO!$F:$F))),"")</f>
        <v>100</v>
      </c>
      <c r="E68">
        <f>IF($A68&lt;&gt;"",INDEX(IDX_COMPO!$E:$E,SUMPRODUCT(--(IDX_COMPO!$A:$A=$A68),--($R68=IDX_COMPO!$F:$F),ROW(IDX_COMPO!$F:$F))),"")</f>
        <v>100</v>
      </c>
      <c r="F68" s="10">
        <f>IF($A68&lt;&gt;"",VLOOKUP($A68,STK_PRICES!$A$2:$L$593,12,0),"")</f>
        <v>39200</v>
      </c>
      <c r="G68" t="str">
        <f>IF($A68&lt;&gt;"",VLOOKUP($A68,STK_REF!$A$2:$H$593,7,0),"")</f>
        <v>VND</v>
      </c>
      <c r="H68">
        <f>IF($A68&lt;&gt;"",VLOOKUP($A68,STK_REF!$A$2:$H$593,8,0),"")</f>
        <v>1</v>
      </c>
      <c r="I68" s="8">
        <f>IF(A68&lt;&gt;"",IF(G68=Q68,1,IF(ISNA(VLOOKUP(G68&amp;Q68,CUR_RATES!$A$2:$F$524,4,0)),"",VLOOKUP(G68&amp;Q68,CUR_RATES!$A$2:$F$524,4,0))),"")</f>
        <v>1</v>
      </c>
      <c r="J68" s="10">
        <f t="shared" si="7"/>
        <v>39200</v>
      </c>
      <c r="K68" s="67">
        <f t="shared" si="8"/>
        <v>14803791408000</v>
      </c>
      <c r="L68" s="75">
        <v>41165</v>
      </c>
      <c r="M68" s="1">
        <v>0</v>
      </c>
      <c r="N68" s="8">
        <f t="shared" si="9"/>
        <v>528706836000</v>
      </c>
      <c r="O68" s="29">
        <f t="shared" si="6"/>
        <v>1400</v>
      </c>
      <c r="P68" s="29">
        <f>IF(A68&lt;&gt;"",IF(ISNA(VLOOKUP(A68,STK_DIV!$A$2:$E$1048576,4,0)),"",IF(L68&lt;&gt;VLOOKUP(A68,STK_DIV!$A$2:$E$1048576,5,0),"",VLOOKUP(A68,STK_DIV!$A$2:$E$1048576,4,0))),"")</f>
        <v>1400</v>
      </c>
      <c r="Q68" t="str">
        <f t="shared" si="10"/>
        <v>VND</v>
      </c>
      <c r="R68" s="2" t="str">
        <f>IF(INDEX(IDX_COMPO!$F:$F,ROW(IDX_COMPO!F68))=0,"",INDEX(IDX_COMPO!$F:$F,ROW(IDX_COMPO!F68)))</f>
        <v>VNXHSXPRVND</v>
      </c>
      <c r="S68" s="27">
        <f t="shared" si="11"/>
        <v>0.37485671838535661</v>
      </c>
      <c r="Y68">
        <v>0</v>
      </c>
    </row>
    <row r="69" spans="1:25" x14ac:dyDescent="0.2">
      <c r="A69" s="2" t="str">
        <f>IF(INDEX(IDX_COMPO!$A:$A,ROW(IDX_COMPO!A69))=0,"",INDEX(IDX_COMPO!$A:$A,ROW(IDX_COMPO!A69)))</f>
        <v>PVD</v>
      </c>
      <c r="B69" t="str">
        <f>IF($A69&lt;&gt;"",VLOOKUP($A69,STK_REF!$A$2:$H$593,3,0),"")</f>
        <v>VNX Drilling &amp; Well Services</v>
      </c>
      <c r="C69">
        <f>IF($A69&lt;&gt;"",INDEX(IDX_COMPO!$C:$C,SUMPRODUCT(--(IDX_COMPO!$A:$A=$A69),--($R69=IDX_COMPO!$F:$F),ROW(IDX_COMPO!$F:$F))),"")</f>
        <v>70371300</v>
      </c>
      <c r="D69">
        <f>IF($A69&lt;&gt;"",INDEX(IDX_COMPO!$D:$D,SUMPRODUCT(--(IDX_COMPO!$A:$A=$A69),--($R69=IDX_COMPO!$F:$F),ROW(IDX_COMPO!$F:$F))),"")</f>
        <v>100</v>
      </c>
      <c r="E69">
        <f>IF($A69&lt;&gt;"",INDEX(IDX_COMPO!$E:$E,SUMPRODUCT(--(IDX_COMPO!$A:$A=$A69),--($R69=IDX_COMPO!$F:$F),ROW(IDX_COMPO!$F:$F))),"")</f>
        <v>100</v>
      </c>
      <c r="F69" s="10">
        <f>IF($A69&lt;&gt;"",VLOOKUP($A69,STK_PRICES!$A$2:$L$593,12,0),"")</f>
        <v>35000</v>
      </c>
      <c r="G69" t="str">
        <f>IF($A69&lt;&gt;"",VLOOKUP($A69,STK_REF!$A$2:$H$593,7,0),"")</f>
        <v>VND</v>
      </c>
      <c r="H69">
        <f>IF($A69&lt;&gt;"",VLOOKUP($A69,STK_REF!$A$2:$H$593,8,0),"")</f>
        <v>1</v>
      </c>
      <c r="I69" s="8">
        <f>IF(A69&lt;&gt;"",IF(G69=Q69,1,IF(ISNA(VLOOKUP(G69&amp;Q69,CUR_RATES!$A$2:$F$524,4,0)),"",VLOOKUP(G69&amp;Q69,CUR_RATES!$A$2:$F$524,4,0))),"")</f>
        <v>1</v>
      </c>
      <c r="J69" s="10">
        <f t="shared" si="7"/>
        <v>35000</v>
      </c>
      <c r="K69" s="67">
        <f t="shared" si="8"/>
        <v>2462995500000</v>
      </c>
      <c r="L69" s="75">
        <v>41165</v>
      </c>
      <c r="M69" s="1">
        <v>0</v>
      </c>
      <c r="N69" s="8">
        <f t="shared" si="9"/>
        <v>154816860000</v>
      </c>
      <c r="O69" s="29">
        <f t="shared" si="6"/>
        <v>2200</v>
      </c>
      <c r="P69" s="29">
        <f>IF(A69&lt;&gt;"",IF(ISNA(VLOOKUP(A69,STK_DIV!$A$2:$E$1048576,4,0)),"",IF(L69&lt;&gt;VLOOKUP(A69,STK_DIV!$A$2:$E$1048576,5,0),"",VLOOKUP(A69,STK_DIV!$A$2:$E$1048576,4,0))),"")</f>
        <v>2200</v>
      </c>
      <c r="Q69" t="str">
        <f t="shared" si="10"/>
        <v>VND</v>
      </c>
      <c r="R69" s="2" t="str">
        <f>IF(INDEX(IDX_COMPO!$F:$F,ROW(IDX_COMPO!F69))=0,"",INDEX(IDX_COMPO!$F:$F,ROW(IDX_COMPO!F69)))</f>
        <v>VNXHSXPRVND</v>
      </c>
      <c r="S69" s="27">
        <f t="shared" si="11"/>
        <v>6.2367158863705911E-2</v>
      </c>
      <c r="Y69">
        <v>0</v>
      </c>
    </row>
    <row r="70" spans="1:25" x14ac:dyDescent="0.2">
      <c r="A70" s="2" t="str">
        <f>IF(INDEX(IDX_COMPO!$A:$A,ROW(IDX_COMPO!A70))=0,"",INDEX(IDX_COMPO!$A:$A,ROW(IDX_COMPO!A70)))</f>
        <v>PVF</v>
      </c>
      <c r="B70" t="str">
        <f>IF($A70&lt;&gt;"",VLOOKUP($A70,STK_REF!$A$2:$H$593,3,0),"")</f>
        <v>VNX Finance</v>
      </c>
      <c r="C70">
        <f>IF($A70&lt;&gt;"",INDEX(IDX_COMPO!$C:$C,SUMPRODUCT(--(IDX_COMPO!$A:$A=$A70),--($R70=IDX_COMPO!$F:$F),ROW(IDX_COMPO!$F:$F))),"")</f>
        <v>100000000</v>
      </c>
      <c r="D70">
        <f>IF($A70&lt;&gt;"",INDEX(IDX_COMPO!$D:$D,SUMPRODUCT(--(IDX_COMPO!$A:$A=$A70),--($R70=IDX_COMPO!$F:$F),ROW(IDX_COMPO!$F:$F))),"")</f>
        <v>100</v>
      </c>
      <c r="E70">
        <f>IF($A70&lt;&gt;"",INDEX(IDX_COMPO!$E:$E,SUMPRODUCT(--(IDX_COMPO!$A:$A=$A70),--($R70=IDX_COMPO!$F:$F),ROW(IDX_COMPO!$F:$F))),"")</f>
        <v>100</v>
      </c>
      <c r="F70" s="10">
        <f>IF($A70&lt;&gt;"",VLOOKUP($A70,STK_PRICES!$A$2:$L$593,12,0),"")</f>
        <v>8300</v>
      </c>
      <c r="G70" t="str">
        <f>IF($A70&lt;&gt;"",VLOOKUP($A70,STK_REF!$A$2:$H$593,7,0),"")</f>
        <v>VND</v>
      </c>
      <c r="H70">
        <f>IF($A70&lt;&gt;"",VLOOKUP($A70,STK_REF!$A$2:$H$593,8,0),"")</f>
        <v>1</v>
      </c>
      <c r="I70" s="8">
        <f>IF(A70&lt;&gt;"",IF(G70=Q70,1,IF(ISNA(VLOOKUP(G70&amp;Q70,CUR_RATES!$A$2:$F$524,4,0)),"",VLOOKUP(G70&amp;Q70,CUR_RATES!$A$2:$F$524,4,0))),"")</f>
        <v>1</v>
      </c>
      <c r="J70" s="10">
        <f t="shared" si="7"/>
        <v>8300</v>
      </c>
      <c r="K70" s="67">
        <f t="shared" si="8"/>
        <v>830000000000</v>
      </c>
      <c r="L70" s="75">
        <v>41165</v>
      </c>
      <c r="M70" s="1">
        <v>0</v>
      </c>
      <c r="N70" s="8">
        <f t="shared" si="9"/>
        <v>50000000000</v>
      </c>
      <c r="O70" s="29">
        <f t="shared" si="6"/>
        <v>500</v>
      </c>
      <c r="P70" s="29">
        <f>IF(A70&lt;&gt;"",IF(ISNA(VLOOKUP(A70,STK_DIV!$A$2:$E$1048576,4,0)),"",IF(L70&lt;&gt;VLOOKUP(A70,STK_DIV!$A$2:$E$1048576,5,0),"",VLOOKUP(A70,STK_DIV!$A$2:$E$1048576,4,0))),"")</f>
        <v>500</v>
      </c>
      <c r="Q70" t="str">
        <f t="shared" si="10"/>
        <v>VND</v>
      </c>
      <c r="R70" s="2" t="str">
        <f>IF(INDEX(IDX_COMPO!$F:$F,ROW(IDX_COMPO!F70))=0,"",INDEX(IDX_COMPO!$F:$F,ROW(IDX_COMPO!F70)))</f>
        <v>VNXHSXPRVND</v>
      </c>
      <c r="S70" s="27">
        <f t="shared" si="11"/>
        <v>2.1016985965616221E-2</v>
      </c>
      <c r="Y70">
        <v>0</v>
      </c>
    </row>
    <row r="71" spans="1:25" x14ac:dyDescent="0.2">
      <c r="A71" s="2" t="str">
        <f>IF(INDEX(IDX_COMPO!$A:$A,ROW(IDX_COMPO!A71))=0,"",INDEX(IDX_COMPO!$A:$A,ROW(IDX_COMPO!A71)))</f>
        <v>PGD</v>
      </c>
      <c r="B71" t="str">
        <f>IF($A71&lt;&gt;"",VLOOKUP($A71,STK_REF!$A$2:$H$593,3,0),"")</f>
        <v>VNX Low Pressure Gas Distribution</v>
      </c>
      <c r="C71">
        <f>IF($A71&lt;&gt;"",INDEX(IDX_COMPO!$C:$C,SUMPRODUCT(--(IDX_COMPO!$A:$A=$A71),--($R71=IDX_COMPO!$F:$F),ROW(IDX_COMPO!$F:$F))),"")</f>
        <v>600000000</v>
      </c>
      <c r="D71">
        <f>IF($A71&lt;&gt;"",INDEX(IDX_COMPO!$D:$D,SUMPRODUCT(--(IDX_COMPO!$A:$A=$A71),--($R71=IDX_COMPO!$F:$F),ROW(IDX_COMPO!$F:$F))),"")</f>
        <v>100</v>
      </c>
      <c r="E71">
        <f>IF($A71&lt;&gt;"",INDEX(IDX_COMPO!$E:$E,SUMPRODUCT(--(IDX_COMPO!$A:$A=$A71),--($R71=IDX_COMPO!$F:$F),ROW(IDX_COMPO!$F:$F))),"")</f>
        <v>100</v>
      </c>
      <c r="F71" s="10">
        <f>IF($A71&lt;&gt;"",VLOOKUP($A71,STK_PRICES!$A$2:$L$593,12,0),"")</f>
        <v>38800</v>
      </c>
      <c r="G71" t="str">
        <f>IF($A71&lt;&gt;"",VLOOKUP($A71,STK_REF!$A$2:$H$593,7,0),"")</f>
        <v>VND</v>
      </c>
      <c r="H71">
        <f>IF($A71&lt;&gt;"",VLOOKUP($A71,STK_REF!$A$2:$H$593,8,0),"")</f>
        <v>1</v>
      </c>
      <c r="I71" s="8">
        <f>IF(A71&lt;&gt;"",IF(G71=Q71,1,IF(ISNA(VLOOKUP(G71&amp;Q71,CUR_RATES!$A$2:$F$524,4,0)),"",VLOOKUP(G71&amp;Q71,CUR_RATES!$A$2:$F$524,4,0))),"")</f>
        <v>1</v>
      </c>
      <c r="J71" s="10">
        <f t="shared" si="7"/>
        <v>38800</v>
      </c>
      <c r="K71" s="67">
        <f t="shared" si="8"/>
        <v>23280000000000</v>
      </c>
      <c r="L71" s="75">
        <v>41165</v>
      </c>
      <c r="M71" s="1">
        <v>0</v>
      </c>
      <c r="N71" s="8" t="str">
        <f t="shared" si="9"/>
        <v/>
      </c>
      <c r="O71" s="29" t="str">
        <f t="shared" si="6"/>
        <v/>
      </c>
      <c r="P71" s="29" t="str">
        <f>IF(A71&lt;&gt;"",IF(ISNA(VLOOKUP(A71,STK_DIV!$A$2:$E$1048576,4,0)),"",IF(L71&lt;&gt;VLOOKUP(A71,STK_DIV!$A$2:$E$1048576,5,0),"",VLOOKUP(A71,STK_DIV!$A$2:$E$1048576,4,0))),"")</f>
        <v/>
      </c>
      <c r="Q71" t="str">
        <f t="shared" si="10"/>
        <v>VND</v>
      </c>
      <c r="R71" s="2" t="str">
        <f>IF(INDEX(IDX_COMPO!$F:$F,ROW(IDX_COMPO!F71))=0,"",INDEX(IDX_COMPO!$F:$F,ROW(IDX_COMPO!F71)))</f>
        <v>VNXHSXPRVND</v>
      </c>
      <c r="S71" s="27">
        <f t="shared" si="11"/>
        <v>0.58948847383077785</v>
      </c>
      <c r="Y71">
        <v>0</v>
      </c>
    </row>
    <row r="72" spans="1:25" x14ac:dyDescent="0.2">
      <c r="A72" s="2" t="str">
        <f>IF(INDEX(IDX_COMPO!$A:$A,ROW(IDX_COMPO!A72))=0,"",INDEX(IDX_COMPO!$A:$A,ROW(IDX_COMPO!A72)))</f>
        <v>PVT</v>
      </c>
      <c r="B72" t="str">
        <f>IF($A72&lt;&gt;"",VLOOKUP($A72,STK_REF!$A$2:$H$593,3,0),"")</f>
        <v>VNX Transportation</v>
      </c>
      <c r="C72">
        <f>IF($A72&lt;&gt;"",INDEX(IDX_COMPO!$C:$C,SUMPRODUCT(--(IDX_COMPO!$A:$A=$A72),--($R72=IDX_COMPO!$F:$F),ROW(IDX_COMPO!$F:$F))),"")</f>
        <v>232600000</v>
      </c>
      <c r="D72">
        <f>IF($A72&lt;&gt;"",INDEX(IDX_COMPO!$D:$D,SUMPRODUCT(--(IDX_COMPO!$A:$A=$A72),--($R72=IDX_COMPO!$F:$F),ROW(IDX_COMPO!$F:$F))),"")</f>
        <v>100</v>
      </c>
      <c r="E72">
        <f>IF($A72&lt;&gt;"",INDEX(IDX_COMPO!$E:$E,SUMPRODUCT(--(IDX_COMPO!$A:$A=$A72),--($R72=IDX_COMPO!$F:$F),ROW(IDX_COMPO!$F:$F))),"")</f>
        <v>100</v>
      </c>
      <c r="F72" s="10">
        <f>IF($A72&lt;&gt;"",VLOOKUP($A72,STK_PRICES!$A$2:$L$593,12,0),"")</f>
        <v>4300</v>
      </c>
      <c r="G72" t="str">
        <f>IF($A72&lt;&gt;"",VLOOKUP($A72,STK_REF!$A$2:$H$593,7,0),"")</f>
        <v>VND</v>
      </c>
      <c r="H72">
        <f>IF($A72&lt;&gt;"",VLOOKUP($A72,STK_REF!$A$2:$H$593,8,0),"")</f>
        <v>1</v>
      </c>
      <c r="I72" s="8">
        <f>IF(A72&lt;&gt;"",IF(G72=Q72,1,IF(ISNA(VLOOKUP(G72&amp;Q72,CUR_RATES!$A$2:$F$524,4,0)),"",VLOOKUP(G72&amp;Q72,CUR_RATES!$A$2:$F$524,4,0))),"")</f>
        <v>1</v>
      </c>
      <c r="J72" s="10">
        <f t="shared" si="7"/>
        <v>4300</v>
      </c>
      <c r="K72" s="67">
        <f t="shared" si="8"/>
        <v>1000180000000</v>
      </c>
      <c r="L72" s="75">
        <v>41165</v>
      </c>
      <c r="M72" s="1">
        <v>0</v>
      </c>
      <c r="N72" s="8" t="str">
        <f t="shared" si="9"/>
        <v/>
      </c>
      <c r="O72" s="29" t="str">
        <f t="shared" si="6"/>
        <v/>
      </c>
      <c r="P72" s="29" t="str">
        <f>IF(A72&lt;&gt;"",IF(ISNA(VLOOKUP(A72,STK_DIV!$A$2:$E$1048576,4,0)),"",IF(L72&lt;&gt;VLOOKUP(A72,STK_DIV!$A$2:$E$1048576,5,0),"",VLOOKUP(A72,STK_DIV!$A$2:$E$1048576,4,0))),"")</f>
        <v/>
      </c>
      <c r="Q72" t="str">
        <f t="shared" si="10"/>
        <v>VND</v>
      </c>
      <c r="R72" s="2" t="str">
        <f>IF(INDEX(IDX_COMPO!$F:$F,ROW(IDX_COMPO!F72))=0,"",INDEX(IDX_COMPO!$F:$F,ROW(IDX_COMPO!F72)))</f>
        <v>VNXHSXPRVND</v>
      </c>
      <c r="S72" s="27">
        <f t="shared" si="11"/>
        <v>2.532622773866269E-2</v>
      </c>
      <c r="Y72">
        <v>0</v>
      </c>
    </row>
    <row r="73" spans="1:25" x14ac:dyDescent="0.2">
      <c r="A73" s="2" t="str">
        <f>IF(INDEX(IDX_COMPO!$A:$A,ROW(IDX_COMPO!A73))=0,"",INDEX(IDX_COMPO!$A:$A,ROW(IDX_COMPO!A73)))</f>
        <v>PET</v>
      </c>
      <c r="B73" t="str">
        <f>IF($A73&lt;&gt;"",VLOOKUP($A73,STK_REF!$A$2:$H$593,3,0),"")</f>
        <v>VNX General Services</v>
      </c>
      <c r="C73">
        <f>IF($A73&lt;&gt;"",INDEX(IDX_COMPO!$C:$C,SUMPRODUCT(--(IDX_COMPO!$A:$A=$A73),--($R73=IDX_COMPO!$F:$F),ROW(IDX_COMPO!$F:$F))),"")</f>
        <v>30000000</v>
      </c>
      <c r="D73">
        <f>IF($A73&lt;&gt;"",INDEX(IDX_COMPO!$D:$D,SUMPRODUCT(--(IDX_COMPO!$A:$A=$A73),--($R73=IDX_COMPO!$F:$F),ROW(IDX_COMPO!$F:$F))),"")</f>
        <v>100</v>
      </c>
      <c r="E73">
        <f>IF($A73&lt;&gt;"",INDEX(IDX_COMPO!$E:$E,SUMPRODUCT(--(IDX_COMPO!$A:$A=$A73),--($R73=IDX_COMPO!$F:$F),ROW(IDX_COMPO!$F:$F))),"")</f>
        <v>100</v>
      </c>
      <c r="F73" s="10">
        <f>IF($A73&lt;&gt;"",VLOOKUP($A73,STK_PRICES!$A$2:$L$593,12,0),"")</f>
        <v>11200</v>
      </c>
      <c r="G73" t="str">
        <f>IF($A73&lt;&gt;"",VLOOKUP($A73,STK_REF!$A$2:$H$593,7,0),"")</f>
        <v>VND</v>
      </c>
      <c r="H73">
        <f>IF($A73&lt;&gt;"",VLOOKUP($A73,STK_REF!$A$2:$H$593,8,0),"")</f>
        <v>1</v>
      </c>
      <c r="I73" s="8">
        <f>IF(A73&lt;&gt;"",IF(G73=Q73,1,IF(ISNA(VLOOKUP(G73&amp;Q73,CUR_RATES!$A$2:$F$524,4,0)),"",VLOOKUP(G73&amp;Q73,CUR_RATES!$A$2:$F$524,4,0))),"")</f>
        <v>1</v>
      </c>
      <c r="J73" s="10">
        <f t="shared" si="7"/>
        <v>11200</v>
      </c>
      <c r="K73" s="67">
        <f t="shared" si="8"/>
        <v>336000000000</v>
      </c>
      <c r="L73" s="75">
        <v>41165</v>
      </c>
      <c r="M73" s="1">
        <v>0</v>
      </c>
      <c r="N73" s="8">
        <f t="shared" si="9"/>
        <v>45000000000</v>
      </c>
      <c r="O73" s="29">
        <f t="shared" si="6"/>
        <v>1500</v>
      </c>
      <c r="P73" s="29">
        <f>IF(A73&lt;&gt;"",IF(ISNA(VLOOKUP(A73,STK_DIV!$A$2:$E$1048576,4,0)),"",IF(L73&lt;&gt;VLOOKUP(A73,STK_DIV!$A$2:$E$1048576,5,0),"",VLOOKUP(A73,STK_DIV!$A$2:$E$1048576,4,0))),"")</f>
        <v>1500</v>
      </c>
      <c r="Q73" t="str">
        <f t="shared" si="10"/>
        <v>VND</v>
      </c>
      <c r="R73" s="2" t="str">
        <f>IF(INDEX(IDX_COMPO!$F:$F,ROW(IDX_COMPO!F73))=0,"",INDEX(IDX_COMPO!$F:$F,ROW(IDX_COMPO!F73)))</f>
        <v>VNXHSXPRVND</v>
      </c>
      <c r="S73" s="27">
        <f t="shared" si="11"/>
        <v>8.5080810655988569E-3</v>
      </c>
      <c r="Y73">
        <v>0</v>
      </c>
    </row>
    <row r="74" spans="1:25" x14ac:dyDescent="0.2">
      <c r="A74" s="2" t="str">
        <f>IF(INDEX(IDX_COMPO!$A:$A,ROW(IDX_COMPO!A74))=0,"",INDEX(IDX_COMPO!$A:$A,ROW(IDX_COMPO!A74)))</f>
        <v>PTL</v>
      </c>
      <c r="B74" t="str">
        <f>IF($A74&lt;&gt;"",VLOOKUP($A74,STK_REF!$A$2:$H$593,3,0),"")</f>
        <v>Petro Capital and Infrastructure Investment</v>
      </c>
      <c r="C74">
        <f>IF($A74&lt;&gt;"",INDEX(IDX_COMPO!$C:$C,SUMPRODUCT(--(IDX_COMPO!$A:$A=$A74),--($R74=IDX_COMPO!$F:$F),ROW(IDX_COMPO!$F:$F))),"")</f>
        <v>15000000</v>
      </c>
      <c r="D74">
        <f>IF($A74&lt;&gt;"",INDEX(IDX_COMPO!$D:$D,SUMPRODUCT(--(IDX_COMPO!$A:$A=$A74),--($R74=IDX_COMPO!$F:$F),ROW(IDX_COMPO!$F:$F))),"")</f>
        <v>100</v>
      </c>
      <c r="E74">
        <f>IF($A74&lt;&gt;"",INDEX(IDX_COMPO!$E:$E,SUMPRODUCT(--(IDX_COMPO!$A:$A=$A74),--($R74=IDX_COMPO!$F:$F),ROW(IDX_COMPO!$F:$F))),"")</f>
        <v>100</v>
      </c>
      <c r="F74" s="10">
        <f>IF($A74&lt;&gt;"",VLOOKUP($A74,STK_PRICES!$A$2:$L$593,12,0),"")</f>
        <v>2900</v>
      </c>
      <c r="G74" t="str">
        <f>IF($A74&lt;&gt;"",VLOOKUP($A74,STK_REF!$A$2:$H$593,7,0),"")</f>
        <v>VND</v>
      </c>
      <c r="H74">
        <f>IF($A74&lt;&gt;"",VLOOKUP($A74,STK_REF!$A$2:$H$593,8,0),"")</f>
        <v>1</v>
      </c>
      <c r="I74" s="8">
        <f>IF(A74&lt;&gt;"",IF(G74=Q74,1,IF(ISNA(VLOOKUP(G74&amp;Q74,CUR_RATES!$A$2:$F$524,4,0)),"",VLOOKUP(G74&amp;Q74,CUR_RATES!$A$2:$F$524,4,0))),"")</f>
        <v>1</v>
      </c>
      <c r="J74" s="10">
        <f t="shared" si="7"/>
        <v>2900</v>
      </c>
      <c r="K74" s="67">
        <f t="shared" si="8"/>
        <v>43500000000</v>
      </c>
      <c r="L74" s="75">
        <v>41165</v>
      </c>
      <c r="M74" s="1">
        <v>0</v>
      </c>
      <c r="N74" s="8" t="str">
        <f t="shared" si="9"/>
        <v/>
      </c>
      <c r="O74" s="29" t="str">
        <f t="shared" si="6"/>
        <v/>
      </c>
      <c r="P74" s="29" t="str">
        <f>IF(A74&lt;&gt;"",IF(ISNA(VLOOKUP(A74,STK_DIV!$A$2:$E$1048576,4,0)),"",IF(L74&lt;&gt;VLOOKUP(A74,STK_DIV!$A$2:$E$1048576,5,0),"",VLOOKUP(A74,STK_DIV!$A$2:$E$1048576,4,0))),"")</f>
        <v/>
      </c>
      <c r="Q74" t="str">
        <f t="shared" si="10"/>
        <v>VND</v>
      </c>
      <c r="R74" s="2" t="str">
        <f>IF(INDEX(IDX_COMPO!$F:$F,ROW(IDX_COMPO!F74))=0,"",INDEX(IDX_COMPO!$F:$F,ROW(IDX_COMPO!F74)))</f>
        <v>VNXHSXPRVND</v>
      </c>
      <c r="S74" s="27">
        <f t="shared" si="11"/>
        <v>1.1014926379569947E-3</v>
      </c>
      <c r="Y74">
        <v>0</v>
      </c>
    </row>
    <row r="75" spans="1:25" x14ac:dyDescent="0.2">
      <c r="A75" s="2" t="str">
        <f>IF(INDEX(IDX_COMPO!$A:$A,ROW(IDX_COMPO!A75))=0,"",INDEX(IDX_COMPO!$A:$A,ROW(IDX_COMPO!A75)))</f>
        <v>PXS</v>
      </c>
      <c r="B75" t="str">
        <f>IF($A75&lt;&gt;"",VLOOKUP($A75,STK_REF!$A$2:$H$593,3,0),"")</f>
        <v>Petroleum Equipment Assembly and Metal Structure</v>
      </c>
      <c r="C75">
        <f>IF($A75&lt;&gt;"",INDEX(IDX_COMPO!$C:$C,SUMPRODUCT(--(IDX_COMPO!$A:$A=$A75),--($R75=IDX_COMPO!$F:$F),ROW(IDX_COMPO!$F:$F))),"")</f>
        <v>37518001</v>
      </c>
      <c r="D75">
        <f>IF($A75&lt;&gt;"",INDEX(IDX_COMPO!$D:$D,SUMPRODUCT(--(IDX_COMPO!$A:$A=$A75),--($R75=IDX_COMPO!$F:$F),ROW(IDX_COMPO!$F:$F))),"")</f>
        <v>100</v>
      </c>
      <c r="E75">
        <f>IF($A75&lt;&gt;"",INDEX(IDX_COMPO!$E:$E,SUMPRODUCT(--(IDX_COMPO!$A:$A=$A75),--($R75=IDX_COMPO!$F:$F),ROW(IDX_COMPO!$F:$F))),"")</f>
        <v>100</v>
      </c>
      <c r="F75" s="10">
        <f>IF($A75&lt;&gt;"",VLOOKUP($A75,STK_PRICES!$A$2:$L$593,12,0),"")</f>
        <v>9400</v>
      </c>
      <c r="G75" t="str">
        <f>IF($A75&lt;&gt;"",VLOOKUP($A75,STK_REF!$A$2:$H$593,7,0),"")</f>
        <v>VND</v>
      </c>
      <c r="H75">
        <f>IF($A75&lt;&gt;"",VLOOKUP($A75,STK_REF!$A$2:$H$593,8,0),"")</f>
        <v>1</v>
      </c>
      <c r="I75" s="8">
        <f>IF(A75&lt;&gt;"",IF(G75=Q75,1,IF(ISNA(VLOOKUP(G75&amp;Q75,CUR_RATES!$A$2:$F$524,4,0)),"",VLOOKUP(G75&amp;Q75,CUR_RATES!$A$2:$F$524,4,0))),"")</f>
        <v>1</v>
      </c>
      <c r="J75" s="10">
        <f t="shared" si="7"/>
        <v>9400</v>
      </c>
      <c r="K75" s="67">
        <f t="shared" si="8"/>
        <v>352669209400</v>
      </c>
      <c r="L75" s="75">
        <v>41165</v>
      </c>
      <c r="M75" s="1">
        <v>0</v>
      </c>
      <c r="N75" s="8" t="str">
        <f t="shared" si="9"/>
        <v/>
      </c>
      <c r="O75" s="29" t="str">
        <f t="shared" si="6"/>
        <v/>
      </c>
      <c r="P75" s="29" t="str">
        <f>IF(A75&lt;&gt;"",IF(ISNA(VLOOKUP(A75,STK_DIV!$A$2:$E$1048576,4,0)),"",IF(L75&lt;&gt;VLOOKUP(A75,STK_DIV!$A$2:$E$1048576,5,0),"",VLOOKUP(A75,STK_DIV!$A$2:$E$1048576,4,0))),"")</f>
        <v/>
      </c>
      <c r="Q75" t="str">
        <f t="shared" si="10"/>
        <v>VND</v>
      </c>
      <c r="R75" s="2" t="str">
        <f>IF(INDEX(IDX_COMPO!$F:$F,ROW(IDX_COMPO!F75))=0,"",INDEX(IDX_COMPO!$F:$F,ROW(IDX_COMPO!F75)))</f>
        <v>VNXHSXPRVND</v>
      </c>
      <c r="S75" s="27">
        <f t="shared" si="11"/>
        <v>8.9301732824876735E-3</v>
      </c>
      <c r="Y75">
        <v>0</v>
      </c>
    </row>
    <row r="76" spans="1:25" x14ac:dyDescent="0.2">
      <c r="A76" s="2" t="str">
        <f>IF(INDEX(IDX_COMPO!$A:$A,ROW(IDX_COMPO!A76))=0,"",INDEX(IDX_COMPO!$A:$A,ROW(IDX_COMPO!A76)))</f>
        <v>PXI</v>
      </c>
      <c r="B76" t="str">
        <f>IF($A76&lt;&gt;"",VLOOKUP($A76,STK_REF!$A$2:$H$593,3,0),"")</f>
        <v>Petroleum Industrial and Civil Construction</v>
      </c>
      <c r="C76">
        <f>IF($A76&lt;&gt;"",INDEX(IDX_COMPO!$C:$C,SUMPRODUCT(--(IDX_COMPO!$A:$A=$A76),--($R76=IDX_COMPO!$F:$F),ROW(IDX_COMPO!$F:$F))),"")</f>
        <v>20000000</v>
      </c>
      <c r="D76">
        <f>IF($A76&lt;&gt;"",INDEX(IDX_COMPO!$D:$D,SUMPRODUCT(--(IDX_COMPO!$A:$A=$A76),--($R76=IDX_COMPO!$F:$F),ROW(IDX_COMPO!$F:$F))),"")</f>
        <v>100</v>
      </c>
      <c r="E76">
        <f>IF($A76&lt;&gt;"",INDEX(IDX_COMPO!$E:$E,SUMPRODUCT(--(IDX_COMPO!$A:$A=$A76),--($R76=IDX_COMPO!$F:$F),ROW(IDX_COMPO!$F:$F))),"")</f>
        <v>100</v>
      </c>
      <c r="F76" s="10">
        <f>IF($A76&lt;&gt;"",VLOOKUP($A76,STK_PRICES!$A$2:$L$593,12,0),"")</f>
        <v>4000</v>
      </c>
      <c r="G76" t="str">
        <f>IF($A76&lt;&gt;"",VLOOKUP($A76,STK_REF!$A$2:$H$593,7,0),"")</f>
        <v>VND</v>
      </c>
      <c r="H76">
        <f>IF($A76&lt;&gt;"",VLOOKUP($A76,STK_REF!$A$2:$H$593,8,0),"")</f>
        <v>1</v>
      </c>
      <c r="I76" s="8">
        <f>IF(A76&lt;&gt;"",IF(G76=Q76,1,IF(ISNA(VLOOKUP(G76&amp;Q76,CUR_RATES!$A$2:$F$524,4,0)),"",VLOOKUP(G76&amp;Q76,CUR_RATES!$A$2:$F$524,4,0))),"")</f>
        <v>1</v>
      </c>
      <c r="J76" s="10">
        <f t="shared" si="7"/>
        <v>4000</v>
      </c>
      <c r="K76" s="67">
        <f t="shared" si="8"/>
        <v>80000000000</v>
      </c>
      <c r="L76" s="75">
        <v>41165</v>
      </c>
      <c r="M76" s="1">
        <v>0</v>
      </c>
      <c r="N76" s="8" t="str">
        <f t="shared" si="9"/>
        <v/>
      </c>
      <c r="O76" s="29" t="str">
        <f t="shared" si="6"/>
        <v/>
      </c>
      <c r="P76" s="29" t="str">
        <f>IF(A76&lt;&gt;"",IF(ISNA(VLOOKUP(A76,STK_DIV!$A$2:$E$1048576,4,0)),"",IF(L76&lt;&gt;VLOOKUP(A76,STK_DIV!$A$2:$E$1048576,5,0),"",VLOOKUP(A76,STK_DIV!$A$2:$E$1048576,4,0))),"")</f>
        <v/>
      </c>
      <c r="Q76" t="str">
        <f t="shared" si="10"/>
        <v>VND</v>
      </c>
      <c r="R76" s="2" t="str">
        <f>IF(INDEX(IDX_COMPO!$F:$F,ROW(IDX_COMPO!F76))=0,"",INDEX(IDX_COMPO!$F:$F,ROW(IDX_COMPO!F76)))</f>
        <v>VNXHSXPRVND</v>
      </c>
      <c r="S76" s="27">
        <f t="shared" si="11"/>
        <v>2.0257335870473465E-3</v>
      </c>
      <c r="Y76">
        <v>0</v>
      </c>
    </row>
    <row r="77" spans="1:25" x14ac:dyDescent="0.2">
      <c r="A77" s="2" t="str">
        <f>IF(INDEX(IDX_COMPO!$A:$A,ROW(IDX_COMPO!A77))=0,"",INDEX(IDX_COMPO!$A:$A,ROW(IDX_COMPO!A77)))</f>
        <v>PXT</v>
      </c>
      <c r="B77" t="str">
        <f>IF($A77&lt;&gt;"",VLOOKUP($A77,STK_REF!$A$2:$H$593,3,0),"")</f>
        <v>Petroleum Pipeline and Tank Construction</v>
      </c>
      <c r="C77">
        <f>IF($A77&lt;&gt;"",INDEX(IDX_COMPO!$C:$C,SUMPRODUCT(--(IDX_COMPO!$A:$A=$A77),--($R77=IDX_COMPO!$F:$F),ROW(IDX_COMPO!$F:$F))),"")</f>
        <v>42900000</v>
      </c>
      <c r="D77">
        <f>IF($A77&lt;&gt;"",INDEX(IDX_COMPO!$D:$D,SUMPRODUCT(--(IDX_COMPO!$A:$A=$A77),--($R77=IDX_COMPO!$F:$F),ROW(IDX_COMPO!$F:$F))),"")</f>
        <v>100</v>
      </c>
      <c r="E77">
        <f>IF($A77&lt;&gt;"",INDEX(IDX_COMPO!$E:$E,SUMPRODUCT(--(IDX_COMPO!$A:$A=$A77),--($R77=IDX_COMPO!$F:$F),ROW(IDX_COMPO!$F:$F))),"")</f>
        <v>100</v>
      </c>
      <c r="F77" s="10">
        <f>IF($A77&lt;&gt;"",VLOOKUP($A77,STK_PRICES!$A$2:$L$593,12,0),"")</f>
        <v>4200</v>
      </c>
      <c r="G77" t="str">
        <f>IF($A77&lt;&gt;"",VLOOKUP($A77,STK_REF!$A$2:$H$593,7,0),"")</f>
        <v>VND</v>
      </c>
      <c r="H77">
        <f>IF($A77&lt;&gt;"",VLOOKUP($A77,STK_REF!$A$2:$H$593,8,0),"")</f>
        <v>1</v>
      </c>
      <c r="I77" s="8">
        <f>IF(A77&lt;&gt;"",IF(G77=Q77,1,IF(ISNA(VLOOKUP(G77&amp;Q77,CUR_RATES!$A$2:$F$524,4,0)),"",VLOOKUP(G77&amp;Q77,CUR_RATES!$A$2:$F$524,4,0))),"")</f>
        <v>1</v>
      </c>
      <c r="J77" s="10">
        <f t="shared" si="7"/>
        <v>4200</v>
      </c>
      <c r="K77" s="67">
        <f t="shared" si="8"/>
        <v>180180000000</v>
      </c>
      <c r="L77" s="75">
        <v>41165</v>
      </c>
      <c r="M77" s="1">
        <v>0</v>
      </c>
      <c r="N77" s="8" t="str">
        <f t="shared" si="9"/>
        <v/>
      </c>
      <c r="O77" s="29" t="str">
        <f t="shared" si="6"/>
        <v/>
      </c>
      <c r="P77" s="29" t="str">
        <f>IF(A77&lt;&gt;"",IF(ISNA(VLOOKUP(A77,STK_DIV!$A$2:$E$1048576,4,0)),"",IF(L77&lt;&gt;VLOOKUP(A77,STK_DIV!$A$2:$E$1048576,5,0),"",VLOOKUP(A77,STK_DIV!$A$2:$E$1048576,4,0))),"")</f>
        <v/>
      </c>
      <c r="Q77" t="str">
        <f t="shared" si="10"/>
        <v>VND</v>
      </c>
      <c r="R77" s="2" t="str">
        <f>IF(INDEX(IDX_COMPO!$F:$F,ROW(IDX_COMPO!F77))=0,"",INDEX(IDX_COMPO!$F:$F,ROW(IDX_COMPO!F77)))</f>
        <v>VNXHSXPRVND</v>
      </c>
      <c r="S77" s="27">
        <f t="shared" si="11"/>
        <v>4.5624584714273868E-3</v>
      </c>
      <c r="Y77">
        <v>0</v>
      </c>
    </row>
    <row r="78" spans="1:25" x14ac:dyDescent="0.2">
      <c r="A78" s="2" t="str">
        <f>IF(INDEX(IDX_COMPO!$A:$A,ROW(IDX_COMPO!A78))=0,"",INDEX(IDX_COMPO!$A:$A,ROW(IDX_COMPO!A78)))</f>
        <v>PXM</v>
      </c>
      <c r="B78" t="str">
        <f>IF($A78&lt;&gt;"",VLOOKUP($A78,STK_REF!$A$2:$H$593,3,0),"")</f>
        <v>Mientrung Petroleum Construction</v>
      </c>
      <c r="C78">
        <f>IF($A78&lt;&gt;"",INDEX(IDX_COMPO!$C:$C,SUMPRODUCT(--(IDX_COMPO!$A:$A=$A78),--($R78=IDX_COMPO!$F:$F),ROW(IDX_COMPO!$F:$F))),"")</f>
        <v>209740215</v>
      </c>
      <c r="D78">
        <f>IF($A78&lt;&gt;"",INDEX(IDX_COMPO!$D:$D,SUMPRODUCT(--(IDX_COMPO!$A:$A=$A78),--($R78=IDX_COMPO!$F:$F),ROW(IDX_COMPO!$F:$F))),"")</f>
        <v>100</v>
      </c>
      <c r="E78">
        <f>IF($A78&lt;&gt;"",INDEX(IDX_COMPO!$E:$E,SUMPRODUCT(--(IDX_COMPO!$A:$A=$A78),--($R78=IDX_COMPO!$F:$F),ROW(IDX_COMPO!$F:$F))),"")</f>
        <v>100</v>
      </c>
      <c r="F78" s="10">
        <f>IF($A78&lt;&gt;"",VLOOKUP($A78,STK_PRICES!$A$2:$L$593,12,0),"")</f>
        <v>3200</v>
      </c>
      <c r="G78" t="str">
        <f>IF($A78&lt;&gt;"",VLOOKUP($A78,STK_REF!$A$2:$H$593,7,0),"")</f>
        <v>VND</v>
      </c>
      <c r="H78">
        <f>IF($A78&lt;&gt;"",VLOOKUP($A78,STK_REF!$A$2:$H$593,8,0),"")</f>
        <v>1</v>
      </c>
      <c r="I78" s="8">
        <f>IF(A78&lt;&gt;"",IF(G78=Q78,1,IF(ISNA(VLOOKUP(G78&amp;Q78,CUR_RATES!$A$2:$F$524,4,0)),"",VLOOKUP(G78&amp;Q78,CUR_RATES!$A$2:$F$524,4,0))),"")</f>
        <v>1</v>
      </c>
      <c r="J78" s="10">
        <f t="shared" si="7"/>
        <v>3200</v>
      </c>
      <c r="K78" s="67">
        <f t="shared" si="8"/>
        <v>671168688000</v>
      </c>
      <c r="L78" s="75">
        <v>41165</v>
      </c>
      <c r="M78" s="1">
        <v>0</v>
      </c>
      <c r="N78" s="8" t="str">
        <f t="shared" si="9"/>
        <v/>
      </c>
      <c r="O78" s="29" t="str">
        <f t="shared" si="6"/>
        <v/>
      </c>
      <c r="P78" s="29" t="str">
        <f>IF(A78&lt;&gt;"",IF(ISNA(VLOOKUP(A78,STK_DIV!$A$2:$E$1048576,4,0)),"",IF(L78&lt;&gt;VLOOKUP(A78,STK_DIV!$A$2:$E$1048576,5,0),"",VLOOKUP(A78,STK_DIV!$A$2:$E$1048576,4,0))),"")</f>
        <v/>
      </c>
      <c r="Q78" t="str">
        <f t="shared" si="10"/>
        <v>VND</v>
      </c>
      <c r="R78" s="2" t="str">
        <f>IF(INDEX(IDX_COMPO!$F:$F,ROW(IDX_COMPO!F78))=0,"",INDEX(IDX_COMPO!$F:$F,ROW(IDX_COMPO!F78)))</f>
        <v>VNXHSXPRVND</v>
      </c>
      <c r="S78" s="27">
        <f t="shared" si="11"/>
        <v>1.6995111923201269E-2</v>
      </c>
      <c r="Y78">
        <v>0</v>
      </c>
    </row>
    <row r="79" spans="1:25" x14ac:dyDescent="0.2">
      <c r="A79" s="2" t="str">
        <f>IF(INDEX(IDX_COMPO!$A:$A,ROW(IDX_COMPO!A79))=0,"",INDEX(IDX_COMPO!$A:$A,ROW(IDX_COMPO!A79)))</f>
        <v>PVS</v>
      </c>
      <c r="B79" t="str">
        <f>IF($A79&lt;&gt;"",VLOOKUP($A79,STK_REF!$A$2:$H$593,3,0),"")</f>
        <v>VNX Technical Services</v>
      </c>
      <c r="C79">
        <f>IF($A79&lt;&gt;"",INDEX(IDX_COMPO!$C:$C,SUMPRODUCT(--(IDX_COMPO!$A:$A=$A79),--($R79=IDX_COMPO!$F:$F),ROW(IDX_COMPO!$F:$F))),"")</f>
        <v>50000000</v>
      </c>
      <c r="D79">
        <f>IF($A79&lt;&gt;"",INDEX(IDX_COMPO!$D:$D,SUMPRODUCT(--(IDX_COMPO!$A:$A=$A79),--($R79=IDX_COMPO!$F:$F),ROW(IDX_COMPO!$F:$F))),"")</f>
        <v>100</v>
      </c>
      <c r="E79">
        <f>IF($A79&lt;&gt;"",INDEX(IDX_COMPO!$E:$E,SUMPRODUCT(--(IDX_COMPO!$A:$A=$A79),--($R79=IDX_COMPO!$F:$F),ROW(IDX_COMPO!$F:$F))),"")</f>
        <v>100</v>
      </c>
      <c r="F79" s="10">
        <f>IF($A79&lt;&gt;"",VLOOKUP($A79,STK_PRICES!$A$2:$L$593,12,0),"")</f>
        <v>15200</v>
      </c>
      <c r="G79" t="str">
        <f>IF($A79&lt;&gt;"",VLOOKUP($A79,STK_REF!$A$2:$H$593,7,0),"")</f>
        <v>VND</v>
      </c>
      <c r="H79">
        <f>IF($A79&lt;&gt;"",VLOOKUP($A79,STK_REF!$A$2:$H$593,8,0),"")</f>
        <v>1</v>
      </c>
      <c r="I79" s="8">
        <f>IF(A79&lt;&gt;"",IF(G79=Q79,1,IF(ISNA(VLOOKUP(G79&amp;Q79,CUR_RATES!$A$2:$F$524,4,0)),"",VLOOKUP(G79&amp;Q79,CUR_RATES!$A$2:$F$524,4,0))),"")</f>
        <v>1</v>
      </c>
      <c r="J79" s="10">
        <f t="shared" si="7"/>
        <v>15200</v>
      </c>
      <c r="K79" s="67">
        <f t="shared" si="8"/>
        <v>760000000000</v>
      </c>
      <c r="L79" s="75">
        <v>41165</v>
      </c>
      <c r="M79" s="1">
        <v>0</v>
      </c>
      <c r="N79" s="8" t="str">
        <f t="shared" si="9"/>
        <v/>
      </c>
      <c r="O79" s="29" t="str">
        <f t="shared" si="6"/>
        <v/>
      </c>
      <c r="P79" s="29" t="str">
        <f>IF(A79&lt;&gt;"",IF(ISNA(VLOOKUP(A79,STK_DIV!$A$2:$E$1048576,4,0)),"",IF(L79&lt;&gt;VLOOKUP(A79,STK_DIV!$A$2:$E$1048576,5,0),"",VLOOKUP(A79,STK_DIV!$A$2:$E$1048576,4,0))),"")</f>
        <v/>
      </c>
      <c r="Q79" t="str">
        <f t="shared" si="10"/>
        <v>VND</v>
      </c>
      <c r="R79" s="2" t="str">
        <f>IF(INDEX(IDX_COMPO!$F:$F,ROW(IDX_COMPO!F79))=0,"",INDEX(IDX_COMPO!$F:$F,ROW(IDX_COMPO!F79)))</f>
        <v>VNXHNXPRVND</v>
      </c>
      <c r="S79" s="27">
        <f t="shared" si="11"/>
        <v>1.9244469076949794E-2</v>
      </c>
      <c r="Y79">
        <v>0</v>
      </c>
    </row>
    <row r="80" spans="1:25" x14ac:dyDescent="0.2">
      <c r="A80" s="2" t="str">
        <f>IF(INDEX(IDX_COMPO!$A:$A,ROW(IDX_COMPO!A80))=0,"",INDEX(IDX_COMPO!$A:$A,ROW(IDX_COMPO!A80)))</f>
        <v>PVX</v>
      </c>
      <c r="B80" t="str">
        <f>IF($A80&lt;&gt;"",VLOOKUP($A80,STK_REF!$A$2:$H$593,3,0),"")</f>
        <v>VNX Construction</v>
      </c>
      <c r="C80">
        <f>IF($A80&lt;&gt;"",INDEX(IDX_COMPO!$C:$C,SUMPRODUCT(--(IDX_COMPO!$A:$A=$A80),--($R80=IDX_COMPO!$F:$F),ROW(IDX_COMPO!$F:$F))),"")</f>
        <v>35000000</v>
      </c>
      <c r="D80">
        <f>IF($A80&lt;&gt;"",INDEX(IDX_COMPO!$D:$D,SUMPRODUCT(--(IDX_COMPO!$A:$A=$A80),--($R80=IDX_COMPO!$F:$F),ROW(IDX_COMPO!$F:$F))),"")</f>
        <v>100</v>
      </c>
      <c r="E80">
        <f>IF($A80&lt;&gt;"",INDEX(IDX_COMPO!$E:$E,SUMPRODUCT(--(IDX_COMPO!$A:$A=$A80),--($R80=IDX_COMPO!$F:$F),ROW(IDX_COMPO!$F:$F))),"")</f>
        <v>100</v>
      </c>
      <c r="F80" s="10">
        <f>IF($A80&lt;&gt;"",VLOOKUP($A80,STK_PRICES!$A$2:$L$593,12,0),"")</f>
        <v>5200</v>
      </c>
      <c r="G80" t="str">
        <f>IF($A80&lt;&gt;"",VLOOKUP($A80,STK_REF!$A$2:$H$593,7,0),"")</f>
        <v>VND</v>
      </c>
      <c r="H80">
        <f>IF($A80&lt;&gt;"",VLOOKUP($A80,STK_REF!$A$2:$H$593,8,0),"")</f>
        <v>1</v>
      </c>
      <c r="I80" s="8">
        <f>IF(A80&lt;&gt;"",IF(G80=Q80,1,IF(ISNA(VLOOKUP(G80&amp;Q80,CUR_RATES!$A$2:$F$524,4,0)),"",VLOOKUP(G80&amp;Q80,CUR_RATES!$A$2:$F$524,4,0))),"")</f>
        <v>1</v>
      </c>
      <c r="J80" s="10">
        <f t="shared" si="7"/>
        <v>5200</v>
      </c>
      <c r="K80" s="67">
        <f t="shared" si="8"/>
        <v>182000000000</v>
      </c>
      <c r="L80" s="75">
        <v>41165</v>
      </c>
      <c r="M80" s="1">
        <v>0</v>
      </c>
      <c r="N80" s="8" t="str">
        <f t="shared" si="9"/>
        <v/>
      </c>
      <c r="O80" s="29" t="str">
        <f t="shared" si="6"/>
        <v/>
      </c>
      <c r="P80" s="29" t="str">
        <f>IF(A80&lt;&gt;"",IF(ISNA(VLOOKUP(A80,STK_DIV!$A$2:$E$1048576,4,0)),"",IF(L80&lt;&gt;VLOOKUP(A80,STK_DIV!$A$2:$E$1048576,5,0),"",VLOOKUP(A80,STK_DIV!$A$2:$E$1048576,4,0))),"")</f>
        <v/>
      </c>
      <c r="Q80" t="str">
        <f t="shared" si="10"/>
        <v>VND</v>
      </c>
      <c r="R80" s="2" t="str">
        <f>IF(INDEX(IDX_COMPO!$F:$F,ROW(IDX_COMPO!F80))=0,"",INDEX(IDX_COMPO!$F:$F,ROW(IDX_COMPO!F80)))</f>
        <v>VNXHNXPRVND</v>
      </c>
      <c r="S80" s="27">
        <f t="shared" si="11"/>
        <v>4.608543910532714E-3</v>
      </c>
      <c r="Y80">
        <v>0</v>
      </c>
    </row>
    <row r="81" spans="1:25" x14ac:dyDescent="0.2">
      <c r="A81" s="2" t="str">
        <f>IF(INDEX(IDX_COMPO!$A:$A,ROW(IDX_COMPO!A81))=0,"",INDEX(IDX_COMPO!$A:$A,ROW(IDX_COMPO!A81)))</f>
        <v>PVI</v>
      </c>
      <c r="B81" t="str">
        <f>IF($A81&lt;&gt;"",VLOOKUP($A81,STK_REF!$A$2:$H$593,3,0),"")</f>
        <v>VNX Insurance</v>
      </c>
      <c r="C81">
        <f>IF($A81&lt;&gt;"",INDEX(IDX_COMPO!$C:$C,SUMPRODUCT(--(IDX_COMPO!$A:$A=$A81),--($R81=IDX_COMPO!$F:$F),ROW(IDX_COMPO!$F:$F))),"")</f>
        <v>2000000</v>
      </c>
      <c r="D81">
        <f>IF($A81&lt;&gt;"",INDEX(IDX_COMPO!$D:$D,SUMPRODUCT(--(IDX_COMPO!$A:$A=$A81),--($R81=IDX_COMPO!$F:$F),ROW(IDX_COMPO!$F:$F))),"")</f>
        <v>100</v>
      </c>
      <c r="E81">
        <f>IF($A81&lt;&gt;"",INDEX(IDX_COMPO!$E:$E,SUMPRODUCT(--(IDX_COMPO!$A:$A=$A81),--($R81=IDX_COMPO!$F:$F),ROW(IDX_COMPO!$F:$F))),"")</f>
        <v>100</v>
      </c>
      <c r="F81" s="10">
        <f>IF($A81&lt;&gt;"",VLOOKUP($A81,STK_PRICES!$A$2:$L$593,12,0),"")</f>
        <v>15900</v>
      </c>
      <c r="G81" t="str">
        <f>IF($A81&lt;&gt;"",VLOOKUP($A81,STK_REF!$A$2:$H$593,7,0),"")</f>
        <v>VND</v>
      </c>
      <c r="H81">
        <f>IF($A81&lt;&gt;"",VLOOKUP($A81,STK_REF!$A$2:$H$593,8,0),"")</f>
        <v>1</v>
      </c>
      <c r="I81" s="8">
        <f>IF(A81&lt;&gt;"",IF(G81=Q81,1,IF(ISNA(VLOOKUP(G81&amp;Q81,CUR_RATES!$A$2:$F$524,4,0)),"",VLOOKUP(G81&amp;Q81,CUR_RATES!$A$2:$F$524,4,0))),"")</f>
        <v>1</v>
      </c>
      <c r="J81" s="10">
        <f t="shared" si="7"/>
        <v>15900</v>
      </c>
      <c r="K81" s="67">
        <f t="shared" si="8"/>
        <v>31800000000</v>
      </c>
      <c r="L81" s="75">
        <v>41165</v>
      </c>
      <c r="M81" s="1">
        <v>0</v>
      </c>
      <c r="N81" s="8" t="str">
        <f t="shared" si="9"/>
        <v/>
      </c>
      <c r="O81" s="29" t="str">
        <f t="shared" si="6"/>
        <v/>
      </c>
      <c r="P81" s="29" t="str">
        <f>IF(A81&lt;&gt;"",IF(ISNA(VLOOKUP(A81,STK_DIV!$A$2:$E$1048576,4,0)),"",IF(L81&lt;&gt;VLOOKUP(A81,STK_DIV!$A$2:$E$1048576,5,0),"",VLOOKUP(A81,STK_DIV!$A$2:$E$1048576,4,0))),"")</f>
        <v/>
      </c>
      <c r="Q81" t="str">
        <f t="shared" si="10"/>
        <v>VND</v>
      </c>
      <c r="R81" s="2" t="str">
        <f>IF(INDEX(IDX_COMPO!$F:$F,ROW(IDX_COMPO!F81))=0,"",INDEX(IDX_COMPO!$F:$F,ROW(IDX_COMPO!F81)))</f>
        <v>VNXHNXPRVND</v>
      </c>
      <c r="S81" s="27">
        <f t="shared" si="11"/>
        <v>8.0522910085132032E-4</v>
      </c>
      <c r="Y81">
        <v>0</v>
      </c>
    </row>
    <row r="82" spans="1:25" x14ac:dyDescent="0.2">
      <c r="A82" s="2" t="str">
        <f>IF(INDEX(IDX_COMPO!$A:$A,ROW(IDX_COMPO!A82))=0,"",INDEX(IDX_COMPO!$A:$A,ROW(IDX_COMPO!A82)))</f>
        <v>PGS</v>
      </c>
      <c r="B82" t="str">
        <f>IF($A82&lt;&gt;"",VLOOKUP($A82,STK_REF!$A$2:$H$593,3,0),"")</f>
        <v>VNX Southern Gas</v>
      </c>
      <c r="C82">
        <f>IF($A82&lt;&gt;"",INDEX(IDX_COMPO!$C:$C,SUMPRODUCT(--(IDX_COMPO!$A:$A=$A82),--($R82=IDX_COMPO!$F:$F),ROW(IDX_COMPO!$F:$F))),"")</f>
        <v>59841300</v>
      </c>
      <c r="D82">
        <f>IF($A82&lt;&gt;"",INDEX(IDX_COMPO!$D:$D,SUMPRODUCT(--(IDX_COMPO!$A:$A=$A82),--($R82=IDX_COMPO!$F:$F),ROW(IDX_COMPO!$F:$F))),"")</f>
        <v>100</v>
      </c>
      <c r="E82">
        <f>IF($A82&lt;&gt;"",INDEX(IDX_COMPO!$E:$E,SUMPRODUCT(--(IDX_COMPO!$A:$A=$A82),--($R82=IDX_COMPO!$F:$F),ROW(IDX_COMPO!$F:$F))),"")</f>
        <v>100</v>
      </c>
      <c r="F82" s="10">
        <f>IF($A82&lt;&gt;"",VLOOKUP($A82,STK_PRICES!$A$2:$L$593,12,0),"")</f>
        <v>17100</v>
      </c>
      <c r="G82" t="str">
        <f>IF($A82&lt;&gt;"",VLOOKUP($A82,STK_REF!$A$2:$H$593,7,0),"")</f>
        <v>VND</v>
      </c>
      <c r="H82">
        <f>IF($A82&lt;&gt;"",VLOOKUP($A82,STK_REF!$A$2:$H$593,8,0),"")</f>
        <v>1</v>
      </c>
      <c r="I82" s="8">
        <f>IF(A82&lt;&gt;"",IF(G82=Q82,1,IF(ISNA(VLOOKUP(G82&amp;Q82,CUR_RATES!$A$2:$F$524,4,0)),"",VLOOKUP(G82&amp;Q82,CUR_RATES!$A$2:$F$524,4,0))),"")</f>
        <v>1</v>
      </c>
      <c r="J82" s="10">
        <f t="shared" si="7"/>
        <v>17100</v>
      </c>
      <c r="K82" s="67">
        <f t="shared" si="8"/>
        <v>1023286230000</v>
      </c>
      <c r="L82" s="75">
        <v>41165</v>
      </c>
      <c r="M82" s="1">
        <v>0</v>
      </c>
      <c r="N82" s="8">
        <f t="shared" si="9"/>
        <v>71809560000</v>
      </c>
      <c r="O82" s="29">
        <f t="shared" si="6"/>
        <v>1200</v>
      </c>
      <c r="P82" s="29">
        <f>IF(A82&lt;&gt;"",IF(ISNA(VLOOKUP(A82,STK_DIV!$A$2:$E$1048576,4,0)),"",IF(L82&lt;&gt;VLOOKUP(A82,STK_DIV!$A$2:$E$1048576,5,0),"",VLOOKUP(A82,STK_DIV!$A$2:$E$1048576,4,0))),"")</f>
        <v>1200</v>
      </c>
      <c r="Q82" t="str">
        <f t="shared" si="10"/>
        <v>VND</v>
      </c>
      <c r="R82" s="2" t="str">
        <f>IF(INDEX(IDX_COMPO!$F:$F,ROW(IDX_COMPO!F82))=0,"",INDEX(IDX_COMPO!$F:$F,ROW(IDX_COMPO!F82)))</f>
        <v>VNXHNXPRVND</v>
      </c>
      <c r="S82" s="27">
        <f t="shared" si="11"/>
        <v>2.5911316065925703E-2</v>
      </c>
      <c r="Y82">
        <v>0</v>
      </c>
    </row>
    <row r="83" spans="1:25" x14ac:dyDescent="0.2">
      <c r="A83" s="2" t="str">
        <f>IF(INDEX(IDX_COMPO!$A:$A,ROW(IDX_COMPO!A83))=0,"",INDEX(IDX_COMPO!$A:$A,ROW(IDX_COMPO!A83)))</f>
        <v>PVC</v>
      </c>
      <c r="B83" t="str">
        <f>IF($A83&lt;&gt;"",VLOOKUP($A83,STK_REF!$A$2:$H$593,3,0),"")</f>
        <v>Drilling Mud Corp</v>
      </c>
      <c r="C83">
        <f>IF($A83&lt;&gt;"",INDEX(IDX_COMPO!$C:$C,SUMPRODUCT(--(IDX_COMPO!$A:$A=$A83),--($R83=IDX_COMPO!$F:$F),ROW(IDX_COMPO!$F:$F))),"")</f>
        <v>157531264</v>
      </c>
      <c r="D83">
        <f>IF($A83&lt;&gt;"",INDEX(IDX_COMPO!$D:$D,SUMPRODUCT(--(IDX_COMPO!$A:$A=$A83),--($R83=IDX_COMPO!$F:$F),ROW(IDX_COMPO!$F:$F))),"")</f>
        <v>100</v>
      </c>
      <c r="E83">
        <f>IF($A83&lt;&gt;"",INDEX(IDX_COMPO!$E:$E,SUMPRODUCT(--(IDX_COMPO!$A:$A=$A83),--($R83=IDX_COMPO!$F:$F),ROW(IDX_COMPO!$F:$F))),"")</f>
        <v>100</v>
      </c>
      <c r="F83" s="10">
        <f>IF($A83&lt;&gt;"",VLOOKUP($A83,STK_PRICES!$A$2:$L$593,12,0),"")</f>
        <v>12700</v>
      </c>
      <c r="G83" t="str">
        <f>IF($A83&lt;&gt;"",VLOOKUP($A83,STK_REF!$A$2:$H$593,7,0),"")</f>
        <v>VND</v>
      </c>
      <c r="H83">
        <f>IF($A83&lt;&gt;"",VLOOKUP($A83,STK_REF!$A$2:$H$593,8,0),"")</f>
        <v>1</v>
      </c>
      <c r="I83" s="8">
        <f>IF(A83&lt;&gt;"",IF(G83=Q83,1,IF(ISNA(VLOOKUP(G83&amp;Q83,CUR_RATES!$A$2:$F$524,4,0)),"",VLOOKUP(G83&amp;Q83,CUR_RATES!$A$2:$F$524,4,0))),"")</f>
        <v>1</v>
      </c>
      <c r="J83" s="10">
        <f t="shared" si="7"/>
        <v>12700</v>
      </c>
      <c r="K83" s="67">
        <f t="shared" si="8"/>
        <v>2000647052800</v>
      </c>
      <c r="L83" s="75">
        <v>41165</v>
      </c>
      <c r="M83" s="1">
        <v>0</v>
      </c>
      <c r="N83" s="8" t="str">
        <f t="shared" si="9"/>
        <v/>
      </c>
      <c r="O83" s="29" t="str">
        <f t="shared" si="6"/>
        <v/>
      </c>
      <c r="P83" s="29" t="str">
        <f>IF(A83&lt;&gt;"",IF(ISNA(VLOOKUP(A83,STK_DIV!$A$2:$E$1048576,4,0)),"",IF(L83&lt;&gt;VLOOKUP(A83,STK_DIV!$A$2:$E$1048576,5,0),"",VLOOKUP(A83,STK_DIV!$A$2:$E$1048576,4,0))),"")</f>
        <v/>
      </c>
      <c r="Q83" t="str">
        <f t="shared" si="10"/>
        <v>VND</v>
      </c>
      <c r="R83" s="2" t="str">
        <f>IF(INDEX(IDX_COMPO!$F:$F,ROW(IDX_COMPO!F83))=0,"",INDEX(IDX_COMPO!$F:$F,ROW(IDX_COMPO!F83)))</f>
        <v>VNXHNXPRVND</v>
      </c>
      <c r="S83" s="27">
        <f t="shared" si="11"/>
        <v>5.0659724133553082E-2</v>
      </c>
      <c r="Y83">
        <v>0</v>
      </c>
    </row>
    <row r="84" spans="1:25" x14ac:dyDescent="0.2">
      <c r="A84" s="2" t="str">
        <f>IF(INDEX(IDX_COMPO!$A:$A,ROW(IDX_COMPO!A84))=0,"",INDEX(IDX_COMPO!$A:$A,ROW(IDX_COMPO!A84)))</f>
        <v>PVR</v>
      </c>
      <c r="B84" t="str">
        <f>IF($A84&lt;&gt;"",VLOOKUP($A84,STK_REF!$A$2:$H$593,3,0),"")</f>
        <v>VNX Premier Recreation</v>
      </c>
      <c r="C84">
        <f>IF($A84&lt;&gt;"",INDEX(IDX_COMPO!$C:$C,SUMPRODUCT(--(IDX_COMPO!$A:$A=$A84),--($R84=IDX_COMPO!$F:$F),ROW(IDX_COMPO!$F:$F))),"")</f>
        <v>52356713</v>
      </c>
      <c r="D84">
        <f>IF($A84&lt;&gt;"",INDEX(IDX_COMPO!$D:$D,SUMPRODUCT(--(IDX_COMPO!$A:$A=$A84),--($R84=IDX_COMPO!$F:$F),ROW(IDX_COMPO!$F:$F))),"")</f>
        <v>100</v>
      </c>
      <c r="E84">
        <f>IF($A84&lt;&gt;"",INDEX(IDX_COMPO!$E:$E,SUMPRODUCT(--(IDX_COMPO!$A:$A=$A84),--($R84=IDX_COMPO!$F:$F),ROW(IDX_COMPO!$F:$F))),"")</f>
        <v>100</v>
      </c>
      <c r="F84" s="10">
        <f>IF($A84&lt;&gt;"",VLOOKUP($A84,STK_PRICES!$A$2:$L$593,12,0),"")</f>
        <v>3600</v>
      </c>
      <c r="G84" t="str">
        <f>IF($A84&lt;&gt;"",VLOOKUP($A84,STK_REF!$A$2:$H$593,7,0),"")</f>
        <v>VND</v>
      </c>
      <c r="H84">
        <f>IF($A84&lt;&gt;"",VLOOKUP($A84,STK_REF!$A$2:$H$593,8,0),"")</f>
        <v>1</v>
      </c>
      <c r="I84" s="8">
        <f>IF(A84&lt;&gt;"",IF(G84=Q84,1,IF(ISNA(VLOOKUP(G84&amp;Q84,CUR_RATES!$A$2:$F$524,4,0)),"",VLOOKUP(G84&amp;Q84,CUR_RATES!$A$2:$F$524,4,0))),"")</f>
        <v>1</v>
      </c>
      <c r="J84" s="10">
        <f t="shared" si="7"/>
        <v>3600</v>
      </c>
      <c r="K84" s="67">
        <f t="shared" si="8"/>
        <v>188484166800</v>
      </c>
      <c r="L84" s="75">
        <v>41165</v>
      </c>
      <c r="M84" s="1">
        <v>0</v>
      </c>
      <c r="N84" s="8" t="str">
        <f t="shared" si="9"/>
        <v/>
      </c>
      <c r="O84" s="29" t="str">
        <f t="shared" si="6"/>
        <v/>
      </c>
      <c r="P84" s="29" t="str">
        <f>IF(A84&lt;&gt;"",IF(ISNA(VLOOKUP(A84,STK_DIV!$A$2:$E$1048576,4,0)),"",IF(L84&lt;&gt;VLOOKUP(A84,STK_DIV!$A$2:$E$1048576,5,0),"",VLOOKUP(A84,STK_DIV!$A$2:$E$1048576,4,0))),"")</f>
        <v/>
      </c>
      <c r="Q84" t="str">
        <f t="shared" si="10"/>
        <v>VND</v>
      </c>
      <c r="R84" s="2" t="str">
        <f>IF(INDEX(IDX_COMPO!$F:$F,ROW(IDX_COMPO!F84))=0,"",INDEX(IDX_COMPO!$F:$F,ROW(IDX_COMPO!F84)))</f>
        <v>VNXHNXPRVND</v>
      </c>
      <c r="S84" s="27">
        <f t="shared" si="11"/>
        <v>4.77273384141743E-3</v>
      </c>
      <c r="Y84">
        <v>0</v>
      </c>
    </row>
    <row r="85" spans="1:25" x14ac:dyDescent="0.2">
      <c r="A85" s="2" t="str">
        <f>IF(INDEX(IDX_COMPO!$A:$A,ROW(IDX_COMPO!A85))=0,"",INDEX(IDX_COMPO!$A:$A,ROW(IDX_COMPO!A85)))</f>
        <v>PVG</v>
      </c>
      <c r="B85" t="str">
        <f>IF($A85&lt;&gt;"",VLOOKUP($A85,STK_REF!$A$2:$H$593,3,0),"")</f>
        <v>VNX Northern Gas</v>
      </c>
      <c r="C85">
        <f>IF($A85&lt;&gt;"",INDEX(IDX_COMPO!$C:$C,SUMPRODUCT(--(IDX_COMPO!$A:$A=$A85),--($R85=IDX_COMPO!$F:$F),ROW(IDX_COMPO!$F:$F))),"")</f>
        <v>23000000</v>
      </c>
      <c r="D85">
        <f>IF($A85&lt;&gt;"",INDEX(IDX_COMPO!$D:$D,SUMPRODUCT(--(IDX_COMPO!$A:$A=$A85),--($R85=IDX_COMPO!$F:$F),ROW(IDX_COMPO!$F:$F))),"")</f>
        <v>100</v>
      </c>
      <c r="E85">
        <f>IF($A85&lt;&gt;"",INDEX(IDX_COMPO!$E:$E,SUMPRODUCT(--(IDX_COMPO!$A:$A=$A85),--($R85=IDX_COMPO!$F:$F),ROW(IDX_COMPO!$F:$F))),"")</f>
        <v>100</v>
      </c>
      <c r="F85" s="10">
        <f>IF($A85&lt;&gt;"",VLOOKUP($A85,STK_PRICES!$A$2:$L$593,12,0),"")</f>
        <v>9300</v>
      </c>
      <c r="G85" t="str">
        <f>IF($A85&lt;&gt;"",VLOOKUP($A85,STK_REF!$A$2:$H$593,7,0),"")</f>
        <v>VND</v>
      </c>
      <c r="H85">
        <f>IF($A85&lt;&gt;"",VLOOKUP($A85,STK_REF!$A$2:$H$593,8,0),"")</f>
        <v>1</v>
      </c>
      <c r="I85" s="8">
        <f>IF(A85&lt;&gt;"",IF(G85=Q85,1,IF(ISNA(VLOOKUP(G85&amp;Q85,CUR_RATES!$A$2:$F$524,4,0)),"",VLOOKUP(G85&amp;Q85,CUR_RATES!$A$2:$F$524,4,0))),"")</f>
        <v>1</v>
      </c>
      <c r="J85" s="10">
        <f t="shared" si="7"/>
        <v>9300</v>
      </c>
      <c r="K85" s="67">
        <f t="shared" si="8"/>
        <v>213900000000</v>
      </c>
      <c r="L85" s="75">
        <v>41165</v>
      </c>
      <c r="M85" s="1">
        <v>0</v>
      </c>
      <c r="N85" s="8" t="str">
        <f t="shared" si="9"/>
        <v/>
      </c>
      <c r="O85" s="29" t="str">
        <f t="shared" si="6"/>
        <v/>
      </c>
      <c r="P85" s="29" t="str">
        <f>IF(A85&lt;&gt;"",IF(ISNA(VLOOKUP(A85,STK_DIV!$A$2:$E$1048576,4,0)),"",IF(L85&lt;&gt;VLOOKUP(A85,STK_DIV!$A$2:$E$1048576,5,0),"",VLOOKUP(A85,STK_DIV!$A$2:$E$1048576,4,0))),"")</f>
        <v/>
      </c>
      <c r="Q85" t="str">
        <f t="shared" si="10"/>
        <v>VND</v>
      </c>
      <c r="R85" s="2" t="str">
        <f>IF(INDEX(IDX_COMPO!$F:$F,ROW(IDX_COMPO!F85))=0,"",INDEX(IDX_COMPO!$F:$F,ROW(IDX_COMPO!F85)))</f>
        <v>VNXHNXPRVND</v>
      </c>
      <c r="S85" s="27">
        <f t="shared" si="11"/>
        <v>5.4163051783678428E-3</v>
      </c>
      <c r="Y85">
        <v>0</v>
      </c>
    </row>
    <row r="86" spans="1:25" x14ac:dyDescent="0.2">
      <c r="A86" s="2" t="str">
        <f>IF(INDEX(IDX_COMPO!$A:$A,ROW(IDX_COMPO!A86))=0,"",INDEX(IDX_COMPO!$A:$A,ROW(IDX_COMPO!A86)))</f>
        <v>PSI</v>
      </c>
      <c r="B86" t="str">
        <f>IF($A86&lt;&gt;"",VLOOKUP($A86,STK_REF!$A$2:$H$593,3,0),"")</f>
        <v>VNX Securities Incorporated</v>
      </c>
      <c r="C86">
        <f>IF($A86&lt;&gt;"",INDEX(IDX_COMPO!$C:$C,SUMPRODUCT(--(IDX_COMPO!$A:$A=$A86),--($R86=IDX_COMPO!$F:$F),ROW(IDX_COMPO!$F:$F))),"")</f>
        <v>15000000</v>
      </c>
      <c r="D86">
        <f>IF($A86&lt;&gt;"",INDEX(IDX_COMPO!$D:$D,SUMPRODUCT(--(IDX_COMPO!$A:$A=$A86),--($R86=IDX_COMPO!$F:$F),ROW(IDX_COMPO!$F:$F))),"")</f>
        <v>100</v>
      </c>
      <c r="E86">
        <f>IF($A86&lt;&gt;"",INDEX(IDX_COMPO!$E:$E,SUMPRODUCT(--(IDX_COMPO!$A:$A=$A86),--($R86=IDX_COMPO!$F:$F),ROW(IDX_COMPO!$F:$F))),"")</f>
        <v>100</v>
      </c>
      <c r="F86" s="10">
        <f>IF($A86&lt;&gt;"",VLOOKUP($A86,STK_PRICES!$A$2:$L$593,12,0),"")</f>
        <v>3600</v>
      </c>
      <c r="G86" t="str">
        <f>IF($A86&lt;&gt;"",VLOOKUP($A86,STK_REF!$A$2:$H$593,7,0),"")</f>
        <v>VND</v>
      </c>
      <c r="H86">
        <f>IF($A86&lt;&gt;"",VLOOKUP($A86,STK_REF!$A$2:$H$593,8,0),"")</f>
        <v>1</v>
      </c>
      <c r="I86" s="8">
        <f>IF(A86&lt;&gt;"",IF(G86=Q86,1,IF(ISNA(VLOOKUP(G86&amp;Q86,CUR_RATES!$A$2:$F$524,4,0)),"",VLOOKUP(G86&amp;Q86,CUR_RATES!$A$2:$F$524,4,0))),"")</f>
        <v>1</v>
      </c>
      <c r="J86" s="10">
        <f t="shared" si="7"/>
        <v>3600</v>
      </c>
      <c r="K86" s="67">
        <f t="shared" si="8"/>
        <v>54000000000</v>
      </c>
      <c r="L86" s="75">
        <v>41165</v>
      </c>
      <c r="M86" s="1">
        <v>0</v>
      </c>
      <c r="N86" s="8" t="str">
        <f t="shared" si="9"/>
        <v/>
      </c>
      <c r="O86" s="29" t="str">
        <f t="shared" si="6"/>
        <v/>
      </c>
      <c r="P86" s="29" t="str">
        <f>IF(A86&lt;&gt;"",IF(ISNA(VLOOKUP(A86,STK_DIV!$A$2:$E$1048576,4,0)),"",IF(L86&lt;&gt;VLOOKUP(A86,STK_DIV!$A$2:$E$1048576,5,0),"",VLOOKUP(A86,STK_DIV!$A$2:$E$1048576,4,0))),"")</f>
        <v/>
      </c>
      <c r="Q86" t="str">
        <f t="shared" si="10"/>
        <v>VND</v>
      </c>
      <c r="R86" s="2" t="str">
        <f>IF(INDEX(IDX_COMPO!$F:$F,ROW(IDX_COMPO!F86))=0,"",INDEX(IDX_COMPO!$F:$F,ROW(IDX_COMPO!F86)))</f>
        <v>VNXHNXPRVND</v>
      </c>
      <c r="S86" s="27">
        <f t="shared" si="11"/>
        <v>1.367370171256959E-3</v>
      </c>
      <c r="Y86">
        <v>0</v>
      </c>
    </row>
    <row r="87" spans="1:25" x14ac:dyDescent="0.2">
      <c r="A87" s="2" t="str">
        <f>IF(INDEX(IDX_COMPO!$A:$A,ROW(IDX_COMPO!A87))=0,"",INDEX(IDX_COMPO!$A:$A,ROW(IDX_COMPO!A87)))</f>
        <v>PFL</v>
      </c>
      <c r="B87" t="str">
        <f>IF($A87&lt;&gt;"",VLOOKUP($A87,STK_REF!$A$2:$H$593,3,0),"")</f>
        <v>Petro Dong Do Joint Stock Company</v>
      </c>
      <c r="C87">
        <f>IF($A87&lt;&gt;"",INDEX(IDX_COMPO!$C:$C,SUMPRODUCT(--(IDX_COMPO!$A:$A=$A87),--($R87=IDX_COMPO!$F:$F),ROW(IDX_COMPO!$F:$F))),"")</f>
        <v>18000000</v>
      </c>
      <c r="D87">
        <f>IF($A87&lt;&gt;"",INDEX(IDX_COMPO!$D:$D,SUMPRODUCT(--(IDX_COMPO!$A:$A=$A87),--($R87=IDX_COMPO!$F:$F),ROW(IDX_COMPO!$F:$F))),"")</f>
        <v>100</v>
      </c>
      <c r="E87">
        <f>IF($A87&lt;&gt;"",INDEX(IDX_COMPO!$E:$E,SUMPRODUCT(--(IDX_COMPO!$A:$A=$A87),--($R87=IDX_COMPO!$F:$F),ROW(IDX_COMPO!$F:$F))),"")</f>
        <v>100</v>
      </c>
      <c r="F87" s="10">
        <f>IF($A87&lt;&gt;"",VLOOKUP($A87,STK_PRICES!$A$2:$L$593,12,0),"")</f>
        <v>2700</v>
      </c>
      <c r="G87" t="str">
        <f>IF($A87&lt;&gt;"",VLOOKUP($A87,STK_REF!$A$2:$H$593,7,0),"")</f>
        <v>VND</v>
      </c>
      <c r="H87">
        <f>IF($A87&lt;&gt;"",VLOOKUP($A87,STK_REF!$A$2:$H$593,8,0),"")</f>
        <v>1</v>
      </c>
      <c r="I87" s="8">
        <f>IF(A87&lt;&gt;"",IF(G87=Q87,1,IF(ISNA(VLOOKUP(G87&amp;Q87,CUR_RATES!$A$2:$F$524,4,0)),"",VLOOKUP(G87&amp;Q87,CUR_RATES!$A$2:$F$524,4,0))),"")</f>
        <v>1</v>
      </c>
      <c r="J87" s="10">
        <f t="shared" si="7"/>
        <v>2700</v>
      </c>
      <c r="K87" s="67">
        <f t="shared" si="8"/>
        <v>48600000000</v>
      </c>
      <c r="L87" s="75">
        <v>41165</v>
      </c>
      <c r="M87" s="1">
        <v>0</v>
      </c>
      <c r="N87" s="8" t="str">
        <f t="shared" si="9"/>
        <v/>
      </c>
      <c r="O87" s="29" t="str">
        <f t="shared" si="6"/>
        <v/>
      </c>
      <c r="P87" s="29" t="str">
        <f>IF(A87&lt;&gt;"",IF(ISNA(VLOOKUP(A87,STK_DIV!$A$2:$E$1048576,4,0)),"",IF(L87&lt;&gt;VLOOKUP(A87,STK_DIV!$A$2:$E$1048576,5,0),"",VLOOKUP(A87,STK_DIV!$A$2:$E$1048576,4,0))),"")</f>
        <v/>
      </c>
      <c r="Q87" t="str">
        <f t="shared" si="10"/>
        <v>VND</v>
      </c>
      <c r="R87" s="2" t="str">
        <f>IF(INDEX(IDX_COMPO!$F:$F,ROW(IDX_COMPO!F87))=0,"",INDEX(IDX_COMPO!$F:$F,ROW(IDX_COMPO!F87)))</f>
        <v>VNXHNXPRVND</v>
      </c>
      <c r="S87" s="27">
        <f t="shared" si="11"/>
        <v>1.2306331541312632E-3</v>
      </c>
      <c r="Y87">
        <v>0</v>
      </c>
    </row>
    <row r="88" spans="1:25" x14ac:dyDescent="0.2">
      <c r="A88" s="2" t="str">
        <f>IF(INDEX(IDX_COMPO!$A:$A,ROW(IDX_COMPO!A88))=0,"",INDEX(IDX_COMPO!$A:$A,ROW(IDX_COMPO!A88)))</f>
        <v>PSG</v>
      </c>
      <c r="B88" t="str">
        <f>IF($A88&lt;&gt;"",VLOOKUP($A88,STK_REF!$A$2:$H$593,3,0),"")</f>
        <v>Saigon Petroleum Constrution And Investment JSC</v>
      </c>
      <c r="C88">
        <f>IF($A88&lt;&gt;"",INDEX(IDX_COMPO!$C:$C,SUMPRODUCT(--(IDX_COMPO!$A:$A=$A88),--($R88=IDX_COMPO!$F:$F),ROW(IDX_COMPO!$F:$F))),"")</f>
        <v>250000000</v>
      </c>
      <c r="D88">
        <f>IF($A88&lt;&gt;"",INDEX(IDX_COMPO!$D:$D,SUMPRODUCT(--(IDX_COMPO!$A:$A=$A88),--($R88=IDX_COMPO!$F:$F),ROW(IDX_COMPO!$F:$F))),"")</f>
        <v>100</v>
      </c>
      <c r="E88">
        <f>IF($A88&lt;&gt;"",INDEX(IDX_COMPO!$E:$E,SUMPRODUCT(--(IDX_COMPO!$A:$A=$A88),--($R88=IDX_COMPO!$F:$F),ROW(IDX_COMPO!$F:$F))),"")</f>
        <v>100</v>
      </c>
      <c r="F88" s="10">
        <f>IF($A88&lt;&gt;"",VLOOKUP($A88,STK_PRICES!$A$2:$L$593,12,0),"")</f>
        <v>1300</v>
      </c>
      <c r="G88" t="str">
        <f>IF($A88&lt;&gt;"",VLOOKUP($A88,STK_REF!$A$2:$H$593,7,0),"")</f>
        <v>VND</v>
      </c>
      <c r="H88">
        <f>IF($A88&lt;&gt;"",VLOOKUP($A88,STK_REF!$A$2:$H$593,8,0),"")</f>
        <v>1</v>
      </c>
      <c r="I88" s="8">
        <f>IF(A88&lt;&gt;"",IF(G88=Q88,1,IF(ISNA(VLOOKUP(G88&amp;Q88,CUR_RATES!$A$2:$F$524,4,0)),"",VLOOKUP(G88&amp;Q88,CUR_RATES!$A$2:$F$524,4,0))),"")</f>
        <v>1</v>
      </c>
      <c r="J88" s="10">
        <f t="shared" si="7"/>
        <v>1300</v>
      </c>
      <c r="K88" s="67">
        <f t="shared" si="8"/>
        <v>325000000000</v>
      </c>
      <c r="L88" s="75">
        <v>41165</v>
      </c>
      <c r="M88" s="1">
        <v>0</v>
      </c>
      <c r="N88" s="8" t="str">
        <f t="shared" si="9"/>
        <v/>
      </c>
      <c r="O88" s="29" t="str">
        <f t="shared" si="6"/>
        <v/>
      </c>
      <c r="P88" s="29" t="str">
        <f>IF(A88&lt;&gt;"",IF(ISNA(VLOOKUP(A88,STK_DIV!$A$2:$E$1048576,4,0)),"",IF(L88&lt;&gt;VLOOKUP(A88,STK_DIV!$A$2:$E$1048576,5,0),"",VLOOKUP(A88,STK_DIV!$A$2:$E$1048576,4,0))),"")</f>
        <v/>
      </c>
      <c r="Q88" t="str">
        <f t="shared" si="10"/>
        <v>VND</v>
      </c>
      <c r="R88" s="2" t="str">
        <f>IF(INDEX(IDX_COMPO!$F:$F,ROW(IDX_COMPO!F88))=0,"",INDEX(IDX_COMPO!$F:$F,ROW(IDX_COMPO!F88)))</f>
        <v>VNXHNXPRVND</v>
      </c>
      <c r="S88" s="27">
        <f t="shared" si="11"/>
        <v>8.229542697379846E-3</v>
      </c>
      <c r="Y88">
        <v>0</v>
      </c>
    </row>
    <row r="89" spans="1:25" x14ac:dyDescent="0.2">
      <c r="A89" s="2" t="str">
        <f>IF(INDEX(IDX_COMPO!$A:$A,ROW(IDX_COMPO!A89))=0,"",INDEX(IDX_COMPO!$A:$A,ROW(IDX_COMPO!A89)))</f>
        <v>PVE</v>
      </c>
      <c r="B89" t="str">
        <f>IF($A89&lt;&gt;"",VLOOKUP($A89,STK_REF!$A$2:$H$593,3,0),"")</f>
        <v>VNX Investment Consultancy and Engineering</v>
      </c>
      <c r="C89">
        <f>IF($A89&lt;&gt;"",INDEX(IDX_COMPO!$C:$C,SUMPRODUCT(--(IDX_COMPO!$A:$A=$A89),--($R89=IDX_COMPO!$F:$F),ROW(IDX_COMPO!$F:$F))),"")</f>
        <v>18870000</v>
      </c>
      <c r="D89">
        <f>IF($A89&lt;&gt;"",INDEX(IDX_COMPO!$D:$D,SUMPRODUCT(--(IDX_COMPO!$A:$A=$A89),--($R89=IDX_COMPO!$F:$F),ROW(IDX_COMPO!$F:$F))),"")</f>
        <v>100</v>
      </c>
      <c r="E89">
        <f>IF($A89&lt;&gt;"",INDEX(IDX_COMPO!$E:$E,SUMPRODUCT(--(IDX_COMPO!$A:$A=$A89),--($R89=IDX_COMPO!$F:$F),ROW(IDX_COMPO!$F:$F))),"")</f>
        <v>100</v>
      </c>
      <c r="F89" s="10">
        <f>IF($A89&lt;&gt;"",VLOOKUP($A89,STK_PRICES!$A$2:$L$593,12,0),"")</f>
        <v>9600</v>
      </c>
      <c r="G89" t="str">
        <f>IF($A89&lt;&gt;"",VLOOKUP($A89,STK_REF!$A$2:$H$593,7,0),"")</f>
        <v>VND</v>
      </c>
      <c r="H89">
        <f>IF($A89&lt;&gt;"",VLOOKUP($A89,STK_REF!$A$2:$H$593,8,0),"")</f>
        <v>1</v>
      </c>
      <c r="I89" s="8">
        <f>IF(A89&lt;&gt;"",IF(G89=Q89,1,IF(ISNA(VLOOKUP(G89&amp;Q89,CUR_RATES!$A$2:$F$524,4,0)),"",VLOOKUP(G89&amp;Q89,CUR_RATES!$A$2:$F$524,4,0))),"")</f>
        <v>1</v>
      </c>
      <c r="J89" s="10">
        <f t="shared" si="7"/>
        <v>9600</v>
      </c>
      <c r="K89" s="67">
        <f t="shared" si="8"/>
        <v>181152000000</v>
      </c>
      <c r="L89" s="75">
        <v>41165</v>
      </c>
      <c r="M89" s="1">
        <v>0</v>
      </c>
      <c r="N89" s="8" t="str">
        <f t="shared" si="9"/>
        <v/>
      </c>
      <c r="O89" s="29" t="str">
        <f t="shared" si="6"/>
        <v/>
      </c>
      <c r="P89" s="29" t="str">
        <f>IF(A89&lt;&gt;"",IF(ISNA(VLOOKUP(A89,STK_DIV!$A$2:$E$1048576,4,0)),"",IF(L89&lt;&gt;VLOOKUP(A89,STK_DIV!$A$2:$E$1048576,5,0),"",VLOOKUP(A89,STK_DIV!$A$2:$E$1048576,4,0))),"")</f>
        <v/>
      </c>
      <c r="Q89" t="str">
        <f t="shared" si="10"/>
        <v>VND</v>
      </c>
      <c r="R89" s="2" t="str">
        <f>IF(INDEX(IDX_COMPO!$F:$F,ROW(IDX_COMPO!F89))=0,"",INDEX(IDX_COMPO!$F:$F,ROW(IDX_COMPO!F89)))</f>
        <v>VNXHNXPRVND</v>
      </c>
      <c r="S89" s="27">
        <f t="shared" si="11"/>
        <v>4.5870711345100115E-3</v>
      </c>
      <c r="Y89">
        <v>0</v>
      </c>
    </row>
    <row r="90" spans="1:25" x14ac:dyDescent="0.2">
      <c r="A90" s="2" t="str">
        <f>IF(INDEX(IDX_COMPO!$A:$A,ROW(IDX_COMPO!A90))=0,"",INDEX(IDX_COMPO!$A:$A,ROW(IDX_COMPO!A90)))</f>
        <v>PPS</v>
      </c>
      <c r="B90" t="str">
        <f>IF($A90&lt;&gt;"",VLOOKUP($A90,STK_REF!$A$2:$H$593,3,0),"")</f>
        <v>Petro Vietnam Power Services Joint Stock Company</v>
      </c>
      <c r="C90">
        <f>IF($A90&lt;&gt;"",INDEX(IDX_COMPO!$C:$C,SUMPRODUCT(--(IDX_COMPO!$A:$A=$A90),--($R90=IDX_COMPO!$F:$F),ROW(IDX_COMPO!$F:$F))),"")</f>
        <v>35000000</v>
      </c>
      <c r="D90">
        <f>IF($A90&lt;&gt;"",INDEX(IDX_COMPO!$D:$D,SUMPRODUCT(--(IDX_COMPO!$A:$A=$A90),--($R90=IDX_COMPO!$F:$F),ROW(IDX_COMPO!$F:$F))),"")</f>
        <v>100</v>
      </c>
      <c r="E90">
        <f>IF($A90&lt;&gt;"",INDEX(IDX_COMPO!$E:$E,SUMPRODUCT(--(IDX_COMPO!$A:$A=$A90),--($R90=IDX_COMPO!$F:$F),ROW(IDX_COMPO!$F:$F))),"")</f>
        <v>100</v>
      </c>
      <c r="F90" s="10">
        <f>IF($A90&lt;&gt;"",VLOOKUP($A90,STK_PRICES!$A$2:$L$593,12,0),"")</f>
        <v>7200</v>
      </c>
      <c r="G90" t="str">
        <f>IF($A90&lt;&gt;"",VLOOKUP($A90,STK_REF!$A$2:$H$593,7,0),"")</f>
        <v>VND</v>
      </c>
      <c r="H90">
        <f>IF($A90&lt;&gt;"",VLOOKUP($A90,STK_REF!$A$2:$H$593,8,0),"")</f>
        <v>1</v>
      </c>
      <c r="I90" s="8">
        <f>IF(A90&lt;&gt;"",IF(G90=Q90,1,IF(ISNA(VLOOKUP(G90&amp;Q90,CUR_RATES!$A$2:$F$524,4,0)),"",VLOOKUP(G90&amp;Q90,CUR_RATES!$A$2:$F$524,4,0))),"")</f>
        <v>1</v>
      </c>
      <c r="J90" s="10">
        <f t="shared" si="7"/>
        <v>7200</v>
      </c>
      <c r="K90" s="67">
        <f t="shared" si="8"/>
        <v>252000000000</v>
      </c>
      <c r="L90" s="75">
        <v>41165</v>
      </c>
      <c r="M90" s="1">
        <v>0</v>
      </c>
      <c r="N90" s="8" t="str">
        <f t="shared" si="9"/>
        <v/>
      </c>
      <c r="O90" s="29" t="str">
        <f t="shared" si="6"/>
        <v/>
      </c>
      <c r="P90" s="29" t="str">
        <f>IF(A90&lt;&gt;"",IF(ISNA(VLOOKUP(A90,STK_DIV!$A$2:$E$1048576,4,0)),"",IF(L90&lt;&gt;VLOOKUP(A90,STK_DIV!$A$2:$E$1048576,5,0),"",VLOOKUP(A90,STK_DIV!$A$2:$E$1048576,4,0))),"")</f>
        <v/>
      </c>
      <c r="Q90" t="str">
        <f t="shared" si="10"/>
        <v>VND</v>
      </c>
      <c r="R90" s="2" t="str">
        <f>IF(INDEX(IDX_COMPO!$F:$F,ROW(IDX_COMPO!F90))=0,"",INDEX(IDX_COMPO!$F:$F,ROW(IDX_COMPO!F90)))</f>
        <v>VNXHNXPRVND</v>
      </c>
      <c r="S90" s="27">
        <f t="shared" si="11"/>
        <v>6.3810607991991418E-3</v>
      </c>
      <c r="Y90">
        <v>0</v>
      </c>
    </row>
    <row r="91" spans="1:25" x14ac:dyDescent="0.2">
      <c r="A91" s="2" t="str">
        <f>IF(INDEX(IDX_COMPO!$A:$A,ROW(IDX_COMPO!A91))=0,"",INDEX(IDX_COMPO!$A:$A,ROW(IDX_COMPO!A91)))</f>
        <v>PCG</v>
      </c>
      <c r="B91" t="str">
        <f>IF($A91&lt;&gt;"",VLOOKUP($A91,STK_REF!$A$2:$H$593,3,0),"")</f>
        <v>PetroVietnam Gas City Investment and Development JSC</v>
      </c>
      <c r="C91">
        <f>IF($A91&lt;&gt;"",INDEX(IDX_COMPO!$C:$C,SUMPRODUCT(--(IDX_COMPO!$A:$A=$A91),--($R91=IDX_COMPO!$F:$F),ROW(IDX_COMPO!$F:$F))),"")</f>
        <v>297802094</v>
      </c>
      <c r="D91">
        <f>IF($A91&lt;&gt;"",INDEX(IDX_COMPO!$D:$D,SUMPRODUCT(--(IDX_COMPO!$A:$A=$A91),--($R91=IDX_COMPO!$F:$F),ROW(IDX_COMPO!$F:$F))),"")</f>
        <v>100</v>
      </c>
      <c r="E91">
        <f>IF($A91&lt;&gt;"",INDEX(IDX_COMPO!$E:$E,SUMPRODUCT(--(IDX_COMPO!$A:$A=$A91),--($R91=IDX_COMPO!$F:$F),ROW(IDX_COMPO!$F:$F))),"")</f>
        <v>100</v>
      </c>
      <c r="F91" s="10">
        <f>IF($A91&lt;&gt;"",VLOOKUP($A91,STK_PRICES!$A$2:$L$593,12,0),"")</f>
        <v>6100</v>
      </c>
      <c r="G91" t="str">
        <f>IF($A91&lt;&gt;"",VLOOKUP($A91,STK_REF!$A$2:$H$593,7,0),"")</f>
        <v>VND</v>
      </c>
      <c r="H91">
        <f>IF($A91&lt;&gt;"",VLOOKUP($A91,STK_REF!$A$2:$H$593,8,0),"")</f>
        <v>1</v>
      </c>
      <c r="I91" s="8">
        <f>IF(A91&lt;&gt;"",IF(G91=Q91,1,IF(ISNA(VLOOKUP(G91&amp;Q91,CUR_RATES!$A$2:$F$524,4,0)),"",VLOOKUP(G91&amp;Q91,CUR_RATES!$A$2:$F$524,4,0))),"")</f>
        <v>1</v>
      </c>
      <c r="J91" s="10">
        <f t="shared" si="7"/>
        <v>6100</v>
      </c>
      <c r="K91" s="67">
        <f t="shared" si="8"/>
        <v>1816592773400</v>
      </c>
      <c r="L91" s="75">
        <v>41165</v>
      </c>
      <c r="M91" s="1">
        <v>0</v>
      </c>
      <c r="N91" s="8" t="str">
        <f t="shared" si="9"/>
        <v/>
      </c>
      <c r="O91" s="29" t="str">
        <f t="shared" si="6"/>
        <v/>
      </c>
      <c r="P91" s="29" t="str">
        <f>IF(A91&lt;&gt;"",IF(ISNA(VLOOKUP(A91,STK_DIV!$A$2:$E$1048576,4,0)),"",IF(L91&lt;&gt;VLOOKUP(A91,STK_DIV!$A$2:$E$1048576,5,0),"",VLOOKUP(A91,STK_DIV!$A$2:$E$1048576,4,0))),"")</f>
        <v/>
      </c>
      <c r="Q91" t="str">
        <f t="shared" si="10"/>
        <v>VND</v>
      </c>
      <c r="R91" s="2" t="str">
        <f>IF(INDEX(IDX_COMPO!$F:$F,ROW(IDX_COMPO!F91))=0,"",INDEX(IDX_COMPO!$F:$F,ROW(IDX_COMPO!F91)))</f>
        <v>VNXHNXPRVND</v>
      </c>
      <c r="S91" s="27">
        <f t="shared" si="11"/>
        <v>4.5999162438298373E-2</v>
      </c>
      <c r="Y91">
        <v>0</v>
      </c>
    </row>
    <row r="92" spans="1:25" x14ac:dyDescent="0.2">
      <c r="A92" s="2" t="str">
        <f>IF(INDEX(IDX_COMPO!$A:$A,ROW(IDX_COMPO!A92))=0,"",INDEX(IDX_COMPO!$A:$A,ROW(IDX_COMPO!A92)))</f>
        <v>PCT</v>
      </c>
      <c r="B92" t="str">
        <f>IF($A92&lt;&gt;"",VLOOKUP($A92,STK_REF!$A$2:$H$593,3,0),"")</f>
        <v>Cuu Long Petro Gas Service Transportation</v>
      </c>
      <c r="C92">
        <f>IF($A92&lt;&gt;"",INDEX(IDX_COMPO!$C:$C,SUMPRODUCT(--(IDX_COMPO!$A:$A=$A92),--($R92=IDX_COMPO!$F:$F),ROW(IDX_COMPO!$F:$F))),"")</f>
        <v>38000000</v>
      </c>
      <c r="D92">
        <f>IF($A92&lt;&gt;"",INDEX(IDX_COMPO!$D:$D,SUMPRODUCT(--(IDX_COMPO!$A:$A=$A92),--($R92=IDX_COMPO!$F:$F),ROW(IDX_COMPO!$F:$F))),"")</f>
        <v>100</v>
      </c>
      <c r="E92">
        <f>IF($A92&lt;&gt;"",INDEX(IDX_COMPO!$E:$E,SUMPRODUCT(--(IDX_COMPO!$A:$A=$A92),--($R92=IDX_COMPO!$F:$F),ROW(IDX_COMPO!$F:$F))),"")</f>
        <v>100</v>
      </c>
      <c r="F92" s="10">
        <f>IF($A92&lt;&gt;"",VLOOKUP($A92,STK_PRICES!$A$2:$L$593,12,0),"")</f>
        <v>2900</v>
      </c>
      <c r="G92" t="str">
        <f>IF($A92&lt;&gt;"",VLOOKUP($A92,STK_REF!$A$2:$H$593,7,0),"")</f>
        <v>VND</v>
      </c>
      <c r="H92">
        <f>IF($A92&lt;&gt;"",VLOOKUP($A92,STK_REF!$A$2:$H$593,8,0),"")</f>
        <v>1</v>
      </c>
      <c r="I92" s="8">
        <f>IF(A92&lt;&gt;"",IF(G92=Q92,1,IF(ISNA(VLOOKUP(G92&amp;Q92,CUR_RATES!$A$2:$F$524,4,0)),"",VLOOKUP(G92&amp;Q92,CUR_RATES!$A$2:$F$524,4,0))),"")</f>
        <v>1</v>
      </c>
      <c r="J92" s="10">
        <f t="shared" si="7"/>
        <v>2900</v>
      </c>
      <c r="K92" s="67">
        <f t="shared" si="8"/>
        <v>110200000000</v>
      </c>
      <c r="L92" s="75">
        <v>41165</v>
      </c>
      <c r="M92" s="1">
        <v>0</v>
      </c>
      <c r="N92" s="8" t="str">
        <f t="shared" si="9"/>
        <v/>
      </c>
      <c r="O92" s="29" t="str">
        <f t="shared" si="6"/>
        <v/>
      </c>
      <c r="P92" s="29" t="str">
        <f>IF(A92&lt;&gt;"",IF(ISNA(VLOOKUP(A92,STK_DIV!$A$2:$E$1048576,4,0)),"",IF(L92&lt;&gt;VLOOKUP(A92,STK_DIV!$A$2:$E$1048576,5,0),"",VLOOKUP(A92,STK_DIV!$A$2:$E$1048576,4,0))),"")</f>
        <v/>
      </c>
      <c r="Q92" t="str">
        <f t="shared" si="10"/>
        <v>VND</v>
      </c>
      <c r="R92" s="2" t="str">
        <f>IF(INDEX(IDX_COMPO!$F:$F,ROW(IDX_COMPO!F92))=0,"",INDEX(IDX_COMPO!$F:$F,ROW(IDX_COMPO!F92)))</f>
        <v>VNXHNXPRVND</v>
      </c>
      <c r="S92" s="27">
        <f t="shared" si="11"/>
        <v>2.7904480161577202E-3</v>
      </c>
      <c r="Y92">
        <v>0</v>
      </c>
    </row>
    <row r="93" spans="1:25" x14ac:dyDescent="0.2">
      <c r="A93" s="2" t="str">
        <f>IF(INDEX(IDX_COMPO!$A:$A,ROW(IDX_COMPO!A93))=0,"",INDEX(IDX_COMPO!$A:$A,ROW(IDX_COMPO!A93)))</f>
        <v>PPE</v>
      </c>
      <c r="B93" t="str">
        <f>IF($A93&lt;&gt;"",VLOOKUP($A93,STK_REF!$A$2:$H$593,3,0),"")</f>
        <v>PetroVietnam Power Engineering Consulting JSC</v>
      </c>
      <c r="C93">
        <f>IF($A93&lt;&gt;"",INDEX(IDX_COMPO!$C:$C,SUMPRODUCT(--(IDX_COMPO!$A:$A=$A93),--($R93=IDX_COMPO!$F:$F),ROW(IDX_COMPO!$F:$F))),"")</f>
        <v>27719850</v>
      </c>
      <c r="D93">
        <f>IF($A93&lt;&gt;"",INDEX(IDX_COMPO!$D:$D,SUMPRODUCT(--(IDX_COMPO!$A:$A=$A93),--($R93=IDX_COMPO!$F:$F),ROW(IDX_COMPO!$F:$F))),"")</f>
        <v>100</v>
      </c>
      <c r="E93">
        <f>IF($A93&lt;&gt;"",INDEX(IDX_COMPO!$E:$E,SUMPRODUCT(--(IDX_COMPO!$A:$A=$A93),--($R93=IDX_COMPO!$F:$F),ROW(IDX_COMPO!$F:$F))),"")</f>
        <v>100</v>
      </c>
      <c r="F93" s="10">
        <f>IF($A93&lt;&gt;"",VLOOKUP($A93,STK_PRICES!$A$2:$L$593,12,0),"")</f>
        <v>35400</v>
      </c>
      <c r="G93" t="str">
        <f>IF($A93&lt;&gt;"",VLOOKUP($A93,STK_REF!$A$2:$H$593,7,0),"")</f>
        <v>VND</v>
      </c>
      <c r="H93">
        <f>IF($A93&lt;&gt;"",VLOOKUP($A93,STK_REF!$A$2:$H$593,8,0),"")</f>
        <v>1</v>
      </c>
      <c r="I93" s="8">
        <f>IF(A93&lt;&gt;"",IF(G93=Q93,1,IF(ISNA(VLOOKUP(G93&amp;Q93,CUR_RATES!$A$2:$F$524,4,0)),"",VLOOKUP(G93&amp;Q93,CUR_RATES!$A$2:$F$524,4,0))),"")</f>
        <v>1</v>
      </c>
      <c r="J93" s="10">
        <f t="shared" si="7"/>
        <v>35400</v>
      </c>
      <c r="K93" s="67">
        <f t="shared" si="8"/>
        <v>981282690000</v>
      </c>
      <c r="L93" s="75">
        <v>41165</v>
      </c>
      <c r="M93" s="1">
        <v>0</v>
      </c>
      <c r="N93" s="8" t="str">
        <f t="shared" si="9"/>
        <v/>
      </c>
      <c r="O93" s="29" t="str">
        <f t="shared" si="6"/>
        <v/>
      </c>
      <c r="P93" s="29" t="str">
        <f>IF(A93&lt;&gt;"",IF(ISNA(VLOOKUP(A93,STK_DIV!$A$2:$E$1048576,4,0)),"",IF(L93&lt;&gt;VLOOKUP(A93,STK_DIV!$A$2:$E$1048576,5,0),"",VLOOKUP(A93,STK_DIV!$A$2:$E$1048576,4,0))),"")</f>
        <v/>
      </c>
      <c r="Q93" t="str">
        <f t="shared" si="10"/>
        <v>VND</v>
      </c>
      <c r="R93" s="2" t="str">
        <f>IF(INDEX(IDX_COMPO!$F:$F,ROW(IDX_COMPO!F93))=0,"",INDEX(IDX_COMPO!$F:$F,ROW(IDX_COMPO!F93)))</f>
        <v>VNXHNXPRVND</v>
      </c>
      <c r="S93" s="27">
        <f t="shared" si="11"/>
        <v>2.4847716294014617E-2</v>
      </c>
      <c r="Y93">
        <v>0</v>
      </c>
    </row>
    <row r="94" spans="1:25" x14ac:dyDescent="0.2">
      <c r="A94" s="2" t="str">
        <f>IF(INDEX(IDX_COMPO!$A:$A,ROW(IDX_COMPO!A94))=0,"",INDEX(IDX_COMPO!$A:$A,ROW(IDX_COMPO!A94)))</f>
        <v>DPM</v>
      </c>
      <c r="B94" t="str">
        <f>IF($A94&lt;&gt;"",VLOOKUP($A94,STK_REF!$A$2:$H$593,3,0),"")</f>
        <v>VNX Fertilizer and Chemicals</v>
      </c>
      <c r="C94">
        <f>IF($A94&lt;&gt;"",INDEX(IDX_COMPO!$C:$C,SUMPRODUCT(--(IDX_COMPO!$A:$A=$A94),--($R94=IDX_COMPO!$F:$F),ROW(IDX_COMPO!$F:$F))),"")</f>
        <v>377647740</v>
      </c>
      <c r="D94">
        <f>IF($A94&lt;&gt;"",INDEX(IDX_COMPO!$D:$D,SUMPRODUCT(--(IDX_COMPO!$A:$A=$A94),--($R94=IDX_COMPO!$F:$F),ROW(IDX_COMPO!$F:$F))),"")</f>
        <v>100</v>
      </c>
      <c r="E94">
        <f>IF($A94&lt;&gt;"",INDEX(IDX_COMPO!$E:$E,SUMPRODUCT(--(IDX_COMPO!$A:$A=$A94),--($R94=IDX_COMPO!$F:$F),ROW(IDX_COMPO!$F:$F))),"")</f>
        <v>100</v>
      </c>
      <c r="F94" s="10">
        <f>IF($A94&lt;&gt;"",VLOOKUP($A94,STK_PRICES!$A$2:$L$593,12,0),"")</f>
        <v>39200</v>
      </c>
      <c r="G94" t="str">
        <f>IF($A94&lt;&gt;"",VLOOKUP($A94,STK_REF!$A$2:$H$593,7,0),"")</f>
        <v>VND</v>
      </c>
      <c r="H94">
        <f>IF($A94&lt;&gt;"",VLOOKUP($A94,STK_REF!$A$2:$H$593,8,0),"")</f>
        <v>1</v>
      </c>
      <c r="I94" s="8">
        <f>IF(A94&lt;&gt;"",IF(G94=Q94,1,IF(ISNA(VLOOKUP(G94&amp;Q94,CUR_RATES!$A$2:$F$524,4,0)),"",VLOOKUP(G94&amp;Q94,CUR_RATES!$A$2:$F$524,4,0))),"")</f>
        <v>1</v>
      </c>
      <c r="J94" s="10">
        <f t="shared" si="7"/>
        <v>39200</v>
      </c>
      <c r="K94" s="67">
        <f t="shared" si="8"/>
        <v>14803791408000</v>
      </c>
      <c r="L94" s="75">
        <v>41165</v>
      </c>
      <c r="M94" s="1">
        <v>0</v>
      </c>
      <c r="N94" s="8">
        <f t="shared" si="9"/>
        <v>528706836000</v>
      </c>
      <c r="O94" s="29">
        <f t="shared" si="6"/>
        <v>1400</v>
      </c>
      <c r="P94" s="29">
        <f>IF(A94&lt;&gt;"",IF(ISNA(VLOOKUP(A94,STK_DIV!$A$2:$E$1048576,4,0)),"",IF(L94&lt;&gt;VLOOKUP(A94,STK_DIV!$A$2:$E$1048576,5,0),"",VLOOKUP(A94,STK_DIV!$A$2:$E$1048576,4,0))),"")</f>
        <v>1400</v>
      </c>
      <c r="Q94" t="str">
        <f t="shared" si="10"/>
        <v>VND</v>
      </c>
      <c r="R94" s="2" t="str">
        <f>IF(INDEX(IDX_COMPO!$F:$F,ROW(IDX_COMPO!F94))=0,"",INDEX(IDX_COMPO!$F:$F,ROW(IDX_COMPO!F94)))</f>
        <v>VNXBMPRVND</v>
      </c>
      <c r="S94" s="27">
        <f t="shared" si="11"/>
        <v>0.37485671838535661</v>
      </c>
      <c r="Y94">
        <v>0</v>
      </c>
    </row>
    <row r="95" spans="1:25" x14ac:dyDescent="0.2">
      <c r="A95" s="2" t="str">
        <f>IF(INDEX(IDX_COMPO!$A:$A,ROW(IDX_COMPO!A95))=0,"",INDEX(IDX_COMPO!$A:$A,ROW(IDX_COMPO!A95)))</f>
        <v>PET</v>
      </c>
      <c r="B95" t="str">
        <f>IF($A95&lt;&gt;"",VLOOKUP($A95,STK_REF!$A$2:$H$593,3,0),"")</f>
        <v>VNX General Services</v>
      </c>
      <c r="C95">
        <f>IF($A95&lt;&gt;"",INDEX(IDX_COMPO!$C:$C,SUMPRODUCT(--(IDX_COMPO!$A:$A=$A95),--($R95=IDX_COMPO!$F:$F),ROW(IDX_COMPO!$F:$F))),"")</f>
        <v>70371300</v>
      </c>
      <c r="D95">
        <f>IF($A95&lt;&gt;"",INDEX(IDX_COMPO!$D:$D,SUMPRODUCT(--(IDX_COMPO!$A:$A=$A95),--($R95=IDX_COMPO!$F:$F),ROW(IDX_COMPO!$F:$F))),"")</f>
        <v>100</v>
      </c>
      <c r="E95">
        <f>IF($A95&lt;&gt;"",INDEX(IDX_COMPO!$E:$E,SUMPRODUCT(--(IDX_COMPO!$A:$A=$A95),--($R95=IDX_COMPO!$F:$F),ROW(IDX_COMPO!$F:$F))),"")</f>
        <v>100</v>
      </c>
      <c r="F95" s="10">
        <f>IF($A95&lt;&gt;"",VLOOKUP($A95,STK_PRICES!$A$2:$L$593,12,0),"")</f>
        <v>11200</v>
      </c>
      <c r="G95" t="str">
        <f>IF($A95&lt;&gt;"",VLOOKUP($A95,STK_REF!$A$2:$H$593,7,0),"")</f>
        <v>VND</v>
      </c>
      <c r="H95">
        <f>IF($A95&lt;&gt;"",VLOOKUP($A95,STK_REF!$A$2:$H$593,8,0),"")</f>
        <v>1</v>
      </c>
      <c r="I95" s="8">
        <f>IF(A95&lt;&gt;"",IF(G95=Q95,1,IF(ISNA(VLOOKUP(G95&amp;Q95,CUR_RATES!$A$2:$F$524,4,0)),"",VLOOKUP(G95&amp;Q95,CUR_RATES!$A$2:$F$524,4,0))),"")</f>
        <v>1</v>
      </c>
      <c r="J95" s="10">
        <f t="shared" si="7"/>
        <v>11200</v>
      </c>
      <c r="K95" s="67">
        <f t="shared" si="8"/>
        <v>788158560000</v>
      </c>
      <c r="L95" s="75">
        <v>41165</v>
      </c>
      <c r="M95" s="1">
        <v>0</v>
      </c>
      <c r="N95" s="8">
        <f t="shared" si="9"/>
        <v>105556950000</v>
      </c>
      <c r="O95" s="29">
        <f t="shared" si="6"/>
        <v>1500</v>
      </c>
      <c r="P95" s="29">
        <f>IF(A95&lt;&gt;"",IF(ISNA(VLOOKUP(A95,STK_DIV!$A$2:$E$1048576,4,0)),"",IF(L95&lt;&gt;VLOOKUP(A95,STK_DIV!$A$2:$E$1048576,5,0),"",VLOOKUP(A95,STK_DIV!$A$2:$E$1048576,4,0))),"")</f>
        <v>1500</v>
      </c>
      <c r="Q95" t="str">
        <f t="shared" si="10"/>
        <v>VND</v>
      </c>
      <c r="R95" s="2" t="str">
        <f>IF(INDEX(IDX_COMPO!$F:$F,ROW(IDX_COMPO!F95))=0,"",INDEX(IDX_COMPO!$F:$F,ROW(IDX_COMPO!F95)))</f>
        <v>VNXCSPRVND</v>
      </c>
      <c r="S95" s="27">
        <f t="shared" si="11"/>
        <v>1.9957490836385892E-2</v>
      </c>
      <c r="Y95">
        <v>0</v>
      </c>
    </row>
    <row r="96" spans="1:25" x14ac:dyDescent="0.2">
      <c r="A96" s="2" t="str">
        <f>IF(INDEX(IDX_COMPO!$A:$A,ROW(IDX_COMPO!A96))=0,"",INDEX(IDX_COMPO!$A:$A,ROW(IDX_COMPO!A96)))</f>
        <v>PVF</v>
      </c>
      <c r="B96" t="str">
        <f>IF($A96&lt;&gt;"",VLOOKUP($A96,STK_REF!$A$2:$H$593,3,0),"")</f>
        <v>VNX Finance</v>
      </c>
      <c r="C96">
        <f>IF($A96&lt;&gt;"",INDEX(IDX_COMPO!$C:$C,SUMPRODUCT(--(IDX_COMPO!$A:$A=$A96),--($R96=IDX_COMPO!$F:$F),ROW(IDX_COMPO!$F:$F))),"")</f>
        <v>100000000</v>
      </c>
      <c r="D96">
        <f>IF($A96&lt;&gt;"",INDEX(IDX_COMPO!$D:$D,SUMPRODUCT(--(IDX_COMPO!$A:$A=$A96),--($R96=IDX_COMPO!$F:$F),ROW(IDX_COMPO!$F:$F))),"")</f>
        <v>100</v>
      </c>
      <c r="E96">
        <f>IF($A96&lt;&gt;"",INDEX(IDX_COMPO!$E:$E,SUMPRODUCT(--(IDX_COMPO!$A:$A=$A96),--($R96=IDX_COMPO!$F:$F),ROW(IDX_COMPO!$F:$F))),"")</f>
        <v>100</v>
      </c>
      <c r="F96" s="10">
        <f>IF($A96&lt;&gt;"",VLOOKUP($A96,STK_PRICES!$A$2:$L$593,12,0),"")</f>
        <v>8300</v>
      </c>
      <c r="G96" t="str">
        <f>IF($A96&lt;&gt;"",VLOOKUP($A96,STK_REF!$A$2:$H$593,7,0),"")</f>
        <v>VND</v>
      </c>
      <c r="H96">
        <f>IF($A96&lt;&gt;"",VLOOKUP($A96,STK_REF!$A$2:$H$593,8,0),"")</f>
        <v>1</v>
      </c>
      <c r="I96" s="8">
        <f>IF(A96&lt;&gt;"",IF(G96=Q96,1,IF(ISNA(VLOOKUP(G96&amp;Q96,CUR_RATES!$A$2:$F$524,4,0)),"",VLOOKUP(G96&amp;Q96,CUR_RATES!$A$2:$F$524,4,0))),"")</f>
        <v>1</v>
      </c>
      <c r="J96" s="10">
        <f t="shared" si="7"/>
        <v>8300</v>
      </c>
      <c r="K96" s="67">
        <f t="shared" si="8"/>
        <v>830000000000</v>
      </c>
      <c r="L96" s="75">
        <v>41165</v>
      </c>
      <c r="M96" s="1">
        <v>0</v>
      </c>
      <c r="N96" s="8">
        <f t="shared" si="9"/>
        <v>50000000000</v>
      </c>
      <c r="O96" s="29">
        <f t="shared" si="6"/>
        <v>500</v>
      </c>
      <c r="P96" s="29">
        <f>IF(A96&lt;&gt;"",IF(ISNA(VLOOKUP(A96,STK_DIV!$A$2:$E$1048576,4,0)),"",IF(L96&lt;&gt;VLOOKUP(A96,STK_DIV!$A$2:$E$1048576,5,0),"",VLOOKUP(A96,STK_DIV!$A$2:$E$1048576,4,0))),"")</f>
        <v>500</v>
      </c>
      <c r="Q96" t="str">
        <f t="shared" si="10"/>
        <v>VND</v>
      </c>
      <c r="R96" s="2" t="str">
        <f>IF(INDEX(IDX_COMPO!$F:$F,ROW(IDX_COMPO!F96))=0,"",INDEX(IDX_COMPO!$F:$F,ROW(IDX_COMPO!F96)))</f>
        <v>VNXFIPRVND</v>
      </c>
      <c r="S96" s="27">
        <f t="shared" si="11"/>
        <v>2.1016985965616221E-2</v>
      </c>
      <c r="Y96">
        <v>0</v>
      </c>
    </row>
    <row r="97" spans="1:25" x14ac:dyDescent="0.2">
      <c r="A97" s="2" t="str">
        <f>IF(INDEX(IDX_COMPO!$A:$A,ROW(IDX_COMPO!A97))=0,"",INDEX(IDX_COMPO!$A:$A,ROW(IDX_COMPO!A97)))</f>
        <v>PVI</v>
      </c>
      <c r="B97" t="str">
        <f>IF($A97&lt;&gt;"",VLOOKUP($A97,STK_REF!$A$2:$H$593,3,0),"")</f>
        <v>VNX Insurance</v>
      </c>
      <c r="C97">
        <f>IF($A97&lt;&gt;"",INDEX(IDX_COMPO!$C:$C,SUMPRODUCT(--(IDX_COMPO!$A:$A=$A97),--($R97=IDX_COMPO!$F:$F),ROW(IDX_COMPO!$F:$F))),"")</f>
        <v>600000000</v>
      </c>
      <c r="D97">
        <f>IF($A97&lt;&gt;"",INDEX(IDX_COMPO!$D:$D,SUMPRODUCT(--(IDX_COMPO!$A:$A=$A97),--($R97=IDX_COMPO!$F:$F),ROW(IDX_COMPO!$F:$F))),"")</f>
        <v>100</v>
      </c>
      <c r="E97">
        <f>IF($A97&lt;&gt;"",INDEX(IDX_COMPO!$E:$E,SUMPRODUCT(--(IDX_COMPO!$A:$A=$A97),--($R97=IDX_COMPO!$F:$F),ROW(IDX_COMPO!$F:$F))),"")</f>
        <v>100</v>
      </c>
      <c r="F97" s="10">
        <f>IF($A97&lt;&gt;"",VLOOKUP($A97,STK_PRICES!$A$2:$L$593,12,0),"")</f>
        <v>15900</v>
      </c>
      <c r="G97" t="str">
        <f>IF($A97&lt;&gt;"",VLOOKUP($A97,STK_REF!$A$2:$H$593,7,0),"")</f>
        <v>VND</v>
      </c>
      <c r="H97">
        <f>IF($A97&lt;&gt;"",VLOOKUP($A97,STK_REF!$A$2:$H$593,8,0),"")</f>
        <v>1</v>
      </c>
      <c r="I97" s="8">
        <f>IF(A97&lt;&gt;"",IF(G97=Q97,1,IF(ISNA(VLOOKUP(G97&amp;Q97,CUR_RATES!$A$2:$F$524,4,0)),"",VLOOKUP(G97&amp;Q97,CUR_RATES!$A$2:$F$524,4,0))),"")</f>
        <v>1</v>
      </c>
      <c r="J97" s="10">
        <f t="shared" si="7"/>
        <v>15900</v>
      </c>
      <c r="K97" s="67">
        <f t="shared" si="8"/>
        <v>9540000000000</v>
      </c>
      <c r="L97" s="75">
        <v>41165</v>
      </c>
      <c r="M97" s="1">
        <v>0</v>
      </c>
      <c r="N97" s="8" t="str">
        <f t="shared" si="9"/>
        <v/>
      </c>
      <c r="O97" s="29" t="str">
        <f t="shared" si="6"/>
        <v/>
      </c>
      <c r="P97" s="29" t="str">
        <f>IF(A97&lt;&gt;"",IF(ISNA(VLOOKUP(A97,STK_DIV!$A$2:$E$1048576,4,0)),"",IF(L97&lt;&gt;VLOOKUP(A97,STK_DIV!$A$2:$E$1048576,5,0),"",VLOOKUP(A97,STK_DIV!$A$2:$E$1048576,4,0))),"")</f>
        <v/>
      </c>
      <c r="Q97" t="str">
        <f t="shared" si="10"/>
        <v>VND</v>
      </c>
      <c r="R97" s="2" t="str">
        <f>IF(INDEX(IDX_COMPO!$F:$F,ROW(IDX_COMPO!F97))=0,"",INDEX(IDX_COMPO!$F:$F,ROW(IDX_COMPO!F97)))</f>
        <v>VNXFIPRVND</v>
      </c>
      <c r="S97" s="27">
        <f t="shared" si="11"/>
        <v>0.2415687302553961</v>
      </c>
      <c r="Y97">
        <v>0</v>
      </c>
    </row>
    <row r="98" spans="1:25" x14ac:dyDescent="0.2">
      <c r="A98" s="2" t="str">
        <f>IF(INDEX(IDX_COMPO!$A:$A,ROW(IDX_COMPO!A98))=0,"",INDEX(IDX_COMPO!$A:$A,ROW(IDX_COMPO!A98)))</f>
        <v>PTL</v>
      </c>
      <c r="B98" t="str">
        <f>IF($A98&lt;&gt;"",VLOOKUP($A98,STK_REF!$A$2:$H$593,3,0),"")</f>
        <v>Petro Capital and Infrastructure Investment</v>
      </c>
      <c r="C98">
        <f>IF($A98&lt;&gt;"",INDEX(IDX_COMPO!$C:$C,SUMPRODUCT(--(IDX_COMPO!$A:$A=$A98),--($R98=IDX_COMPO!$F:$F),ROW(IDX_COMPO!$F:$F))),"")</f>
        <v>50000000</v>
      </c>
      <c r="D98">
        <f>IF($A98&lt;&gt;"",INDEX(IDX_COMPO!$D:$D,SUMPRODUCT(--(IDX_COMPO!$A:$A=$A98),--($R98=IDX_COMPO!$F:$F),ROW(IDX_COMPO!$F:$F))),"")</f>
        <v>100</v>
      </c>
      <c r="E98">
        <f>IF($A98&lt;&gt;"",INDEX(IDX_COMPO!$E:$E,SUMPRODUCT(--(IDX_COMPO!$A:$A=$A98),--($R98=IDX_COMPO!$F:$F),ROW(IDX_COMPO!$F:$F))),"")</f>
        <v>100</v>
      </c>
      <c r="F98" s="10">
        <f>IF($A98&lt;&gt;"",VLOOKUP($A98,STK_PRICES!$A$2:$L$593,12,0),"")</f>
        <v>2900</v>
      </c>
      <c r="G98" t="str">
        <f>IF($A98&lt;&gt;"",VLOOKUP($A98,STK_REF!$A$2:$H$593,7,0),"")</f>
        <v>VND</v>
      </c>
      <c r="H98">
        <f>IF($A98&lt;&gt;"",VLOOKUP($A98,STK_REF!$A$2:$H$593,8,0),"")</f>
        <v>1</v>
      </c>
      <c r="I98" s="8">
        <f>IF(A98&lt;&gt;"",IF(G98=Q98,1,IF(ISNA(VLOOKUP(G98&amp;Q98,CUR_RATES!$A$2:$F$524,4,0)),"",VLOOKUP(G98&amp;Q98,CUR_RATES!$A$2:$F$524,4,0))),"")</f>
        <v>1</v>
      </c>
      <c r="J98" s="10">
        <f t="shared" si="7"/>
        <v>2900</v>
      </c>
      <c r="K98" s="67">
        <f t="shared" si="8"/>
        <v>145000000000</v>
      </c>
      <c r="L98" s="75">
        <v>41165</v>
      </c>
      <c r="M98" s="1">
        <v>0</v>
      </c>
      <c r="N98" s="8" t="str">
        <f t="shared" si="9"/>
        <v/>
      </c>
      <c r="O98" s="29" t="str">
        <f t="shared" si="6"/>
        <v/>
      </c>
      <c r="P98" s="29" t="str">
        <f>IF(A98&lt;&gt;"",IF(ISNA(VLOOKUP(A98,STK_DIV!$A$2:$E$1048576,4,0)),"",IF(L98&lt;&gt;VLOOKUP(A98,STK_DIV!$A$2:$E$1048576,5,0),"",VLOOKUP(A98,STK_DIV!$A$2:$E$1048576,4,0))),"")</f>
        <v/>
      </c>
      <c r="Q98" t="str">
        <f t="shared" si="10"/>
        <v>VND</v>
      </c>
      <c r="R98" s="2" t="str">
        <f>IF(INDEX(IDX_COMPO!$F:$F,ROW(IDX_COMPO!F98))=0,"",INDEX(IDX_COMPO!$F:$F,ROW(IDX_COMPO!F98)))</f>
        <v>VNXFIPRVND</v>
      </c>
      <c r="S98" s="27">
        <f t="shared" si="11"/>
        <v>3.6716421265233158E-3</v>
      </c>
      <c r="Y98">
        <v>0</v>
      </c>
    </row>
    <row r="99" spans="1:25" x14ac:dyDescent="0.2">
      <c r="A99" s="2" t="str">
        <f>IF(INDEX(IDX_COMPO!$A:$A,ROW(IDX_COMPO!A99))=0,"",INDEX(IDX_COMPO!$A:$A,ROW(IDX_COMPO!A99)))</f>
        <v>PSI</v>
      </c>
      <c r="B99" t="str">
        <f>IF($A99&lt;&gt;"",VLOOKUP($A99,STK_REF!$A$2:$H$593,3,0),"")</f>
        <v>VNX Securities Incorporated</v>
      </c>
      <c r="C99">
        <f>IF($A99&lt;&gt;"",INDEX(IDX_COMPO!$C:$C,SUMPRODUCT(--(IDX_COMPO!$A:$A=$A99),--($R99=IDX_COMPO!$F:$F),ROW(IDX_COMPO!$F:$F))),"")</f>
        <v>2000000</v>
      </c>
      <c r="D99">
        <f>IF($A99&lt;&gt;"",INDEX(IDX_COMPO!$D:$D,SUMPRODUCT(--(IDX_COMPO!$A:$A=$A99),--($R99=IDX_COMPO!$F:$F),ROW(IDX_COMPO!$F:$F))),"")</f>
        <v>100</v>
      </c>
      <c r="E99">
        <f>IF($A99&lt;&gt;"",INDEX(IDX_COMPO!$E:$E,SUMPRODUCT(--(IDX_COMPO!$A:$A=$A99),--($R99=IDX_COMPO!$F:$F),ROW(IDX_COMPO!$F:$F))),"")</f>
        <v>100</v>
      </c>
      <c r="F99" s="10">
        <f>IF($A99&lt;&gt;"",VLOOKUP($A99,STK_PRICES!$A$2:$L$593,12,0),"")</f>
        <v>3600</v>
      </c>
      <c r="G99" t="str">
        <f>IF($A99&lt;&gt;"",VLOOKUP($A99,STK_REF!$A$2:$H$593,7,0),"")</f>
        <v>VND</v>
      </c>
      <c r="H99">
        <f>IF($A99&lt;&gt;"",VLOOKUP($A99,STK_REF!$A$2:$H$593,8,0),"")</f>
        <v>1</v>
      </c>
      <c r="I99" s="8">
        <f>IF(A99&lt;&gt;"",IF(G99=Q99,1,IF(ISNA(VLOOKUP(G99&amp;Q99,CUR_RATES!$A$2:$F$524,4,0)),"",VLOOKUP(G99&amp;Q99,CUR_RATES!$A$2:$F$524,4,0))),"")</f>
        <v>1</v>
      </c>
      <c r="J99" s="10">
        <f t="shared" si="7"/>
        <v>3600</v>
      </c>
      <c r="K99" s="67">
        <f t="shared" si="8"/>
        <v>7200000000</v>
      </c>
      <c r="L99" s="75">
        <v>41165</v>
      </c>
      <c r="M99" s="1">
        <v>0</v>
      </c>
      <c r="N99" s="8" t="str">
        <f t="shared" si="9"/>
        <v/>
      </c>
      <c r="O99" s="29" t="str">
        <f t="shared" si="6"/>
        <v/>
      </c>
      <c r="P99" s="29" t="str">
        <f>IF(A99&lt;&gt;"",IF(ISNA(VLOOKUP(A99,STK_DIV!$A$2:$E$1048576,4,0)),"",IF(L99&lt;&gt;VLOOKUP(A99,STK_DIV!$A$2:$E$1048576,5,0),"",VLOOKUP(A99,STK_DIV!$A$2:$E$1048576,4,0))),"")</f>
        <v/>
      </c>
      <c r="Q99" t="str">
        <f t="shared" si="10"/>
        <v>VND</v>
      </c>
      <c r="R99" s="2" t="str">
        <f>IF(INDEX(IDX_COMPO!$F:$F,ROW(IDX_COMPO!F99))=0,"",INDEX(IDX_COMPO!$F:$F,ROW(IDX_COMPO!F99)))</f>
        <v>VNXFIPRVND</v>
      </c>
      <c r="S99" s="27">
        <f t="shared" si="11"/>
        <v>1.823160228342612E-4</v>
      </c>
      <c r="Y99">
        <v>0</v>
      </c>
    </row>
    <row r="100" spans="1:25" x14ac:dyDescent="0.2">
      <c r="A100" s="2" t="str">
        <f>IF(INDEX(IDX_COMPO!$A:$A,ROW(IDX_COMPO!A100))=0,"",INDEX(IDX_COMPO!$A:$A,ROW(IDX_COMPO!A100)))</f>
        <v>PFL</v>
      </c>
      <c r="B100" t="str">
        <f>IF($A100&lt;&gt;"",VLOOKUP($A100,STK_REF!$A$2:$H$593,3,0),"")</f>
        <v>Petro Dong Do Joint Stock Company</v>
      </c>
      <c r="C100">
        <f>IF($A100&lt;&gt;"",INDEX(IDX_COMPO!$C:$C,SUMPRODUCT(--(IDX_COMPO!$A:$A=$A100),--($R100=IDX_COMPO!$F:$F),ROW(IDX_COMPO!$F:$F))),"")</f>
        <v>59841300</v>
      </c>
      <c r="D100">
        <f>IF($A100&lt;&gt;"",INDEX(IDX_COMPO!$D:$D,SUMPRODUCT(--(IDX_COMPO!$A:$A=$A100),--($R100=IDX_COMPO!$F:$F),ROW(IDX_COMPO!$F:$F))),"")</f>
        <v>100</v>
      </c>
      <c r="E100">
        <f>IF($A100&lt;&gt;"",INDEX(IDX_COMPO!$E:$E,SUMPRODUCT(--(IDX_COMPO!$A:$A=$A100),--($R100=IDX_COMPO!$F:$F),ROW(IDX_COMPO!$F:$F))),"")</f>
        <v>100</v>
      </c>
      <c r="F100" s="10">
        <f>IF($A100&lt;&gt;"",VLOOKUP($A100,STK_PRICES!$A$2:$L$593,12,0),"")</f>
        <v>2700</v>
      </c>
      <c r="G100" t="str">
        <f>IF($A100&lt;&gt;"",VLOOKUP($A100,STK_REF!$A$2:$H$593,7,0),"")</f>
        <v>VND</v>
      </c>
      <c r="H100">
        <f>IF($A100&lt;&gt;"",VLOOKUP($A100,STK_REF!$A$2:$H$593,8,0),"")</f>
        <v>1</v>
      </c>
      <c r="I100" s="8">
        <f>IF(A100&lt;&gt;"",IF(G100=Q100,1,IF(ISNA(VLOOKUP(G100&amp;Q100,CUR_RATES!$A$2:$F$524,4,0)),"",VLOOKUP(G100&amp;Q100,CUR_RATES!$A$2:$F$524,4,0))),"")</f>
        <v>1</v>
      </c>
      <c r="J100" s="10">
        <f t="shared" si="7"/>
        <v>2700</v>
      </c>
      <c r="K100" s="67">
        <f t="shared" si="8"/>
        <v>161571510000</v>
      </c>
      <c r="L100" s="75">
        <v>41165</v>
      </c>
      <c r="M100" s="1">
        <v>0</v>
      </c>
      <c r="N100" s="8" t="str">
        <f t="shared" si="9"/>
        <v/>
      </c>
      <c r="O100" s="29" t="str">
        <f t="shared" si="6"/>
        <v/>
      </c>
      <c r="P100" s="29" t="str">
        <f>IF(A100&lt;&gt;"",IF(ISNA(VLOOKUP(A100,STK_DIV!$A$2:$E$1048576,4,0)),"",IF(L100&lt;&gt;VLOOKUP(A100,STK_DIV!$A$2:$E$1048576,5,0),"",VLOOKUP(A100,STK_DIV!$A$2:$E$1048576,4,0))),"")</f>
        <v/>
      </c>
      <c r="Q100" t="str">
        <f t="shared" si="10"/>
        <v>VND</v>
      </c>
      <c r="R100" s="2" t="str">
        <f>IF(INDEX(IDX_COMPO!$F:$F,ROW(IDX_COMPO!F100))=0,"",INDEX(IDX_COMPO!$F:$F,ROW(IDX_COMPO!F100)))</f>
        <v>VNXFIPRVND</v>
      </c>
      <c r="S100" s="27">
        <f t="shared" si="11"/>
        <v>4.0912604314619532E-3</v>
      </c>
      <c r="Y100">
        <v>0</v>
      </c>
    </row>
    <row r="101" spans="1:25" x14ac:dyDescent="0.2">
      <c r="A101" s="2" t="str">
        <f>IF(INDEX(IDX_COMPO!$A:$A,ROW(IDX_COMPO!A101))=0,"",INDEX(IDX_COMPO!$A:$A,ROW(IDX_COMPO!A101)))</f>
        <v>PVT</v>
      </c>
      <c r="B101" t="str">
        <f>IF($A101&lt;&gt;"",VLOOKUP($A101,STK_REF!$A$2:$H$593,3,0),"")</f>
        <v>VNX Transportation</v>
      </c>
      <c r="C101">
        <f>IF($A101&lt;&gt;"",INDEX(IDX_COMPO!$C:$C,SUMPRODUCT(--(IDX_COMPO!$A:$A=$A101),--($R101=IDX_COMPO!$F:$F),ROW(IDX_COMPO!$F:$F))),"")</f>
        <v>232600000</v>
      </c>
      <c r="D101">
        <f>IF($A101&lt;&gt;"",INDEX(IDX_COMPO!$D:$D,SUMPRODUCT(--(IDX_COMPO!$A:$A=$A101),--($R101=IDX_COMPO!$F:$F),ROW(IDX_COMPO!$F:$F))),"")</f>
        <v>100</v>
      </c>
      <c r="E101">
        <f>IF($A101&lt;&gt;"",INDEX(IDX_COMPO!$E:$E,SUMPRODUCT(--(IDX_COMPO!$A:$A=$A101),--($R101=IDX_COMPO!$F:$F),ROW(IDX_COMPO!$F:$F))),"")</f>
        <v>100</v>
      </c>
      <c r="F101" s="10">
        <f>IF($A101&lt;&gt;"",VLOOKUP($A101,STK_PRICES!$A$2:$L$593,12,0),"")</f>
        <v>4300</v>
      </c>
      <c r="G101" t="str">
        <f>IF($A101&lt;&gt;"",VLOOKUP($A101,STK_REF!$A$2:$H$593,7,0),"")</f>
        <v>VND</v>
      </c>
      <c r="H101">
        <f>IF($A101&lt;&gt;"",VLOOKUP($A101,STK_REF!$A$2:$H$593,8,0),"")</f>
        <v>1</v>
      </c>
      <c r="I101" s="8">
        <f>IF(A101&lt;&gt;"",IF(G101=Q101,1,IF(ISNA(VLOOKUP(G101&amp;Q101,CUR_RATES!$A$2:$F$524,4,0)),"",VLOOKUP(G101&amp;Q101,CUR_RATES!$A$2:$F$524,4,0))),"")</f>
        <v>1</v>
      </c>
      <c r="J101" s="10">
        <f t="shared" si="7"/>
        <v>4300</v>
      </c>
      <c r="K101" s="67">
        <f t="shared" si="8"/>
        <v>1000180000000</v>
      </c>
      <c r="L101" s="75">
        <v>41165</v>
      </c>
      <c r="M101" s="1">
        <v>0</v>
      </c>
      <c r="N101" s="8" t="str">
        <f t="shared" si="9"/>
        <v/>
      </c>
      <c r="O101" s="29" t="str">
        <f t="shared" si="6"/>
        <v/>
      </c>
      <c r="P101" s="29" t="str">
        <f>IF(A101&lt;&gt;"",IF(ISNA(VLOOKUP(A101,STK_DIV!$A$2:$E$1048576,4,0)),"",IF(L101&lt;&gt;VLOOKUP(A101,STK_DIV!$A$2:$E$1048576,5,0),"",VLOOKUP(A101,STK_DIV!$A$2:$E$1048576,4,0))),"")</f>
        <v/>
      </c>
      <c r="Q101" t="str">
        <f t="shared" si="10"/>
        <v>VND</v>
      </c>
      <c r="R101" s="2" t="str">
        <f>IF(INDEX(IDX_COMPO!$F:$F,ROW(IDX_COMPO!F101))=0,"",INDEX(IDX_COMPO!$F:$F,ROW(IDX_COMPO!F101)))</f>
        <v>VNXINPRVND</v>
      </c>
      <c r="S101" s="27">
        <f t="shared" si="11"/>
        <v>2.532622773866269E-2</v>
      </c>
      <c r="Y101">
        <v>0</v>
      </c>
    </row>
    <row r="102" spans="1:25" x14ac:dyDescent="0.2">
      <c r="A102" s="2" t="str">
        <f>IF(INDEX(IDX_COMPO!$A:$A,ROW(IDX_COMPO!A102))=0,"",INDEX(IDX_COMPO!$A:$A,ROW(IDX_COMPO!A102)))</f>
        <v>PXI</v>
      </c>
      <c r="B102" t="str">
        <f>IF($A102&lt;&gt;"",VLOOKUP($A102,STK_REF!$A$2:$H$593,3,0),"")</f>
        <v>Petroleum Industrial and Civil Construction</v>
      </c>
      <c r="C102">
        <f>IF($A102&lt;&gt;"",INDEX(IDX_COMPO!$C:$C,SUMPRODUCT(--(IDX_COMPO!$A:$A=$A102),--($R102=IDX_COMPO!$F:$F),ROW(IDX_COMPO!$F:$F))),"")</f>
        <v>30000000</v>
      </c>
      <c r="D102">
        <f>IF($A102&lt;&gt;"",INDEX(IDX_COMPO!$D:$D,SUMPRODUCT(--(IDX_COMPO!$A:$A=$A102),--($R102=IDX_COMPO!$F:$F),ROW(IDX_COMPO!$F:$F))),"")</f>
        <v>100</v>
      </c>
      <c r="E102">
        <f>IF($A102&lt;&gt;"",INDEX(IDX_COMPO!$E:$E,SUMPRODUCT(--(IDX_COMPO!$A:$A=$A102),--($R102=IDX_COMPO!$F:$F),ROW(IDX_COMPO!$F:$F))),"")</f>
        <v>100</v>
      </c>
      <c r="F102" s="10">
        <f>IF($A102&lt;&gt;"",VLOOKUP($A102,STK_PRICES!$A$2:$L$593,12,0),"")</f>
        <v>4000</v>
      </c>
      <c r="G102" t="str">
        <f>IF($A102&lt;&gt;"",VLOOKUP($A102,STK_REF!$A$2:$H$593,7,0),"")</f>
        <v>VND</v>
      </c>
      <c r="H102">
        <f>IF($A102&lt;&gt;"",VLOOKUP($A102,STK_REF!$A$2:$H$593,8,0),"")</f>
        <v>1</v>
      </c>
      <c r="I102" s="8">
        <f>IF(A102&lt;&gt;"",IF(G102=Q102,1,IF(ISNA(VLOOKUP(G102&amp;Q102,CUR_RATES!$A$2:$F$524,4,0)),"",VLOOKUP(G102&amp;Q102,CUR_RATES!$A$2:$F$524,4,0))),"")</f>
        <v>1</v>
      </c>
      <c r="J102" s="10">
        <f t="shared" si="7"/>
        <v>4000</v>
      </c>
      <c r="K102" s="67">
        <f t="shared" si="8"/>
        <v>120000000000</v>
      </c>
      <c r="L102" s="75">
        <v>41165</v>
      </c>
      <c r="M102" s="1">
        <v>0</v>
      </c>
      <c r="N102" s="8" t="str">
        <f t="shared" si="9"/>
        <v/>
      </c>
      <c r="O102" s="29" t="str">
        <f t="shared" si="6"/>
        <v/>
      </c>
      <c r="P102" s="29" t="str">
        <f>IF(A102&lt;&gt;"",IF(ISNA(VLOOKUP(A102,STK_DIV!$A$2:$E$1048576,4,0)),"",IF(L102&lt;&gt;VLOOKUP(A102,STK_DIV!$A$2:$E$1048576,5,0),"",VLOOKUP(A102,STK_DIV!$A$2:$E$1048576,4,0))),"")</f>
        <v/>
      </c>
      <c r="Q102" t="str">
        <f t="shared" si="10"/>
        <v>VND</v>
      </c>
      <c r="R102" s="2" t="str">
        <f>IF(INDEX(IDX_COMPO!$F:$F,ROW(IDX_COMPO!F102))=0,"",INDEX(IDX_COMPO!$F:$F,ROW(IDX_COMPO!F102)))</f>
        <v>VNXINPRVND</v>
      </c>
      <c r="S102" s="27">
        <f t="shared" si="11"/>
        <v>3.0386003805710198E-3</v>
      </c>
      <c r="Y102">
        <v>0</v>
      </c>
    </row>
    <row r="103" spans="1:25" x14ac:dyDescent="0.2">
      <c r="A103" s="2" t="str">
        <f>IF(INDEX(IDX_COMPO!$A:$A,ROW(IDX_COMPO!A103))=0,"",INDEX(IDX_COMPO!$A:$A,ROW(IDX_COMPO!A103)))</f>
        <v>PXM</v>
      </c>
      <c r="B103" t="str">
        <f>IF($A103&lt;&gt;"",VLOOKUP($A103,STK_REF!$A$2:$H$593,3,0),"")</f>
        <v>Mientrung Petroleum Construction</v>
      </c>
      <c r="C103">
        <f>IF($A103&lt;&gt;"",INDEX(IDX_COMPO!$C:$C,SUMPRODUCT(--(IDX_COMPO!$A:$A=$A103),--($R103=IDX_COMPO!$F:$F),ROW(IDX_COMPO!$F:$F))),"")</f>
        <v>15000000</v>
      </c>
      <c r="D103">
        <f>IF($A103&lt;&gt;"",INDEX(IDX_COMPO!$D:$D,SUMPRODUCT(--(IDX_COMPO!$A:$A=$A103),--($R103=IDX_COMPO!$F:$F),ROW(IDX_COMPO!$F:$F))),"")</f>
        <v>100</v>
      </c>
      <c r="E103">
        <f>IF($A103&lt;&gt;"",INDEX(IDX_COMPO!$E:$E,SUMPRODUCT(--(IDX_COMPO!$A:$A=$A103),--($R103=IDX_COMPO!$F:$F),ROW(IDX_COMPO!$F:$F))),"")</f>
        <v>100</v>
      </c>
      <c r="F103" s="10">
        <f>IF($A103&lt;&gt;"",VLOOKUP($A103,STK_PRICES!$A$2:$L$593,12,0),"")</f>
        <v>3200</v>
      </c>
      <c r="G103" t="str">
        <f>IF($A103&lt;&gt;"",VLOOKUP($A103,STK_REF!$A$2:$H$593,7,0),"")</f>
        <v>VND</v>
      </c>
      <c r="H103">
        <f>IF($A103&lt;&gt;"",VLOOKUP($A103,STK_REF!$A$2:$H$593,8,0),"")</f>
        <v>1</v>
      </c>
      <c r="I103" s="8">
        <f>IF(A103&lt;&gt;"",IF(G103=Q103,1,IF(ISNA(VLOOKUP(G103&amp;Q103,CUR_RATES!$A$2:$F$524,4,0)),"",VLOOKUP(G103&amp;Q103,CUR_RATES!$A$2:$F$524,4,0))),"")</f>
        <v>1</v>
      </c>
      <c r="J103" s="10">
        <f t="shared" si="7"/>
        <v>3200</v>
      </c>
      <c r="K103" s="67">
        <f t="shared" si="8"/>
        <v>48000000000</v>
      </c>
      <c r="L103" s="75">
        <v>41165</v>
      </c>
      <c r="M103" s="1">
        <v>0</v>
      </c>
      <c r="N103" s="8" t="str">
        <f t="shared" si="9"/>
        <v/>
      </c>
      <c r="O103" s="29" t="str">
        <f t="shared" si="6"/>
        <v/>
      </c>
      <c r="P103" s="29" t="str">
        <f>IF(A103&lt;&gt;"",IF(ISNA(VLOOKUP(A103,STK_DIV!$A$2:$E$1048576,4,0)),"",IF(L103&lt;&gt;VLOOKUP(A103,STK_DIV!$A$2:$E$1048576,5,0),"",VLOOKUP(A103,STK_DIV!$A$2:$E$1048576,4,0))),"")</f>
        <v/>
      </c>
      <c r="Q103" t="str">
        <f t="shared" si="10"/>
        <v>VND</v>
      </c>
      <c r="R103" s="2" t="str">
        <f>IF(INDEX(IDX_COMPO!$F:$F,ROW(IDX_COMPO!F103))=0,"",INDEX(IDX_COMPO!$F:$F,ROW(IDX_COMPO!F103)))</f>
        <v>VNXINPRVND</v>
      </c>
      <c r="S103" s="27">
        <f t="shared" si="11"/>
        <v>1.215440152228408E-3</v>
      </c>
      <c r="Y103">
        <v>0</v>
      </c>
    </row>
    <row r="104" spans="1:25" x14ac:dyDescent="0.2">
      <c r="A104" s="2" t="str">
        <f>IF(INDEX(IDX_COMPO!$A:$A,ROW(IDX_COMPO!A104))=0,"",INDEX(IDX_COMPO!$A:$A,ROW(IDX_COMPO!A104)))</f>
        <v>PXS</v>
      </c>
      <c r="B104" t="str">
        <f>IF($A104&lt;&gt;"",VLOOKUP($A104,STK_REF!$A$2:$H$593,3,0),"")</f>
        <v>Petroleum Equipment Assembly and Metal Structure</v>
      </c>
      <c r="C104">
        <f>IF($A104&lt;&gt;"",INDEX(IDX_COMPO!$C:$C,SUMPRODUCT(--(IDX_COMPO!$A:$A=$A104),--($R104=IDX_COMPO!$F:$F),ROW(IDX_COMPO!$F:$F))),"")</f>
        <v>37518001</v>
      </c>
      <c r="D104">
        <f>IF($A104&lt;&gt;"",INDEX(IDX_COMPO!$D:$D,SUMPRODUCT(--(IDX_COMPO!$A:$A=$A104),--($R104=IDX_COMPO!$F:$F),ROW(IDX_COMPO!$F:$F))),"")</f>
        <v>100</v>
      </c>
      <c r="E104">
        <f>IF($A104&lt;&gt;"",INDEX(IDX_COMPO!$E:$E,SUMPRODUCT(--(IDX_COMPO!$A:$A=$A104),--($R104=IDX_COMPO!$F:$F),ROW(IDX_COMPO!$F:$F))),"")</f>
        <v>100</v>
      </c>
      <c r="F104" s="10">
        <f>IF($A104&lt;&gt;"",VLOOKUP($A104,STK_PRICES!$A$2:$L$593,12,0),"")</f>
        <v>9400</v>
      </c>
      <c r="G104" t="str">
        <f>IF($A104&lt;&gt;"",VLOOKUP($A104,STK_REF!$A$2:$H$593,7,0),"")</f>
        <v>VND</v>
      </c>
      <c r="H104">
        <f>IF($A104&lt;&gt;"",VLOOKUP($A104,STK_REF!$A$2:$H$593,8,0),"")</f>
        <v>1</v>
      </c>
      <c r="I104" s="8">
        <f>IF(A104&lt;&gt;"",IF(G104=Q104,1,IF(ISNA(VLOOKUP(G104&amp;Q104,CUR_RATES!$A$2:$F$524,4,0)),"",VLOOKUP(G104&amp;Q104,CUR_RATES!$A$2:$F$524,4,0))),"")</f>
        <v>1</v>
      </c>
      <c r="J104" s="10">
        <f t="shared" si="7"/>
        <v>9400</v>
      </c>
      <c r="K104" s="67">
        <f t="shared" si="8"/>
        <v>352669209400</v>
      </c>
      <c r="L104" s="75">
        <v>41165</v>
      </c>
      <c r="M104" s="1">
        <v>0</v>
      </c>
      <c r="N104" s="8" t="str">
        <f t="shared" si="9"/>
        <v/>
      </c>
      <c r="O104" s="29" t="str">
        <f t="shared" si="6"/>
        <v/>
      </c>
      <c r="P104" s="29" t="str">
        <f>IF(A104&lt;&gt;"",IF(ISNA(VLOOKUP(A104,STK_DIV!$A$2:$E$1048576,4,0)),"",IF(L104&lt;&gt;VLOOKUP(A104,STK_DIV!$A$2:$E$1048576,5,0),"",VLOOKUP(A104,STK_DIV!$A$2:$E$1048576,4,0))),"")</f>
        <v/>
      </c>
      <c r="Q104" t="str">
        <f t="shared" si="10"/>
        <v>VND</v>
      </c>
      <c r="R104" s="2" t="str">
        <f>IF(INDEX(IDX_COMPO!$F:$F,ROW(IDX_COMPO!F104))=0,"",INDEX(IDX_COMPO!$F:$F,ROW(IDX_COMPO!F104)))</f>
        <v>VNXINPRVND</v>
      </c>
      <c r="S104" s="27">
        <f t="shared" si="11"/>
        <v>8.9301732824876735E-3</v>
      </c>
      <c r="Y104">
        <v>0</v>
      </c>
    </row>
    <row r="105" spans="1:25" x14ac:dyDescent="0.2">
      <c r="A105" s="2" t="str">
        <f>IF(INDEX(IDX_COMPO!$A:$A,ROW(IDX_COMPO!A105))=0,"",INDEX(IDX_COMPO!$A:$A,ROW(IDX_COMPO!A105)))</f>
        <v>PXT</v>
      </c>
      <c r="B105" t="str">
        <f>IF($A105&lt;&gt;"",VLOOKUP($A105,STK_REF!$A$2:$H$593,3,0),"")</f>
        <v>Petroleum Pipeline and Tank Construction</v>
      </c>
      <c r="C105">
        <f>IF($A105&lt;&gt;"",INDEX(IDX_COMPO!$C:$C,SUMPRODUCT(--(IDX_COMPO!$A:$A=$A105),--($R105=IDX_COMPO!$F:$F),ROW(IDX_COMPO!$F:$F))),"")</f>
        <v>20000000</v>
      </c>
      <c r="D105">
        <f>IF($A105&lt;&gt;"",INDEX(IDX_COMPO!$D:$D,SUMPRODUCT(--(IDX_COMPO!$A:$A=$A105),--($R105=IDX_COMPO!$F:$F),ROW(IDX_COMPO!$F:$F))),"")</f>
        <v>100</v>
      </c>
      <c r="E105">
        <f>IF($A105&lt;&gt;"",INDEX(IDX_COMPO!$E:$E,SUMPRODUCT(--(IDX_COMPO!$A:$A=$A105),--($R105=IDX_COMPO!$F:$F),ROW(IDX_COMPO!$F:$F))),"")</f>
        <v>100</v>
      </c>
      <c r="F105" s="10">
        <f>IF($A105&lt;&gt;"",VLOOKUP($A105,STK_PRICES!$A$2:$L$593,12,0),"")</f>
        <v>4200</v>
      </c>
      <c r="G105" t="str">
        <f>IF($A105&lt;&gt;"",VLOOKUP($A105,STK_REF!$A$2:$H$593,7,0),"")</f>
        <v>VND</v>
      </c>
      <c r="H105">
        <f>IF($A105&lt;&gt;"",VLOOKUP($A105,STK_REF!$A$2:$H$593,8,0),"")</f>
        <v>1</v>
      </c>
      <c r="I105" s="8">
        <f>IF(A105&lt;&gt;"",IF(G105=Q105,1,IF(ISNA(VLOOKUP(G105&amp;Q105,CUR_RATES!$A$2:$F$524,4,0)),"",VLOOKUP(G105&amp;Q105,CUR_RATES!$A$2:$F$524,4,0))),"")</f>
        <v>1</v>
      </c>
      <c r="J105" s="10">
        <f t="shared" si="7"/>
        <v>4200</v>
      </c>
      <c r="K105" s="67">
        <f t="shared" si="8"/>
        <v>84000000000</v>
      </c>
      <c r="L105" s="75">
        <v>41165</v>
      </c>
      <c r="M105" s="1">
        <v>0</v>
      </c>
      <c r="N105" s="8" t="str">
        <f t="shared" si="9"/>
        <v/>
      </c>
      <c r="O105" s="29" t="str">
        <f t="shared" si="6"/>
        <v/>
      </c>
      <c r="P105" s="29" t="str">
        <f>IF(A105&lt;&gt;"",IF(ISNA(VLOOKUP(A105,STK_DIV!$A$2:$E$1048576,4,0)),"",IF(L105&lt;&gt;VLOOKUP(A105,STK_DIV!$A$2:$E$1048576,5,0),"",VLOOKUP(A105,STK_DIV!$A$2:$E$1048576,4,0))),"")</f>
        <v/>
      </c>
      <c r="Q105" t="str">
        <f t="shared" si="10"/>
        <v>VND</v>
      </c>
      <c r="R105" s="2" t="str">
        <f>IF(INDEX(IDX_COMPO!$F:$F,ROW(IDX_COMPO!F105))=0,"",INDEX(IDX_COMPO!$F:$F,ROW(IDX_COMPO!F105)))</f>
        <v>VNXINPRVND</v>
      </c>
      <c r="S105" s="27">
        <f t="shared" si="11"/>
        <v>2.1270202663997142E-3</v>
      </c>
      <c r="Y105">
        <v>0</v>
      </c>
    </row>
    <row r="106" spans="1:25" x14ac:dyDescent="0.2">
      <c r="A106" s="2" t="str">
        <f>IF(INDEX(IDX_COMPO!$A:$A,ROW(IDX_COMPO!A106))=0,"",INDEX(IDX_COMPO!$A:$A,ROW(IDX_COMPO!A106)))</f>
        <v>PCT</v>
      </c>
      <c r="B106" t="str">
        <f>IF($A106&lt;&gt;"",VLOOKUP($A106,STK_REF!$A$2:$H$593,3,0),"")</f>
        <v>Cuu Long Petro Gas Service Transportation</v>
      </c>
      <c r="C106">
        <f>IF($A106&lt;&gt;"",INDEX(IDX_COMPO!$C:$C,SUMPRODUCT(--(IDX_COMPO!$A:$A=$A106),--($R106=IDX_COMPO!$F:$F),ROW(IDX_COMPO!$F:$F))),"")</f>
        <v>23000000</v>
      </c>
      <c r="D106">
        <f>IF($A106&lt;&gt;"",INDEX(IDX_COMPO!$D:$D,SUMPRODUCT(--(IDX_COMPO!$A:$A=$A106),--($R106=IDX_COMPO!$F:$F),ROW(IDX_COMPO!$F:$F))),"")</f>
        <v>100</v>
      </c>
      <c r="E106">
        <f>IF($A106&lt;&gt;"",INDEX(IDX_COMPO!$E:$E,SUMPRODUCT(--(IDX_COMPO!$A:$A=$A106),--($R106=IDX_COMPO!$F:$F),ROW(IDX_COMPO!$F:$F))),"")</f>
        <v>100</v>
      </c>
      <c r="F106" s="10">
        <f>IF($A106&lt;&gt;"",VLOOKUP($A106,STK_PRICES!$A$2:$L$593,12,0),"")</f>
        <v>2900</v>
      </c>
      <c r="G106" t="str">
        <f>IF($A106&lt;&gt;"",VLOOKUP($A106,STK_REF!$A$2:$H$593,7,0),"")</f>
        <v>VND</v>
      </c>
      <c r="H106">
        <f>IF($A106&lt;&gt;"",VLOOKUP($A106,STK_REF!$A$2:$H$593,8,0),"")</f>
        <v>1</v>
      </c>
      <c r="I106" s="8">
        <f>IF(A106&lt;&gt;"",IF(G106=Q106,1,IF(ISNA(VLOOKUP(G106&amp;Q106,CUR_RATES!$A$2:$F$524,4,0)),"",VLOOKUP(G106&amp;Q106,CUR_RATES!$A$2:$F$524,4,0))),"")</f>
        <v>1</v>
      </c>
      <c r="J106" s="10">
        <f t="shared" si="7"/>
        <v>2900</v>
      </c>
      <c r="K106" s="67">
        <f t="shared" si="8"/>
        <v>66700000000</v>
      </c>
      <c r="L106" s="75">
        <v>41165</v>
      </c>
      <c r="M106" s="1">
        <v>0</v>
      </c>
      <c r="N106" s="8" t="str">
        <f t="shared" si="9"/>
        <v/>
      </c>
      <c r="O106" s="29" t="str">
        <f t="shared" si="6"/>
        <v/>
      </c>
      <c r="P106" s="29" t="str">
        <f>IF(A106&lt;&gt;"",IF(ISNA(VLOOKUP(A106,STK_DIV!$A$2:$E$1048576,4,0)),"",IF(L106&lt;&gt;VLOOKUP(A106,STK_DIV!$A$2:$E$1048576,5,0),"",VLOOKUP(A106,STK_DIV!$A$2:$E$1048576,4,0))),"")</f>
        <v/>
      </c>
      <c r="Q106" t="str">
        <f t="shared" si="10"/>
        <v>VND</v>
      </c>
      <c r="R106" s="2" t="str">
        <f>IF(INDEX(IDX_COMPO!$F:$F,ROW(IDX_COMPO!F106))=0,"",INDEX(IDX_COMPO!$F:$F,ROW(IDX_COMPO!F106)))</f>
        <v>VNXINPRVND</v>
      </c>
      <c r="S106" s="27">
        <f t="shared" si="11"/>
        <v>1.6889553782007253E-3</v>
      </c>
      <c r="Y106">
        <v>0</v>
      </c>
    </row>
    <row r="107" spans="1:25" x14ac:dyDescent="0.2">
      <c r="A107" s="2" t="str">
        <f>IF(INDEX(IDX_COMPO!$A:$A,ROW(IDX_COMPO!A107))=0,"",INDEX(IDX_COMPO!$A:$A,ROW(IDX_COMPO!A107)))</f>
        <v>PPS</v>
      </c>
      <c r="B107" t="str">
        <f>IF($A107&lt;&gt;"",VLOOKUP($A107,STK_REF!$A$2:$H$593,3,0),"")</f>
        <v>Petro Vietnam Power Services Joint Stock Company</v>
      </c>
      <c r="C107">
        <f>IF($A107&lt;&gt;"",INDEX(IDX_COMPO!$C:$C,SUMPRODUCT(--(IDX_COMPO!$A:$A=$A107),--($R107=IDX_COMPO!$F:$F),ROW(IDX_COMPO!$F:$F))),"")</f>
        <v>15000000</v>
      </c>
      <c r="D107">
        <f>IF($A107&lt;&gt;"",INDEX(IDX_COMPO!$D:$D,SUMPRODUCT(--(IDX_COMPO!$A:$A=$A107),--($R107=IDX_COMPO!$F:$F),ROW(IDX_COMPO!$F:$F))),"")</f>
        <v>100</v>
      </c>
      <c r="E107">
        <f>IF($A107&lt;&gt;"",INDEX(IDX_COMPO!$E:$E,SUMPRODUCT(--(IDX_COMPO!$A:$A=$A107),--($R107=IDX_COMPO!$F:$F),ROW(IDX_COMPO!$F:$F))),"")</f>
        <v>100</v>
      </c>
      <c r="F107" s="10">
        <f>IF($A107&lt;&gt;"",VLOOKUP($A107,STK_PRICES!$A$2:$L$593,12,0),"")</f>
        <v>7200</v>
      </c>
      <c r="G107" t="str">
        <f>IF($A107&lt;&gt;"",VLOOKUP($A107,STK_REF!$A$2:$H$593,7,0),"")</f>
        <v>VND</v>
      </c>
      <c r="H107">
        <f>IF($A107&lt;&gt;"",VLOOKUP($A107,STK_REF!$A$2:$H$593,8,0),"")</f>
        <v>1</v>
      </c>
      <c r="I107" s="8">
        <f>IF(A107&lt;&gt;"",IF(G107=Q107,1,IF(ISNA(VLOOKUP(G107&amp;Q107,CUR_RATES!$A$2:$F$524,4,0)),"",VLOOKUP(G107&amp;Q107,CUR_RATES!$A$2:$F$524,4,0))),"")</f>
        <v>1</v>
      </c>
      <c r="J107" s="10">
        <f t="shared" si="7"/>
        <v>7200</v>
      </c>
      <c r="K107" s="67">
        <f t="shared" si="8"/>
        <v>108000000000</v>
      </c>
      <c r="L107" s="75">
        <v>41165</v>
      </c>
      <c r="M107" s="1">
        <v>0</v>
      </c>
      <c r="N107" s="8" t="str">
        <f t="shared" si="9"/>
        <v/>
      </c>
      <c r="O107" s="29" t="str">
        <f t="shared" si="6"/>
        <v/>
      </c>
      <c r="P107" s="29" t="str">
        <f>IF(A107&lt;&gt;"",IF(ISNA(VLOOKUP(A107,STK_DIV!$A$2:$E$1048576,4,0)),"",IF(L107&lt;&gt;VLOOKUP(A107,STK_DIV!$A$2:$E$1048576,5,0),"",VLOOKUP(A107,STK_DIV!$A$2:$E$1048576,4,0))),"")</f>
        <v/>
      </c>
      <c r="Q107" t="str">
        <f t="shared" si="10"/>
        <v>VND</v>
      </c>
      <c r="R107" s="2" t="str">
        <f>IF(INDEX(IDX_COMPO!$F:$F,ROW(IDX_COMPO!F107))=0,"",INDEX(IDX_COMPO!$F:$F,ROW(IDX_COMPO!F107)))</f>
        <v>VNXINPRVND</v>
      </c>
      <c r="S107" s="27">
        <f t="shared" si="11"/>
        <v>2.7347403425139181E-3</v>
      </c>
      <c r="Y107">
        <v>0</v>
      </c>
    </row>
    <row r="108" spans="1:25" x14ac:dyDescent="0.2">
      <c r="A108" s="2" t="str">
        <f>IF(INDEX(IDX_COMPO!$A:$A,ROW(IDX_COMPO!A108))=0,"",INDEX(IDX_COMPO!$A:$A,ROW(IDX_COMPO!A108)))</f>
        <v>PVE</v>
      </c>
      <c r="B108" t="str">
        <f>IF($A108&lt;&gt;"",VLOOKUP($A108,STK_REF!$A$2:$H$593,3,0),"")</f>
        <v>VNX Investment Consultancy and Engineering</v>
      </c>
      <c r="C108">
        <f>IF($A108&lt;&gt;"",INDEX(IDX_COMPO!$C:$C,SUMPRODUCT(--(IDX_COMPO!$A:$A=$A108),--($R108=IDX_COMPO!$F:$F),ROW(IDX_COMPO!$F:$F))),"")</f>
        <v>18000000</v>
      </c>
      <c r="D108">
        <f>IF($A108&lt;&gt;"",INDEX(IDX_COMPO!$D:$D,SUMPRODUCT(--(IDX_COMPO!$A:$A=$A108),--($R108=IDX_COMPO!$F:$F),ROW(IDX_COMPO!$F:$F))),"")</f>
        <v>100</v>
      </c>
      <c r="E108">
        <f>IF($A108&lt;&gt;"",INDEX(IDX_COMPO!$E:$E,SUMPRODUCT(--(IDX_COMPO!$A:$A=$A108),--($R108=IDX_COMPO!$F:$F),ROW(IDX_COMPO!$F:$F))),"")</f>
        <v>100</v>
      </c>
      <c r="F108" s="10">
        <f>IF($A108&lt;&gt;"",VLOOKUP($A108,STK_PRICES!$A$2:$L$593,12,0),"")</f>
        <v>9600</v>
      </c>
      <c r="G108" t="str">
        <f>IF($A108&lt;&gt;"",VLOOKUP($A108,STK_REF!$A$2:$H$593,7,0),"")</f>
        <v>VND</v>
      </c>
      <c r="H108">
        <f>IF($A108&lt;&gt;"",VLOOKUP($A108,STK_REF!$A$2:$H$593,8,0),"")</f>
        <v>1</v>
      </c>
      <c r="I108" s="8">
        <f>IF(A108&lt;&gt;"",IF(G108=Q108,1,IF(ISNA(VLOOKUP(G108&amp;Q108,CUR_RATES!$A$2:$F$524,4,0)),"",VLOOKUP(G108&amp;Q108,CUR_RATES!$A$2:$F$524,4,0))),"")</f>
        <v>1</v>
      </c>
      <c r="J108" s="10">
        <f t="shared" si="7"/>
        <v>9600</v>
      </c>
      <c r="K108" s="67">
        <f t="shared" si="8"/>
        <v>172800000000</v>
      </c>
      <c r="L108" s="75">
        <v>41165</v>
      </c>
      <c r="M108" s="1">
        <v>0</v>
      </c>
      <c r="N108" s="8" t="str">
        <f t="shared" si="9"/>
        <v/>
      </c>
      <c r="O108" s="29" t="str">
        <f t="shared" si="6"/>
        <v/>
      </c>
      <c r="P108" s="29" t="str">
        <f>IF(A108&lt;&gt;"",IF(ISNA(VLOOKUP(A108,STK_DIV!$A$2:$E$1048576,4,0)),"",IF(L108&lt;&gt;VLOOKUP(A108,STK_DIV!$A$2:$E$1048576,5,0),"",VLOOKUP(A108,STK_DIV!$A$2:$E$1048576,4,0))),"")</f>
        <v/>
      </c>
      <c r="Q108" t="str">
        <f t="shared" si="10"/>
        <v>VND</v>
      </c>
      <c r="R108" s="2" t="str">
        <f>IF(INDEX(IDX_COMPO!$F:$F,ROW(IDX_COMPO!F108))=0,"",INDEX(IDX_COMPO!$F:$F,ROW(IDX_COMPO!F108)))</f>
        <v>VNXINPRVND</v>
      </c>
      <c r="S108" s="27">
        <f t="shared" si="11"/>
        <v>4.3755845480222691E-3</v>
      </c>
      <c r="Y108">
        <v>0</v>
      </c>
    </row>
    <row r="109" spans="1:25" x14ac:dyDescent="0.2">
      <c r="A109" s="2" t="str">
        <f>IF(INDEX(IDX_COMPO!$A:$A,ROW(IDX_COMPO!A109))=0,"",INDEX(IDX_COMPO!$A:$A,ROW(IDX_COMPO!A109)))</f>
        <v>PVX</v>
      </c>
      <c r="B109" t="str">
        <f>IF($A109&lt;&gt;"",VLOOKUP($A109,STK_REF!$A$2:$H$593,3,0),"")</f>
        <v>VNX Construction</v>
      </c>
      <c r="C109">
        <f>IF($A109&lt;&gt;"",INDEX(IDX_COMPO!$C:$C,SUMPRODUCT(--(IDX_COMPO!$A:$A=$A109),--($R109=IDX_COMPO!$F:$F),ROW(IDX_COMPO!$F:$F))),"")</f>
        <v>250000000</v>
      </c>
      <c r="D109">
        <f>IF($A109&lt;&gt;"",INDEX(IDX_COMPO!$D:$D,SUMPRODUCT(--(IDX_COMPO!$A:$A=$A109),--($R109=IDX_COMPO!$F:$F),ROW(IDX_COMPO!$F:$F))),"")</f>
        <v>100</v>
      </c>
      <c r="E109">
        <f>IF($A109&lt;&gt;"",INDEX(IDX_COMPO!$E:$E,SUMPRODUCT(--(IDX_COMPO!$A:$A=$A109),--($R109=IDX_COMPO!$F:$F),ROW(IDX_COMPO!$F:$F))),"")</f>
        <v>100</v>
      </c>
      <c r="F109" s="10">
        <f>IF($A109&lt;&gt;"",VLOOKUP($A109,STK_PRICES!$A$2:$L$593,12,0),"")</f>
        <v>5200</v>
      </c>
      <c r="G109" t="str">
        <f>IF($A109&lt;&gt;"",VLOOKUP($A109,STK_REF!$A$2:$H$593,7,0),"")</f>
        <v>VND</v>
      </c>
      <c r="H109">
        <f>IF($A109&lt;&gt;"",VLOOKUP($A109,STK_REF!$A$2:$H$593,8,0),"")</f>
        <v>1</v>
      </c>
      <c r="I109" s="8">
        <f>IF(A109&lt;&gt;"",IF(G109=Q109,1,IF(ISNA(VLOOKUP(G109&amp;Q109,CUR_RATES!$A$2:$F$524,4,0)),"",VLOOKUP(G109&amp;Q109,CUR_RATES!$A$2:$F$524,4,0))),"")</f>
        <v>1</v>
      </c>
      <c r="J109" s="10">
        <f t="shared" si="7"/>
        <v>5200</v>
      </c>
      <c r="K109" s="67">
        <f t="shared" si="8"/>
        <v>1300000000000</v>
      </c>
      <c r="L109" s="75">
        <v>41165</v>
      </c>
      <c r="M109" s="1">
        <v>0</v>
      </c>
      <c r="N109" s="8" t="str">
        <f t="shared" si="9"/>
        <v/>
      </c>
      <c r="O109" s="29" t="str">
        <f t="shared" si="6"/>
        <v/>
      </c>
      <c r="P109" s="29" t="str">
        <f>IF(A109&lt;&gt;"",IF(ISNA(VLOOKUP(A109,STK_DIV!$A$2:$E$1048576,4,0)),"",IF(L109&lt;&gt;VLOOKUP(A109,STK_DIV!$A$2:$E$1048576,5,0),"",VLOOKUP(A109,STK_DIV!$A$2:$E$1048576,4,0))),"")</f>
        <v/>
      </c>
      <c r="Q109" t="str">
        <f t="shared" si="10"/>
        <v>VND</v>
      </c>
      <c r="R109" s="2" t="str">
        <f>IF(INDEX(IDX_COMPO!$F:$F,ROW(IDX_COMPO!F109))=0,"",INDEX(IDX_COMPO!$F:$F,ROW(IDX_COMPO!F109)))</f>
        <v>VNXINPRVND</v>
      </c>
      <c r="S109" s="27">
        <f t="shared" si="11"/>
        <v>3.2918170789519384E-2</v>
      </c>
      <c r="Y109">
        <v>0</v>
      </c>
    </row>
    <row r="110" spans="1:25" x14ac:dyDescent="0.2">
      <c r="A110" s="2" t="str">
        <f>IF(INDEX(IDX_COMPO!$A:$A,ROW(IDX_COMPO!A110))=0,"",INDEX(IDX_COMPO!$A:$A,ROW(IDX_COMPO!A110)))</f>
        <v>PSP</v>
      </c>
      <c r="B110" t="str">
        <f>IF($A110&lt;&gt;"",VLOOKUP($A110,STK_REF!$A$2:$H$593,3,0),"")</f>
        <v>Dinh Vu Petroleum Service Port</v>
      </c>
      <c r="C110">
        <f>IF($A110&lt;&gt;"",INDEX(IDX_COMPO!$C:$C,SUMPRODUCT(--(IDX_COMPO!$A:$A=$A110),--($R110=IDX_COMPO!$F:$F),ROW(IDX_COMPO!$F:$F))),"")</f>
        <v>22500000</v>
      </c>
      <c r="D110">
        <f>IF($A110&lt;&gt;"",INDEX(IDX_COMPO!$D:$D,SUMPRODUCT(--(IDX_COMPO!$A:$A=$A110),--($R110=IDX_COMPO!$F:$F),ROW(IDX_COMPO!$F:$F))),"")</f>
        <v>100</v>
      </c>
      <c r="E110">
        <f>IF($A110&lt;&gt;"",INDEX(IDX_COMPO!$E:$E,SUMPRODUCT(--(IDX_COMPO!$A:$A=$A110),--($R110=IDX_COMPO!$F:$F),ROW(IDX_COMPO!$F:$F))),"")</f>
        <v>100</v>
      </c>
      <c r="F110" s="10">
        <f>IF($A110&lt;&gt;"",VLOOKUP($A110,STK_PRICES!$A$2:$L$593,12,0),"")</f>
        <v>5300</v>
      </c>
      <c r="G110" t="str">
        <f>IF($A110&lt;&gt;"",VLOOKUP($A110,STK_REF!$A$2:$H$593,7,0),"")</f>
        <v>VND</v>
      </c>
      <c r="H110">
        <f>IF($A110&lt;&gt;"",VLOOKUP($A110,STK_REF!$A$2:$H$593,8,0),"")</f>
        <v>1</v>
      </c>
      <c r="I110" s="8">
        <f>IF(A110&lt;&gt;"",IF(G110=Q110,1,IF(ISNA(VLOOKUP(G110&amp;Q110,CUR_RATES!$A$2:$F$524,4,0)),"",VLOOKUP(G110&amp;Q110,CUR_RATES!$A$2:$F$524,4,0))),"")</f>
        <v>1</v>
      </c>
      <c r="J110" s="10">
        <f t="shared" si="7"/>
        <v>5300</v>
      </c>
      <c r="K110" s="67">
        <f t="shared" si="8"/>
        <v>119250000000</v>
      </c>
      <c r="L110" s="75">
        <v>41165</v>
      </c>
      <c r="M110" s="1">
        <v>0</v>
      </c>
      <c r="N110" s="8" t="str">
        <f t="shared" si="9"/>
        <v/>
      </c>
      <c r="O110" s="29" t="str">
        <f t="shared" si="6"/>
        <v/>
      </c>
      <c r="P110" s="29" t="str">
        <f>IF(A110&lt;&gt;"",IF(ISNA(VLOOKUP(A110,STK_DIV!$A$2:$E$1048576,4,0)),"",IF(L110&lt;&gt;VLOOKUP(A110,STK_DIV!$A$2:$E$1048576,5,0),"",VLOOKUP(A110,STK_DIV!$A$2:$E$1048576,4,0))),"")</f>
        <v/>
      </c>
      <c r="Q110" t="str">
        <f t="shared" si="10"/>
        <v>VND</v>
      </c>
      <c r="R110" s="2" t="str">
        <f>IF(INDEX(IDX_COMPO!$F:$F,ROW(IDX_COMPO!F110))=0,"",INDEX(IDX_COMPO!$F:$F,ROW(IDX_COMPO!F110)))</f>
        <v>VNXINPRVND</v>
      </c>
      <c r="S110" s="27">
        <f t="shared" si="11"/>
        <v>3.0196091281924509E-3</v>
      </c>
      <c r="Y110">
        <v>0</v>
      </c>
    </row>
    <row r="111" spans="1:25" x14ac:dyDescent="0.2">
      <c r="A111" s="2" t="str">
        <f>IF(INDEX(IDX_COMPO!$A:$A,ROW(IDX_COMPO!A111))=0,"",INDEX(IDX_COMPO!$A:$A,ROW(IDX_COMPO!A111)))</f>
        <v>PTT</v>
      </c>
      <c r="B111" t="str">
        <f>IF($A111&lt;&gt;"",VLOOKUP($A111,STK_REF!$A$2:$H$593,3,0),"")</f>
        <v>Indochina Petroleum Transportation</v>
      </c>
      <c r="C111">
        <f>IF($A111&lt;&gt;"",INDEX(IDX_COMPO!$C:$C,SUMPRODUCT(--(IDX_COMPO!$A:$A=$A111),--($R111=IDX_COMPO!$F:$F),ROW(IDX_COMPO!$F:$F))),"")</f>
        <v>10000000</v>
      </c>
      <c r="D111">
        <f>IF($A111&lt;&gt;"",INDEX(IDX_COMPO!$D:$D,SUMPRODUCT(--(IDX_COMPO!$A:$A=$A111),--($R111=IDX_COMPO!$F:$F),ROW(IDX_COMPO!$F:$F))),"")</f>
        <v>100</v>
      </c>
      <c r="E111">
        <f>IF($A111&lt;&gt;"",INDEX(IDX_COMPO!$E:$E,SUMPRODUCT(--(IDX_COMPO!$A:$A=$A111),--($R111=IDX_COMPO!$F:$F),ROW(IDX_COMPO!$F:$F))),"")</f>
        <v>100</v>
      </c>
      <c r="F111" s="10">
        <f>IF($A111&lt;&gt;"",VLOOKUP($A111,STK_PRICES!$A$2:$L$593,12,0),"")</f>
        <v>1800</v>
      </c>
      <c r="G111" t="str">
        <f>IF($A111&lt;&gt;"",VLOOKUP($A111,STK_REF!$A$2:$H$593,7,0),"")</f>
        <v>VND</v>
      </c>
      <c r="H111">
        <f>IF($A111&lt;&gt;"",VLOOKUP($A111,STK_REF!$A$2:$H$593,8,0),"")</f>
        <v>1</v>
      </c>
      <c r="I111" s="8">
        <f>IF(A111&lt;&gt;"",IF(G111=Q111,1,IF(ISNA(VLOOKUP(G111&amp;Q111,CUR_RATES!$A$2:$F$524,4,0)),"",VLOOKUP(G111&amp;Q111,CUR_RATES!$A$2:$F$524,4,0))),"")</f>
        <v>1</v>
      </c>
      <c r="J111" s="10">
        <f t="shared" si="7"/>
        <v>1800</v>
      </c>
      <c r="K111" s="67">
        <f t="shared" si="8"/>
        <v>18000000000</v>
      </c>
      <c r="L111" s="75">
        <v>41165</v>
      </c>
      <c r="M111" s="1">
        <v>0</v>
      </c>
      <c r="N111" s="8" t="str">
        <f t="shared" si="9"/>
        <v/>
      </c>
      <c r="O111" s="29" t="str">
        <f t="shared" si="6"/>
        <v/>
      </c>
      <c r="P111" s="29" t="str">
        <f>IF(A111&lt;&gt;"",IF(ISNA(VLOOKUP(A111,STK_DIV!$A$2:$E$1048576,4,0)),"",IF(L111&lt;&gt;VLOOKUP(A111,STK_DIV!$A$2:$E$1048576,5,0),"",VLOOKUP(A111,STK_DIV!$A$2:$E$1048576,4,0))),"")</f>
        <v/>
      </c>
      <c r="Q111" t="str">
        <f t="shared" si="10"/>
        <v>VND</v>
      </c>
      <c r="R111" s="2" t="str">
        <f>IF(INDEX(IDX_COMPO!$F:$F,ROW(IDX_COMPO!F111))=0,"",INDEX(IDX_COMPO!$F:$F,ROW(IDX_COMPO!F111)))</f>
        <v>VNXINPRVND</v>
      </c>
      <c r="S111" s="27">
        <f t="shared" si="11"/>
        <v>4.5579005708565302E-4</v>
      </c>
      <c r="Y111">
        <v>0</v>
      </c>
    </row>
    <row r="112" spans="1:25" x14ac:dyDescent="0.2">
      <c r="A112" s="2" t="str">
        <f>IF(INDEX(IDX_COMPO!$A:$A,ROW(IDX_COMPO!A112))=0,"",INDEX(IDX_COMPO!$A:$A,ROW(IDX_COMPO!A112)))</f>
        <v>PGD</v>
      </c>
      <c r="B112" t="str">
        <f>IF($A112&lt;&gt;"",VLOOKUP($A112,STK_REF!$A$2:$H$593,3,0),"")</f>
        <v>VNX Low Pressure Gas Distribution</v>
      </c>
      <c r="C112">
        <f>IF($A112&lt;&gt;"",INDEX(IDX_COMPO!$C:$C,SUMPRODUCT(--(IDX_COMPO!$A:$A=$A112),--($R112=IDX_COMPO!$F:$F),ROW(IDX_COMPO!$F:$F))),"")</f>
        <v>42900000</v>
      </c>
      <c r="D112">
        <f>IF($A112&lt;&gt;"",INDEX(IDX_COMPO!$D:$D,SUMPRODUCT(--(IDX_COMPO!$A:$A=$A112),--($R112=IDX_COMPO!$F:$F),ROW(IDX_COMPO!$F:$F))),"")</f>
        <v>100</v>
      </c>
      <c r="E112">
        <f>IF($A112&lt;&gt;"",INDEX(IDX_COMPO!$E:$E,SUMPRODUCT(--(IDX_COMPO!$A:$A=$A112),--($R112=IDX_COMPO!$F:$F),ROW(IDX_COMPO!$F:$F))),"")</f>
        <v>100</v>
      </c>
      <c r="F112" s="10">
        <f>IF($A112&lt;&gt;"",VLOOKUP($A112,STK_PRICES!$A$2:$L$593,12,0),"")</f>
        <v>38800</v>
      </c>
      <c r="G112" t="str">
        <f>IF($A112&lt;&gt;"",VLOOKUP($A112,STK_REF!$A$2:$H$593,7,0),"")</f>
        <v>VND</v>
      </c>
      <c r="H112">
        <f>IF($A112&lt;&gt;"",VLOOKUP($A112,STK_REF!$A$2:$H$593,8,0),"")</f>
        <v>1</v>
      </c>
      <c r="I112" s="8">
        <f>IF(A112&lt;&gt;"",IF(G112=Q112,1,IF(ISNA(VLOOKUP(G112&amp;Q112,CUR_RATES!$A$2:$F$524,4,0)),"",VLOOKUP(G112&amp;Q112,CUR_RATES!$A$2:$F$524,4,0))),"")</f>
        <v>1</v>
      </c>
      <c r="J112" s="10">
        <f t="shared" si="7"/>
        <v>38800</v>
      </c>
      <c r="K112" s="67">
        <f t="shared" si="8"/>
        <v>1664520000000</v>
      </c>
      <c r="L112" s="75">
        <v>41165</v>
      </c>
      <c r="M112" s="1">
        <v>0</v>
      </c>
      <c r="N112" s="8" t="str">
        <f t="shared" si="9"/>
        <v/>
      </c>
      <c r="O112" s="29" t="str">
        <f t="shared" si="6"/>
        <v/>
      </c>
      <c r="P112" s="29" t="str">
        <f>IF(A112&lt;&gt;"",IF(ISNA(VLOOKUP(A112,STK_DIV!$A$2:$E$1048576,4,0)),"",IF(L112&lt;&gt;VLOOKUP(A112,STK_DIV!$A$2:$E$1048576,5,0),"",VLOOKUP(A112,STK_DIV!$A$2:$E$1048576,4,0))),"")</f>
        <v/>
      </c>
      <c r="Q112" t="str">
        <f t="shared" si="10"/>
        <v>VND</v>
      </c>
      <c r="R112" s="2" t="str">
        <f>IF(INDEX(IDX_COMPO!$F:$F,ROW(IDX_COMPO!F112))=0,"",INDEX(IDX_COMPO!$F:$F,ROW(IDX_COMPO!F112)))</f>
        <v>VNXINPRVND</v>
      </c>
      <c r="S112" s="27">
        <f t="shared" si="11"/>
        <v>4.2148425878900615E-2</v>
      </c>
      <c r="Y112">
        <v>0</v>
      </c>
    </row>
    <row r="113" spans="1:25" x14ac:dyDescent="0.2">
      <c r="A113" s="2" t="str">
        <f>IF(INDEX(IDX_COMPO!$A:$A,ROW(IDX_COMPO!A113))=0,"",INDEX(IDX_COMPO!$A:$A,ROW(IDX_COMPO!A113)))</f>
        <v>PVD</v>
      </c>
      <c r="B113" t="str">
        <f>IF($A113&lt;&gt;"",VLOOKUP($A113,STK_REF!$A$2:$H$593,3,0),"")</f>
        <v>VNX Drilling &amp; Well Services</v>
      </c>
      <c r="C113">
        <f>IF($A113&lt;&gt;"",INDEX(IDX_COMPO!$C:$C,SUMPRODUCT(--(IDX_COMPO!$A:$A=$A113),--($R113=IDX_COMPO!$F:$F),ROW(IDX_COMPO!$F:$F))),"")</f>
        <v>209740215</v>
      </c>
      <c r="D113">
        <f>IF($A113&lt;&gt;"",INDEX(IDX_COMPO!$D:$D,SUMPRODUCT(--(IDX_COMPO!$A:$A=$A113),--($R113=IDX_COMPO!$F:$F),ROW(IDX_COMPO!$F:$F))),"")</f>
        <v>100</v>
      </c>
      <c r="E113">
        <f>IF($A113&lt;&gt;"",INDEX(IDX_COMPO!$E:$E,SUMPRODUCT(--(IDX_COMPO!$A:$A=$A113),--($R113=IDX_COMPO!$F:$F),ROW(IDX_COMPO!$F:$F))),"")</f>
        <v>100</v>
      </c>
      <c r="F113" s="10">
        <f>IF($A113&lt;&gt;"",VLOOKUP($A113,STK_PRICES!$A$2:$L$593,12,0),"")</f>
        <v>35000</v>
      </c>
      <c r="G113" t="str">
        <f>IF($A113&lt;&gt;"",VLOOKUP($A113,STK_REF!$A$2:$H$593,7,0),"")</f>
        <v>VND</v>
      </c>
      <c r="H113">
        <f>IF($A113&lt;&gt;"",VLOOKUP($A113,STK_REF!$A$2:$H$593,8,0),"")</f>
        <v>1</v>
      </c>
      <c r="I113" s="8">
        <f>IF(A113&lt;&gt;"",IF(G113=Q113,1,IF(ISNA(VLOOKUP(G113&amp;Q113,CUR_RATES!$A$2:$F$524,4,0)),"",VLOOKUP(G113&amp;Q113,CUR_RATES!$A$2:$F$524,4,0))),"")</f>
        <v>1</v>
      </c>
      <c r="J113" s="10">
        <f t="shared" si="7"/>
        <v>35000</v>
      </c>
      <c r="K113" s="67">
        <f t="shared" si="8"/>
        <v>7340907525000</v>
      </c>
      <c r="L113" s="75">
        <v>41165</v>
      </c>
      <c r="M113" s="1">
        <v>0</v>
      </c>
      <c r="N113" s="8">
        <f t="shared" si="9"/>
        <v>461428473000</v>
      </c>
      <c r="O113" s="29">
        <f t="shared" si="6"/>
        <v>2200</v>
      </c>
      <c r="P113" s="29">
        <f>IF(A113&lt;&gt;"",IF(ISNA(VLOOKUP(A113,STK_DIV!$A$2:$E$1048576,4,0)),"",IF(L113&lt;&gt;VLOOKUP(A113,STK_DIV!$A$2:$E$1048576,5,0),"",VLOOKUP(A113,STK_DIV!$A$2:$E$1048576,4,0))),"")</f>
        <v>2200</v>
      </c>
      <c r="Q113" t="str">
        <f t="shared" si="10"/>
        <v>VND</v>
      </c>
      <c r="R113" s="2" t="str">
        <f>IF(INDEX(IDX_COMPO!$F:$F,ROW(IDX_COMPO!F113))=0,"",INDEX(IDX_COMPO!$F:$F,ROW(IDX_COMPO!F113)))</f>
        <v>VNXINPRVND</v>
      </c>
      <c r="S113" s="27">
        <f t="shared" si="11"/>
        <v>0.18588403666001388</v>
      </c>
      <c r="Y113">
        <v>0</v>
      </c>
    </row>
    <row r="114" spans="1:25" x14ac:dyDescent="0.2">
      <c r="A114" s="2" t="str">
        <f>IF(INDEX(IDX_COMPO!$A:$A,ROW(IDX_COMPO!A114))=0,"",INDEX(IDX_COMPO!$A:$A,ROW(IDX_COMPO!A114)))</f>
        <v>PCG</v>
      </c>
      <c r="B114" t="str">
        <f>IF($A114&lt;&gt;"",VLOOKUP($A114,STK_REF!$A$2:$H$593,3,0),"")</f>
        <v>PetroVietnam Gas City Investment and Development JSC</v>
      </c>
      <c r="C114">
        <f>IF($A114&lt;&gt;"",INDEX(IDX_COMPO!$C:$C,SUMPRODUCT(--(IDX_COMPO!$A:$A=$A114),--($R114=IDX_COMPO!$F:$F),ROW(IDX_COMPO!$F:$F))),"")</f>
        <v>18870000</v>
      </c>
      <c r="D114">
        <f>IF($A114&lt;&gt;"",INDEX(IDX_COMPO!$D:$D,SUMPRODUCT(--(IDX_COMPO!$A:$A=$A114),--($R114=IDX_COMPO!$F:$F),ROW(IDX_COMPO!$F:$F))),"")</f>
        <v>100</v>
      </c>
      <c r="E114">
        <f>IF($A114&lt;&gt;"",INDEX(IDX_COMPO!$E:$E,SUMPRODUCT(--(IDX_COMPO!$A:$A=$A114),--($R114=IDX_COMPO!$F:$F),ROW(IDX_COMPO!$F:$F))),"")</f>
        <v>100</v>
      </c>
      <c r="F114" s="10">
        <f>IF($A114&lt;&gt;"",VLOOKUP($A114,STK_PRICES!$A$2:$L$593,12,0),"")</f>
        <v>6100</v>
      </c>
      <c r="G114" t="str">
        <f>IF($A114&lt;&gt;"",VLOOKUP($A114,STK_REF!$A$2:$H$593,7,0),"")</f>
        <v>VND</v>
      </c>
      <c r="H114">
        <f>IF($A114&lt;&gt;"",VLOOKUP($A114,STK_REF!$A$2:$H$593,8,0),"")</f>
        <v>1</v>
      </c>
      <c r="I114" s="8">
        <f>IF(A114&lt;&gt;"",IF(G114=Q114,1,IF(ISNA(VLOOKUP(G114&amp;Q114,CUR_RATES!$A$2:$F$524,4,0)),"",VLOOKUP(G114&amp;Q114,CUR_RATES!$A$2:$F$524,4,0))),"")</f>
        <v>1</v>
      </c>
      <c r="J114" s="10">
        <f t="shared" si="7"/>
        <v>6100</v>
      </c>
      <c r="K114" s="67">
        <f t="shared" si="8"/>
        <v>115107000000</v>
      </c>
      <c r="L114" s="75">
        <v>41165</v>
      </c>
      <c r="M114" s="1">
        <v>0</v>
      </c>
      <c r="N114" s="8" t="str">
        <f t="shared" si="9"/>
        <v/>
      </c>
      <c r="O114" s="29" t="str">
        <f t="shared" si="6"/>
        <v/>
      </c>
      <c r="P114" s="29" t="str">
        <f>IF(A114&lt;&gt;"",IF(ISNA(VLOOKUP(A114,STK_DIV!$A$2:$E$1048576,4,0)),"",IF(L114&lt;&gt;VLOOKUP(A114,STK_DIV!$A$2:$E$1048576,5,0),"",VLOOKUP(A114,STK_DIV!$A$2:$E$1048576,4,0))),"")</f>
        <v/>
      </c>
      <c r="Q114" t="str">
        <f t="shared" si="10"/>
        <v>VND</v>
      </c>
      <c r="R114" s="2" t="str">
        <f>IF(INDEX(IDX_COMPO!$F:$F,ROW(IDX_COMPO!F114))=0,"",INDEX(IDX_COMPO!$F:$F,ROW(IDX_COMPO!F114)))</f>
        <v>VNXINPRVND</v>
      </c>
      <c r="S114" s="27">
        <f t="shared" si="11"/>
        <v>2.9147014500532369E-3</v>
      </c>
      <c r="Y114">
        <v>0</v>
      </c>
    </row>
    <row r="115" spans="1:25" x14ac:dyDescent="0.2">
      <c r="A115" s="2" t="str">
        <f>IF(INDEX(IDX_COMPO!$A:$A,ROW(IDX_COMPO!A115))=0,"",INDEX(IDX_COMPO!$A:$A,ROW(IDX_COMPO!A115)))</f>
        <v>PSG</v>
      </c>
      <c r="B115" t="str">
        <f>IF($A115&lt;&gt;"",VLOOKUP($A115,STK_REF!$A$2:$H$593,3,0),"")</f>
        <v>Saigon Petroleum Constrution And Investment JSC</v>
      </c>
      <c r="C115">
        <f>IF($A115&lt;&gt;"",INDEX(IDX_COMPO!$C:$C,SUMPRODUCT(--(IDX_COMPO!$A:$A=$A115),--($R115=IDX_COMPO!$F:$F),ROW(IDX_COMPO!$F:$F))),"")</f>
        <v>35000000</v>
      </c>
      <c r="D115">
        <f>IF($A115&lt;&gt;"",INDEX(IDX_COMPO!$D:$D,SUMPRODUCT(--(IDX_COMPO!$A:$A=$A115),--($R115=IDX_COMPO!$F:$F),ROW(IDX_COMPO!$F:$F))),"")</f>
        <v>100</v>
      </c>
      <c r="E115">
        <f>IF($A115&lt;&gt;"",INDEX(IDX_COMPO!$E:$E,SUMPRODUCT(--(IDX_COMPO!$A:$A=$A115),--($R115=IDX_COMPO!$F:$F),ROW(IDX_COMPO!$F:$F))),"")</f>
        <v>100</v>
      </c>
      <c r="F115" s="10">
        <f>IF($A115&lt;&gt;"",VLOOKUP($A115,STK_PRICES!$A$2:$L$593,12,0),"")</f>
        <v>1300</v>
      </c>
      <c r="G115" t="str">
        <f>IF($A115&lt;&gt;"",VLOOKUP($A115,STK_REF!$A$2:$H$593,7,0),"")</f>
        <v>VND</v>
      </c>
      <c r="H115">
        <f>IF($A115&lt;&gt;"",VLOOKUP($A115,STK_REF!$A$2:$H$593,8,0),"")</f>
        <v>1</v>
      </c>
      <c r="I115" s="8">
        <f>IF(A115&lt;&gt;"",IF(G115=Q115,1,IF(ISNA(VLOOKUP(G115&amp;Q115,CUR_RATES!$A$2:$F$524,4,0)),"",VLOOKUP(G115&amp;Q115,CUR_RATES!$A$2:$F$524,4,0))),"")</f>
        <v>1</v>
      </c>
      <c r="J115" s="10">
        <f t="shared" si="7"/>
        <v>1300</v>
      </c>
      <c r="K115" s="67">
        <f t="shared" si="8"/>
        <v>45500000000</v>
      </c>
      <c r="L115" s="75">
        <v>41165</v>
      </c>
      <c r="M115" s="1">
        <v>0</v>
      </c>
      <c r="N115" s="8" t="str">
        <f t="shared" si="9"/>
        <v/>
      </c>
      <c r="O115" s="29" t="str">
        <f t="shared" si="6"/>
        <v/>
      </c>
      <c r="P115" s="29" t="str">
        <f>IF(A115&lt;&gt;"",IF(ISNA(VLOOKUP(A115,STK_DIV!$A$2:$E$1048576,4,0)),"",IF(L115&lt;&gt;VLOOKUP(A115,STK_DIV!$A$2:$E$1048576,5,0),"",VLOOKUP(A115,STK_DIV!$A$2:$E$1048576,4,0))),"")</f>
        <v/>
      </c>
      <c r="Q115" t="str">
        <f t="shared" si="10"/>
        <v>VND</v>
      </c>
      <c r="R115" s="2" t="str">
        <f>IF(INDEX(IDX_COMPO!$F:$F,ROW(IDX_COMPO!F115))=0,"",INDEX(IDX_COMPO!$F:$F,ROW(IDX_COMPO!F115)))</f>
        <v>VNXINPRVND</v>
      </c>
      <c r="S115" s="27">
        <f t="shared" si="11"/>
        <v>1.1521359776331785E-3</v>
      </c>
      <c r="Y115">
        <v>0</v>
      </c>
    </row>
    <row r="116" spans="1:25" x14ac:dyDescent="0.2">
      <c r="A116" s="2" t="str">
        <f>IF(INDEX(IDX_COMPO!$A:$A,ROW(IDX_COMPO!A116))=0,"",INDEX(IDX_COMPO!$A:$A,ROW(IDX_COMPO!A116)))</f>
        <v>PVD</v>
      </c>
      <c r="B116" t="str">
        <f>IF($A116&lt;&gt;"",VLOOKUP($A116,STK_REF!$A$2:$H$593,3,0),"")</f>
        <v>VNX Drilling &amp; Well Services</v>
      </c>
      <c r="C116">
        <f>IF($A116&lt;&gt;"",INDEX(IDX_COMPO!$C:$C,SUMPRODUCT(--(IDX_COMPO!$A:$A=$A116),--($R116=IDX_COMPO!$F:$F),ROW(IDX_COMPO!$F:$F))),"")</f>
        <v>297802094</v>
      </c>
      <c r="D116">
        <f>IF($A116&lt;&gt;"",INDEX(IDX_COMPO!$D:$D,SUMPRODUCT(--(IDX_COMPO!$A:$A=$A116),--($R116=IDX_COMPO!$F:$F),ROW(IDX_COMPO!$F:$F))),"")</f>
        <v>100</v>
      </c>
      <c r="E116">
        <f>IF($A116&lt;&gt;"",INDEX(IDX_COMPO!$E:$E,SUMPRODUCT(--(IDX_COMPO!$A:$A=$A116),--($R116=IDX_COMPO!$F:$F),ROW(IDX_COMPO!$F:$F))),"")</f>
        <v>100</v>
      </c>
      <c r="F116" s="10">
        <f>IF($A116&lt;&gt;"",VLOOKUP($A116,STK_PRICES!$A$2:$L$593,12,0),"")</f>
        <v>35000</v>
      </c>
      <c r="G116" t="str">
        <f>IF($A116&lt;&gt;"",VLOOKUP($A116,STK_REF!$A$2:$H$593,7,0),"")</f>
        <v>VND</v>
      </c>
      <c r="H116">
        <f>IF($A116&lt;&gt;"",VLOOKUP($A116,STK_REF!$A$2:$H$593,8,0),"")</f>
        <v>1</v>
      </c>
      <c r="I116" s="8">
        <f>IF(A116&lt;&gt;"",IF(G116=Q116,1,IF(ISNA(VLOOKUP(G116&amp;Q116,CUR_RATES!$A$2:$F$524,4,0)),"",VLOOKUP(G116&amp;Q116,CUR_RATES!$A$2:$F$524,4,0))),"")</f>
        <v>1</v>
      </c>
      <c r="J116" s="10">
        <f t="shared" si="7"/>
        <v>35000</v>
      </c>
      <c r="K116" s="67">
        <f t="shared" si="8"/>
        <v>10423073290000</v>
      </c>
      <c r="L116" s="75">
        <v>41165</v>
      </c>
      <c r="M116" s="1">
        <v>0</v>
      </c>
      <c r="N116" s="8">
        <f t="shared" si="9"/>
        <v>655164606800</v>
      </c>
      <c r="O116" s="29">
        <f t="shared" si="6"/>
        <v>2200</v>
      </c>
      <c r="P116" s="29">
        <f>IF(A116&lt;&gt;"",IF(ISNA(VLOOKUP(A116,STK_DIV!$A$2:$E$1048576,4,0)),"",IF(L116&lt;&gt;VLOOKUP(A116,STK_DIV!$A$2:$E$1048576,5,0),"",VLOOKUP(A116,STK_DIV!$A$2:$E$1048576,4,0))),"")</f>
        <v>2200</v>
      </c>
      <c r="Q116" t="str">
        <f t="shared" si="10"/>
        <v>VND</v>
      </c>
      <c r="R116" s="2" t="str">
        <f>IF(INDEX(IDX_COMPO!$F:$F,ROW(IDX_COMPO!F116))=0,"",INDEX(IDX_COMPO!$F:$F,ROW(IDX_COMPO!F116)))</f>
        <v>VNXOGPRVND</v>
      </c>
      <c r="S116" s="27">
        <f t="shared" si="11"/>
        <v>0.2639296205476136</v>
      </c>
      <c r="Y116">
        <v>0</v>
      </c>
    </row>
    <row r="117" spans="1:25" x14ac:dyDescent="0.2">
      <c r="A117" s="2" t="str">
        <f>IF(INDEX(IDX_COMPO!$A:$A,ROW(IDX_COMPO!A117))=0,"",INDEX(IDX_COMPO!$A:$A,ROW(IDX_COMPO!A117)))</f>
        <v>PVS</v>
      </c>
      <c r="B117" t="str">
        <f>IF($A117&lt;&gt;"",VLOOKUP($A117,STK_REF!$A$2:$H$593,3,0),"")</f>
        <v>VNX Technical Services</v>
      </c>
      <c r="C117">
        <f>IF($A117&lt;&gt;"",INDEX(IDX_COMPO!$C:$C,SUMPRODUCT(--(IDX_COMPO!$A:$A=$A117),--($R117=IDX_COMPO!$F:$F),ROW(IDX_COMPO!$F:$F))),"")</f>
        <v>10000000</v>
      </c>
      <c r="D117">
        <f>IF($A117&lt;&gt;"",INDEX(IDX_COMPO!$D:$D,SUMPRODUCT(--(IDX_COMPO!$A:$A=$A117),--($R117=IDX_COMPO!$F:$F),ROW(IDX_COMPO!$F:$F))),"")</f>
        <v>100</v>
      </c>
      <c r="E117">
        <f>IF($A117&lt;&gt;"",INDEX(IDX_COMPO!$E:$E,SUMPRODUCT(--(IDX_COMPO!$A:$A=$A117),--($R117=IDX_COMPO!$F:$F),ROW(IDX_COMPO!$F:$F))),"")</f>
        <v>100</v>
      </c>
      <c r="F117" s="10">
        <f>IF($A117&lt;&gt;"",VLOOKUP($A117,STK_PRICES!$A$2:$L$593,12,0),"")</f>
        <v>15200</v>
      </c>
      <c r="G117" t="str">
        <f>IF($A117&lt;&gt;"",VLOOKUP($A117,STK_REF!$A$2:$H$593,7,0),"")</f>
        <v>VND</v>
      </c>
      <c r="H117">
        <f>IF($A117&lt;&gt;"",VLOOKUP($A117,STK_REF!$A$2:$H$593,8,0),"")</f>
        <v>1</v>
      </c>
      <c r="I117" s="8">
        <f>IF(A117&lt;&gt;"",IF(G117=Q117,1,IF(ISNA(VLOOKUP(G117&amp;Q117,CUR_RATES!$A$2:$F$524,4,0)),"",VLOOKUP(G117&amp;Q117,CUR_RATES!$A$2:$F$524,4,0))),"")</f>
        <v>1</v>
      </c>
      <c r="J117" s="10">
        <f t="shared" si="7"/>
        <v>15200</v>
      </c>
      <c r="K117" s="67">
        <f t="shared" si="8"/>
        <v>152000000000</v>
      </c>
      <c r="L117" s="75">
        <v>41165</v>
      </c>
      <c r="M117" s="1">
        <v>0</v>
      </c>
      <c r="N117" s="8" t="str">
        <f t="shared" si="9"/>
        <v/>
      </c>
      <c r="O117" s="29" t="str">
        <f t="shared" si="6"/>
        <v/>
      </c>
      <c r="P117" s="29" t="str">
        <f>IF(A117&lt;&gt;"",IF(ISNA(VLOOKUP(A117,STK_DIV!$A$2:$E$1048576,4,0)),"",IF(L117&lt;&gt;VLOOKUP(A117,STK_DIV!$A$2:$E$1048576,5,0),"",VLOOKUP(A117,STK_DIV!$A$2:$E$1048576,4,0))),"")</f>
        <v/>
      </c>
      <c r="Q117" t="str">
        <f t="shared" si="10"/>
        <v>VND</v>
      </c>
      <c r="R117" s="2" t="str">
        <f>IF(INDEX(IDX_COMPO!$F:$F,ROW(IDX_COMPO!F117))=0,"",INDEX(IDX_COMPO!$F:$F,ROW(IDX_COMPO!F117)))</f>
        <v>VNXOGPRVND</v>
      </c>
      <c r="S117" s="27">
        <f t="shared" si="11"/>
        <v>3.8488938153899586E-3</v>
      </c>
      <c r="Y117">
        <v>0</v>
      </c>
    </row>
    <row r="118" spans="1:25" x14ac:dyDescent="0.2">
      <c r="A118" s="2" t="str">
        <f>IF(INDEX(IDX_COMPO!$A:$A,ROW(IDX_COMPO!A118))=0,"",INDEX(IDX_COMPO!$A:$A,ROW(IDX_COMPO!A118)))</f>
        <v>PGS</v>
      </c>
      <c r="B118" t="str">
        <f>IF($A118&lt;&gt;"",VLOOKUP($A118,STK_REF!$A$2:$H$593,3,0),"")</f>
        <v>VNX Southern Gas</v>
      </c>
      <c r="C118">
        <f>IF($A118&lt;&gt;"",INDEX(IDX_COMPO!$C:$C,SUMPRODUCT(--(IDX_COMPO!$A:$A=$A118),--($R118=IDX_COMPO!$F:$F),ROW(IDX_COMPO!$F:$F))),"")</f>
        <v>38000000</v>
      </c>
      <c r="D118">
        <f>IF($A118&lt;&gt;"",INDEX(IDX_COMPO!$D:$D,SUMPRODUCT(--(IDX_COMPO!$A:$A=$A118),--($R118=IDX_COMPO!$F:$F),ROW(IDX_COMPO!$F:$F))),"")</f>
        <v>100</v>
      </c>
      <c r="E118">
        <f>IF($A118&lt;&gt;"",INDEX(IDX_COMPO!$E:$E,SUMPRODUCT(--(IDX_COMPO!$A:$A=$A118),--($R118=IDX_COMPO!$F:$F),ROW(IDX_COMPO!$F:$F))),"")</f>
        <v>100</v>
      </c>
      <c r="F118" s="10">
        <f>IF($A118&lt;&gt;"",VLOOKUP($A118,STK_PRICES!$A$2:$L$593,12,0),"")</f>
        <v>17100</v>
      </c>
      <c r="G118" t="str">
        <f>IF($A118&lt;&gt;"",VLOOKUP($A118,STK_REF!$A$2:$H$593,7,0),"")</f>
        <v>VND</v>
      </c>
      <c r="H118">
        <f>IF($A118&lt;&gt;"",VLOOKUP($A118,STK_REF!$A$2:$H$593,8,0),"")</f>
        <v>1</v>
      </c>
      <c r="I118" s="8">
        <f>IF(A118&lt;&gt;"",IF(G118=Q118,1,IF(ISNA(VLOOKUP(G118&amp;Q118,CUR_RATES!$A$2:$F$524,4,0)),"",VLOOKUP(G118&amp;Q118,CUR_RATES!$A$2:$F$524,4,0))),"")</f>
        <v>1</v>
      </c>
      <c r="J118" s="10">
        <f t="shared" si="7"/>
        <v>17100</v>
      </c>
      <c r="K118" s="67">
        <f t="shared" si="8"/>
        <v>649800000000</v>
      </c>
      <c r="L118" s="75">
        <v>41165</v>
      </c>
      <c r="M118" s="1">
        <v>0</v>
      </c>
      <c r="N118" s="8">
        <f t="shared" si="9"/>
        <v>45600000000</v>
      </c>
      <c r="O118" s="29">
        <f t="shared" si="6"/>
        <v>1200</v>
      </c>
      <c r="P118" s="29">
        <f>IF(A118&lt;&gt;"",IF(ISNA(VLOOKUP(A118,STK_DIV!$A$2:$E$1048576,4,0)),"",IF(L118&lt;&gt;VLOOKUP(A118,STK_DIV!$A$2:$E$1048576,5,0),"",VLOOKUP(A118,STK_DIV!$A$2:$E$1048576,4,0))),"")</f>
        <v>1200</v>
      </c>
      <c r="Q118" t="str">
        <f t="shared" si="10"/>
        <v>VND</v>
      </c>
      <c r="R118" s="2" t="str">
        <f>IF(INDEX(IDX_COMPO!$F:$F,ROW(IDX_COMPO!F118))=0,"",INDEX(IDX_COMPO!$F:$F,ROW(IDX_COMPO!F118)))</f>
        <v>VNXOGPRVND</v>
      </c>
      <c r="S118" s="27">
        <f t="shared" si="11"/>
        <v>1.6454021060792072E-2</v>
      </c>
      <c r="Y118">
        <v>0</v>
      </c>
    </row>
    <row r="119" spans="1:25" x14ac:dyDescent="0.2">
      <c r="A119" s="2" t="str">
        <f>IF(INDEX(IDX_COMPO!$A:$A,ROW(IDX_COMPO!A119))=0,"",INDEX(IDX_COMPO!$A:$A,ROW(IDX_COMPO!A119)))</f>
        <v>PVC</v>
      </c>
      <c r="B119" t="str">
        <f>IF($A119&lt;&gt;"",VLOOKUP($A119,STK_REF!$A$2:$H$593,3,0),"")</f>
        <v>Drilling Mud Corp</v>
      </c>
      <c r="C119">
        <f>IF($A119&lt;&gt;"",INDEX(IDX_COMPO!$C:$C,SUMPRODUCT(--(IDX_COMPO!$A:$A=$A119),--($R119=IDX_COMPO!$F:$F),ROW(IDX_COMPO!$F:$F))),"")</f>
        <v>27719850</v>
      </c>
      <c r="D119">
        <f>IF($A119&lt;&gt;"",INDEX(IDX_COMPO!$D:$D,SUMPRODUCT(--(IDX_COMPO!$A:$A=$A119),--($R119=IDX_COMPO!$F:$F),ROW(IDX_COMPO!$F:$F))),"")</f>
        <v>100</v>
      </c>
      <c r="E119">
        <f>IF($A119&lt;&gt;"",INDEX(IDX_COMPO!$E:$E,SUMPRODUCT(--(IDX_COMPO!$A:$A=$A119),--($R119=IDX_COMPO!$F:$F),ROW(IDX_COMPO!$F:$F))),"")</f>
        <v>100</v>
      </c>
      <c r="F119" s="10">
        <f>IF($A119&lt;&gt;"",VLOOKUP($A119,STK_PRICES!$A$2:$L$593,12,0),"")</f>
        <v>12700</v>
      </c>
      <c r="G119" t="str">
        <f>IF($A119&lt;&gt;"",VLOOKUP($A119,STK_REF!$A$2:$H$593,7,0),"")</f>
        <v>VND</v>
      </c>
      <c r="H119">
        <f>IF($A119&lt;&gt;"",VLOOKUP($A119,STK_REF!$A$2:$H$593,8,0),"")</f>
        <v>1</v>
      </c>
      <c r="I119" s="8">
        <f>IF(A119&lt;&gt;"",IF(G119=Q119,1,IF(ISNA(VLOOKUP(G119&amp;Q119,CUR_RATES!$A$2:$F$524,4,0)),"",VLOOKUP(G119&amp;Q119,CUR_RATES!$A$2:$F$524,4,0))),"")</f>
        <v>1</v>
      </c>
      <c r="J119" s="10">
        <f t="shared" si="7"/>
        <v>12700</v>
      </c>
      <c r="K119" s="67">
        <f t="shared" si="8"/>
        <v>352042095000</v>
      </c>
      <c r="L119" s="75">
        <v>41165</v>
      </c>
      <c r="M119" s="1">
        <v>0</v>
      </c>
      <c r="N119" s="8" t="str">
        <f t="shared" si="9"/>
        <v/>
      </c>
      <c r="O119" s="29" t="str">
        <f t="shared" si="6"/>
        <v/>
      </c>
      <c r="P119" s="29" t="str">
        <f>IF(A119&lt;&gt;"",IF(ISNA(VLOOKUP(A119,STK_DIV!$A$2:$E$1048576,4,0)),"",IF(L119&lt;&gt;VLOOKUP(A119,STK_DIV!$A$2:$E$1048576,5,0),"",VLOOKUP(A119,STK_DIV!$A$2:$E$1048576,4,0))),"")</f>
        <v/>
      </c>
      <c r="Q119" t="str">
        <f t="shared" si="10"/>
        <v>VND</v>
      </c>
      <c r="R119" s="2" t="str">
        <f>IF(INDEX(IDX_COMPO!$F:$F,ROW(IDX_COMPO!F119))=0,"",INDEX(IDX_COMPO!$F:$F,ROW(IDX_COMPO!F119)))</f>
        <v>VNXOGPRVND</v>
      </c>
      <c r="S119" s="27">
        <f t="shared" si="11"/>
        <v>8.9142936987001604E-3</v>
      </c>
      <c r="Y119">
        <v>0</v>
      </c>
    </row>
    <row r="120" spans="1:25" x14ac:dyDescent="0.2">
      <c r="A120" s="2" t="str">
        <f>IF(INDEX(IDX_COMPO!$A:$A,ROW(IDX_COMPO!A120))=0,"",INDEX(IDX_COMPO!$A:$A,ROW(IDX_COMPO!A120)))</f>
        <v>PVG</v>
      </c>
      <c r="B120" t="str">
        <f>IF($A120&lt;&gt;"",VLOOKUP($A120,STK_REF!$A$2:$H$593,3,0),"")</f>
        <v>VNX Northern Gas</v>
      </c>
      <c r="C120">
        <f>IF($A120&lt;&gt;"",INDEX(IDX_COMPO!$C:$C,SUMPRODUCT(--(IDX_COMPO!$A:$A=$A120),--($R120=IDX_COMPO!$F:$F),ROW(IDX_COMPO!$F:$F))),"")</f>
        <v>256000000</v>
      </c>
      <c r="D120">
        <f>IF($A120&lt;&gt;"",INDEX(IDX_COMPO!$D:$D,SUMPRODUCT(--(IDX_COMPO!$A:$A=$A120),--($R120=IDX_COMPO!$F:$F),ROW(IDX_COMPO!$F:$F))),"")</f>
        <v>100</v>
      </c>
      <c r="E120">
        <f>IF($A120&lt;&gt;"",INDEX(IDX_COMPO!$E:$E,SUMPRODUCT(--(IDX_COMPO!$A:$A=$A120),--($R120=IDX_COMPO!$F:$F),ROW(IDX_COMPO!$F:$F))),"")</f>
        <v>100</v>
      </c>
      <c r="F120" s="10">
        <f>IF($A120&lt;&gt;"",VLOOKUP($A120,STK_PRICES!$A$2:$L$593,12,0),"")</f>
        <v>9300</v>
      </c>
      <c r="G120" t="str">
        <f>IF($A120&lt;&gt;"",VLOOKUP($A120,STK_REF!$A$2:$H$593,7,0),"")</f>
        <v>VND</v>
      </c>
      <c r="H120">
        <f>IF($A120&lt;&gt;"",VLOOKUP($A120,STK_REF!$A$2:$H$593,8,0),"")</f>
        <v>1</v>
      </c>
      <c r="I120" s="8">
        <f>IF(A120&lt;&gt;"",IF(G120=Q120,1,IF(ISNA(VLOOKUP(G120&amp;Q120,CUR_RATES!$A$2:$F$524,4,0)),"",VLOOKUP(G120&amp;Q120,CUR_RATES!$A$2:$F$524,4,0))),"")</f>
        <v>1</v>
      </c>
      <c r="J120" s="10">
        <f t="shared" si="7"/>
        <v>9300</v>
      </c>
      <c r="K120" s="67">
        <f t="shared" si="8"/>
        <v>2380800000000</v>
      </c>
      <c r="L120" s="75">
        <v>41165</v>
      </c>
      <c r="M120" s="1">
        <v>0</v>
      </c>
      <c r="N120" s="8" t="str">
        <f t="shared" si="9"/>
        <v/>
      </c>
      <c r="O120" s="29" t="str">
        <f t="shared" si="6"/>
        <v/>
      </c>
      <c r="P120" s="29" t="str">
        <f>IF(A120&lt;&gt;"",IF(ISNA(VLOOKUP(A120,STK_DIV!$A$2:$E$1048576,4,0)),"",IF(L120&lt;&gt;VLOOKUP(A120,STK_DIV!$A$2:$E$1048576,5,0),"",VLOOKUP(A120,STK_DIV!$A$2:$E$1048576,4,0))),"")</f>
        <v/>
      </c>
      <c r="Q120" t="str">
        <f t="shared" si="10"/>
        <v>VND</v>
      </c>
      <c r="R120" s="2" t="str">
        <f>IF(INDEX(IDX_COMPO!$F:$F,ROW(IDX_COMPO!F120))=0,"",INDEX(IDX_COMPO!$F:$F,ROW(IDX_COMPO!F120)))</f>
        <v>VNXOGPRVND</v>
      </c>
      <c r="S120" s="27">
        <f t="shared" si="11"/>
        <v>6.0285831550529037E-2</v>
      </c>
      <c r="Y120">
        <v>0</v>
      </c>
    </row>
    <row r="121" spans="1:25" x14ac:dyDescent="0.2">
      <c r="A121" s="2" t="str">
        <f>IF(INDEX(IDX_COMPO!$A:$A,ROW(IDX_COMPO!A121))=0,"",INDEX(IDX_COMPO!$A:$A,ROW(IDX_COMPO!A121)))</f>
        <v>PGD</v>
      </c>
      <c r="B121" t="str">
        <f>IF($A121&lt;&gt;"",VLOOKUP($A121,STK_REF!$A$2:$H$593,3,0),"")</f>
        <v>VNX Low Pressure Gas Distribution</v>
      </c>
      <c r="C121">
        <f>IF($A121&lt;&gt;"",INDEX(IDX_COMPO!$C:$C,SUMPRODUCT(--(IDX_COMPO!$A:$A=$A121),--($R121=IDX_COMPO!$F:$F),ROW(IDX_COMPO!$F:$F))),"")</f>
        <v>42900000</v>
      </c>
      <c r="D121">
        <f>IF($A121&lt;&gt;"",INDEX(IDX_COMPO!$D:$D,SUMPRODUCT(--(IDX_COMPO!$A:$A=$A121),--($R121=IDX_COMPO!$F:$F),ROW(IDX_COMPO!$F:$F))),"")</f>
        <v>100</v>
      </c>
      <c r="E121">
        <f>IF($A121&lt;&gt;"",INDEX(IDX_COMPO!$E:$E,SUMPRODUCT(--(IDX_COMPO!$A:$A=$A121),--($R121=IDX_COMPO!$F:$F),ROW(IDX_COMPO!$F:$F))),"")</f>
        <v>100</v>
      </c>
      <c r="F121" s="10">
        <f>IF($A121&lt;&gt;"",VLOOKUP($A121,STK_PRICES!$A$2:$L$593,12,0),"")</f>
        <v>38800</v>
      </c>
      <c r="G121" t="str">
        <f>IF($A121&lt;&gt;"",VLOOKUP($A121,STK_REF!$A$2:$H$593,7,0),"")</f>
        <v>VND</v>
      </c>
      <c r="H121">
        <f>IF($A121&lt;&gt;"",VLOOKUP($A121,STK_REF!$A$2:$H$593,8,0),"")</f>
        <v>1</v>
      </c>
      <c r="I121" s="8">
        <f>IF(A121&lt;&gt;"",IF(G121=Q121,1,IF(ISNA(VLOOKUP(G121&amp;Q121,CUR_RATES!$A$2:$F$524,4,0)),"",VLOOKUP(G121&amp;Q121,CUR_RATES!$A$2:$F$524,4,0))),"")</f>
        <v>1</v>
      </c>
      <c r="J121" s="10">
        <f t="shared" si="7"/>
        <v>38800</v>
      </c>
      <c r="K121" s="67">
        <f t="shared" si="8"/>
        <v>1664520000000</v>
      </c>
      <c r="L121" s="75">
        <v>41165</v>
      </c>
      <c r="M121" s="1">
        <v>0</v>
      </c>
      <c r="N121" s="8" t="str">
        <f t="shared" si="9"/>
        <v/>
      </c>
      <c r="O121" s="29" t="str">
        <f t="shared" si="6"/>
        <v/>
      </c>
      <c r="P121" s="29" t="str">
        <f>IF(A121&lt;&gt;"",IF(ISNA(VLOOKUP(A121,STK_DIV!$A$2:$E$1048576,4,0)),"",IF(L121&lt;&gt;VLOOKUP(A121,STK_DIV!$A$2:$E$1048576,5,0),"",VLOOKUP(A121,STK_DIV!$A$2:$E$1048576,4,0))),"")</f>
        <v/>
      </c>
      <c r="Q121" t="str">
        <f t="shared" si="10"/>
        <v>VND</v>
      </c>
      <c r="R121" s="2" t="str">
        <f>IF(INDEX(IDX_COMPO!$F:$F,ROW(IDX_COMPO!F121))=0,"",INDEX(IDX_COMPO!$F:$F,ROW(IDX_COMPO!F121)))</f>
        <v>VNXUTPRVND</v>
      </c>
      <c r="S121" s="27">
        <f t="shared" si="11"/>
        <v>4.2148425878900615E-2</v>
      </c>
      <c r="Y121">
        <v>0</v>
      </c>
    </row>
    <row r="122" spans="1:25" x14ac:dyDescent="0.2">
      <c r="A122" s="2" t="str">
        <f>IF(INDEX(IDX_COMPO!$A:$A,ROW(IDX_COMPO!A122))=0,"",INDEX(IDX_COMPO!$A:$A,ROW(IDX_COMPO!A122)))</f>
        <v>NT2</v>
      </c>
      <c r="B122" t="str">
        <f>IF($A122&lt;&gt;"",VLOOKUP($A122,STK_REF!$A$2:$H$593,3,0),"")</f>
        <v>VNX Power NhonTrach 2</v>
      </c>
      <c r="C122">
        <f>IF($A122&lt;&gt;"",INDEX(IDX_COMPO!$C:$C,SUMPRODUCT(--(IDX_COMPO!$A:$A=$A122),--($R122=IDX_COMPO!$F:$F),ROW(IDX_COMPO!$F:$F))),"")</f>
        <v>256000000</v>
      </c>
      <c r="D122">
        <f>IF($A122&lt;&gt;"",INDEX(IDX_COMPO!$D:$D,SUMPRODUCT(--(IDX_COMPO!$A:$A=$A122),--($R122=IDX_COMPO!$F:$F),ROW(IDX_COMPO!$F:$F))),"")</f>
        <v>100</v>
      </c>
      <c r="E122">
        <f>IF($A122&lt;&gt;"",INDEX(IDX_COMPO!$E:$E,SUMPRODUCT(--(IDX_COMPO!$A:$A=$A122),--($R122=IDX_COMPO!$F:$F),ROW(IDX_COMPO!$F:$F))),"")</f>
        <v>100</v>
      </c>
      <c r="F122" s="10">
        <f>IF($A122&lt;&gt;"",VLOOKUP($A122,STK_PRICES!$A$2:$L$593,12,0),"")</f>
        <v>4600</v>
      </c>
      <c r="G122" t="str">
        <f>IF($A122&lt;&gt;"",VLOOKUP($A122,STK_REF!$A$2:$H$593,7,0),"")</f>
        <v>VND</v>
      </c>
      <c r="H122">
        <f>IF($A122&lt;&gt;"",VLOOKUP($A122,STK_REF!$A$2:$H$593,8,0),"")</f>
        <v>1</v>
      </c>
      <c r="I122" s="8">
        <f>IF(A122&lt;&gt;"",IF(G122=Q122,1,IF(ISNA(VLOOKUP(G122&amp;Q122,CUR_RATES!$A$2:$F$524,4,0)),"",VLOOKUP(G122&amp;Q122,CUR_RATES!$A$2:$F$524,4,0))),"")</f>
        <v>1</v>
      </c>
      <c r="J122" s="10">
        <f t="shared" si="7"/>
        <v>4600</v>
      </c>
      <c r="K122" s="67">
        <f t="shared" si="8"/>
        <v>1177600000000</v>
      </c>
      <c r="L122" s="75">
        <v>41165</v>
      </c>
      <c r="M122" s="1">
        <v>0</v>
      </c>
      <c r="N122" s="8" t="str">
        <f t="shared" si="9"/>
        <v/>
      </c>
      <c r="O122" s="29" t="str">
        <f t="shared" si="6"/>
        <v/>
      </c>
      <c r="P122" s="29" t="str">
        <f>IF(A122&lt;&gt;"",IF(ISNA(VLOOKUP(A122,STK_DIV!$A$2:$E$1048576,4,0)),"",IF(L122&lt;&gt;VLOOKUP(A122,STK_DIV!$A$2:$E$1048576,5,0),"",VLOOKUP(A122,STK_DIV!$A$2:$E$1048576,4,0))),"")</f>
        <v/>
      </c>
      <c r="Q122" t="str">
        <f t="shared" si="10"/>
        <v>VND</v>
      </c>
      <c r="R122" s="2" t="str">
        <f>IF(INDEX(IDX_COMPO!$F:$F,ROW(IDX_COMPO!F122))=0,"",INDEX(IDX_COMPO!$F:$F,ROW(IDX_COMPO!F122)))</f>
        <v>VNXUTPRVND</v>
      </c>
      <c r="S122" s="27">
        <f t="shared" si="11"/>
        <v>2.9818798401336943E-2</v>
      </c>
      <c r="Y122">
        <v>0</v>
      </c>
    </row>
    <row r="123" spans="1:25" x14ac:dyDescent="0.2">
      <c r="A123" s="2" t="str">
        <f>IF(INDEX(IDX_COMPO!$A:$A,ROW(IDX_COMPO!A123))=0,"",INDEX(IDX_COMPO!$A:$A,ROW(IDX_COMPO!A123)))</f>
        <v>PCG</v>
      </c>
      <c r="B123" t="str">
        <f>IF($A123&lt;&gt;"",VLOOKUP($A123,STK_REF!$A$2:$H$593,3,0),"")</f>
        <v>PetroVietnam Gas City Investment and Development JSC</v>
      </c>
      <c r="C123">
        <f>IF($A123&lt;&gt;"",INDEX(IDX_COMPO!$C:$C,SUMPRODUCT(--(IDX_COMPO!$A:$A=$A123),--($R123=IDX_COMPO!$F:$F),ROW(IDX_COMPO!$F:$F))),"")</f>
        <v>18870000</v>
      </c>
      <c r="D123">
        <f>IF($A123&lt;&gt;"",INDEX(IDX_COMPO!$D:$D,SUMPRODUCT(--(IDX_COMPO!$A:$A=$A123),--($R123=IDX_COMPO!$F:$F),ROW(IDX_COMPO!$F:$F))),"")</f>
        <v>100</v>
      </c>
      <c r="E123">
        <f>IF($A123&lt;&gt;"",INDEX(IDX_COMPO!$E:$E,SUMPRODUCT(--(IDX_COMPO!$A:$A=$A123),--($R123=IDX_COMPO!$F:$F),ROW(IDX_COMPO!$F:$F))),"")</f>
        <v>100</v>
      </c>
      <c r="F123" s="10">
        <f>IF($A123&lt;&gt;"",VLOOKUP($A123,STK_PRICES!$A$2:$L$593,12,0),"")</f>
        <v>6100</v>
      </c>
      <c r="G123" t="str">
        <f>IF($A123&lt;&gt;"",VLOOKUP($A123,STK_REF!$A$2:$H$593,7,0),"")</f>
        <v>VND</v>
      </c>
      <c r="H123">
        <f>IF($A123&lt;&gt;"",VLOOKUP($A123,STK_REF!$A$2:$H$593,8,0),"")</f>
        <v>1</v>
      </c>
      <c r="I123" s="8">
        <f>IF(A123&lt;&gt;"",IF(G123=Q123,1,IF(ISNA(VLOOKUP(G123&amp;Q123,CUR_RATES!$A$2:$F$524,4,0)),"",VLOOKUP(G123&amp;Q123,CUR_RATES!$A$2:$F$524,4,0))),"")</f>
        <v>1</v>
      </c>
      <c r="J123" s="10">
        <f t="shared" si="7"/>
        <v>6100</v>
      </c>
      <c r="K123" s="67">
        <f t="shared" si="8"/>
        <v>115107000000</v>
      </c>
      <c r="L123" s="75">
        <v>41165</v>
      </c>
      <c r="M123" s="1">
        <v>0</v>
      </c>
      <c r="N123" s="8" t="str">
        <f t="shared" si="9"/>
        <v/>
      </c>
      <c r="O123" s="29" t="str">
        <f t="shared" si="6"/>
        <v/>
      </c>
      <c r="P123" s="29" t="str">
        <f>IF(A123&lt;&gt;"",IF(ISNA(VLOOKUP(A123,STK_DIV!$A$2:$E$1048576,4,0)),"",IF(L123&lt;&gt;VLOOKUP(A123,STK_DIV!$A$2:$E$1048576,5,0),"",VLOOKUP(A123,STK_DIV!$A$2:$E$1048576,4,0))),"")</f>
        <v/>
      </c>
      <c r="Q123" t="str">
        <f t="shared" si="10"/>
        <v>VND</v>
      </c>
      <c r="R123" s="2" t="str">
        <f>IF(INDEX(IDX_COMPO!$F:$F,ROW(IDX_COMPO!F123))=0,"",INDEX(IDX_COMPO!$F:$F,ROW(IDX_COMPO!F123)))</f>
        <v>VNXUTPRVND</v>
      </c>
      <c r="S123" s="27">
        <f t="shared" si="11"/>
        <v>2.9147014500532369E-3</v>
      </c>
      <c r="Y123">
        <v>0</v>
      </c>
    </row>
  </sheetData>
  <autoFilter ref="A1:AB123"/>
  <customSheetViews>
    <customSheetView guid="{8EF2C042-D97C-40EA-9E42-A17331664713}">
      <pane xSplit="2" ySplit="1" topLeftCell="C107" activePane="bottomRight" state="frozen"/>
      <selection pane="bottomRight" activeCell="C122" sqref="C122"/>
      <pageMargins left="0.7" right="0.7" top="0.75" bottom="0.75" header="0.3" footer="0.3"/>
      <pageSetup paperSize="9" orientation="portrait" verticalDpi="0" r:id="rId1"/>
    </customSheetView>
    <customSheetView guid="{E8497AD8-A45C-484D-A252-6E26647DB053}">
      <pane xSplit="2" ySplit="1" topLeftCell="I2" activePane="bottomRight" state="frozen"/>
      <selection pane="bottomRight" activeCell="K10" sqref="K10"/>
      <pageMargins left="0.7" right="0.7" top="0.75" bottom="0.75" header="0.3" footer="0.3"/>
      <pageSetup paperSize="9" orientation="portrait" verticalDpi="0"/>
    </customSheetView>
    <customSheetView guid="{AAB8C83D-EE7C-4F2D-A040-F04A230A06FD}">
      <pane xSplit="2" ySplit="1" topLeftCell="O107" activePane="bottomRight" state="frozen"/>
      <selection pane="bottomRight" activeCell="V22" sqref="V22"/>
      <pageMargins left="0.7" right="0.7" top="0.75" bottom="0.75" header="0.3" footer="0.3"/>
      <pageSetup paperSize="9" orientation="portrait" verticalDpi="0"/>
    </customSheetView>
    <customSheetView guid="{A93D23F5-27FE-48DF-A0DC-3D7A8C6F3CF5}">
      <pane xSplit="2" ySplit="1" topLeftCell="G65" activePane="bottomRight" state="frozen"/>
      <selection pane="bottomRight" activeCell="A83" sqref="A83"/>
      <pageMargins left="0.7" right="0.7" top="0.75" bottom="0.75" header="0.3" footer="0.3"/>
      <pageSetup paperSize="9" orientation="portrait" verticalDpi="0" r:id="rId2"/>
    </customSheetView>
  </customSheetViews>
  <pageMargins left="0.7" right="0.7" top="0.75" bottom="0.75" header="0.3" footer="0.3"/>
  <pageSetup paperSize="9" orientation="portrait" verticalDpi="0"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Y180"/>
  <sheetViews>
    <sheetView topLeftCell="J1" workbookViewId="0">
      <selection activeCell="S39" sqref="S39"/>
    </sheetView>
  </sheetViews>
  <sheetFormatPr defaultRowHeight="12.75" x14ac:dyDescent="0.2"/>
  <cols>
    <col min="1" max="1" width="6" customWidth="1"/>
    <col min="2" max="2" width="15.28515625" bestFit="1" customWidth="1"/>
    <col min="3" max="3" width="35.85546875" bestFit="1" customWidth="1"/>
    <col min="4" max="4" width="10.28515625" bestFit="1" customWidth="1"/>
    <col min="5" max="5" width="10.140625" bestFit="1" customWidth="1"/>
    <col min="6" max="6" width="9.85546875" bestFit="1" customWidth="1"/>
    <col min="7" max="7" width="15.42578125" customWidth="1"/>
    <col min="8" max="8" width="22" style="12" bestFit="1" customWidth="1"/>
    <col min="9" max="9" width="23.42578125" style="12" bestFit="1" customWidth="1"/>
    <col min="10" max="10" width="18.140625" style="12" bestFit="1" customWidth="1"/>
    <col min="11" max="11" width="10.140625" customWidth="1"/>
    <col min="12" max="12" width="8.140625" customWidth="1"/>
    <col min="13" max="13" width="10" customWidth="1"/>
    <col min="14" max="14" width="9.7109375" customWidth="1"/>
    <col min="15" max="15" width="15" customWidth="1"/>
    <col min="16" max="16" width="11.5703125" style="12" customWidth="1"/>
    <col min="17" max="17" width="21.42578125" style="12" customWidth="1"/>
    <col min="18" max="18" width="11.85546875" customWidth="1"/>
    <col min="19" max="19" width="21.42578125" style="8" customWidth="1"/>
    <col min="20" max="20" width="22.42578125" style="8" customWidth="1"/>
    <col min="21" max="21" width="10.42578125" customWidth="1"/>
    <col min="22" max="22" width="12.5703125" style="12" bestFit="1" customWidth="1"/>
    <col min="23" max="23" width="12.7109375" bestFit="1" customWidth="1"/>
    <col min="24" max="24" width="11.85546875" bestFit="1" customWidth="1"/>
    <col min="25" max="25" width="9.5703125" bestFit="1" customWidth="1"/>
  </cols>
  <sheetData>
    <row r="1" spans="1:25" x14ac:dyDescent="0.2">
      <c r="A1" s="3" t="s">
        <v>0</v>
      </c>
      <c r="B1" s="3" t="s">
        <v>57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77</v>
      </c>
      <c r="H1" s="31" t="s">
        <v>78</v>
      </c>
      <c r="I1" s="31" t="s">
        <v>79</v>
      </c>
      <c r="J1" s="23" t="s">
        <v>116</v>
      </c>
      <c r="K1" s="3" t="s">
        <v>10</v>
      </c>
      <c r="L1" s="3" t="s">
        <v>11</v>
      </c>
      <c r="M1" s="3" t="s">
        <v>126</v>
      </c>
      <c r="N1" s="4" t="s">
        <v>86</v>
      </c>
      <c r="O1" s="4" t="s">
        <v>87</v>
      </c>
      <c r="P1" s="31" t="s">
        <v>88</v>
      </c>
      <c r="Q1" s="31" t="s">
        <v>89</v>
      </c>
      <c r="R1" s="3" t="s">
        <v>115</v>
      </c>
      <c r="S1" s="7" t="s">
        <v>137</v>
      </c>
      <c r="T1" s="7" t="s">
        <v>138</v>
      </c>
      <c r="U1" s="4" t="s">
        <v>90</v>
      </c>
      <c r="V1" s="31" t="s">
        <v>397</v>
      </c>
      <c r="W1" s="31" t="s">
        <v>1316</v>
      </c>
      <c r="X1" s="31" t="s">
        <v>416</v>
      </c>
      <c r="Y1" s="31" t="s">
        <v>1367</v>
      </c>
    </row>
    <row r="2" spans="1:25" x14ac:dyDescent="0.2">
      <c r="A2">
        <v>19990</v>
      </c>
      <c r="B2" s="2" t="str">
        <f>IF(INDEX(IDX_REF!$A:$A,ROW(IDX_REF!B2))=0,"",INDEX(IDX_REF!$A:$A,ROW(IDX_REF!B2)))</f>
        <v>VNX10PRVND</v>
      </c>
      <c r="C2" t="str">
        <f>IF(B2&lt;&gt;"",VLOOKUP($B2,IDX_REF!$A$2:$I$900,3,0),"")</f>
        <v xml:space="preserve">VNX 10 </v>
      </c>
      <c r="D2" t="str">
        <f>IF(C2&lt;&gt;"",VLOOKUP($B2,IDX_REF!$A$2:$I$900,4,0),"")</f>
        <v>VND</v>
      </c>
      <c r="E2">
        <f>IF(D2&lt;&gt;"",VLOOKUP($B2,IDX_REF!$A$2:$I$900,5,0),"")</f>
        <v>1000</v>
      </c>
      <c r="F2" t="str">
        <f>IF(E2&lt;&gt;"",VLOOKUP($B2,IDX_REF!$A$2:$I$900,7,0),"")</f>
        <v>P</v>
      </c>
      <c r="G2" t="str">
        <f>IF(F2&lt;&gt;"",VLOOKUP($B2,IDX_REF!$A$2:$I$900,8,0),"")</f>
        <v>VNX10PRVND</v>
      </c>
      <c r="H2" s="12">
        <v>30000000000000</v>
      </c>
      <c r="I2" s="12">
        <f>IF(B2&lt;&gt;"",SUMIF(IDX_COMPOSITION!$R$2:$R$123,IDX_SPECS!$G2,IDX_COMPOSITION!$K$2:$K$123)/V2,"")</f>
        <v>39491866310320.594</v>
      </c>
      <c r="J2" s="12">
        <f t="shared" ref="J2:J33" si="0">IF(B2&lt;&gt;"",IF(F2="P",E2*I2/H2,(W2/VLOOKUP(LEFT(G2,LEN(G2)-3)&amp;D2,$B$2:$W$1048576,22,0))*(VLOOKUP(LEFT(G2,LEN(G2)-3)&amp;D2,$B$2:$W$1048576,9,0)+E2*Q2/H2)),"")</f>
        <v>1316.3955436773531</v>
      </c>
      <c r="K2" s="75">
        <v>41165</v>
      </c>
      <c r="L2" s="1">
        <v>0</v>
      </c>
      <c r="M2">
        <f>IF(B2&lt;&gt;"",COUNTIF(IDX_COMPOSITION!$R$2:$R$123,IDX_SPECS!G2),"")</f>
        <v>10</v>
      </c>
      <c r="N2">
        <f>IF(B2&lt;&gt;"",VLOOKUP($B2,IDX_REF!$A$2:$K$580,10,0),"")</f>
        <v>1</v>
      </c>
      <c r="O2">
        <f>IF(C2&lt;&gt;"",VLOOKUP($B2,IDX_REF!$A$2:$K$580,11,0),"")</f>
        <v>0</v>
      </c>
      <c r="Q2" s="12">
        <f>IF(B2&lt;&gt;"",SUMIF(IDX_COMPOSITION!$R$2:$R$123,IDX_SPECS!$G2,IDX_COMPOSITION!$N$2:$N$123)/V2,"")</f>
        <v>1032314040887.9716</v>
      </c>
      <c r="R2">
        <v>0</v>
      </c>
      <c r="S2" s="25" t="str">
        <f>IF(R2=1,SUMIF(IDX_COMPOSITION!$R$2:$R$123,IDX_SPECS!$G2,IDX_COMPOSITION!#REF!)/IF(ISNA(VLOOKUP(D2&amp;INDEX($D$2:$D$1048576,MATCH(G2,$B$2:$B$1048576,0)),CUR_RATES!$A$2:$F$1048576,4,0)),1,VLOOKUP(D2&amp;INDEX($D$2:$D$1048576,MATCH(G2,$B$2:$B$1048576,0)),CUR_RATES!$A$2:$F$1048576,4,0)),"")</f>
        <v/>
      </c>
      <c r="T2" s="29" t="str">
        <f t="shared" ref="T2:T33" si="1">IF(S2&lt;&gt;"",IF(F2="P",S2*H2/I2,S2*H2/Q2),"")</f>
        <v/>
      </c>
      <c r="U2" t="str">
        <f>IF(B2&lt;&gt;"",VLOOKUP($B2,IDX_REF!$A$2:$K$580,9,0),"")</f>
        <v>Blue Chips</v>
      </c>
      <c r="V2" s="12">
        <f>IF(B2&lt;&gt;"",IF(D2=INDEX($D$2:$D$1048576,MATCH(G2,$B$2:$B$1048576,0)),1,IF(SUMPRODUCT(--(K2=CUR_RATES!$E$1:$E$97),--(D2&amp;INDEX($D$2:$D$1048576,MATCH(G2,$B$2:$B$1048576,0))=CUR_RATES!$A$1:$A$97),ROW(CUR_RATES!$E$1:$E$97))=0,INDEX(CUR_RATES!$D:$D,SUMPRODUCT(--((K2-1)=CUR_RATES!$E$1:$E$97),--(D2&amp;INDEX($D$2:$D$1048576,MATCH(G2,$B$2:$B$1048576,0))=CUR_RATES!$A$1:$A$97),ROW(CUR_RATES!$E$1:$E$97))),INDEX(CUR_RATES!$D:$D,SUMPRODUCT(--(K2=CUR_RATES!$E$1:$E$97),--(D2&amp;INDEX($D$2:$D$1048576,MATCH(G2,$B$2:$B$1048576,0))=CUR_RATES!$A$1:$A$97),ROW(CUR_RATES!$E$1:$E$97))))),"")</f>
        <v>1</v>
      </c>
      <c r="W2">
        <v>1358.26</v>
      </c>
      <c r="Y2" s="12">
        <f>(J2-W2)/W2*100</f>
        <v>-3.0822122658877462</v>
      </c>
    </row>
    <row r="3" spans="1:25" x14ac:dyDescent="0.2">
      <c r="A3">
        <v>19991</v>
      </c>
      <c r="B3" s="2" t="str">
        <f>IF(INDEX(IDX_REF!$A:$A,ROW(IDX_REF!B3))=0,"",INDEX(IDX_REF!$A:$A,ROW(IDX_REF!B3)))</f>
        <v>VNX10PRUSD</v>
      </c>
      <c r="C3" t="str">
        <f>IF(B3&lt;&gt;"",VLOOKUP($B3,IDX_REF!$A$2:$I$900,3,0),"")</f>
        <v>VNX 10 (USD)</v>
      </c>
      <c r="D3" t="str">
        <f>IF(C3&lt;&gt;"",VLOOKUP($B3,IDX_REF!$A$2:$I$900,4,0),"")</f>
        <v>USD</v>
      </c>
      <c r="E3">
        <f>IF(D3&lt;&gt;"",VLOOKUP($B3,IDX_REF!$A$2:$I$900,5,0),"")</f>
        <v>1000</v>
      </c>
      <c r="F3" t="str">
        <f>IF(E3&lt;&gt;"",VLOOKUP($B3,IDX_REF!$A$2:$I$900,7,0),"")</f>
        <v>P</v>
      </c>
      <c r="G3" t="str">
        <f>IF(F3&lt;&gt;"",VLOOKUP($B3,IDX_REF!$A$2:$I$900,8,0),"")</f>
        <v>VNX10PRVND</v>
      </c>
      <c r="H3" s="12">
        <v>1428571428.5714285</v>
      </c>
      <c r="I3" s="12">
        <f>IF(B3&lt;&gt;"",SUMIF(IDX_COMPOSITION!$R$2:$R$123,IDX_SPECS!$G3,IDX_COMPOSITION!$K$2:$K$123)/V3,"")</f>
        <v>1804105359.0827134</v>
      </c>
      <c r="J3" s="12">
        <f t="shared" si="0"/>
        <v>1262.8737513578994</v>
      </c>
      <c r="K3" s="75">
        <v>41165</v>
      </c>
      <c r="L3" s="1">
        <v>0</v>
      </c>
      <c r="M3">
        <f>IF(B3&lt;&gt;"",COUNTIF(IDX_COMPOSITION!$R$2:$R$123,IDX_SPECS!G3),"")</f>
        <v>10</v>
      </c>
      <c r="N3">
        <f>IF(B3&lt;&gt;"",VLOOKUP($B3,IDX_REF!$A$2:$K$580,10,0),"")</f>
        <v>1</v>
      </c>
      <c r="O3">
        <f>IF(C3&lt;&gt;"",VLOOKUP($B3,IDX_REF!$A$2:$K$580,11,0),"")</f>
        <v>0</v>
      </c>
      <c r="Q3" s="12">
        <f>IF(B3&lt;&gt;"",SUMIF(IDX_COMPOSITION!$R$2:$R$123,IDX_SPECS!$G3,IDX_COMPOSITION!$N$2:$N$123)/V3,"")</f>
        <v>47159161.30141487</v>
      </c>
      <c r="R3">
        <v>0</v>
      </c>
      <c r="S3" s="25" t="str">
        <f>IF(R3=1,SUMIF(IDX_COMPOSITION!$R$2:$R$123,IDX_SPECS!$G3,IDX_COMPOSITION!#REF!)/IF(ISNA(VLOOKUP(D3&amp;INDEX($D$2:$D$1048576,MATCH(G3,$B$2:$B$1048576,0)),CUR_RATES!$A$2:$F$1048576,4,0)),1,VLOOKUP(D3&amp;INDEX($D$2:$D$1048576,MATCH(G3,$B$2:$B$1048576,0)),CUR_RATES!$A$2:$F$1048576,4,0)),"")</f>
        <v/>
      </c>
      <c r="T3" s="29" t="str">
        <f t="shared" si="1"/>
        <v/>
      </c>
      <c r="U3" t="str">
        <f>IF(B3&lt;&gt;"",VLOOKUP($B3,IDX_REF!$A$2:$K$580,9,0),"")</f>
        <v>Blue Chips</v>
      </c>
      <c r="V3" s="12">
        <f>IF(B3&lt;&gt;"",IF(D3=INDEX($D$2:$D$1048576,MATCH(G3,$B$2:$B$1048576,0)),1,IF(SUMPRODUCT(--(K3=CUR_RATES!$E$1:$E$97),--(D3&amp;INDEX($D$2:$D$1048576,MATCH(G3,$B$2:$B$1048576,0))=CUR_RATES!$A$1:$A$97),ROW(CUR_RATES!$E$1:$E$97))=0,INDEX(CUR_RATES!$D:$D,SUMPRODUCT(--((K3-1)=CUR_RATES!$E$1:$E$97),--(D3&amp;INDEX($D$2:$D$1048576,MATCH(G3,$B$2:$B$1048576,0))=CUR_RATES!$A$1:$A$97),ROW(CUR_RATES!$E$1:$E$97))),INDEX(CUR_RATES!$D:$D,SUMPRODUCT(--(K3=CUR_RATES!$E$1:$E$97),--(D3&amp;INDEX($D$2:$D$1048576,MATCH(G3,$B$2:$B$1048576,0))=CUR_RATES!$A$1:$A$97),ROW(CUR_RATES!$E$1:$E$97))))),"")</f>
        <v>21890</v>
      </c>
      <c r="W3">
        <v>1198.4110000000001</v>
      </c>
      <c r="Y3" s="12">
        <f t="shared" ref="Y3:Y66" si="2">(J3-W3)/W3*100</f>
        <v>5.3790186637054713</v>
      </c>
    </row>
    <row r="4" spans="1:25" x14ac:dyDescent="0.2">
      <c r="A4">
        <v>19992</v>
      </c>
      <c r="B4" s="2" t="str">
        <f>IF(INDEX(IDX_REF!$A:$A,ROW(IDX_REF!B4))=0,"",INDEX(IDX_REF!$A:$A,ROW(IDX_REF!B4)))</f>
        <v>VNX10PRJPY</v>
      </c>
      <c r="C4" t="str">
        <f>IF(B4&lt;&gt;"",VLOOKUP($B4,IDX_REF!$A$2:$I$900,3,0),"")</f>
        <v>VNX 10 (JPY)</v>
      </c>
      <c r="D4" t="str">
        <f>IF(C4&lt;&gt;"",VLOOKUP($B4,IDX_REF!$A$2:$I$900,4,0),"")</f>
        <v>JPY</v>
      </c>
      <c r="E4">
        <f>IF(D4&lt;&gt;"",VLOOKUP($B4,IDX_REF!$A$2:$I$900,5,0),"")</f>
        <v>1000</v>
      </c>
      <c r="F4" t="str">
        <f>IF(E4&lt;&gt;"",VLOOKUP($B4,IDX_REF!$A$2:$I$900,7,0),"")</f>
        <v>P</v>
      </c>
      <c r="G4" t="str">
        <f>IF(F4&lt;&gt;"",VLOOKUP($B4,IDX_REF!$A$2:$I$900,8,0),"")</f>
        <v>VNX10PRVND</v>
      </c>
      <c r="H4" s="12">
        <v>113207547169.81133</v>
      </c>
      <c r="I4" s="12">
        <f>IF(B4&lt;&gt;"",SUMIF(IDX_COMPOSITION!$R$2:$R$123,IDX_SPECS!$G4,IDX_COMPOSITION!$K$2:$K$123)/V4,"")</f>
        <v>140042079114.61203</v>
      </c>
      <c r="J4" s="12">
        <f t="shared" si="0"/>
        <v>1237.0383655124062</v>
      </c>
      <c r="K4" s="75">
        <v>41165</v>
      </c>
      <c r="L4" s="1">
        <v>0</v>
      </c>
      <c r="M4">
        <f>IF(B4&lt;&gt;"",COUNTIF(IDX_COMPOSITION!$R$2:$R$123,IDX_SPECS!G4),"")</f>
        <v>10</v>
      </c>
      <c r="N4">
        <f>IF(B4&lt;&gt;"",VLOOKUP($B4,IDX_REF!$A$2:$K$580,10,0),"")</f>
        <v>1</v>
      </c>
      <c r="O4">
        <f>IF(C4&lt;&gt;"",VLOOKUP($B4,IDX_REF!$A$2:$K$580,11,0),"")</f>
        <v>0</v>
      </c>
      <c r="Q4" s="12">
        <f>IF(B4&lt;&gt;"",SUMIF(IDX_COMPOSITION!$R$2:$R$123,IDX_SPECS!$G4,IDX_COMPOSITION!$N$2:$N$123)/V4,"")</f>
        <v>3660688088.2552185</v>
      </c>
      <c r="R4">
        <v>0</v>
      </c>
      <c r="S4" s="25" t="str">
        <f>IF(R4=1,SUMIF(IDX_COMPOSITION!$R$2:$R$123,IDX_SPECS!$G4,IDX_COMPOSITION!#REF!)/IF(ISNA(VLOOKUP(D4&amp;INDEX($D$2:$D$1048576,MATCH(G4,$B$2:$B$1048576,0)),CUR_RATES!$A$2:$F$1048576,4,0)),1,VLOOKUP(D4&amp;INDEX($D$2:$D$1048576,MATCH(G4,$B$2:$B$1048576,0)),CUR_RATES!$A$2:$F$1048576,4,0)),"")</f>
        <v/>
      </c>
      <c r="T4" s="29" t="str">
        <f t="shared" si="1"/>
        <v/>
      </c>
      <c r="U4" t="str">
        <f>IF(B4&lt;&gt;"",VLOOKUP($B4,IDX_REF!$A$2:$K$580,9,0),"")</f>
        <v>Blue Chips</v>
      </c>
      <c r="V4" s="12">
        <f>IF(B4&lt;&gt;"",IF(D4=INDEX($D$2:$D$1048576,MATCH(G4,$B$2:$B$1048576,0)),1,IF(SUMPRODUCT(--(K4=CUR_RATES!$E$1:$E$97),--(D4&amp;INDEX($D$2:$D$1048576,MATCH(G4,$B$2:$B$1048576,0))=CUR_RATES!$A$1:$A$97),ROW(CUR_RATES!$E$1:$E$97))=0,INDEX(CUR_RATES!$D:$D,SUMPRODUCT(--((K4-1)=CUR_RATES!$E$1:$E$97),--(D4&amp;INDEX($D$2:$D$1048576,MATCH(G4,$B$2:$B$1048576,0))=CUR_RATES!$A$1:$A$97),ROW(CUR_RATES!$E$1:$E$97))),INDEX(CUR_RATES!$D:$D,SUMPRODUCT(--(K4=CUR_RATES!$E$1:$E$97),--(D4&amp;INDEX($D$2:$D$1048576,MATCH(G4,$B$2:$B$1048576,0))=CUR_RATES!$A$1:$A$97),ROW(CUR_RATES!$E$1:$E$97))))),"")</f>
        <v>282</v>
      </c>
      <c r="W4">
        <v>1200.989</v>
      </c>
      <c r="Y4" s="12">
        <f t="shared" si="2"/>
        <v>3.0016399411157146</v>
      </c>
    </row>
    <row r="5" spans="1:25" x14ac:dyDescent="0.2">
      <c r="A5">
        <v>19993</v>
      </c>
      <c r="B5" s="2" t="str">
        <f>IF(INDEX(IDX_REF!$A:$A,ROW(IDX_REF!B5))=0,"",INDEX(IDX_REF!$A:$A,ROW(IDX_REF!B5)))</f>
        <v>VNX10PREUR</v>
      </c>
      <c r="C5" t="str">
        <f>IF(B5&lt;&gt;"",VLOOKUP($B5,IDX_REF!$A$2:$I$900,3,0),"")</f>
        <v>VNX 10 (EUR)</v>
      </c>
      <c r="D5" t="str">
        <f>IF(C5&lt;&gt;"",VLOOKUP($B5,IDX_REF!$A$2:$I$900,4,0),"")</f>
        <v>EUR</v>
      </c>
      <c r="E5">
        <f>IF(D5&lt;&gt;"",VLOOKUP($B5,IDX_REF!$A$2:$I$900,5,0),"")</f>
        <v>1000</v>
      </c>
      <c r="F5" t="str">
        <f>IF(E5&lt;&gt;"",VLOOKUP($B5,IDX_REF!$A$2:$I$900,7,0),"")</f>
        <v>P</v>
      </c>
      <c r="G5" t="str">
        <f>IF(F5&lt;&gt;"",VLOOKUP($B5,IDX_REF!$A$2:$I$900,8,0),"")</f>
        <v>VNX10PRVND</v>
      </c>
      <c r="H5" s="12">
        <v>1034482758.6206897</v>
      </c>
      <c r="I5" s="12">
        <f>IF(B5&lt;&gt;"",SUMIF(IDX_COMPOSITION!$R$2:$R$123,IDX_SPECS!$G5,IDX_COMPOSITION!$K$2:$K$123)/V5,"")</f>
        <v>1324755634.9040208</v>
      </c>
      <c r="J5" s="12">
        <f t="shared" si="0"/>
        <v>1280.5971137405534</v>
      </c>
      <c r="K5" s="75">
        <v>41165</v>
      </c>
      <c r="L5" s="1">
        <v>0</v>
      </c>
      <c r="M5">
        <f>IF(B5&lt;&gt;"",COUNTIF(IDX_COMPOSITION!$R$2:$R$123,IDX_SPECS!G5),"")</f>
        <v>10</v>
      </c>
      <c r="N5">
        <f>IF(B5&lt;&gt;"",VLOOKUP($B5,IDX_REF!$A$2:$K$580,10,0),"")</f>
        <v>1</v>
      </c>
      <c r="O5">
        <f>IF(C5&lt;&gt;"",VLOOKUP($B5,IDX_REF!$A$2:$K$580,11,0),"")</f>
        <v>0</v>
      </c>
      <c r="Q5" s="12">
        <f>IF(B5&lt;&gt;"",SUMIF(IDX_COMPOSITION!$R$2:$R$123,IDX_SPECS!$G5,IDX_COMPOSITION!$N$2:$N$123)/V5,"")</f>
        <v>34629000.106269687</v>
      </c>
      <c r="R5">
        <v>0</v>
      </c>
      <c r="S5" s="25" t="str">
        <f>IF(R5=1,SUMIF(IDX_COMPOSITION!$R$2:$R$123,IDX_SPECS!$G5,IDX_COMPOSITION!#REF!)/IF(ISNA(VLOOKUP(D5&amp;INDEX($D$2:$D$1048576,MATCH(G5,$B$2:$B$1048576,0)),CUR_RATES!$A$2:$F$1048576,4,0)),1,VLOOKUP(D5&amp;INDEX($D$2:$D$1048576,MATCH(G5,$B$2:$B$1048576,0)),CUR_RATES!$A$2:$F$1048576,4,0)),"")</f>
        <v/>
      </c>
      <c r="T5" s="29" t="str">
        <f t="shared" si="1"/>
        <v/>
      </c>
      <c r="U5" t="str">
        <f>IF(B5&lt;&gt;"",VLOOKUP($B5,IDX_REF!$A$2:$K$580,9,0),"")</f>
        <v>Blue Chips</v>
      </c>
      <c r="V5" s="12">
        <f>IF(B5&lt;&gt;"",IF(D5=INDEX($D$2:$D$1048576,MATCH(G5,$B$2:$B$1048576,0)),1,IF(SUMPRODUCT(--(K5=CUR_RATES!$E$1:$E$97),--(D5&amp;INDEX($D$2:$D$1048576,MATCH(G5,$B$2:$B$1048576,0))=CUR_RATES!$A$1:$A$97),ROW(CUR_RATES!$E$1:$E$97))=0,INDEX(CUR_RATES!$D:$D,SUMPRODUCT(--((K5-1)=CUR_RATES!$E$1:$E$97),--(D5&amp;INDEX($D$2:$D$1048576,MATCH(G5,$B$2:$B$1048576,0))=CUR_RATES!$A$1:$A$97),ROW(CUR_RATES!$E$1:$E$97))),INDEX(CUR_RATES!$D:$D,SUMPRODUCT(--(K5=CUR_RATES!$E$1:$E$97),--(D5&amp;INDEX($D$2:$D$1048576,MATCH(G5,$B$2:$B$1048576,0))=CUR_RATES!$A$1:$A$97),ROW(CUR_RATES!$E$1:$E$97))))),"")</f>
        <v>29810.68</v>
      </c>
      <c r="W5">
        <v>1309.029</v>
      </c>
      <c r="Y5" s="12">
        <f t="shared" si="2"/>
        <v>-2.171982917066515</v>
      </c>
    </row>
    <row r="6" spans="1:25" x14ac:dyDescent="0.2">
      <c r="A6">
        <v>19994</v>
      </c>
      <c r="B6" s="2" t="str">
        <f>IF(INDEX(IDX_REF!$A:$A,ROW(IDX_REF!B6))=0,"",INDEX(IDX_REF!$A:$A,ROW(IDX_REF!B6)))</f>
        <v>VNX10TRVND</v>
      </c>
      <c r="C6" t="str">
        <f>IF(B6&lt;&gt;"",VLOOKUP($B6,IDX_REF!$A$2:$I$900,3,0),"")</f>
        <v xml:space="preserve">VNX 10 TR </v>
      </c>
      <c r="D6" t="str">
        <f>IF(C6&lt;&gt;"",VLOOKUP($B6,IDX_REF!$A$2:$I$900,4,0),"")</f>
        <v>VND</v>
      </c>
      <c r="E6">
        <f>IF(D6&lt;&gt;"",VLOOKUP($B6,IDX_REF!$A$2:$I$900,5,0),"")</f>
        <v>1000</v>
      </c>
      <c r="F6" t="str">
        <f>IF(E6&lt;&gt;"",VLOOKUP($B6,IDX_REF!$A$2:$I$900,7,0),"")</f>
        <v>R</v>
      </c>
      <c r="G6" t="str">
        <f>IF(F6&lt;&gt;"",VLOOKUP($B6,IDX_REF!$A$2:$I$900,8,0),"")</f>
        <v>VNX10PRVND</v>
      </c>
      <c r="H6" s="12">
        <v>30000000000000</v>
      </c>
      <c r="I6" s="12">
        <f>IF(B6&lt;&gt;"",SUMIF(IDX_COMPOSITION!$R$2:$R$123,IDX_SPECS!$G6,IDX_COMPOSITION!$K$2:$K$123)/V6,"")</f>
        <v>39491866310320.594</v>
      </c>
      <c r="J6" s="12">
        <f t="shared" si="0"/>
        <v>1469.3140631602996</v>
      </c>
      <c r="K6" s="75">
        <v>41165</v>
      </c>
      <c r="L6" s="1">
        <v>0</v>
      </c>
      <c r="M6">
        <f>IF(B6&lt;&gt;"",COUNTIF(IDX_COMPOSITION!$R$2:$R$123,IDX_SPECS!G6),"")</f>
        <v>10</v>
      </c>
      <c r="N6">
        <f>IF(B6&lt;&gt;"",VLOOKUP($B6,IDX_REF!$A$2:$K$580,10,0),"")</f>
        <v>1</v>
      </c>
      <c r="O6">
        <f>IF(C6&lt;&gt;"",VLOOKUP($B6,IDX_REF!$A$2:$K$580,11,0),"")</f>
        <v>0</v>
      </c>
      <c r="Q6" s="12">
        <f>IF(B6&lt;&gt;"",SUMIF(IDX_COMPOSITION!$R$2:$R$123,IDX_SPECS!$G6,IDX_COMPOSITION!$N$2:$N$123)/V6,"")</f>
        <v>1032314040887.9716</v>
      </c>
      <c r="R6">
        <v>0</v>
      </c>
      <c r="S6" s="25" t="str">
        <f>IF(R6=1,SUMIF(IDX_COMPOSITION!$R$2:$R$123,IDX_SPECS!$G6,IDX_COMPOSITION!#REF!)/IF(ISNA(VLOOKUP(D6&amp;INDEX($D$2:$D$1048576,MATCH(G6,$B$2:$B$1048576,0)),CUR_RATES!$A$2:$F$1048576,4,0)),1,VLOOKUP(D6&amp;INDEX($D$2:$D$1048576,MATCH(G6,$B$2:$B$1048576,0)),CUR_RATES!$A$2:$F$1048576,4,0)),"")</f>
        <v/>
      </c>
      <c r="T6" s="29" t="str">
        <f t="shared" si="1"/>
        <v/>
      </c>
      <c r="U6" t="str">
        <f>IF(B6&lt;&gt;"",VLOOKUP($B6,IDX_REF!$A$2:$K$580,9,0),"")</f>
        <v>Blue Chips</v>
      </c>
      <c r="V6" s="12">
        <f>IF(B6&lt;&gt;"",IF(D6=INDEX($D$2:$D$1048576,MATCH(G6,$B$2:$B$1048576,0)),1,IF(SUMPRODUCT(--(K6=CUR_RATES!$E$1:$E$97),--(D6&amp;INDEX($D$2:$D$1048576,MATCH(G6,$B$2:$B$1048576,0))=CUR_RATES!$A$1:$A$97),ROW(CUR_RATES!$E$1:$E$97))=0,INDEX(CUR_RATES!$D:$D,SUMPRODUCT(--((K6-1)=CUR_RATES!$E$1:$E$97),--(D6&amp;INDEX($D$2:$D$1048576,MATCH(G6,$B$2:$B$1048576,0))=CUR_RATES!$A$1:$A$97),ROW(CUR_RATES!$E$1:$E$97))),INDEX(CUR_RATES!$D:$D,SUMPRODUCT(--(K6=CUR_RATES!$E$1:$E$97),--(D6&amp;INDEX($D$2:$D$1048576,MATCH(G6,$B$2:$B$1048576,0))=CUR_RATES!$A$1:$A$97),ROW(CUR_RATES!$E$1:$E$97))))),"")</f>
        <v>1</v>
      </c>
      <c r="W6">
        <v>1477.422</v>
      </c>
      <c r="Y6" s="12">
        <f t="shared" si="2"/>
        <v>-0.54878950223432532</v>
      </c>
    </row>
    <row r="7" spans="1:25" x14ac:dyDescent="0.2">
      <c r="A7">
        <v>19995</v>
      </c>
      <c r="B7" s="2" t="str">
        <f>IF(INDEX(IDX_REF!$A:$A,ROW(IDX_REF!B7))=0,"",INDEX(IDX_REF!$A:$A,ROW(IDX_REF!B7)))</f>
        <v>VNX10TRUSD</v>
      </c>
      <c r="C7" t="str">
        <f>IF(B7&lt;&gt;"",VLOOKUP($B7,IDX_REF!$A$2:$I$900,3,0),"")</f>
        <v>VNX 10 TR (USD)</v>
      </c>
      <c r="D7" t="str">
        <f>IF(C7&lt;&gt;"",VLOOKUP($B7,IDX_REF!$A$2:$I$900,4,0),"")</f>
        <v>USD</v>
      </c>
      <c r="E7">
        <f>IF(D7&lt;&gt;"",VLOOKUP($B7,IDX_REF!$A$2:$I$900,5,0),"")</f>
        <v>1000</v>
      </c>
      <c r="F7" t="str">
        <f>IF(E7&lt;&gt;"",VLOOKUP($B7,IDX_REF!$A$2:$I$900,7,0),"")</f>
        <v>R</v>
      </c>
      <c r="G7" t="str">
        <f>IF(F7&lt;&gt;"",VLOOKUP($B7,IDX_REF!$A$2:$I$900,8,0),"")</f>
        <v>VNX10PRVND</v>
      </c>
      <c r="H7" s="12">
        <v>1428571428571.4285</v>
      </c>
      <c r="I7" s="12">
        <f>IF(B7&lt;&gt;"",SUMIF(IDX_COMPOSITION!$R$2:$R$123,IDX_SPECS!$G7,IDX_COMPOSITION!$K$2:$K$123)/V7,"")</f>
        <v>1804105359.0827134</v>
      </c>
      <c r="J7" s="12">
        <f t="shared" si="0"/>
        <v>1380.0649491952047</v>
      </c>
      <c r="K7" s="75">
        <v>41165</v>
      </c>
      <c r="L7" s="1">
        <v>0</v>
      </c>
      <c r="M7">
        <f>IF(B7&lt;&gt;"",COUNTIF(IDX_COMPOSITION!$R$2:$R$123,IDX_SPECS!G7),"")</f>
        <v>10</v>
      </c>
      <c r="N7">
        <f>IF(B7&lt;&gt;"",VLOOKUP($B7,IDX_REF!$A$2:$K$580,10,0),"")</f>
        <v>1</v>
      </c>
      <c r="O7">
        <f>IF(C7&lt;&gt;"",VLOOKUP($B7,IDX_REF!$A$2:$K$580,11,0),"")</f>
        <v>0</v>
      </c>
      <c r="Q7" s="12">
        <f>IF(B7&lt;&gt;"",SUMIF(IDX_COMPOSITION!$R$2:$R$123,IDX_SPECS!$G7,IDX_COMPOSITION!$N$2:$N$123)/V7,"")</f>
        <v>47159161.30141487</v>
      </c>
      <c r="R7">
        <v>0</v>
      </c>
      <c r="S7" s="25" t="str">
        <f>IF(R7=1,SUMIF(IDX_COMPOSITION!$R$2:$R$123,IDX_SPECS!$G7,IDX_COMPOSITION!#REF!)/IF(ISNA(VLOOKUP(D7&amp;INDEX($D$2:$D$1048576,MATCH(G7,$B$2:$B$1048576,0)),CUR_RATES!$A$2:$F$1048576,4,0)),1,VLOOKUP(D7&amp;INDEX($D$2:$D$1048576,MATCH(G7,$B$2:$B$1048576,0)),CUR_RATES!$A$2:$F$1048576,4,0)),"")</f>
        <v/>
      </c>
      <c r="T7" s="29" t="str">
        <f t="shared" si="1"/>
        <v/>
      </c>
      <c r="U7" t="str">
        <f>IF(B7&lt;&gt;"",VLOOKUP($B7,IDX_REF!$A$2:$K$580,9,0),"")</f>
        <v>Blue Chips</v>
      </c>
      <c r="V7" s="12">
        <f>IF(B7&lt;&gt;"",IF(D7=INDEX($D$2:$D$1048576,MATCH(G7,$B$2:$B$1048576,0)),1,IF(SUMPRODUCT(--(K7=CUR_RATES!$E$1:$E$97),--(D7&amp;INDEX($D$2:$D$1048576,MATCH(G7,$B$2:$B$1048576,0))=CUR_RATES!$A$1:$A$97),ROW(CUR_RATES!$E$1:$E$97))=0,INDEX(CUR_RATES!$D:$D,SUMPRODUCT(--((K7-1)=CUR_RATES!$E$1:$E$97),--(D7&amp;INDEX($D$2:$D$1048576,MATCH(G7,$B$2:$B$1048576,0))=CUR_RATES!$A$1:$A$97),ROW(CUR_RATES!$E$1:$E$97))),INDEX(CUR_RATES!$D:$D,SUMPRODUCT(--(K7=CUR_RATES!$E$1:$E$97),--(D7&amp;INDEX($D$2:$D$1048576,MATCH(G7,$B$2:$B$1048576,0))=CUR_RATES!$A$1:$A$97),ROW(CUR_RATES!$E$1:$E$97))))),"")</f>
        <v>21890</v>
      </c>
      <c r="W7">
        <v>1309.586</v>
      </c>
      <c r="Y7" s="12">
        <f t="shared" si="2"/>
        <v>5.3817732623290624</v>
      </c>
    </row>
    <row r="8" spans="1:25" x14ac:dyDescent="0.2">
      <c r="A8">
        <v>19996</v>
      </c>
      <c r="B8" s="2" t="str">
        <f>IF(INDEX(IDX_REF!$A:$A,ROW(IDX_REF!B8))=0,"",INDEX(IDX_REF!$A:$A,ROW(IDX_REF!B8)))</f>
        <v>VNX10TRJPY</v>
      </c>
      <c r="C8" t="str">
        <f>IF(B8&lt;&gt;"",VLOOKUP($B8,IDX_REF!$A$2:$I$900,3,0),"")</f>
        <v>VNX 10 TR (JPY)</v>
      </c>
      <c r="D8" t="str">
        <f>IF(C8&lt;&gt;"",VLOOKUP($B8,IDX_REF!$A$2:$I$900,4,0),"")</f>
        <v>JPY</v>
      </c>
      <c r="E8">
        <f>IF(D8&lt;&gt;"",VLOOKUP($B8,IDX_REF!$A$2:$I$900,5,0),"")</f>
        <v>1000</v>
      </c>
      <c r="F8" t="str">
        <f>IF(E8&lt;&gt;"",VLOOKUP($B8,IDX_REF!$A$2:$I$900,7,0),"")</f>
        <v>R</v>
      </c>
      <c r="G8" t="str">
        <f>IF(F8&lt;&gt;"",VLOOKUP($B8,IDX_REF!$A$2:$I$900,8,0),"")</f>
        <v>VNX10PRVND</v>
      </c>
      <c r="H8" s="12">
        <v>113207547169.81133</v>
      </c>
      <c r="I8" s="12">
        <f>IF(B8&lt;&gt;"",SUMIF(IDX_COMPOSITION!$R$2:$R$123,IDX_SPECS!$G8,IDX_COMPOSITION!$K$2:$K$123)/V8,"")</f>
        <v>140042079114.61203</v>
      </c>
      <c r="J8" s="12">
        <f t="shared" si="0"/>
        <v>1464.8250193505332</v>
      </c>
      <c r="K8" s="75">
        <v>41165</v>
      </c>
      <c r="L8" s="1">
        <v>0</v>
      </c>
      <c r="M8">
        <f>IF(B8&lt;&gt;"",COUNTIF(IDX_COMPOSITION!$R$2:$R$123,IDX_SPECS!G8),"")</f>
        <v>10</v>
      </c>
      <c r="N8">
        <f>IF(B8&lt;&gt;"",VLOOKUP($B8,IDX_REF!$A$2:$K$580,10,0),"")</f>
        <v>1</v>
      </c>
      <c r="O8">
        <f>IF(C8&lt;&gt;"",VLOOKUP($B8,IDX_REF!$A$2:$K$580,11,0),"")</f>
        <v>0</v>
      </c>
      <c r="Q8" s="12">
        <f>IF(B8&lt;&gt;"",SUMIF(IDX_COMPOSITION!$R$2:$R$123,IDX_SPECS!$G8,IDX_COMPOSITION!$N$2:$N$123)/V8,"")</f>
        <v>3660688088.2552185</v>
      </c>
      <c r="R8">
        <v>0</v>
      </c>
      <c r="S8" s="25" t="str">
        <f>IF(R8=1,SUMIF(IDX_COMPOSITION!$R$2:$R$123,IDX_SPECS!$G8,IDX_COMPOSITION!#REF!)/IF(ISNA(VLOOKUP(D8&amp;INDEX($D$2:$D$1048576,MATCH(G8,$B$2:$B$1048576,0)),CUR_RATES!$A$2:$F$1048576,4,0)),1,VLOOKUP(D8&amp;INDEX($D$2:$D$1048576,MATCH(G8,$B$2:$B$1048576,0)),CUR_RATES!$A$2:$F$1048576,4,0)),"")</f>
        <v/>
      </c>
      <c r="T8" s="29" t="str">
        <f t="shared" si="1"/>
        <v/>
      </c>
      <c r="U8" t="str">
        <f>IF(B8&lt;&gt;"",VLOOKUP($B8,IDX_REF!$A$2:$K$580,9,0),"")</f>
        <v>Blue Chips</v>
      </c>
      <c r="V8" s="12">
        <f>IF(B8&lt;&gt;"",IF(D8=INDEX($D$2:$D$1048576,MATCH(G8,$B$2:$B$1048576,0)),1,IF(SUMPRODUCT(--(K8=CUR_RATES!$E$1:$E$97),--(D8&amp;INDEX($D$2:$D$1048576,MATCH(G8,$B$2:$B$1048576,0))=CUR_RATES!$A$1:$A$97),ROW(CUR_RATES!$E$1:$E$97))=0,INDEX(CUR_RATES!$D:$D,SUMPRODUCT(--((K8-1)=CUR_RATES!$E$1:$E$97),--(D8&amp;INDEX($D$2:$D$1048576,MATCH(G8,$B$2:$B$1048576,0))=CUR_RATES!$A$1:$A$97),ROW(CUR_RATES!$E$1:$E$97))),INDEX(CUR_RATES!$D:$D,SUMPRODUCT(--(K8=CUR_RATES!$E$1:$E$97),--(D8&amp;INDEX($D$2:$D$1048576,MATCH(G8,$B$2:$B$1048576,0))=CUR_RATES!$A$1:$A$97),ROW(CUR_RATES!$E$1:$E$97))))),"")</f>
        <v>282</v>
      </c>
      <c r="W8">
        <v>1385.91</v>
      </c>
      <c r="Y8" s="12">
        <f t="shared" si="2"/>
        <v>5.6940940862345428</v>
      </c>
    </row>
    <row r="9" spans="1:25" x14ac:dyDescent="0.2">
      <c r="A9">
        <v>19997</v>
      </c>
      <c r="B9" s="2" t="str">
        <f>IF(INDEX(IDX_REF!$A:$A,ROW(IDX_REF!B9))=0,"",INDEX(IDX_REF!$A:$A,ROW(IDX_REF!B9)))</f>
        <v>VNX10TREUR</v>
      </c>
      <c r="C9" t="str">
        <f>IF(B9&lt;&gt;"",VLOOKUP($B9,IDX_REF!$A$2:$I$900,3,0),"")</f>
        <v>VNX 10 TR (EUR)</v>
      </c>
      <c r="D9" t="str">
        <f>IF(C9&lt;&gt;"",VLOOKUP($B9,IDX_REF!$A$2:$I$900,4,0),"")</f>
        <v>EUR</v>
      </c>
      <c r="E9">
        <f>IF(D9&lt;&gt;"",VLOOKUP($B9,IDX_REF!$A$2:$I$900,5,0),"")</f>
        <v>1000</v>
      </c>
      <c r="F9" t="str">
        <f>IF(E9&lt;&gt;"",VLOOKUP($B9,IDX_REF!$A$2:$I$900,7,0),"")</f>
        <v>R</v>
      </c>
      <c r="G9" t="str">
        <f>IF(F9&lt;&gt;"",VLOOKUP($B9,IDX_REF!$A$2:$I$900,8,0),"")</f>
        <v>VNX10PRVND</v>
      </c>
      <c r="H9" s="12">
        <v>1034482758620.6897</v>
      </c>
      <c r="I9" s="12">
        <f>IF(B9&lt;&gt;"",SUMIF(IDX_COMPOSITION!$R$2:$R$123,IDX_SPECS!$G9,IDX_COMPOSITION!$K$2:$K$123)/V9,"")</f>
        <v>1324755634.9040208</v>
      </c>
      <c r="J9" s="12">
        <f t="shared" si="0"/>
        <v>1135.409905645455</v>
      </c>
      <c r="K9" s="75">
        <v>41165</v>
      </c>
      <c r="L9" s="1">
        <v>0</v>
      </c>
      <c r="M9">
        <f>IF(B9&lt;&gt;"",COUNTIF(IDX_COMPOSITION!$R$2:$R$123,IDX_SPECS!G9),"")</f>
        <v>10</v>
      </c>
      <c r="N9">
        <f>IF(B9&lt;&gt;"",VLOOKUP($B9,IDX_REF!$A$2:$K$580,10,0),"")</f>
        <v>1</v>
      </c>
      <c r="O9">
        <f>IF(C9&lt;&gt;"",VLOOKUP($B9,IDX_REF!$A$2:$K$580,11,0),"")</f>
        <v>0</v>
      </c>
      <c r="Q9" s="12">
        <f>IF(B9&lt;&gt;"",SUMIF(IDX_COMPOSITION!$R$2:$R$123,IDX_SPECS!$G9,IDX_COMPOSITION!$N$2:$N$123)/V9,"")</f>
        <v>34629000.106269687</v>
      </c>
      <c r="R9">
        <v>0</v>
      </c>
      <c r="S9" s="25" t="str">
        <f>IF(R9=1,SUMIF(IDX_COMPOSITION!$R$2:$R$123,IDX_SPECS!$G9,IDX_COMPOSITION!#REF!)/IF(ISNA(VLOOKUP(D9&amp;INDEX($D$2:$D$1048576,MATCH(G9,$B$2:$B$1048576,0)),CUR_RATES!$A$2:$F$1048576,4,0)),1,VLOOKUP(D9&amp;INDEX($D$2:$D$1048576,MATCH(G9,$B$2:$B$1048576,0)),CUR_RATES!$A$2:$F$1048576,4,0)),"")</f>
        <v/>
      </c>
      <c r="T9" s="29" t="str">
        <f t="shared" si="1"/>
        <v/>
      </c>
      <c r="U9" t="str">
        <f>IF(B9&lt;&gt;"",VLOOKUP($B9,IDX_REF!$A$2:$K$580,9,0),"")</f>
        <v>Blue Chips</v>
      </c>
      <c r="V9" s="12">
        <f>IF(B9&lt;&gt;"",IF(D9=INDEX($D$2:$D$1048576,MATCH(G9,$B$2:$B$1048576,0)),1,IF(SUMPRODUCT(--(K9=CUR_RATES!$E$1:$E$97),--(D9&amp;INDEX($D$2:$D$1048576,MATCH(G9,$B$2:$B$1048576,0))=CUR_RATES!$A$1:$A$97),ROW(CUR_RATES!$E$1:$E$97))=0,INDEX(CUR_RATES!$D:$D,SUMPRODUCT(--((K9-1)=CUR_RATES!$E$1:$E$97),--(D9&amp;INDEX($D$2:$D$1048576,MATCH(G9,$B$2:$B$1048576,0))=CUR_RATES!$A$1:$A$97),ROW(CUR_RATES!$E$1:$E$97))),INDEX(CUR_RATES!$D:$D,SUMPRODUCT(--(K9=CUR_RATES!$E$1:$E$97),--(D9&amp;INDEX($D$2:$D$1048576,MATCH(G9,$B$2:$B$1048576,0))=CUR_RATES!$A$1:$A$97),ROW(CUR_RATES!$E$1:$E$97))))),"")</f>
        <v>29810.68</v>
      </c>
      <c r="W9">
        <v>1160.588</v>
      </c>
      <c r="Y9" s="12">
        <f t="shared" si="2"/>
        <v>-2.1694257009847604</v>
      </c>
    </row>
    <row r="10" spans="1:25" x14ac:dyDescent="0.2">
      <c r="A10">
        <v>19998</v>
      </c>
      <c r="B10" s="2" t="str">
        <f>IF(INDEX(IDX_REF!$A:$A,ROW(IDX_REF!B10))=0,"",INDEX(IDX_REF!$A:$A,ROW(IDX_REF!B10)))</f>
        <v>VNXASPRVND</v>
      </c>
      <c r="C10" t="str">
        <f>IF(B10&lt;&gt;"",VLOOKUP($B10,IDX_REF!$A$2:$I$900,3,0),"")</f>
        <v xml:space="preserve">VNX ALLSHARE </v>
      </c>
      <c r="D10" t="str">
        <f>IF(C10&lt;&gt;"",VLOOKUP($B10,IDX_REF!$A$2:$I$900,4,0),"")</f>
        <v>VND</v>
      </c>
      <c r="E10">
        <f>IF(D10&lt;&gt;"",VLOOKUP($B10,IDX_REF!$A$2:$I$900,5,0),"")</f>
        <v>1000</v>
      </c>
      <c r="F10" t="str">
        <f>IF(E10&lt;&gt;"",VLOOKUP($B10,IDX_REF!$A$2:$I$900,7,0),"")</f>
        <v>P</v>
      </c>
      <c r="G10" t="str">
        <f>IF(F10&lt;&gt;"",VLOOKUP($B10,IDX_REF!$A$2:$I$900,8,0),"")</f>
        <v>VNXASPRVND</v>
      </c>
      <c r="H10" s="12">
        <v>35000000000000</v>
      </c>
      <c r="I10" s="12">
        <f>IF(B10&lt;&gt;"",SUMIF(IDX_COMPOSITION!$R$2:$R$123,IDX_SPECS!$G10,IDX_COMPOSITION!$K$2:$K$123)/V10,"")</f>
        <v>49683919830700</v>
      </c>
      <c r="J10" s="12">
        <f t="shared" si="0"/>
        <v>1419.5405665914286</v>
      </c>
      <c r="K10" s="75">
        <v>41165</v>
      </c>
      <c r="L10" s="1">
        <v>0</v>
      </c>
      <c r="M10">
        <f>IF(B10&lt;&gt;"",COUNTIF(IDX_COMPOSITION!$R$2:$R$123,IDX_SPECS!G10),"")</f>
        <v>30</v>
      </c>
      <c r="N10">
        <f>IF(B10&lt;&gt;"",VLOOKUP($B10,IDX_REF!$A$2:$K$580,10,0),"")</f>
        <v>1</v>
      </c>
      <c r="O10">
        <f>IF(C10&lt;&gt;"",VLOOKUP($B10,IDX_REF!$A$2:$K$580,11,0),"")</f>
        <v>0</v>
      </c>
      <c r="Q10" s="12">
        <f>IF(B10&lt;&gt;"",SUMIF(IDX_COMPOSITION!$R$2:$R$123,IDX_SPECS!$G10,IDX_COMPOSITION!$N$2:$N$123)/V10,"")</f>
        <v>2288862544800</v>
      </c>
      <c r="R10">
        <v>1</v>
      </c>
      <c r="S10" s="25" t="e">
        <f>IF(R10=1,SUMIF(IDX_COMPOSITION!$R$2:$R$123,IDX_SPECS!$G10,IDX_COMPOSITION!#REF!)/IF(ISNA(VLOOKUP(D10&amp;INDEX($D$2:$D$1048576,MATCH(G10,$B$2:$B$1048576,0)),CUR_RATES!$A$2:$F$1048576,4,0)),1,VLOOKUP(D10&amp;INDEX($D$2:$D$1048576,MATCH(G10,$B$2:$B$1048576,0)),CUR_RATES!$A$2:$F$1048576,4,0)),"")</f>
        <v>#REF!</v>
      </c>
      <c r="T10" s="29" t="e">
        <f t="shared" si="1"/>
        <v>#REF!</v>
      </c>
      <c r="U10" t="str">
        <f>IF(B10&lt;&gt;"",VLOOKUP($B10,IDX_REF!$A$2:$K$580,9,0),"")</f>
        <v>Benchmark</v>
      </c>
      <c r="V10" s="12">
        <f>IF(B10&lt;&gt;"",IF(D10=INDEX($D$2:$D$1048576,MATCH(G10,$B$2:$B$1048576,0)),1,IF(SUMPRODUCT(--(K10=CUR_RATES!$E$1:$E$97),--(D10&amp;INDEX($D$2:$D$1048576,MATCH(G10,$B$2:$B$1048576,0))=CUR_RATES!$A$1:$A$97),ROW(CUR_RATES!$E$1:$E$97))=0,INDEX(CUR_RATES!$D:$D,SUMPRODUCT(--((K10-1)=CUR_RATES!$E$1:$E$97),--(D10&amp;INDEX($D$2:$D$1048576,MATCH(G10,$B$2:$B$1048576,0))=CUR_RATES!$A$1:$A$97),ROW(CUR_RATES!$E$1:$E$97))),INDEX(CUR_RATES!$D:$D,SUMPRODUCT(--(K10=CUR_RATES!$E$1:$E$97),--(D10&amp;INDEX($D$2:$D$1048576,MATCH(G10,$B$2:$B$1048576,0))=CUR_RATES!$A$1:$A$97),ROW(CUR_RATES!$E$1:$E$97))))),"")</f>
        <v>1</v>
      </c>
      <c r="W10">
        <v>1419.5409999999999</v>
      </c>
      <c r="Y10" s="12">
        <f t="shared" si="2"/>
        <v>-3.0531599392010827E-5</v>
      </c>
    </row>
    <row r="11" spans="1:25" x14ac:dyDescent="0.2">
      <c r="A11">
        <v>19999</v>
      </c>
      <c r="B11" s="2" t="str">
        <f>IF(INDEX(IDX_REF!$A:$A,ROW(IDX_REF!B11))=0,"",INDEX(IDX_REF!$A:$A,ROW(IDX_REF!B11)))</f>
        <v>VNXASPRUSD</v>
      </c>
      <c r="C11" t="str">
        <f>IF(B11&lt;&gt;"",VLOOKUP($B11,IDX_REF!$A$2:$I$900,3,0),"")</f>
        <v>VNX ALLSHARE (USD)</v>
      </c>
      <c r="D11" t="str">
        <f>IF(C11&lt;&gt;"",VLOOKUP($B11,IDX_REF!$A$2:$I$900,4,0),"")</f>
        <v>USD</v>
      </c>
      <c r="E11">
        <f>IF(D11&lt;&gt;"",VLOOKUP($B11,IDX_REF!$A$2:$I$900,5,0),"")</f>
        <v>1000</v>
      </c>
      <c r="F11" t="str">
        <f>IF(E11&lt;&gt;"",VLOOKUP($B11,IDX_REF!$A$2:$I$900,7,0),"")</f>
        <v>P</v>
      </c>
      <c r="G11" t="str">
        <f>IF(F11&lt;&gt;"",VLOOKUP($B11,IDX_REF!$A$2:$I$900,8,0),"")</f>
        <v>VNXASPRVND</v>
      </c>
      <c r="H11" s="12">
        <v>1666666666.6666667</v>
      </c>
      <c r="I11" s="12">
        <f>IF(B11&lt;&gt;"",SUMIF(IDX_COMPOSITION!$R$2:$R$123,IDX_SPECS!$G11,IDX_COMPOSITION!$K$2:$K$123)/V11,"")</f>
        <v>2269708534.9794426</v>
      </c>
      <c r="J11" s="12">
        <f t="shared" si="0"/>
        <v>1361.8251209876653</v>
      </c>
      <c r="K11" s="75">
        <v>41165</v>
      </c>
      <c r="L11" s="1">
        <v>0</v>
      </c>
      <c r="M11">
        <f>IF(B11&lt;&gt;"",COUNTIF(IDX_COMPOSITION!$R$2:$R$123,IDX_SPECS!G11),"")</f>
        <v>30</v>
      </c>
      <c r="N11">
        <f>IF(B11&lt;&gt;"",VLOOKUP($B11,IDX_REF!$A$2:$K$580,10,0),"")</f>
        <v>1</v>
      </c>
      <c r="O11">
        <f>IF(C11&lt;&gt;"",VLOOKUP($B11,IDX_REF!$A$2:$K$580,11,0),"")</f>
        <v>0</v>
      </c>
      <c r="Q11" s="12">
        <f>IF(B11&lt;&gt;"",SUMIF(IDX_COMPOSITION!$R$2:$R$123,IDX_SPECS!$G11,IDX_COMPOSITION!$N$2:$N$123)/V11,"")</f>
        <v>104562016.66514391</v>
      </c>
      <c r="R11">
        <v>1</v>
      </c>
      <c r="S11" s="25" t="e">
        <f>IF(R11=1,SUMIF(IDX_COMPOSITION!$R$2:$R$123,IDX_SPECS!$G11,IDX_COMPOSITION!#REF!)/IF(ISNA(VLOOKUP(D11&amp;INDEX($D$2:$D$1048576,MATCH(G11,$B$2:$B$1048576,0)),CUR_RATES!$A$2:$F$1048576,4,0)),1,VLOOKUP(D11&amp;INDEX($D$2:$D$1048576,MATCH(G11,$B$2:$B$1048576,0)),CUR_RATES!$A$2:$F$1048576,4,0)),"")</f>
        <v>#REF!</v>
      </c>
      <c r="T11" s="29" t="e">
        <f t="shared" si="1"/>
        <v>#REF!</v>
      </c>
      <c r="U11" t="str">
        <f>IF(B11&lt;&gt;"",VLOOKUP($B11,IDX_REF!$A$2:$K$580,9,0),"")</f>
        <v>Benchmark</v>
      </c>
      <c r="V11" s="12">
        <f>IF(B11&lt;&gt;"",IF(D11=INDEX($D$2:$D$1048576,MATCH(G11,$B$2:$B$1048576,0)),1,IF(SUMPRODUCT(--(K11=CUR_RATES!$E$1:$E$97),--(D11&amp;INDEX($D$2:$D$1048576,MATCH(G11,$B$2:$B$1048576,0))=CUR_RATES!$A$1:$A$97),ROW(CUR_RATES!$E$1:$E$97))=0,INDEX(CUR_RATES!$D:$D,SUMPRODUCT(--((K11-1)=CUR_RATES!$E$1:$E$97),--(D11&amp;INDEX($D$2:$D$1048576,MATCH(G11,$B$2:$B$1048576,0))=CUR_RATES!$A$1:$A$97),ROW(CUR_RATES!$E$1:$E$97))),INDEX(CUR_RATES!$D:$D,SUMPRODUCT(--(K11=CUR_RATES!$E$1:$E$97),--(D11&amp;INDEX($D$2:$D$1048576,MATCH(G11,$B$2:$B$1048576,0))=CUR_RATES!$A$1:$A$97),ROW(CUR_RATES!$E$1:$E$97))))),"")</f>
        <v>21890</v>
      </c>
      <c r="W11">
        <v>1403.9549999999999</v>
      </c>
      <c r="Y11" s="12">
        <f t="shared" si="2"/>
        <v>-3.0007998128383488</v>
      </c>
    </row>
    <row r="12" spans="1:25" x14ac:dyDescent="0.2">
      <c r="A12">
        <v>20000</v>
      </c>
      <c r="B12" s="2" t="str">
        <f>IF(INDEX(IDX_REF!$A:$A,ROW(IDX_REF!B12))=0,"",INDEX(IDX_REF!$A:$A,ROW(IDX_REF!B12)))</f>
        <v>VNXASPRJPY</v>
      </c>
      <c r="C12" t="str">
        <f>IF(B12&lt;&gt;"",VLOOKUP($B12,IDX_REF!$A$2:$I$900,3,0),"")</f>
        <v>VNX ALLSHARE (JPY)</v>
      </c>
      <c r="D12" t="str">
        <f>IF(C12&lt;&gt;"",VLOOKUP($B12,IDX_REF!$A$2:$I$900,4,0),"")</f>
        <v>JPY</v>
      </c>
      <c r="E12">
        <f>IF(D12&lt;&gt;"",VLOOKUP($B12,IDX_REF!$A$2:$I$900,5,0),"")</f>
        <v>1000</v>
      </c>
      <c r="F12" t="str">
        <f>IF(E12&lt;&gt;"",VLOOKUP($B12,IDX_REF!$A$2:$I$900,7,0),"")</f>
        <v>P</v>
      </c>
      <c r="G12" t="str">
        <f>IF(F12&lt;&gt;"",VLOOKUP($B12,IDX_REF!$A$2:$I$900,8,0),"")</f>
        <v>VNXASPRVND</v>
      </c>
      <c r="H12" s="12">
        <v>132075471698.1132</v>
      </c>
      <c r="I12" s="12">
        <f>IF(B12&lt;&gt;"",SUMIF(IDX_COMPOSITION!$R$2:$R$123,IDX_SPECS!$G12,IDX_COMPOSITION!$K$2:$K$123)/V12,"")</f>
        <v>176184112874.82269</v>
      </c>
      <c r="J12" s="12">
        <f t="shared" si="0"/>
        <v>1333.9654260522288</v>
      </c>
      <c r="K12" s="75">
        <v>41165</v>
      </c>
      <c r="L12" s="1">
        <v>0</v>
      </c>
      <c r="M12">
        <f>IF(B12&lt;&gt;"",COUNTIF(IDX_COMPOSITION!$R$2:$R$123,IDX_SPECS!G12),"")</f>
        <v>30</v>
      </c>
      <c r="N12">
        <f>IF(B12&lt;&gt;"",VLOOKUP($B12,IDX_REF!$A$2:$K$580,10,0),"")</f>
        <v>1</v>
      </c>
      <c r="O12">
        <f>IF(C12&lt;&gt;"",VLOOKUP($B12,IDX_REF!$A$2:$K$580,11,0),"")</f>
        <v>0</v>
      </c>
      <c r="Q12" s="12">
        <f>IF(B12&lt;&gt;"",SUMIF(IDX_COMPOSITION!$R$2:$R$123,IDX_SPECS!$G12,IDX_COMPOSITION!$N$2:$N$123)/V12,"")</f>
        <v>8116533846.8085108</v>
      </c>
      <c r="R12">
        <v>1</v>
      </c>
      <c r="S12" s="25" t="e">
        <f>IF(R12=1,SUMIF(IDX_COMPOSITION!$R$2:$R$123,IDX_SPECS!$G12,IDX_COMPOSITION!#REF!)/IF(ISNA(VLOOKUP(D12&amp;INDEX($D$2:$D$1048576,MATCH(G12,$B$2:$B$1048576,0)),CUR_RATES!$A$2:$F$1048576,4,0)),1,VLOOKUP(D12&amp;INDEX($D$2:$D$1048576,MATCH(G12,$B$2:$B$1048576,0)),CUR_RATES!$A$2:$F$1048576,4,0)),"")</f>
        <v>#REF!</v>
      </c>
      <c r="T12" s="29" t="e">
        <f t="shared" si="1"/>
        <v>#REF!</v>
      </c>
      <c r="U12" t="str">
        <f>IF(B12&lt;&gt;"",VLOOKUP($B12,IDX_REF!$A$2:$K$580,9,0),"")</f>
        <v>Benchmark</v>
      </c>
      <c r="V12" s="12">
        <f>IF(B12&lt;&gt;"",IF(D12=INDEX($D$2:$D$1048576,MATCH(G12,$B$2:$B$1048576,0)),1,IF(SUMPRODUCT(--(K12=CUR_RATES!$E$1:$E$97),--(D12&amp;INDEX($D$2:$D$1048576,MATCH(G12,$B$2:$B$1048576,0))=CUR_RATES!$A$1:$A$97),ROW(CUR_RATES!$E$1:$E$97))=0,INDEX(CUR_RATES!$D:$D,SUMPRODUCT(--((K12-1)=CUR_RATES!$E$1:$E$97),--(D12&amp;INDEX($D$2:$D$1048576,MATCH(G12,$B$2:$B$1048576,0))=CUR_RATES!$A$1:$A$97),ROW(CUR_RATES!$E$1:$E$97))),INDEX(CUR_RATES!$D:$D,SUMPRODUCT(--(K12=CUR_RATES!$E$1:$E$97),--(D12&amp;INDEX($D$2:$D$1048576,MATCH(G12,$B$2:$B$1048576,0))=CUR_RATES!$A$1:$A$97),ROW(CUR_RATES!$E$1:$E$97))))),"")</f>
        <v>282</v>
      </c>
      <c r="W12">
        <v>1376.001</v>
      </c>
      <c r="Y12" s="12">
        <f t="shared" si="2"/>
        <v>-3.0549086772299674</v>
      </c>
    </row>
    <row r="13" spans="1:25" x14ac:dyDescent="0.2">
      <c r="A13">
        <v>20001</v>
      </c>
      <c r="B13" s="2" t="str">
        <f>IF(INDEX(IDX_REF!$A:$A,ROW(IDX_REF!B13))=0,"",INDEX(IDX_REF!$A:$A,ROW(IDX_REF!B13)))</f>
        <v>VNXASPREUR</v>
      </c>
      <c r="C13" t="str">
        <f>IF(B13&lt;&gt;"",VLOOKUP($B13,IDX_REF!$A$2:$I$900,3,0),"")</f>
        <v>VNX ALLSHARE (EUR)</v>
      </c>
      <c r="D13" t="str">
        <f>IF(C13&lt;&gt;"",VLOOKUP($B13,IDX_REF!$A$2:$I$900,4,0),"")</f>
        <v>EUR</v>
      </c>
      <c r="E13">
        <f>IF(D13&lt;&gt;"",VLOOKUP($B13,IDX_REF!$A$2:$I$900,5,0),"")</f>
        <v>1000</v>
      </c>
      <c r="F13" t="str">
        <f>IF(E13&lt;&gt;"",VLOOKUP($B13,IDX_REF!$A$2:$I$900,7,0),"")</f>
        <v>P</v>
      </c>
      <c r="G13" t="str">
        <f>IF(F13&lt;&gt;"",VLOOKUP($B13,IDX_REF!$A$2:$I$900,8,0),"")</f>
        <v>VNXASPRVND</v>
      </c>
      <c r="H13" s="12">
        <v>1206896551.724138</v>
      </c>
      <c r="I13" s="12">
        <f>IF(B13&lt;&gt;"",SUMIF(IDX_COMPOSITION!$R$2:$R$123,IDX_SPECS!$G13,IDX_COMPOSITION!$K$2:$K$123)/V13,"")</f>
        <v>1666648323.0406015</v>
      </c>
      <c r="J13" s="12">
        <f t="shared" si="0"/>
        <v>1380.937181947927</v>
      </c>
      <c r="K13" s="75">
        <v>41165</v>
      </c>
      <c r="L13" s="1">
        <v>0</v>
      </c>
      <c r="M13">
        <f>IF(B13&lt;&gt;"",COUNTIF(IDX_COMPOSITION!$R$2:$R$123,IDX_SPECS!G13),"")</f>
        <v>30</v>
      </c>
      <c r="N13">
        <f>IF(B13&lt;&gt;"",VLOOKUP($B13,IDX_REF!$A$2:$K$580,10,0),"")</f>
        <v>1</v>
      </c>
      <c r="O13">
        <f>IF(C13&lt;&gt;"",VLOOKUP($B13,IDX_REF!$A$2:$K$580,11,0),"")</f>
        <v>0</v>
      </c>
      <c r="Q13" s="12">
        <f>IF(B13&lt;&gt;"",SUMIF(IDX_COMPOSITION!$R$2:$R$123,IDX_SPECS!$G13,IDX_COMPOSITION!$N$2:$N$123)/V13,"")</f>
        <v>76779950.836411655</v>
      </c>
      <c r="R13">
        <v>1</v>
      </c>
      <c r="S13" s="25" t="e">
        <f>IF(R13=1,SUMIF(IDX_COMPOSITION!$R$2:$R$123,IDX_SPECS!$G13,IDX_COMPOSITION!#REF!)/IF(ISNA(VLOOKUP(D13&amp;INDEX($D$2:$D$1048576,MATCH(G13,$B$2:$B$1048576,0)),CUR_RATES!$A$2:$F$1048576,4,0)),1,VLOOKUP(D13&amp;INDEX($D$2:$D$1048576,MATCH(G13,$B$2:$B$1048576,0)),CUR_RATES!$A$2:$F$1048576,4,0)),"")</f>
        <v>#REF!</v>
      </c>
      <c r="T13" s="29" t="e">
        <f t="shared" si="1"/>
        <v>#REF!</v>
      </c>
      <c r="U13" t="str">
        <f>IF(B13&lt;&gt;"",VLOOKUP($B13,IDX_REF!$A$2:$K$580,9,0),"")</f>
        <v>Benchmark</v>
      </c>
      <c r="V13" s="12">
        <f>IF(B13&lt;&gt;"",IF(D13=INDEX($D$2:$D$1048576,MATCH(G13,$B$2:$B$1048576,0)),1,IF(SUMPRODUCT(--(K13=CUR_RATES!$E$1:$E$97),--(D13&amp;INDEX($D$2:$D$1048576,MATCH(G13,$B$2:$B$1048576,0))=CUR_RATES!$A$1:$A$97),ROW(CUR_RATES!$E$1:$E$97))=0,INDEX(CUR_RATES!$D:$D,SUMPRODUCT(--((K13-1)=CUR_RATES!$E$1:$E$97),--(D13&amp;INDEX($D$2:$D$1048576,MATCH(G13,$B$2:$B$1048576,0))=CUR_RATES!$A$1:$A$97),ROW(CUR_RATES!$E$1:$E$97))),INDEX(CUR_RATES!$D:$D,SUMPRODUCT(--(K13=CUR_RATES!$E$1:$E$97),--(D13&amp;INDEX($D$2:$D$1048576,MATCH(G13,$B$2:$B$1048576,0))=CUR_RATES!$A$1:$A$97),ROW(CUR_RATES!$E$1:$E$97))))),"")</f>
        <v>29810.68</v>
      </c>
      <c r="W13">
        <v>1410.3889999999999</v>
      </c>
      <c r="Y13" s="12">
        <f t="shared" si="2"/>
        <v>-2.0882053144255166</v>
      </c>
    </row>
    <row r="14" spans="1:25" x14ac:dyDescent="0.2">
      <c r="A14">
        <v>20002</v>
      </c>
      <c r="B14" s="2" t="str">
        <f>IF(INDEX(IDX_REF!$A:$A,ROW(IDX_REF!B14))=0,"",INDEX(IDX_REF!$A:$A,ROW(IDX_REF!B14)))</f>
        <v>VNXASTRVND</v>
      </c>
      <c r="C14" t="str">
        <f>IF(B14&lt;&gt;"",VLOOKUP($B14,IDX_REF!$A$2:$I$900,3,0),"")</f>
        <v xml:space="preserve">VNX ALLSHARE TR </v>
      </c>
      <c r="D14" t="str">
        <f>IF(C14&lt;&gt;"",VLOOKUP($B14,IDX_REF!$A$2:$I$900,4,0),"")</f>
        <v>VND</v>
      </c>
      <c r="E14">
        <f>IF(D14&lt;&gt;"",VLOOKUP($B14,IDX_REF!$A$2:$I$900,5,0),"")</f>
        <v>1000</v>
      </c>
      <c r="F14" t="str">
        <f>IF(E14&lt;&gt;"",VLOOKUP($B14,IDX_REF!$A$2:$I$900,7,0),"")</f>
        <v>R</v>
      </c>
      <c r="G14" t="str">
        <f>IF(F14&lt;&gt;"",VLOOKUP($B14,IDX_REF!$A$2:$I$900,8,0),"")</f>
        <v>VNXASPRVND</v>
      </c>
      <c r="H14" s="12">
        <v>35000000000000</v>
      </c>
      <c r="I14" s="12">
        <f>IF(B14&lt;&gt;"",SUMIF(IDX_COMPOSITION!$R$2:$R$123,IDX_SPECS!$G14,IDX_COMPOSITION!$K$2:$K$123)/V14,"")</f>
        <v>49683919830700</v>
      </c>
      <c r="J14" s="12">
        <f t="shared" si="0"/>
        <v>1849.0269381558983</v>
      </c>
      <c r="K14" s="75">
        <v>41165</v>
      </c>
      <c r="L14" s="1">
        <v>0</v>
      </c>
      <c r="M14">
        <f>IF(B14&lt;&gt;"",COUNTIF(IDX_COMPOSITION!$R$2:$R$123,IDX_SPECS!G14),"")</f>
        <v>30</v>
      </c>
      <c r="N14">
        <f>IF(B14&lt;&gt;"",VLOOKUP($B14,IDX_REF!$A$2:$K$580,10,0),"")</f>
        <v>1</v>
      </c>
      <c r="O14">
        <f>IF(C14&lt;&gt;"",VLOOKUP($B14,IDX_REF!$A$2:$K$580,11,0),"")</f>
        <v>0</v>
      </c>
      <c r="Q14" s="12">
        <f>IF(B14&lt;&gt;"",SUMIF(IDX_COMPOSITION!$R$2:$R$123,IDX_SPECS!$G14,IDX_COMPOSITION!$N$2:$N$123)/V14,"")</f>
        <v>2288862544800</v>
      </c>
      <c r="R14">
        <v>0</v>
      </c>
      <c r="S14" s="25" t="str">
        <f>IF(R14=1,SUMIF(IDX_COMPOSITION!$R$2:$R$123,IDX_SPECS!$G14,IDX_COMPOSITION!#REF!)/IF(ISNA(VLOOKUP(D14&amp;INDEX($D$2:$D$1048576,MATCH(G14,$B$2:$B$1048576,0)),CUR_RATES!$A$2:$F$1048576,4,0)),1,VLOOKUP(D14&amp;INDEX($D$2:$D$1048576,MATCH(G14,$B$2:$B$1048576,0)),CUR_RATES!$A$2:$F$1048576,4,0)),"")</f>
        <v/>
      </c>
      <c r="T14" s="29" t="str">
        <f t="shared" si="1"/>
        <v/>
      </c>
      <c r="U14" t="str">
        <f>IF(B14&lt;&gt;"",VLOOKUP($B14,IDX_REF!$A$2:$K$580,9,0),"")</f>
        <v>Benchmark</v>
      </c>
      <c r="V14" s="12">
        <f>IF(B14&lt;&gt;"",IF(D14=INDEX($D$2:$D$1048576,MATCH(G14,$B$2:$B$1048576,0)),1,IF(SUMPRODUCT(--(K14=CUR_RATES!$E$1:$E$97),--(D14&amp;INDEX($D$2:$D$1048576,MATCH(G14,$B$2:$B$1048576,0))=CUR_RATES!$A$1:$A$97),ROW(CUR_RATES!$E$1:$E$97))=0,INDEX(CUR_RATES!$D:$D,SUMPRODUCT(--((K14-1)=CUR_RATES!$E$1:$E$97),--(D14&amp;INDEX($D$2:$D$1048576,MATCH(G14,$B$2:$B$1048576,0))=CUR_RATES!$A$1:$A$97),ROW(CUR_RATES!$E$1:$E$97))),INDEX(CUR_RATES!$D:$D,SUMPRODUCT(--(K14=CUR_RATES!$E$1:$E$97),--(D14&amp;INDEX($D$2:$D$1048576,MATCH(G14,$B$2:$B$1048576,0))=CUR_RATES!$A$1:$A$97),ROW(CUR_RATES!$E$1:$E$97))))),"")</f>
        <v>1</v>
      </c>
      <c r="W14">
        <v>1767.597</v>
      </c>
      <c r="Y14" s="12">
        <f t="shared" si="2"/>
        <v>4.6068158158165184</v>
      </c>
    </row>
    <row r="15" spans="1:25" x14ac:dyDescent="0.2">
      <c r="A15">
        <v>20003</v>
      </c>
      <c r="B15" s="2" t="str">
        <f>IF(INDEX(IDX_REF!$A:$A,ROW(IDX_REF!B15))=0,"",INDEX(IDX_REF!$A:$A,ROW(IDX_REF!B15)))</f>
        <v>VNXASTRUSD</v>
      </c>
      <c r="C15" t="str">
        <f>IF(B15&lt;&gt;"",VLOOKUP($B15,IDX_REF!$A$2:$I$900,3,0),"")</f>
        <v>VNX ALLSHARE TR (USD)</v>
      </c>
      <c r="D15" t="str">
        <f>IF(C15&lt;&gt;"",VLOOKUP($B15,IDX_REF!$A$2:$I$900,4,0),"")</f>
        <v>USD</v>
      </c>
      <c r="E15">
        <f>IF(D15&lt;&gt;"",VLOOKUP($B15,IDX_REF!$A$2:$I$900,5,0),"")</f>
        <v>1000</v>
      </c>
      <c r="F15" t="str">
        <f>IF(E15&lt;&gt;"",VLOOKUP($B15,IDX_REF!$A$2:$I$900,7,0),"")</f>
        <v>R</v>
      </c>
      <c r="G15" t="str">
        <f>IF(F15&lt;&gt;"",VLOOKUP($B15,IDX_REF!$A$2:$I$900,8,0),"")</f>
        <v>VNXASPRVND</v>
      </c>
      <c r="H15" s="12">
        <v>1666666666666.6667</v>
      </c>
      <c r="I15" s="12">
        <f>IF(B15&lt;&gt;"",SUMIF(IDX_COMPOSITION!$R$2:$R$123,IDX_SPECS!$G15,IDX_COMPOSITION!$K$2:$K$123)/V15,"")</f>
        <v>2269708534.9794426</v>
      </c>
      <c r="J15" s="12">
        <f t="shared" si="0"/>
        <v>1557.8342991221029</v>
      </c>
      <c r="K15" s="75">
        <v>41165</v>
      </c>
      <c r="L15" s="1">
        <v>0</v>
      </c>
      <c r="M15">
        <f>IF(B15&lt;&gt;"",COUNTIF(IDX_COMPOSITION!$R$2:$R$123,IDX_SPECS!G15),"")</f>
        <v>30</v>
      </c>
      <c r="N15">
        <f>IF(B15&lt;&gt;"",VLOOKUP($B15,IDX_REF!$A$2:$K$580,10,0),"")</f>
        <v>1</v>
      </c>
      <c r="O15">
        <f>IF(C15&lt;&gt;"",VLOOKUP($B15,IDX_REF!$A$2:$K$580,11,0),"")</f>
        <v>0</v>
      </c>
      <c r="Q15" s="12">
        <f>IF(B15&lt;&gt;"",SUMIF(IDX_COMPOSITION!$R$2:$R$123,IDX_SPECS!$G15,IDX_COMPOSITION!$N$2:$N$123)/V15,"")</f>
        <v>104562016.66514391</v>
      </c>
      <c r="R15">
        <v>0</v>
      </c>
      <c r="S15" s="25" t="str">
        <f>IF(R15=1,SUMIF(IDX_COMPOSITION!$R$2:$R$123,IDX_SPECS!$G15,IDX_COMPOSITION!#REF!)/IF(ISNA(VLOOKUP(D15&amp;INDEX($D$2:$D$1048576,MATCH(G15,$B$2:$B$1048576,0)),CUR_RATES!$A$2:$F$1048576,4,0)),1,VLOOKUP(D15&amp;INDEX($D$2:$D$1048576,MATCH(G15,$B$2:$B$1048576,0)),CUR_RATES!$A$2:$F$1048576,4,0)),"")</f>
        <v/>
      </c>
      <c r="T15" s="29" t="str">
        <f t="shared" si="1"/>
        <v/>
      </c>
      <c r="U15" t="str">
        <f>IF(B15&lt;&gt;"",VLOOKUP($B15,IDX_REF!$A$2:$K$580,9,0),"")</f>
        <v>Benchmark</v>
      </c>
      <c r="V15" s="12">
        <f>IF(B15&lt;&gt;"",IF(D15=INDEX($D$2:$D$1048576,MATCH(G15,$B$2:$B$1048576,0)),1,IF(SUMPRODUCT(--(K15=CUR_RATES!$E$1:$E$97),--(D15&amp;INDEX($D$2:$D$1048576,MATCH(G15,$B$2:$B$1048576,0))=CUR_RATES!$A$1:$A$97),ROW(CUR_RATES!$E$1:$E$97))=0,INDEX(CUR_RATES!$D:$D,SUMPRODUCT(--((K15-1)=CUR_RATES!$E$1:$E$97),--(D15&amp;INDEX($D$2:$D$1048576,MATCH(G15,$B$2:$B$1048576,0))=CUR_RATES!$A$1:$A$97),ROW(CUR_RATES!$E$1:$E$97))),INDEX(CUR_RATES!$D:$D,SUMPRODUCT(--(K15=CUR_RATES!$E$1:$E$97),--(D15&amp;INDEX($D$2:$D$1048576,MATCH(G15,$B$2:$B$1048576,0))=CUR_RATES!$A$1:$A$97),ROW(CUR_RATES!$E$1:$E$97))))),"")</f>
        <v>21890</v>
      </c>
      <c r="W15">
        <v>1605.954</v>
      </c>
      <c r="Y15" s="12">
        <f t="shared" si="2"/>
        <v>-2.9963312073631627</v>
      </c>
    </row>
    <row r="16" spans="1:25" x14ac:dyDescent="0.2">
      <c r="A16">
        <v>20004</v>
      </c>
      <c r="B16" s="2" t="str">
        <f>IF(INDEX(IDX_REF!$A:$A,ROW(IDX_REF!B16))=0,"",INDEX(IDX_REF!$A:$A,ROW(IDX_REF!B16)))</f>
        <v>VNXASTRJPY</v>
      </c>
      <c r="C16" t="str">
        <f>IF(B16&lt;&gt;"",VLOOKUP($B16,IDX_REF!$A$2:$I$900,3,0),"")</f>
        <v>VNX ALLSHARE TR (JPY)</v>
      </c>
      <c r="D16" t="str">
        <f>IF(C16&lt;&gt;"",VLOOKUP($B16,IDX_REF!$A$2:$I$900,4,0),"")</f>
        <v>JPY</v>
      </c>
      <c r="E16">
        <f>IF(D16&lt;&gt;"",VLOOKUP($B16,IDX_REF!$A$2:$I$900,5,0),"")</f>
        <v>1000</v>
      </c>
      <c r="F16" t="str">
        <f>IF(E16&lt;&gt;"",VLOOKUP($B16,IDX_REF!$A$2:$I$900,7,0),"")</f>
        <v>R</v>
      </c>
      <c r="G16" t="str">
        <f>IF(F16&lt;&gt;"",VLOOKUP($B16,IDX_REF!$A$2:$I$900,8,0),"")</f>
        <v>VNXASPRVND</v>
      </c>
      <c r="H16" s="12">
        <v>132075471698.1132</v>
      </c>
      <c r="I16" s="12">
        <f>IF(B16&lt;&gt;"",SUMIF(IDX_COMPOSITION!$R$2:$R$123,IDX_SPECS!$G16,IDX_COMPOSITION!$K$2:$K$123)/V16,"")</f>
        <v>176184112874.82269</v>
      </c>
      <c r="J16" s="12">
        <f t="shared" si="0"/>
        <v>2014.7384197797389</v>
      </c>
      <c r="K16" s="75">
        <v>41165</v>
      </c>
      <c r="L16" s="1">
        <v>0</v>
      </c>
      <c r="M16">
        <f>IF(B16&lt;&gt;"",COUNTIF(IDX_COMPOSITION!$R$2:$R$123,IDX_SPECS!G16),"")</f>
        <v>30</v>
      </c>
      <c r="N16">
        <f>IF(B16&lt;&gt;"",VLOOKUP($B16,IDX_REF!$A$2:$K$580,10,0),"")</f>
        <v>1</v>
      </c>
      <c r="O16">
        <f>IF(C16&lt;&gt;"",VLOOKUP($B16,IDX_REF!$A$2:$K$580,11,0),"")</f>
        <v>0</v>
      </c>
      <c r="Q16" s="12">
        <f>IF(B16&lt;&gt;"",SUMIF(IDX_COMPOSITION!$R$2:$R$123,IDX_SPECS!$G16,IDX_COMPOSITION!$N$2:$N$123)/V16,"")</f>
        <v>8116533846.8085108</v>
      </c>
      <c r="R16">
        <v>0</v>
      </c>
      <c r="S16" s="25" t="str">
        <f>IF(R16=1,SUMIF(IDX_COMPOSITION!$R$2:$R$123,IDX_SPECS!$G16,IDX_COMPOSITION!#REF!)/IF(ISNA(VLOOKUP(D16&amp;INDEX($D$2:$D$1048576,MATCH(G16,$B$2:$B$1048576,0)),CUR_RATES!$A$2:$F$1048576,4,0)),1,VLOOKUP(D16&amp;INDEX($D$2:$D$1048576,MATCH(G16,$B$2:$B$1048576,0)),CUR_RATES!$A$2:$F$1048576,4,0)),"")</f>
        <v/>
      </c>
      <c r="T16" s="29" t="str">
        <f t="shared" si="1"/>
        <v/>
      </c>
      <c r="U16" t="str">
        <f>IF(B16&lt;&gt;"",VLOOKUP($B16,IDX_REF!$A$2:$K$580,9,0),"")</f>
        <v>Benchmark</v>
      </c>
      <c r="V16" s="12">
        <f>IF(B16&lt;&gt;"",IF(D16=INDEX($D$2:$D$1048576,MATCH(G16,$B$2:$B$1048576,0)),1,IF(SUMPRODUCT(--(K16=CUR_RATES!$E$1:$E$97),--(D16&amp;INDEX($D$2:$D$1048576,MATCH(G16,$B$2:$B$1048576,0))=CUR_RATES!$A$1:$A$97),ROW(CUR_RATES!$E$1:$E$97))=0,INDEX(CUR_RATES!$D:$D,SUMPRODUCT(--((K16-1)=CUR_RATES!$E$1:$E$97),--(D16&amp;INDEX($D$2:$D$1048576,MATCH(G16,$B$2:$B$1048576,0))=CUR_RATES!$A$1:$A$97),ROW(CUR_RATES!$E$1:$E$97))),INDEX(CUR_RATES!$D:$D,SUMPRODUCT(--(K16=CUR_RATES!$E$1:$E$97),--(D16&amp;INDEX($D$2:$D$1048576,MATCH(G16,$B$2:$B$1048576,0))=CUR_RATES!$A$1:$A$97),ROW(CUR_RATES!$E$1:$E$97))))),"")</f>
        <v>282</v>
      </c>
      <c r="W16">
        <v>1986.702</v>
      </c>
      <c r="Y16" s="12">
        <f t="shared" si="2"/>
        <v>1.4112040849477643</v>
      </c>
    </row>
    <row r="17" spans="1:25" x14ac:dyDescent="0.2">
      <c r="A17">
        <v>20005</v>
      </c>
      <c r="B17" s="2" t="str">
        <f>IF(INDEX(IDX_REF!$A:$A,ROW(IDX_REF!B17))=0,"",INDEX(IDX_REF!$A:$A,ROW(IDX_REF!B17)))</f>
        <v>VNXASTREUR</v>
      </c>
      <c r="C17" t="str">
        <f>IF(B17&lt;&gt;"",VLOOKUP($B17,IDX_REF!$A$2:$I$900,3,0),"")</f>
        <v>VNX ALLSHARE TR (EUR)</v>
      </c>
      <c r="D17" t="str">
        <f>IF(C17&lt;&gt;"",VLOOKUP($B17,IDX_REF!$A$2:$I$900,4,0),"")</f>
        <v>EUR</v>
      </c>
      <c r="E17">
        <f>IF(D17&lt;&gt;"",VLOOKUP($B17,IDX_REF!$A$2:$I$900,5,0),"")</f>
        <v>1000</v>
      </c>
      <c r="F17" t="str">
        <f>IF(E17&lt;&gt;"",VLOOKUP($B17,IDX_REF!$A$2:$I$900,7,0),"")</f>
        <v>R</v>
      </c>
      <c r="G17" t="str">
        <f>IF(F17&lt;&gt;"",VLOOKUP($B17,IDX_REF!$A$2:$I$900,8,0),"")</f>
        <v>VNXASPRVND</v>
      </c>
      <c r="H17" s="12">
        <v>1206896551724.1379</v>
      </c>
      <c r="I17" s="12">
        <f>IF(B17&lt;&gt;"",SUMIF(IDX_COMPOSITION!$R$2:$R$123,IDX_SPECS!$G17,IDX_COMPOSITION!$K$2:$K$123)/V17,"")</f>
        <v>1666648323.0406015</v>
      </c>
      <c r="J17" s="12">
        <f t="shared" si="0"/>
        <v>1546.2228149140872</v>
      </c>
      <c r="K17" s="75">
        <v>41165</v>
      </c>
      <c r="L17" s="1">
        <v>0</v>
      </c>
      <c r="M17">
        <f>IF(B17&lt;&gt;"",COUNTIF(IDX_COMPOSITION!$R$2:$R$123,IDX_SPECS!G17),"")</f>
        <v>30</v>
      </c>
      <c r="N17">
        <f>IF(B17&lt;&gt;"",VLOOKUP($B17,IDX_REF!$A$2:$K$580,10,0),"")</f>
        <v>1</v>
      </c>
      <c r="O17">
        <f>IF(C17&lt;&gt;"",VLOOKUP($B17,IDX_REF!$A$2:$K$580,11,0),"")</f>
        <v>0</v>
      </c>
      <c r="Q17" s="12">
        <f>IF(B17&lt;&gt;"",SUMIF(IDX_COMPOSITION!$R$2:$R$123,IDX_SPECS!$G17,IDX_COMPOSITION!$N$2:$N$123)/V17,"")</f>
        <v>76779950.836411655</v>
      </c>
      <c r="R17">
        <v>0</v>
      </c>
      <c r="S17" s="25" t="str">
        <f>IF(R17=1,SUMIF(IDX_COMPOSITION!$R$2:$R$123,IDX_SPECS!$G17,IDX_COMPOSITION!#REF!)/IF(ISNA(VLOOKUP(D17&amp;INDEX($D$2:$D$1048576,MATCH(G17,$B$2:$B$1048576,0)),CUR_RATES!$A$2:$F$1048576,4,0)),1,VLOOKUP(D17&amp;INDEX($D$2:$D$1048576,MATCH(G17,$B$2:$B$1048576,0)),CUR_RATES!$A$2:$F$1048576,4,0)),"")</f>
        <v/>
      </c>
      <c r="T17" s="29" t="str">
        <f t="shared" si="1"/>
        <v/>
      </c>
      <c r="U17" t="str">
        <f>IF(B17&lt;&gt;"",VLOOKUP($B17,IDX_REF!$A$2:$K$580,9,0),"")</f>
        <v>Benchmark</v>
      </c>
      <c r="V17" s="12">
        <f>IF(B17&lt;&gt;"",IF(D17=INDEX($D$2:$D$1048576,MATCH(G17,$B$2:$B$1048576,0)),1,IF(SUMPRODUCT(--(K17=CUR_RATES!$E$1:$E$97),--(D17&amp;INDEX($D$2:$D$1048576,MATCH(G17,$B$2:$B$1048576,0))=CUR_RATES!$A$1:$A$97),ROW(CUR_RATES!$E$1:$E$97))=0,INDEX(CUR_RATES!$D:$D,SUMPRODUCT(--((K17-1)=CUR_RATES!$E$1:$E$97),--(D17&amp;INDEX($D$2:$D$1048576,MATCH(G17,$B$2:$B$1048576,0))=CUR_RATES!$A$1:$A$97),ROW(CUR_RATES!$E$1:$E$97))),INDEX(CUR_RATES!$D:$D,SUMPRODUCT(--(K17=CUR_RATES!$E$1:$E$97),--(D17&amp;INDEX($D$2:$D$1048576,MATCH(G17,$B$2:$B$1048576,0))=CUR_RATES!$A$1:$A$97),ROW(CUR_RATES!$E$1:$E$97))))),"")</f>
        <v>29810.68</v>
      </c>
      <c r="W17">
        <v>1579.127</v>
      </c>
      <c r="Y17" s="12">
        <f t="shared" si="2"/>
        <v>-2.0836946671111813</v>
      </c>
    </row>
    <row r="18" spans="1:25" x14ac:dyDescent="0.2">
      <c r="A18">
        <v>20006</v>
      </c>
      <c r="B18" s="2" t="str">
        <f>IF(INDEX(IDX_REF!$A:$A,ROW(IDX_REF!B18))=0,"",INDEX(IDX_REF!$A:$A,ROW(IDX_REF!B18)))</f>
        <v>VNXCOPRVND</v>
      </c>
      <c r="C18" t="str">
        <f>IF(B18&lt;&gt;"",VLOOKUP($B18,IDX_REF!$A$2:$I$900,3,0),"")</f>
        <v>VNX ALLSHARE CONTINUOUS</v>
      </c>
      <c r="D18" t="str">
        <f>IF(C18&lt;&gt;"",VLOOKUP($B18,IDX_REF!$A$2:$I$900,4,0),"")</f>
        <v>VND</v>
      </c>
      <c r="E18">
        <f>IF(D18&lt;&gt;"",VLOOKUP($B18,IDX_REF!$A$2:$I$900,5,0),"")</f>
        <v>1000</v>
      </c>
      <c r="F18" t="str">
        <f>IF(E18&lt;&gt;"",VLOOKUP($B18,IDX_REF!$A$2:$I$900,7,0),"")</f>
        <v>P</v>
      </c>
      <c r="G18" t="str">
        <f>IF(F18&lt;&gt;"",VLOOKUP($B18,IDX_REF!$A$2:$I$900,8,0),"")</f>
        <v>VNXCOPRVND</v>
      </c>
      <c r="H18" s="12">
        <v>30000000000000</v>
      </c>
      <c r="I18" s="12">
        <f>IF(B18&lt;&gt;"",SUMIF(IDX_COMPOSITION!$R$2:$R$123,IDX_SPECS!$G18,IDX_COMPOSITION!$K$2:$K$123)/V18,"")</f>
        <v>38273174294700</v>
      </c>
      <c r="J18" s="12">
        <f t="shared" si="0"/>
        <v>1275.7724764899999</v>
      </c>
      <c r="K18" s="75">
        <v>41165</v>
      </c>
      <c r="L18" s="1">
        <v>0</v>
      </c>
      <c r="M18">
        <f>IF(B18&lt;&gt;"",COUNTIF(IDX_COMPOSITION!$R$2:$R$123,IDX_SPECS!G18),"")</f>
        <v>26</v>
      </c>
      <c r="N18">
        <f>IF(B18&lt;&gt;"",VLOOKUP($B18,IDX_REF!$A$2:$K$580,10,0),"")</f>
        <v>1</v>
      </c>
      <c r="O18">
        <f>IF(C18&lt;&gt;"",VLOOKUP($B18,IDX_REF!$A$2:$K$580,11,0),"")</f>
        <v>0</v>
      </c>
      <c r="Q18" s="12">
        <f>IF(B18&lt;&gt;"",SUMIF(IDX_COMPOSITION!$R$2:$R$123,IDX_SPECS!$G18,IDX_COMPOSITION!$N$2:$N$123)/V18,"")</f>
        <v>821873696000</v>
      </c>
      <c r="R18">
        <v>0</v>
      </c>
      <c r="S18" s="25" t="str">
        <f>IF(R18=1,SUMIF(IDX_COMPOSITION!$R$2:$R$123,IDX_SPECS!$G18,IDX_COMPOSITION!#REF!)/IF(ISNA(VLOOKUP(D18&amp;INDEX($D$2:$D$1048576,MATCH(G18,$B$2:$B$1048576,0)),CUR_RATES!$A$2:$F$1048576,4,0)),1,VLOOKUP(D18&amp;INDEX($D$2:$D$1048576,MATCH(G18,$B$2:$B$1048576,0)),CUR_RATES!$A$2:$F$1048576,4,0)),"")</f>
        <v/>
      </c>
      <c r="T18" s="29" t="str">
        <f t="shared" si="1"/>
        <v/>
      </c>
      <c r="U18" t="str">
        <f>IF(B18&lt;&gt;"",VLOOKUP($B18,IDX_REF!$A$2:$K$580,9,0),"")</f>
        <v>Benchmark</v>
      </c>
      <c r="V18" s="12">
        <f>IF(B18&lt;&gt;"",IF(D18=INDEX($D$2:$D$1048576,MATCH(G18,$B$2:$B$1048576,0)),1,IF(SUMPRODUCT(--(K18=CUR_RATES!$E$1:$E$97),--(D18&amp;INDEX($D$2:$D$1048576,MATCH(G18,$B$2:$B$1048576,0))=CUR_RATES!$A$1:$A$97),ROW(CUR_RATES!$E$1:$E$97))=0,INDEX(CUR_RATES!$D:$D,SUMPRODUCT(--((K18-1)=CUR_RATES!$E$1:$E$97),--(D18&amp;INDEX($D$2:$D$1048576,MATCH(G18,$B$2:$B$1048576,0))=CUR_RATES!$A$1:$A$97),ROW(CUR_RATES!$E$1:$E$97))),INDEX(CUR_RATES!$D:$D,SUMPRODUCT(--(K18=CUR_RATES!$E$1:$E$97),--(D18&amp;INDEX($D$2:$D$1048576,MATCH(G18,$B$2:$B$1048576,0))=CUR_RATES!$A$1:$A$97),ROW(CUR_RATES!$E$1:$E$97))))),"")</f>
        <v>1</v>
      </c>
      <c r="W18">
        <v>1225.2460000000001</v>
      </c>
      <c r="Y18" s="12">
        <f t="shared" si="2"/>
        <v>4.1237822029208679</v>
      </c>
    </row>
    <row r="19" spans="1:25" x14ac:dyDescent="0.2">
      <c r="A19">
        <v>20007</v>
      </c>
      <c r="B19" s="2" t="str">
        <f>IF(INDEX(IDX_REF!$A:$A,ROW(IDX_REF!B19))=0,"",INDEX(IDX_REF!$A:$A,ROW(IDX_REF!B19)))</f>
        <v>VNXCOPRUSD</v>
      </c>
      <c r="C19" t="str">
        <f>IF(B19&lt;&gt;"",VLOOKUP($B19,IDX_REF!$A$2:$I$900,3,0),"")</f>
        <v>VNX ALLSHARE CONTINUOUS (USD)</v>
      </c>
      <c r="D19" t="str">
        <f>IF(C19&lt;&gt;"",VLOOKUP($B19,IDX_REF!$A$2:$I$900,4,0),"")</f>
        <v>USD</v>
      </c>
      <c r="E19">
        <f>IF(D19&lt;&gt;"",VLOOKUP($B19,IDX_REF!$A$2:$I$900,5,0),"")</f>
        <v>1000</v>
      </c>
      <c r="F19" t="str">
        <f>IF(E19&lt;&gt;"",VLOOKUP($B19,IDX_REF!$A$2:$I$900,7,0),"")</f>
        <v>P</v>
      </c>
      <c r="G19" t="str">
        <f>IF(F19&lt;&gt;"",VLOOKUP($B19,IDX_REF!$A$2:$I$900,8,0),"")</f>
        <v>VNXCOPRVND</v>
      </c>
      <c r="H19" s="12">
        <v>1428571428.5714285</v>
      </c>
      <c r="I19" s="12">
        <f>IF(B19&lt;&gt;"",SUMIF(IDX_COMPOSITION!$R$2:$R$123,IDX_SPECS!$G19,IDX_COMPOSITION!$K$2:$K$123)/V19,"")</f>
        <v>1748431900.1690269</v>
      </c>
      <c r="J19" s="12">
        <f t="shared" si="0"/>
        <v>1223.9023301183188</v>
      </c>
      <c r="K19" s="75">
        <v>41165</v>
      </c>
      <c r="L19" s="1">
        <v>0</v>
      </c>
      <c r="M19">
        <f>IF(B19&lt;&gt;"",COUNTIF(IDX_COMPOSITION!$R$2:$R$123,IDX_SPECS!G19),"")</f>
        <v>26</v>
      </c>
      <c r="N19">
        <f>IF(B19&lt;&gt;"",VLOOKUP($B19,IDX_REF!$A$2:$K$580,10,0),"")</f>
        <v>1</v>
      </c>
      <c r="O19">
        <f>IF(C19&lt;&gt;"",VLOOKUP($B19,IDX_REF!$A$2:$K$580,11,0),"")</f>
        <v>0</v>
      </c>
      <c r="Q19" s="12">
        <f>IF(B19&lt;&gt;"",SUMIF(IDX_COMPOSITION!$R$2:$R$123,IDX_SPECS!$G19,IDX_COMPOSITION!$N$2:$N$123)/V19,"")</f>
        <v>37545623.389675654</v>
      </c>
      <c r="R19">
        <v>0</v>
      </c>
      <c r="S19" s="25" t="str">
        <f>IF(R19=1,SUMIF(IDX_COMPOSITION!$R$2:$R$123,IDX_SPECS!$G19,IDX_COMPOSITION!#REF!)/IF(ISNA(VLOOKUP(D19&amp;INDEX($D$2:$D$1048576,MATCH(G19,$B$2:$B$1048576,0)),CUR_RATES!$A$2:$F$1048576,4,0)),1,VLOOKUP(D19&amp;INDEX($D$2:$D$1048576,MATCH(G19,$B$2:$B$1048576,0)),CUR_RATES!$A$2:$F$1048576,4,0)),"")</f>
        <v/>
      </c>
      <c r="T19" s="29" t="str">
        <f t="shared" si="1"/>
        <v/>
      </c>
      <c r="U19" t="str">
        <f>IF(B19&lt;&gt;"",VLOOKUP($B19,IDX_REF!$A$2:$K$580,9,0),"")</f>
        <v>Benchmark</v>
      </c>
      <c r="V19" s="12">
        <f>IF(B19&lt;&gt;"",IF(D19=INDEX($D$2:$D$1048576,MATCH(G19,$B$2:$B$1048576,0)),1,IF(SUMPRODUCT(--(K19=CUR_RATES!$E$1:$E$97),--(D19&amp;INDEX($D$2:$D$1048576,MATCH(G19,$B$2:$B$1048576,0))=CUR_RATES!$A$1:$A$97),ROW(CUR_RATES!$E$1:$E$97))=0,INDEX(CUR_RATES!$D:$D,SUMPRODUCT(--((K19-1)=CUR_RATES!$E$1:$E$97),--(D19&amp;INDEX($D$2:$D$1048576,MATCH(G19,$B$2:$B$1048576,0))=CUR_RATES!$A$1:$A$97),ROW(CUR_RATES!$E$1:$E$97))),INDEX(CUR_RATES!$D:$D,SUMPRODUCT(--(K19=CUR_RATES!$E$1:$E$97),--(D19&amp;INDEX($D$2:$D$1048576,MATCH(G19,$B$2:$B$1048576,0))=CUR_RATES!$A$1:$A$97),ROW(CUR_RATES!$E$1:$E$97))))),"")</f>
        <v>21890</v>
      </c>
      <c r="W19">
        <v>1279.335</v>
      </c>
      <c r="Y19" s="12">
        <f t="shared" si="2"/>
        <v>-4.3329284262277863</v>
      </c>
    </row>
    <row r="20" spans="1:25" x14ac:dyDescent="0.2">
      <c r="A20">
        <v>20008</v>
      </c>
      <c r="B20" s="2" t="str">
        <f>IF(INDEX(IDX_REF!$A:$A,ROW(IDX_REF!B20))=0,"",INDEX(IDX_REF!$A:$A,ROW(IDX_REF!B20)))</f>
        <v>VNXCOPRJPY</v>
      </c>
      <c r="C20" t="str">
        <f>IF(B20&lt;&gt;"",VLOOKUP($B20,IDX_REF!$A$2:$I$900,3,0),"")</f>
        <v>VNX ALLSHARE CONTINUOUS (JPY)</v>
      </c>
      <c r="D20" t="str">
        <f>IF(C20&lt;&gt;"",VLOOKUP($B20,IDX_REF!$A$2:$I$900,4,0),"")</f>
        <v>JPY</v>
      </c>
      <c r="E20">
        <f>IF(D20&lt;&gt;"",VLOOKUP($B20,IDX_REF!$A$2:$I$900,5,0),"")</f>
        <v>1000</v>
      </c>
      <c r="F20" t="str">
        <f>IF(E20&lt;&gt;"",VLOOKUP($B20,IDX_REF!$A$2:$I$900,7,0),"")</f>
        <v>P</v>
      </c>
      <c r="G20" t="str">
        <f>IF(F20&lt;&gt;"",VLOOKUP($B20,IDX_REF!$A$2:$I$900,8,0),"")</f>
        <v>VNXCOPRVND</v>
      </c>
      <c r="H20" s="12">
        <v>113207547169.81133</v>
      </c>
      <c r="I20" s="12">
        <f>IF(B20&lt;&gt;"",SUMIF(IDX_COMPOSITION!$R$2:$R$123,IDX_SPECS!$G20,IDX_COMPOSITION!$K$2:$K$123)/V20,"")</f>
        <v>135720476222.34042</v>
      </c>
      <c r="J20" s="12">
        <f t="shared" si="0"/>
        <v>1198.8642066306736</v>
      </c>
      <c r="K20" s="75">
        <v>41165</v>
      </c>
      <c r="L20" s="1">
        <v>0</v>
      </c>
      <c r="M20">
        <f>IF(B20&lt;&gt;"",COUNTIF(IDX_COMPOSITION!$R$2:$R$123,IDX_SPECS!G20),"")</f>
        <v>26</v>
      </c>
      <c r="N20">
        <f>IF(B20&lt;&gt;"",VLOOKUP($B20,IDX_REF!$A$2:$K$580,10,0),"")</f>
        <v>1</v>
      </c>
      <c r="O20">
        <f>IF(C20&lt;&gt;"",VLOOKUP($B20,IDX_REF!$A$2:$K$580,11,0),"")</f>
        <v>0</v>
      </c>
      <c r="Q20" s="12">
        <f>IF(B20&lt;&gt;"",SUMIF(IDX_COMPOSITION!$R$2:$R$123,IDX_SPECS!$G20,IDX_COMPOSITION!$N$2:$N$123)/V20,"")</f>
        <v>2914445730.4964538</v>
      </c>
      <c r="R20">
        <v>0</v>
      </c>
      <c r="S20" s="25" t="str">
        <f>IF(R20=1,SUMIF(IDX_COMPOSITION!$R$2:$R$123,IDX_SPECS!$G20,IDX_COMPOSITION!#REF!)/IF(ISNA(VLOOKUP(D20&amp;INDEX($D$2:$D$1048576,MATCH(G20,$B$2:$B$1048576,0)),CUR_RATES!$A$2:$F$1048576,4,0)),1,VLOOKUP(D20&amp;INDEX($D$2:$D$1048576,MATCH(G20,$B$2:$B$1048576,0)),CUR_RATES!$A$2:$F$1048576,4,0)),"")</f>
        <v/>
      </c>
      <c r="T20" s="29" t="str">
        <f t="shared" si="1"/>
        <v/>
      </c>
      <c r="U20" t="str">
        <f>IF(B20&lt;&gt;"",VLOOKUP($B20,IDX_REF!$A$2:$K$580,9,0),"")</f>
        <v>Benchmark</v>
      </c>
      <c r="V20" s="12">
        <f>IF(B20&lt;&gt;"",IF(D20=INDEX($D$2:$D$1048576,MATCH(G20,$B$2:$B$1048576,0)),1,IF(SUMPRODUCT(--(K20=CUR_RATES!$E$1:$E$97),--(D20&amp;INDEX($D$2:$D$1048576,MATCH(G20,$B$2:$B$1048576,0))=CUR_RATES!$A$1:$A$97),ROW(CUR_RATES!$E$1:$E$97))=0,INDEX(CUR_RATES!$D:$D,SUMPRODUCT(--((K20-1)=CUR_RATES!$E$1:$E$97),--(D20&amp;INDEX($D$2:$D$1048576,MATCH(G20,$B$2:$B$1048576,0))=CUR_RATES!$A$1:$A$97),ROW(CUR_RATES!$E$1:$E$97))),INDEX(CUR_RATES!$D:$D,SUMPRODUCT(--(K20=CUR_RATES!$E$1:$E$97),--(D20&amp;INDEX($D$2:$D$1048576,MATCH(G20,$B$2:$B$1048576,0))=CUR_RATES!$A$1:$A$97),ROW(CUR_RATES!$E$1:$E$97))))),"")</f>
        <v>282</v>
      </c>
      <c r="W20">
        <v>1211.4580000000001</v>
      </c>
      <c r="Y20" s="12">
        <f t="shared" si="2"/>
        <v>-1.0395567464432507</v>
      </c>
    </row>
    <row r="21" spans="1:25" x14ac:dyDescent="0.2">
      <c r="A21">
        <v>20009</v>
      </c>
      <c r="B21" s="2" t="str">
        <f>IF(INDEX(IDX_REF!$A:$A,ROW(IDX_REF!B21))=0,"",INDEX(IDX_REF!$A:$A,ROW(IDX_REF!B21)))</f>
        <v>VNXCOPREUR</v>
      </c>
      <c r="C21" t="str">
        <f>IF(B21&lt;&gt;"",VLOOKUP($B21,IDX_REF!$A$2:$I$900,3,0),"")</f>
        <v>VNX ALLSHARE CONTINUOUS (EUR)</v>
      </c>
      <c r="D21" t="str">
        <f>IF(C21&lt;&gt;"",VLOOKUP($B21,IDX_REF!$A$2:$I$900,4,0),"")</f>
        <v>EUR</v>
      </c>
      <c r="E21">
        <f>IF(D21&lt;&gt;"",VLOOKUP($B21,IDX_REF!$A$2:$I$900,5,0),"")</f>
        <v>1000</v>
      </c>
      <c r="F21" t="str">
        <f>IF(E21&lt;&gt;"",VLOOKUP($B21,IDX_REF!$A$2:$I$900,7,0),"")</f>
        <v>P</v>
      </c>
      <c r="G21" t="str">
        <f>IF(F21&lt;&gt;"",VLOOKUP($B21,IDX_REF!$A$2:$I$900,8,0),"")</f>
        <v>VNXCOPRVND</v>
      </c>
      <c r="H21" s="12">
        <v>1034482758.6206897</v>
      </c>
      <c r="I21" s="12">
        <f>IF(B21&lt;&gt;"",SUMIF(IDX_COMPOSITION!$R$2:$R$123,IDX_SPECS!$G21,IDX_COMPOSITION!$K$2:$K$123)/V21,"")</f>
        <v>1283874581.0125766</v>
      </c>
      <c r="J21" s="12">
        <f t="shared" si="0"/>
        <v>1241.0787616454907</v>
      </c>
      <c r="K21" s="75">
        <v>41165</v>
      </c>
      <c r="L21" s="1">
        <v>0</v>
      </c>
      <c r="M21">
        <f>IF(B21&lt;&gt;"",COUNTIF(IDX_COMPOSITION!$R$2:$R$123,IDX_SPECS!G21),"")</f>
        <v>26</v>
      </c>
      <c r="N21">
        <f>IF(B21&lt;&gt;"",VLOOKUP($B21,IDX_REF!$A$2:$K$580,10,0),"")</f>
        <v>1</v>
      </c>
      <c r="O21">
        <f>IF(C21&lt;&gt;"",VLOOKUP($B21,IDX_REF!$A$2:$K$580,11,0),"")</f>
        <v>0</v>
      </c>
      <c r="Q21" s="12">
        <f>IF(B21&lt;&gt;"",SUMIF(IDX_COMPOSITION!$R$2:$R$123,IDX_SPECS!$G21,IDX_COMPOSITION!$N$2:$N$123)/V21,"")</f>
        <v>27569773.517410539</v>
      </c>
      <c r="R21">
        <v>0</v>
      </c>
      <c r="S21" s="25" t="str">
        <f>IF(R21=1,SUMIF(IDX_COMPOSITION!$R$2:$R$123,IDX_SPECS!$G21,IDX_COMPOSITION!#REF!)/IF(ISNA(VLOOKUP(D21&amp;INDEX($D$2:$D$1048576,MATCH(G21,$B$2:$B$1048576,0)),CUR_RATES!$A$2:$F$1048576,4,0)),1,VLOOKUP(D21&amp;INDEX($D$2:$D$1048576,MATCH(G21,$B$2:$B$1048576,0)),CUR_RATES!$A$2:$F$1048576,4,0)),"")</f>
        <v/>
      </c>
      <c r="T21" s="29" t="str">
        <f t="shared" si="1"/>
        <v/>
      </c>
      <c r="U21" t="str">
        <f>IF(B21&lt;&gt;"",VLOOKUP($B21,IDX_REF!$A$2:$K$580,9,0),"")</f>
        <v>Benchmark</v>
      </c>
      <c r="V21" s="12">
        <f>IF(B21&lt;&gt;"",IF(D21=INDEX($D$2:$D$1048576,MATCH(G21,$B$2:$B$1048576,0)),1,IF(SUMPRODUCT(--(K21=CUR_RATES!$E$1:$E$97),--(D21&amp;INDEX($D$2:$D$1048576,MATCH(G21,$B$2:$B$1048576,0))=CUR_RATES!$A$1:$A$97),ROW(CUR_RATES!$E$1:$E$97))=0,INDEX(CUR_RATES!$D:$D,SUMPRODUCT(--((K21-1)=CUR_RATES!$E$1:$E$97),--(D21&amp;INDEX($D$2:$D$1048576,MATCH(G21,$B$2:$B$1048576,0))=CUR_RATES!$A$1:$A$97),ROW(CUR_RATES!$E$1:$E$97))),INDEX(CUR_RATES!$D:$D,SUMPRODUCT(--(K21=CUR_RATES!$E$1:$E$97),--(D21&amp;INDEX($D$2:$D$1048576,MATCH(G21,$B$2:$B$1048576,0))=CUR_RATES!$A$1:$A$97),ROW(CUR_RATES!$E$1:$E$97))))),"")</f>
        <v>29810.68</v>
      </c>
      <c r="W21">
        <v>1181.52</v>
      </c>
      <c r="Y21" s="12">
        <f t="shared" si="2"/>
        <v>5.0408593714444683</v>
      </c>
    </row>
    <row r="22" spans="1:25" x14ac:dyDescent="0.2">
      <c r="A22">
        <v>20010</v>
      </c>
      <c r="B22" s="2" t="str">
        <f>IF(INDEX(IDX_REF!$A:$A,ROW(IDX_REF!B22))=0,"",INDEX(IDX_REF!$A:$A,ROW(IDX_REF!B22)))</f>
        <v>VNXCOTRVND</v>
      </c>
      <c r="C22" t="str">
        <f>IF(B22&lt;&gt;"",VLOOKUP($B22,IDX_REF!$A$2:$I$900,3,0),"")</f>
        <v>VNX ALLSHARE TR CONTINUOUS</v>
      </c>
      <c r="D22" t="str">
        <f>IF(C22&lt;&gt;"",VLOOKUP($B22,IDX_REF!$A$2:$I$900,4,0),"")</f>
        <v>VND</v>
      </c>
      <c r="E22">
        <f>IF(D22&lt;&gt;"",VLOOKUP($B22,IDX_REF!$A$2:$I$900,5,0),"")</f>
        <v>1000</v>
      </c>
      <c r="F22" t="str">
        <f>IF(E22&lt;&gt;"",VLOOKUP($B22,IDX_REF!$A$2:$I$900,7,0),"")</f>
        <v>R</v>
      </c>
      <c r="G22" t="str">
        <f>IF(F22&lt;&gt;"",VLOOKUP($B22,IDX_REF!$A$2:$I$900,8,0),"")</f>
        <v>VNXCOPRVND</v>
      </c>
      <c r="H22" s="12">
        <v>30000000000000</v>
      </c>
      <c r="I22" s="12">
        <f>IF(B22&lt;&gt;"",SUMIF(IDX_COMPOSITION!$R$2:$R$123,IDX_SPECS!$G22,IDX_COMPOSITION!$K$2:$K$123)/V22,"")</f>
        <v>38273174294700</v>
      </c>
      <c r="J22" s="12">
        <f t="shared" si="0"/>
        <v>1644.8222904142194</v>
      </c>
      <c r="K22" s="75">
        <v>41165</v>
      </c>
      <c r="L22" s="1">
        <v>0</v>
      </c>
      <c r="M22">
        <f>IF(B22&lt;&gt;"",COUNTIF(IDX_COMPOSITION!$R$2:$R$123,IDX_SPECS!G22),"")</f>
        <v>26</v>
      </c>
      <c r="N22">
        <f>IF(B22&lt;&gt;"",VLOOKUP($B22,IDX_REF!$A$2:$K$580,10,0),"")</f>
        <v>1</v>
      </c>
      <c r="O22">
        <f>IF(C22&lt;&gt;"",VLOOKUP($B22,IDX_REF!$A$2:$K$580,11,0),"")</f>
        <v>0</v>
      </c>
      <c r="Q22" s="12">
        <f>IF(B22&lt;&gt;"",SUMIF(IDX_COMPOSITION!$R$2:$R$123,IDX_SPECS!$G22,IDX_COMPOSITION!$N$2:$N$123)/V22,"")</f>
        <v>821873696000</v>
      </c>
      <c r="R22">
        <v>0</v>
      </c>
      <c r="S22" s="25" t="str">
        <f>IF(R22=1,SUMIF(IDX_COMPOSITION!$R$2:$R$123,IDX_SPECS!$G22,IDX_COMPOSITION!#REF!)/IF(ISNA(VLOOKUP(D22&amp;INDEX($D$2:$D$1048576,MATCH(G22,$B$2:$B$1048576,0)),CUR_RATES!$A$2:$F$1048576,4,0)),1,VLOOKUP(D22&amp;INDEX($D$2:$D$1048576,MATCH(G22,$B$2:$B$1048576,0)),CUR_RATES!$A$2:$F$1048576,4,0)),"")</f>
        <v/>
      </c>
      <c r="T22" s="29" t="str">
        <f t="shared" si="1"/>
        <v/>
      </c>
      <c r="U22" t="str">
        <f>IF(B22&lt;&gt;"",VLOOKUP($B22,IDX_REF!$A$2:$K$580,9,0),"")</f>
        <v>Benchmark</v>
      </c>
      <c r="V22" s="12">
        <f>IF(B22&lt;&gt;"",IF(D22=INDEX($D$2:$D$1048576,MATCH(G22,$B$2:$B$1048576,0)),1,IF(SUMPRODUCT(--(K22=CUR_RATES!$E$1:$E$97),--(D22&amp;INDEX($D$2:$D$1048576,MATCH(G22,$B$2:$B$1048576,0))=CUR_RATES!$A$1:$A$97),ROW(CUR_RATES!$E$1:$E$97))=0,INDEX(CUR_RATES!$D:$D,SUMPRODUCT(--((K22-1)=CUR_RATES!$E$1:$E$97),--(D22&amp;INDEX($D$2:$D$1048576,MATCH(G22,$B$2:$B$1048576,0))=CUR_RATES!$A$1:$A$97),ROW(CUR_RATES!$E$1:$E$97))),INDEX(CUR_RATES!$D:$D,SUMPRODUCT(--(K22=CUR_RATES!$E$1:$E$97),--(D22&amp;INDEX($D$2:$D$1048576,MATCH(G22,$B$2:$B$1048576,0))=CUR_RATES!$A$1:$A$97),ROW(CUR_RATES!$E$1:$E$97))))),"")</f>
        <v>1</v>
      </c>
      <c r="W22">
        <v>1546.471</v>
      </c>
      <c r="Y22" s="12">
        <f t="shared" si="2"/>
        <v>6.3597241987867479</v>
      </c>
    </row>
    <row r="23" spans="1:25" x14ac:dyDescent="0.2">
      <c r="A23">
        <v>20011</v>
      </c>
      <c r="B23" s="2" t="str">
        <f>IF(INDEX(IDX_REF!$A:$A,ROW(IDX_REF!B23))=0,"",INDEX(IDX_REF!$A:$A,ROW(IDX_REF!B23)))</f>
        <v>VNXCOTRUSD</v>
      </c>
      <c r="C23" t="str">
        <f>IF(B23&lt;&gt;"",VLOOKUP($B23,IDX_REF!$A$2:$I$900,3,0),"")</f>
        <v>VNX ALLSHARE TR CONTINUOUS (USD)</v>
      </c>
      <c r="D23" t="str">
        <f>IF(C23&lt;&gt;"",VLOOKUP($B23,IDX_REF!$A$2:$I$900,4,0),"")</f>
        <v>USD</v>
      </c>
      <c r="E23">
        <f>IF(D23&lt;&gt;"",VLOOKUP($B23,IDX_REF!$A$2:$I$900,5,0),"")</f>
        <v>1000</v>
      </c>
      <c r="F23" t="str">
        <f>IF(E23&lt;&gt;"",VLOOKUP($B23,IDX_REF!$A$2:$I$900,7,0),"")</f>
        <v>R</v>
      </c>
      <c r="G23" t="str">
        <f>IF(F23&lt;&gt;"",VLOOKUP($B23,IDX_REF!$A$2:$I$900,8,0),"")</f>
        <v>VNXCOPRVND</v>
      </c>
      <c r="H23" s="12">
        <v>1428571428571.4285</v>
      </c>
      <c r="I23" s="12">
        <f>IF(B23&lt;&gt;"",SUMIF(IDX_COMPOSITION!$R$2:$R$123,IDX_SPECS!$G23,IDX_COMPOSITION!$K$2:$K$123)/V23,"")</f>
        <v>1748431900.1690269</v>
      </c>
      <c r="J23" s="12">
        <f t="shared" si="0"/>
        <v>1323.7669984795164</v>
      </c>
      <c r="K23" s="75">
        <v>41165</v>
      </c>
      <c r="L23" s="1">
        <v>0</v>
      </c>
      <c r="M23">
        <f>IF(B23&lt;&gt;"",COUNTIF(IDX_COMPOSITION!$R$2:$R$123,IDX_SPECS!G23),"")</f>
        <v>26</v>
      </c>
      <c r="N23">
        <f>IF(B23&lt;&gt;"",VLOOKUP($B23,IDX_REF!$A$2:$K$580,10,0),"")</f>
        <v>1</v>
      </c>
      <c r="O23">
        <f>IF(C23&lt;&gt;"",VLOOKUP($B23,IDX_REF!$A$2:$K$580,11,0),"")</f>
        <v>0</v>
      </c>
      <c r="Q23" s="12">
        <f>IF(B23&lt;&gt;"",SUMIF(IDX_COMPOSITION!$R$2:$R$123,IDX_SPECS!$G23,IDX_COMPOSITION!$N$2:$N$123)/V23,"")</f>
        <v>37545623.389675654</v>
      </c>
      <c r="R23">
        <v>0</v>
      </c>
      <c r="S23" s="25" t="str">
        <f>IF(R23=1,SUMIF(IDX_COMPOSITION!$R$2:$R$123,IDX_SPECS!$G23,IDX_COMPOSITION!#REF!)/IF(ISNA(VLOOKUP(D23&amp;INDEX($D$2:$D$1048576,MATCH(G23,$B$2:$B$1048576,0)),CUR_RATES!$A$2:$F$1048576,4,0)),1,VLOOKUP(D23&amp;INDEX($D$2:$D$1048576,MATCH(G23,$B$2:$B$1048576,0)),CUR_RATES!$A$2:$F$1048576,4,0)),"")</f>
        <v/>
      </c>
      <c r="T23" s="29" t="str">
        <f t="shared" si="1"/>
        <v/>
      </c>
      <c r="U23" t="str">
        <f>IF(B23&lt;&gt;"",VLOOKUP($B23,IDX_REF!$A$2:$K$580,9,0),"")</f>
        <v>Benchmark</v>
      </c>
      <c r="V23" s="12">
        <f>IF(B23&lt;&gt;"",IF(D23=INDEX($D$2:$D$1048576,MATCH(G23,$B$2:$B$1048576,0)),1,IF(SUMPRODUCT(--(K23=CUR_RATES!$E$1:$E$97),--(D23&amp;INDEX($D$2:$D$1048576,MATCH(G23,$B$2:$B$1048576,0))=CUR_RATES!$A$1:$A$97),ROW(CUR_RATES!$E$1:$E$97))=0,INDEX(CUR_RATES!$D:$D,SUMPRODUCT(--((K23-1)=CUR_RATES!$E$1:$E$97),--(D23&amp;INDEX($D$2:$D$1048576,MATCH(G23,$B$2:$B$1048576,0))=CUR_RATES!$A$1:$A$97),ROW(CUR_RATES!$E$1:$E$97))),INDEX(CUR_RATES!$D:$D,SUMPRODUCT(--(K23=CUR_RATES!$E$1:$E$97),--(D23&amp;INDEX($D$2:$D$1048576,MATCH(G23,$B$2:$B$1048576,0))=CUR_RATES!$A$1:$A$97),ROW(CUR_RATES!$E$1:$E$97))))),"")</f>
        <v>21890</v>
      </c>
      <c r="W23">
        <v>1383.693</v>
      </c>
      <c r="Y23" s="12">
        <f t="shared" si="2"/>
        <v>-4.330874082652989</v>
      </c>
    </row>
    <row r="24" spans="1:25" x14ac:dyDescent="0.2">
      <c r="A24">
        <v>20012</v>
      </c>
      <c r="B24" s="2" t="str">
        <f>IF(INDEX(IDX_REF!$A:$A,ROW(IDX_REF!B24))=0,"",INDEX(IDX_REF!$A:$A,ROW(IDX_REF!B24)))</f>
        <v>VNXCOTRJPY</v>
      </c>
      <c r="C24" t="str">
        <f>IF(B24&lt;&gt;"",VLOOKUP($B24,IDX_REF!$A$2:$I$900,3,0),"")</f>
        <v>VNX ALLSHARE TR CONTINUOUS (JPY)</v>
      </c>
      <c r="D24" t="str">
        <f>IF(C24&lt;&gt;"",VLOOKUP($B24,IDX_REF!$A$2:$I$900,4,0),"")</f>
        <v>JPY</v>
      </c>
      <c r="E24">
        <f>IF(D24&lt;&gt;"",VLOOKUP($B24,IDX_REF!$A$2:$I$900,5,0),"")</f>
        <v>1000</v>
      </c>
      <c r="F24" t="str">
        <f>IF(E24&lt;&gt;"",VLOOKUP($B24,IDX_REF!$A$2:$I$900,7,0),"")</f>
        <v>R</v>
      </c>
      <c r="G24" t="str">
        <f>IF(F24&lt;&gt;"",VLOOKUP($B24,IDX_REF!$A$2:$I$900,8,0),"")</f>
        <v>VNXCOPRVND</v>
      </c>
      <c r="H24" s="12">
        <v>113207547169.81133</v>
      </c>
      <c r="I24" s="12">
        <f>IF(B24&lt;&gt;"",SUMIF(IDX_COMPOSITION!$R$2:$R$123,IDX_SPECS!$G24,IDX_COMPOSITION!$K$2:$K$123)/V24,"")</f>
        <v>135720476222.34042</v>
      </c>
      <c r="J24" s="12">
        <f t="shared" si="0"/>
        <v>1139.2963516575942</v>
      </c>
      <c r="K24" s="75">
        <v>41165</v>
      </c>
      <c r="L24" s="1">
        <v>0</v>
      </c>
      <c r="M24">
        <f>IF(B24&lt;&gt;"",COUNTIF(IDX_COMPOSITION!$R$2:$R$123,IDX_SPECS!G24),"")</f>
        <v>26</v>
      </c>
      <c r="N24">
        <f>IF(B24&lt;&gt;"",VLOOKUP($B24,IDX_REF!$A$2:$K$580,10,0),"")</f>
        <v>1</v>
      </c>
      <c r="O24">
        <f>IF(C24&lt;&gt;"",VLOOKUP($B24,IDX_REF!$A$2:$K$580,11,0),"")</f>
        <v>0</v>
      </c>
      <c r="Q24" s="12">
        <f>IF(B24&lt;&gt;"",SUMIF(IDX_COMPOSITION!$R$2:$R$123,IDX_SPECS!$G24,IDX_COMPOSITION!$N$2:$N$123)/V24,"")</f>
        <v>2914445730.4964538</v>
      </c>
      <c r="R24">
        <v>0</v>
      </c>
      <c r="S24" s="25" t="str">
        <f>IF(R24=1,SUMIF(IDX_COMPOSITION!$R$2:$R$123,IDX_SPECS!$G24,IDX_COMPOSITION!#REF!)/IF(ISNA(VLOOKUP(D24&amp;INDEX($D$2:$D$1048576,MATCH(G24,$B$2:$B$1048576,0)),CUR_RATES!$A$2:$F$1048576,4,0)),1,VLOOKUP(D24&amp;INDEX($D$2:$D$1048576,MATCH(G24,$B$2:$B$1048576,0)),CUR_RATES!$A$2:$F$1048576,4,0)),"")</f>
        <v/>
      </c>
      <c r="T24" s="29" t="str">
        <f t="shared" si="1"/>
        <v/>
      </c>
      <c r="U24" t="str">
        <f>IF(B24&lt;&gt;"",VLOOKUP($B24,IDX_REF!$A$2:$K$580,9,0),"")</f>
        <v>Benchmark</v>
      </c>
      <c r="V24" s="12">
        <f>IF(B24&lt;&gt;"",IF(D24=INDEX($D$2:$D$1048576,MATCH(G24,$B$2:$B$1048576,0)),1,IF(SUMPRODUCT(--(K24=CUR_RATES!$E$1:$E$97),--(D24&amp;INDEX($D$2:$D$1048576,MATCH(G24,$B$2:$B$1048576,0))=CUR_RATES!$A$1:$A$97),ROW(CUR_RATES!$E$1:$E$97))=0,INDEX(CUR_RATES!$D:$D,SUMPRODUCT(--((K24-1)=CUR_RATES!$E$1:$E$97),--(D24&amp;INDEX($D$2:$D$1048576,MATCH(G24,$B$2:$B$1048576,0))=CUR_RATES!$A$1:$A$97),ROW(CUR_RATES!$E$1:$E$97))),INDEX(CUR_RATES!$D:$D,SUMPRODUCT(--(K24=CUR_RATES!$E$1:$E$97),--(D24&amp;INDEX($D$2:$D$1048576,MATCH(G24,$B$2:$B$1048576,0))=CUR_RATES!$A$1:$A$97),ROW(CUR_RATES!$E$1:$E$97))))),"")</f>
        <v>282</v>
      </c>
      <c r="W24">
        <v>1127.0619999999999</v>
      </c>
      <c r="Y24" s="12">
        <f t="shared" si="2"/>
        <v>1.0855083090011275</v>
      </c>
    </row>
    <row r="25" spans="1:25" x14ac:dyDescent="0.2">
      <c r="A25">
        <v>20013</v>
      </c>
      <c r="B25" s="2" t="str">
        <f>IF(INDEX(IDX_REF!$A:$A,ROW(IDX_REF!B25))=0,"",INDEX(IDX_REF!$A:$A,ROW(IDX_REF!B25)))</f>
        <v>VNXCOTREUR</v>
      </c>
      <c r="C25" t="str">
        <f>IF(B25&lt;&gt;"",VLOOKUP($B25,IDX_REF!$A$2:$I$900,3,0),"")</f>
        <v>VNX ALLSHARE TR CONTINUOUS (EUR)</v>
      </c>
      <c r="D25" t="str">
        <f>IF(C25&lt;&gt;"",VLOOKUP($B25,IDX_REF!$A$2:$I$900,4,0),"")</f>
        <v>EUR</v>
      </c>
      <c r="E25">
        <f>IF(D25&lt;&gt;"",VLOOKUP($B25,IDX_REF!$A$2:$I$900,5,0),"")</f>
        <v>1000</v>
      </c>
      <c r="F25" t="str">
        <f>IF(E25&lt;&gt;"",VLOOKUP($B25,IDX_REF!$A$2:$I$900,7,0),"")</f>
        <v>R</v>
      </c>
      <c r="G25" t="str">
        <f>IF(F25&lt;&gt;"",VLOOKUP($B25,IDX_REF!$A$2:$I$900,8,0),"")</f>
        <v>VNXCOPRVND</v>
      </c>
      <c r="H25" s="12">
        <v>1034482758620.6897</v>
      </c>
      <c r="I25" s="12">
        <f>IF(B25&lt;&gt;"",SUMIF(IDX_COMPOSITION!$R$2:$R$123,IDX_SPECS!$G25,IDX_COMPOSITION!$K$2:$K$123)/V25,"")</f>
        <v>1283874581.0125766</v>
      </c>
      <c r="J25" s="12">
        <f t="shared" si="0"/>
        <v>1133.2807557345327</v>
      </c>
      <c r="K25" s="75">
        <v>41165</v>
      </c>
      <c r="L25" s="1">
        <v>0</v>
      </c>
      <c r="M25">
        <f>IF(B25&lt;&gt;"",COUNTIF(IDX_COMPOSITION!$R$2:$R$123,IDX_SPECS!G25),"")</f>
        <v>26</v>
      </c>
      <c r="N25">
        <f>IF(B25&lt;&gt;"",VLOOKUP($B25,IDX_REF!$A$2:$K$580,10,0),"")</f>
        <v>1</v>
      </c>
      <c r="O25">
        <f>IF(C25&lt;&gt;"",VLOOKUP($B25,IDX_REF!$A$2:$K$580,11,0),"")</f>
        <v>0</v>
      </c>
      <c r="Q25" s="12">
        <f>IF(B25&lt;&gt;"",SUMIF(IDX_COMPOSITION!$R$2:$R$123,IDX_SPECS!$G25,IDX_COMPOSITION!$N$2:$N$123)/V25,"")</f>
        <v>27569773.517410539</v>
      </c>
      <c r="R25">
        <v>0</v>
      </c>
      <c r="S25" s="25" t="str">
        <f>IF(R25=1,SUMIF(IDX_COMPOSITION!$R$2:$R$123,IDX_SPECS!$G25,IDX_COMPOSITION!#REF!)/IF(ISNA(VLOOKUP(D25&amp;INDEX($D$2:$D$1048576,MATCH(G25,$B$2:$B$1048576,0)),CUR_RATES!$A$2:$F$1048576,4,0)),1,VLOOKUP(D25&amp;INDEX($D$2:$D$1048576,MATCH(G25,$B$2:$B$1048576,0)),CUR_RATES!$A$2:$F$1048576,4,0)),"")</f>
        <v/>
      </c>
      <c r="T25" s="29" t="str">
        <f t="shared" si="1"/>
        <v/>
      </c>
      <c r="U25" t="str">
        <f>IF(B25&lt;&gt;"",VLOOKUP($B25,IDX_REF!$A$2:$K$580,9,0),"")</f>
        <v>Benchmark</v>
      </c>
      <c r="V25" s="12">
        <f>IF(B25&lt;&gt;"",IF(D25=INDEX($D$2:$D$1048576,MATCH(G25,$B$2:$B$1048576,0)),1,IF(SUMPRODUCT(--(K25=CUR_RATES!$E$1:$E$97),--(D25&amp;INDEX($D$2:$D$1048576,MATCH(G25,$B$2:$B$1048576,0))=CUR_RATES!$A$1:$A$97),ROW(CUR_RATES!$E$1:$E$97))=0,INDEX(CUR_RATES!$D:$D,SUMPRODUCT(--((K25-1)=CUR_RATES!$E$1:$E$97),--(D25&amp;INDEX($D$2:$D$1048576,MATCH(G25,$B$2:$B$1048576,0))=CUR_RATES!$A$1:$A$97),ROW(CUR_RATES!$E$1:$E$97))),INDEX(CUR_RATES!$D:$D,SUMPRODUCT(--(K25=CUR_RATES!$E$1:$E$97),--(D25&amp;INDEX($D$2:$D$1048576,MATCH(G25,$B$2:$B$1048576,0))=CUR_RATES!$A$1:$A$97),ROW(CUR_RATES!$E$1:$E$97))))),"")</f>
        <v>29810.68</v>
      </c>
      <c r="W25">
        <v>1078.8720000000001</v>
      </c>
      <c r="Y25" s="12">
        <f t="shared" si="2"/>
        <v>5.0431150066488541</v>
      </c>
    </row>
    <row r="26" spans="1:25" x14ac:dyDescent="0.2">
      <c r="A26">
        <v>20014</v>
      </c>
      <c r="B26" s="2" t="str">
        <f>IF(INDEX(IDX_REF!$A:$A,ROW(IDX_REF!B26))=0,"",INDEX(IDX_REF!$A:$A,ROW(IDX_REF!B26)))</f>
        <v>VNXHSXPRVND</v>
      </c>
      <c r="C26" t="str">
        <f>IF(B26&lt;&gt;"",VLOOKUP($B26,IDX_REF!$A$2:$I$900,3,0),"")</f>
        <v xml:space="preserve">VNX ALLSHARE HSX </v>
      </c>
      <c r="D26" t="str">
        <f>IF(C26&lt;&gt;"",VLOOKUP($B26,IDX_REF!$A$2:$I$900,4,0),"")</f>
        <v>VND</v>
      </c>
      <c r="E26">
        <f>IF(D26&lt;&gt;"",VLOOKUP($B26,IDX_REF!$A$2:$I$900,5,0),"")</f>
        <v>1000</v>
      </c>
      <c r="F26" t="str">
        <f>IF(E26&lt;&gt;"",VLOOKUP($B26,IDX_REF!$A$2:$I$900,7,0),"")</f>
        <v>P</v>
      </c>
      <c r="G26" t="str">
        <f>IF(F26&lt;&gt;"",VLOOKUP($B26,IDX_REF!$A$2:$I$900,8,0),"")</f>
        <v>VNXHSXPRVND</v>
      </c>
      <c r="H26" s="12">
        <v>25000000000000</v>
      </c>
      <c r="I26" s="12">
        <f>IF(B26&lt;&gt;"",SUMIF(IDX_COMPOSITION!$R$2:$R$123,IDX_SPECS!$G26,IDX_COMPOSITION!$K$2:$K$123)/V26,"")</f>
        <v>44040484805400</v>
      </c>
      <c r="J26" s="12">
        <f t="shared" si="0"/>
        <v>1761.6193922160001</v>
      </c>
      <c r="K26" s="75">
        <v>41165</v>
      </c>
      <c r="L26" s="1">
        <v>0</v>
      </c>
      <c r="M26">
        <f>IF(B26&lt;&gt;"",COUNTIF(IDX_COMPOSITION!$R$2:$R$123,IDX_SPECS!G26),"")</f>
        <v>11</v>
      </c>
      <c r="N26">
        <f>IF(B26&lt;&gt;"",VLOOKUP($B26,IDX_REF!$A$2:$K$580,10,0),"")</f>
        <v>1</v>
      </c>
      <c r="O26">
        <f>IF(C26&lt;&gt;"",VLOOKUP($B26,IDX_REF!$A$2:$K$580,11,0),"")</f>
        <v>0</v>
      </c>
      <c r="Q26" s="12">
        <f>IF(B26&lt;&gt;"",SUMIF(IDX_COMPOSITION!$R$2:$R$123,IDX_SPECS!$G26,IDX_COMPOSITION!$N$2:$N$123)/V26,"")</f>
        <v>778523696000</v>
      </c>
      <c r="R26">
        <v>0</v>
      </c>
      <c r="S26" s="25" t="str">
        <f>IF(R26=1,SUMIF(IDX_COMPOSITION!$R$2:$R$123,IDX_SPECS!$G26,IDX_COMPOSITION!#REF!)/IF(ISNA(VLOOKUP(D26&amp;INDEX($D$2:$D$1048576,MATCH(G26,$B$2:$B$1048576,0)),CUR_RATES!$A$2:$F$1048576,4,0)),1,VLOOKUP(D26&amp;INDEX($D$2:$D$1048576,MATCH(G26,$B$2:$B$1048576,0)),CUR_RATES!$A$2:$F$1048576,4,0)),"")</f>
        <v/>
      </c>
      <c r="T26" s="29" t="str">
        <f t="shared" si="1"/>
        <v/>
      </c>
      <c r="U26" t="str">
        <f>IF(B26&lt;&gt;"",VLOOKUP($B26,IDX_REF!$A$2:$K$580,9,0),"")</f>
        <v>Benchmark</v>
      </c>
      <c r="V26" s="12">
        <f>IF(B26&lt;&gt;"",IF(D26=INDEX($D$2:$D$1048576,MATCH(G26,$B$2:$B$1048576,0)),1,IF(SUMPRODUCT(--(K26=CUR_RATES!$E$1:$E$97),--(D26&amp;INDEX($D$2:$D$1048576,MATCH(G26,$B$2:$B$1048576,0))=CUR_RATES!$A$1:$A$97),ROW(CUR_RATES!$E$1:$E$97))=0,INDEX(CUR_RATES!$D:$D,SUMPRODUCT(--((K26-1)=CUR_RATES!$E$1:$E$97),--(D26&amp;INDEX($D$2:$D$1048576,MATCH(G26,$B$2:$B$1048576,0))=CUR_RATES!$A$1:$A$97),ROW(CUR_RATES!$E$1:$E$97))),INDEX(CUR_RATES!$D:$D,SUMPRODUCT(--(K26=CUR_RATES!$E$1:$E$97),--(D26&amp;INDEX($D$2:$D$1048576,MATCH(G26,$B$2:$B$1048576,0))=CUR_RATES!$A$1:$A$97),ROW(CUR_RATES!$E$1:$E$97))))),"")</f>
        <v>1</v>
      </c>
      <c r="W26">
        <v>1708.019</v>
      </c>
      <c r="Y26" s="12">
        <f t="shared" si="2"/>
        <v>3.1381613562846806</v>
      </c>
    </row>
    <row r="27" spans="1:25" x14ac:dyDescent="0.2">
      <c r="A27">
        <v>20015</v>
      </c>
      <c r="B27" s="2" t="str">
        <f>IF(INDEX(IDX_REF!$A:$A,ROW(IDX_REF!B27))=0,"",INDEX(IDX_REF!$A:$A,ROW(IDX_REF!B27)))</f>
        <v>VNXHSXPRUSD</v>
      </c>
      <c r="C27" t="str">
        <f>IF(B27&lt;&gt;"",VLOOKUP($B27,IDX_REF!$A$2:$I$900,3,0),"")</f>
        <v>VNX ALLSHARE HSX (USD)</v>
      </c>
      <c r="D27" t="str">
        <f>IF(C27&lt;&gt;"",VLOOKUP($B27,IDX_REF!$A$2:$I$900,4,0),"")</f>
        <v>USD</v>
      </c>
      <c r="E27">
        <f>IF(D27&lt;&gt;"",VLOOKUP($B27,IDX_REF!$A$2:$I$900,5,0),"")</f>
        <v>1000</v>
      </c>
      <c r="F27" t="str">
        <f>IF(E27&lt;&gt;"",VLOOKUP($B27,IDX_REF!$A$2:$I$900,7,0),"")</f>
        <v>P</v>
      </c>
      <c r="G27" t="str">
        <f>IF(F27&lt;&gt;"",VLOOKUP($B27,IDX_REF!$A$2:$I$900,8,0),"")</f>
        <v>VNXHSXPRVND</v>
      </c>
      <c r="H27" s="12">
        <v>1190476190.4761903</v>
      </c>
      <c r="I27" s="12">
        <f>IF(B27&lt;&gt;"",SUMIF(IDX_COMPOSITION!$R$2:$R$123,IDX_SPECS!$G27,IDX_COMPOSITION!$K$2:$K$123)/V27,"")</f>
        <v>2011899717.0123343</v>
      </c>
      <c r="J27" s="12">
        <f t="shared" si="0"/>
        <v>1689.995762290361</v>
      </c>
      <c r="K27" s="75">
        <v>41165</v>
      </c>
      <c r="L27" s="1">
        <v>0</v>
      </c>
      <c r="M27">
        <f>IF(B27&lt;&gt;"",COUNTIF(IDX_COMPOSITION!$R$2:$R$123,IDX_SPECS!G27),"")</f>
        <v>11</v>
      </c>
      <c r="N27">
        <f>IF(B27&lt;&gt;"",VLOOKUP($B27,IDX_REF!$A$2:$K$580,10,0),"")</f>
        <v>1</v>
      </c>
      <c r="O27">
        <f>IF(C27&lt;&gt;"",VLOOKUP($B27,IDX_REF!$A$2:$K$580,11,0),"")</f>
        <v>0</v>
      </c>
      <c r="Q27" s="12">
        <f>IF(B27&lt;&gt;"",SUMIF(IDX_COMPOSITION!$R$2:$R$123,IDX_SPECS!$G27,IDX_COMPOSITION!$N$2:$N$123)/V27,"")</f>
        <v>35565267.062585652</v>
      </c>
      <c r="R27">
        <v>0</v>
      </c>
      <c r="S27" s="25" t="str">
        <f>IF(R27=1,SUMIF(IDX_COMPOSITION!$R$2:$R$123,IDX_SPECS!$G27,IDX_COMPOSITION!#REF!)/IF(ISNA(VLOOKUP(D27&amp;INDEX($D$2:$D$1048576,MATCH(G27,$B$2:$B$1048576,0)),CUR_RATES!$A$2:$F$1048576,4,0)),1,VLOOKUP(D27&amp;INDEX($D$2:$D$1048576,MATCH(G27,$B$2:$B$1048576,0)),CUR_RATES!$A$2:$F$1048576,4,0)),"")</f>
        <v/>
      </c>
      <c r="T27" s="29" t="str">
        <f t="shared" si="1"/>
        <v/>
      </c>
      <c r="U27" t="str">
        <f>IF(B27&lt;&gt;"",VLOOKUP($B27,IDX_REF!$A$2:$K$580,9,0),"")</f>
        <v>Benchmark</v>
      </c>
      <c r="V27" s="12">
        <f>IF(B27&lt;&gt;"",IF(D27=INDEX($D$2:$D$1048576,MATCH(G27,$B$2:$B$1048576,0)),1,IF(SUMPRODUCT(--(K27=CUR_RATES!$E$1:$E$97),--(D27&amp;INDEX($D$2:$D$1048576,MATCH(G27,$B$2:$B$1048576,0))=CUR_RATES!$A$1:$A$97),ROW(CUR_RATES!$E$1:$E$97))=0,INDEX(CUR_RATES!$D:$D,SUMPRODUCT(--((K27-1)=CUR_RATES!$E$1:$E$97),--(D27&amp;INDEX($D$2:$D$1048576,MATCH(G27,$B$2:$B$1048576,0))=CUR_RATES!$A$1:$A$97),ROW(CUR_RATES!$E$1:$E$97))),INDEX(CUR_RATES!$D:$D,SUMPRODUCT(--(K27=CUR_RATES!$E$1:$E$97),--(D27&amp;INDEX($D$2:$D$1048576,MATCH(G27,$B$2:$B$1048576,0))=CUR_RATES!$A$1:$A$97),ROW(CUR_RATES!$E$1:$E$97))))),"")</f>
        <v>21890</v>
      </c>
      <c r="W27">
        <v>1784.47</v>
      </c>
      <c r="Y27" s="12">
        <f t="shared" si="2"/>
        <v>-5.294246342591304</v>
      </c>
    </row>
    <row r="28" spans="1:25" x14ac:dyDescent="0.2">
      <c r="A28">
        <v>20016</v>
      </c>
      <c r="B28" s="2" t="str">
        <f>IF(INDEX(IDX_REF!$A:$A,ROW(IDX_REF!B28))=0,"",INDEX(IDX_REF!$A:$A,ROW(IDX_REF!B28)))</f>
        <v>VNXHSXPRJPY</v>
      </c>
      <c r="C28" t="str">
        <f>IF(B28&lt;&gt;"",VLOOKUP($B28,IDX_REF!$A$2:$I$900,3,0),"")</f>
        <v>VNX ALLSHARE HSX (JPY)</v>
      </c>
      <c r="D28" t="str">
        <f>IF(C28&lt;&gt;"",VLOOKUP($B28,IDX_REF!$A$2:$I$900,4,0),"")</f>
        <v>JPY</v>
      </c>
      <c r="E28">
        <f>IF(D28&lt;&gt;"",VLOOKUP($B28,IDX_REF!$A$2:$I$900,5,0),"")</f>
        <v>1000</v>
      </c>
      <c r="F28" t="str">
        <f>IF(E28&lt;&gt;"",VLOOKUP($B28,IDX_REF!$A$2:$I$900,7,0),"")</f>
        <v>P</v>
      </c>
      <c r="G28" t="str">
        <f>IF(F28&lt;&gt;"",VLOOKUP($B28,IDX_REF!$A$2:$I$900,8,0),"")</f>
        <v>VNXHSXPRVND</v>
      </c>
      <c r="H28" s="12">
        <v>94339622641.50943</v>
      </c>
      <c r="I28" s="12">
        <f>IF(B28&lt;&gt;"",SUMIF(IDX_COMPOSITION!$R$2:$R$123,IDX_SPECS!$G28,IDX_COMPOSITION!$K$2:$K$123)/V28,"")</f>
        <v>156171931934.04254</v>
      </c>
      <c r="J28" s="12">
        <f t="shared" si="0"/>
        <v>1655.422478500851</v>
      </c>
      <c r="K28" s="75">
        <v>41165</v>
      </c>
      <c r="L28" s="1">
        <v>0</v>
      </c>
      <c r="M28">
        <f>IF(B28&lt;&gt;"",COUNTIF(IDX_COMPOSITION!$R$2:$R$123,IDX_SPECS!G28),"")</f>
        <v>11</v>
      </c>
      <c r="N28">
        <f>IF(B28&lt;&gt;"",VLOOKUP($B28,IDX_REF!$A$2:$K$580,10,0),"")</f>
        <v>1</v>
      </c>
      <c r="O28">
        <f>IF(C28&lt;&gt;"",VLOOKUP($B28,IDX_REF!$A$2:$K$580,11,0),"")</f>
        <v>0</v>
      </c>
      <c r="Q28" s="12">
        <f>IF(B28&lt;&gt;"",SUMIF(IDX_COMPOSITION!$R$2:$R$123,IDX_SPECS!$G28,IDX_COMPOSITION!$N$2:$N$123)/V28,"")</f>
        <v>2760722326.2411346</v>
      </c>
      <c r="R28">
        <v>0</v>
      </c>
      <c r="S28" s="25" t="str">
        <f>IF(R28=1,SUMIF(IDX_COMPOSITION!$R$2:$R$123,IDX_SPECS!$G28,IDX_COMPOSITION!#REF!)/IF(ISNA(VLOOKUP(D28&amp;INDEX($D$2:$D$1048576,MATCH(G28,$B$2:$B$1048576,0)),CUR_RATES!$A$2:$F$1048576,4,0)),1,VLOOKUP(D28&amp;INDEX($D$2:$D$1048576,MATCH(G28,$B$2:$B$1048576,0)),CUR_RATES!$A$2:$F$1048576,4,0)),"")</f>
        <v/>
      </c>
      <c r="T28" s="29" t="str">
        <f t="shared" si="1"/>
        <v/>
      </c>
      <c r="U28" t="str">
        <f>IF(B28&lt;&gt;"",VLOOKUP($B28,IDX_REF!$A$2:$K$580,9,0),"")</f>
        <v>Benchmark</v>
      </c>
      <c r="V28" s="12">
        <f>IF(B28&lt;&gt;"",IF(D28=INDEX($D$2:$D$1048576,MATCH(G28,$B$2:$B$1048576,0)),1,IF(SUMPRODUCT(--(K28=CUR_RATES!$E$1:$E$97),--(D28&amp;INDEX($D$2:$D$1048576,MATCH(G28,$B$2:$B$1048576,0))=CUR_RATES!$A$1:$A$97),ROW(CUR_RATES!$E$1:$E$97))=0,INDEX(CUR_RATES!$D:$D,SUMPRODUCT(--((K28-1)=CUR_RATES!$E$1:$E$97),--(D28&amp;INDEX($D$2:$D$1048576,MATCH(G28,$B$2:$B$1048576,0))=CUR_RATES!$A$1:$A$97),ROW(CUR_RATES!$E$1:$E$97))),INDEX(CUR_RATES!$D:$D,SUMPRODUCT(--(K28=CUR_RATES!$E$1:$E$97),--(D28&amp;INDEX($D$2:$D$1048576,MATCH(G28,$B$2:$B$1048576,0))=CUR_RATES!$A$1:$A$97),ROW(CUR_RATES!$E$1:$E$97))))),"")</f>
        <v>282</v>
      </c>
      <c r="W28">
        <v>1606.604</v>
      </c>
      <c r="Y28" s="12">
        <f t="shared" si="2"/>
        <v>3.0386130310176567</v>
      </c>
    </row>
    <row r="29" spans="1:25" x14ac:dyDescent="0.2">
      <c r="A29">
        <v>20017</v>
      </c>
      <c r="B29" s="2" t="str">
        <f>IF(INDEX(IDX_REF!$A:$A,ROW(IDX_REF!B29))=0,"",INDEX(IDX_REF!$A:$A,ROW(IDX_REF!B29)))</f>
        <v>VNXHSXPREUR</v>
      </c>
      <c r="C29" t="str">
        <f>IF(B29&lt;&gt;"",VLOOKUP($B29,IDX_REF!$A$2:$I$900,3,0),"")</f>
        <v>VNX ALLSHARE HSX (EUR)</v>
      </c>
      <c r="D29" t="str">
        <f>IF(C29&lt;&gt;"",VLOOKUP($B29,IDX_REF!$A$2:$I$900,4,0),"")</f>
        <v>EUR</v>
      </c>
      <c r="E29">
        <f>IF(D29&lt;&gt;"",VLOOKUP($B29,IDX_REF!$A$2:$I$900,5,0),"")</f>
        <v>1000</v>
      </c>
      <c r="F29" t="str">
        <f>IF(E29&lt;&gt;"",VLOOKUP($B29,IDX_REF!$A$2:$I$900,7,0),"")</f>
        <v>P</v>
      </c>
      <c r="G29" t="str">
        <f>IF(F29&lt;&gt;"",VLOOKUP($B29,IDX_REF!$A$2:$I$900,8,0),"")</f>
        <v>VNXHSXPRVND</v>
      </c>
      <c r="H29" s="12">
        <v>862068965.51724136</v>
      </c>
      <c r="I29" s="12">
        <f>IF(B29&lt;&gt;"",SUMIF(IDX_COMPOSITION!$R$2:$R$123,IDX_SPECS!$G29,IDX_COMPOSITION!$K$2:$K$123)/V29,"")</f>
        <v>1477339155.1417143</v>
      </c>
      <c r="J29" s="12">
        <f t="shared" si="0"/>
        <v>1713.7134199643888</v>
      </c>
      <c r="K29" s="75">
        <v>41165</v>
      </c>
      <c r="L29" s="1">
        <v>0</v>
      </c>
      <c r="M29">
        <f>IF(B29&lt;&gt;"",COUNTIF(IDX_COMPOSITION!$R$2:$R$123,IDX_SPECS!G29),"")</f>
        <v>11</v>
      </c>
      <c r="N29">
        <f>IF(B29&lt;&gt;"",VLOOKUP($B29,IDX_REF!$A$2:$K$580,10,0),"")</f>
        <v>1</v>
      </c>
      <c r="O29">
        <f>IF(C29&lt;&gt;"",VLOOKUP($B29,IDX_REF!$A$2:$K$580,11,0),"")</f>
        <v>0</v>
      </c>
      <c r="Q29" s="12">
        <f>IF(B29&lt;&gt;"",SUMIF(IDX_COMPOSITION!$R$2:$R$123,IDX_SPECS!$G29,IDX_COMPOSITION!$N$2:$N$123)/V29,"")</f>
        <v>26115596.692192193</v>
      </c>
      <c r="R29">
        <v>0</v>
      </c>
      <c r="S29" s="25" t="str">
        <f>IF(R29=1,SUMIF(IDX_COMPOSITION!$R$2:$R$123,IDX_SPECS!$G29,IDX_COMPOSITION!#REF!)/IF(ISNA(VLOOKUP(D29&amp;INDEX($D$2:$D$1048576,MATCH(G29,$B$2:$B$1048576,0)),CUR_RATES!$A$2:$F$1048576,4,0)),1,VLOOKUP(D29&amp;INDEX($D$2:$D$1048576,MATCH(G29,$B$2:$B$1048576,0)),CUR_RATES!$A$2:$F$1048576,4,0)),"")</f>
        <v/>
      </c>
      <c r="T29" s="29" t="str">
        <f t="shared" si="1"/>
        <v/>
      </c>
      <c r="U29" t="str">
        <f>IF(B29&lt;&gt;"",VLOOKUP($B29,IDX_REF!$A$2:$K$580,9,0),"")</f>
        <v>Benchmark</v>
      </c>
      <c r="V29" s="12">
        <f>IF(B29&lt;&gt;"",IF(D29=INDEX($D$2:$D$1048576,MATCH(G29,$B$2:$B$1048576,0)),1,IF(SUMPRODUCT(--(K29=CUR_RATES!$E$1:$E$97),--(D29&amp;INDEX($D$2:$D$1048576,MATCH(G29,$B$2:$B$1048576,0))=CUR_RATES!$A$1:$A$97),ROW(CUR_RATES!$E$1:$E$97))=0,INDEX(CUR_RATES!$D:$D,SUMPRODUCT(--((K29-1)=CUR_RATES!$E$1:$E$97),--(D29&amp;INDEX($D$2:$D$1048576,MATCH(G29,$B$2:$B$1048576,0))=CUR_RATES!$A$1:$A$97),ROW(CUR_RATES!$E$1:$E$97))),INDEX(CUR_RATES!$D:$D,SUMPRODUCT(--(K29=CUR_RATES!$E$1:$E$97),--(D29&amp;INDEX($D$2:$D$1048576,MATCH(G29,$B$2:$B$1048576,0))=CUR_RATES!$A$1:$A$97),ROW(CUR_RATES!$E$1:$E$97))))),"")</f>
        <v>29810.68</v>
      </c>
      <c r="W29">
        <v>1677.5070000000001</v>
      </c>
      <c r="Y29" s="12">
        <f t="shared" si="2"/>
        <v>2.1583468780987927</v>
      </c>
    </row>
    <row r="30" spans="1:25" x14ac:dyDescent="0.2">
      <c r="A30">
        <v>20018</v>
      </c>
      <c r="B30" s="2" t="str">
        <f>IF(INDEX(IDX_REF!$A:$A,ROW(IDX_REF!B30))=0,"",INDEX(IDX_REF!$A:$A,ROW(IDX_REF!B30)))</f>
        <v>VNXHSXTRVND</v>
      </c>
      <c r="C30" t="str">
        <f>IF(B30&lt;&gt;"",VLOOKUP($B30,IDX_REF!$A$2:$I$900,3,0),"")</f>
        <v xml:space="preserve">VNX ALLSHARE HSX TR </v>
      </c>
      <c r="D30" t="str">
        <f>IF(C30&lt;&gt;"",VLOOKUP($B30,IDX_REF!$A$2:$I$900,4,0),"")</f>
        <v>VND</v>
      </c>
      <c r="E30">
        <f>IF(D30&lt;&gt;"",VLOOKUP($B30,IDX_REF!$A$2:$I$900,5,0),"")</f>
        <v>1000</v>
      </c>
      <c r="F30" t="str">
        <f>IF(E30&lt;&gt;"",VLOOKUP($B30,IDX_REF!$A$2:$I$900,7,0),"")</f>
        <v>R</v>
      </c>
      <c r="G30" t="str">
        <f>IF(F30&lt;&gt;"",VLOOKUP($B30,IDX_REF!$A$2:$I$900,8,0),"")</f>
        <v>VNXHSXPRVND</v>
      </c>
      <c r="H30" s="12">
        <v>25000000000000</v>
      </c>
      <c r="I30" s="12">
        <f>IF(B30&lt;&gt;"",SUMIF(IDX_COMPOSITION!$R$2:$R$123,IDX_SPECS!$G30,IDX_COMPOSITION!$K$2:$K$123)/V30,"")</f>
        <v>44040484805400</v>
      </c>
      <c r="J30" s="12">
        <f t="shared" si="0"/>
        <v>2204.4734585328124</v>
      </c>
      <c r="K30" s="75">
        <v>41165</v>
      </c>
      <c r="L30" s="1">
        <v>0</v>
      </c>
      <c r="M30">
        <f>IF(B30&lt;&gt;"",COUNTIF(IDX_COMPOSITION!$R$2:$R$123,IDX_SPECS!G30),"")</f>
        <v>11</v>
      </c>
      <c r="N30">
        <f>IF(B30&lt;&gt;"",VLOOKUP($B30,IDX_REF!$A$2:$K$580,10,0),"")</f>
        <v>1</v>
      </c>
      <c r="O30">
        <f>IF(C30&lt;&gt;"",VLOOKUP($B30,IDX_REF!$A$2:$K$580,11,0),"")</f>
        <v>0</v>
      </c>
      <c r="Q30" s="12">
        <f>IF(B30&lt;&gt;"",SUMIF(IDX_COMPOSITION!$R$2:$R$123,IDX_SPECS!$G30,IDX_COMPOSITION!$N$2:$N$123)/V30,"")</f>
        <v>778523696000</v>
      </c>
      <c r="R30">
        <v>0</v>
      </c>
      <c r="S30" s="25" t="str">
        <f>IF(R30=1,SUMIF(IDX_COMPOSITION!$R$2:$R$123,IDX_SPECS!$G30,IDX_COMPOSITION!#REF!)/IF(ISNA(VLOOKUP(D30&amp;INDEX($D$2:$D$1048576,MATCH(G30,$B$2:$B$1048576,0)),CUR_RATES!$A$2:$F$1048576,4,0)),1,VLOOKUP(D30&amp;INDEX($D$2:$D$1048576,MATCH(G30,$B$2:$B$1048576,0)),CUR_RATES!$A$2:$F$1048576,4,0)),"")</f>
        <v/>
      </c>
      <c r="T30" s="29" t="str">
        <f t="shared" si="1"/>
        <v/>
      </c>
      <c r="U30" t="str">
        <f>IF(B30&lt;&gt;"",VLOOKUP($B30,IDX_REF!$A$2:$K$580,9,0),"")</f>
        <v>Benchmark</v>
      </c>
      <c r="V30" s="12">
        <f>IF(B30&lt;&gt;"",IF(D30=INDEX($D$2:$D$1048576,MATCH(G30,$B$2:$B$1048576,0)),1,IF(SUMPRODUCT(--(K30=CUR_RATES!$E$1:$E$97),--(D30&amp;INDEX($D$2:$D$1048576,MATCH(G30,$B$2:$B$1048576,0))=CUR_RATES!$A$1:$A$97),ROW(CUR_RATES!$E$1:$E$97))=0,INDEX(CUR_RATES!$D:$D,SUMPRODUCT(--((K30-1)=CUR_RATES!$E$1:$E$97),--(D30&amp;INDEX($D$2:$D$1048576,MATCH(G30,$B$2:$B$1048576,0))=CUR_RATES!$A$1:$A$97),ROW(CUR_RATES!$E$1:$E$97))),INDEX(CUR_RATES!$D:$D,SUMPRODUCT(--(K30=CUR_RATES!$E$1:$E$97),--(D30&amp;INDEX($D$2:$D$1048576,MATCH(G30,$B$2:$B$1048576,0))=CUR_RATES!$A$1:$A$97),ROW(CUR_RATES!$E$1:$E$97))))),"")</f>
        <v>1</v>
      </c>
      <c r="W30">
        <v>2100.2710000000002</v>
      </c>
      <c r="Y30" s="12">
        <f t="shared" si="2"/>
        <v>4.9613815804156802</v>
      </c>
    </row>
    <row r="31" spans="1:25" x14ac:dyDescent="0.2">
      <c r="A31">
        <v>20019</v>
      </c>
      <c r="B31" s="2" t="str">
        <f>IF(INDEX(IDX_REF!$A:$A,ROW(IDX_REF!B31))=0,"",INDEX(IDX_REF!$A:$A,ROW(IDX_REF!B31)))</f>
        <v>VNXHSXTRUSD</v>
      </c>
      <c r="C31" t="str">
        <f>IF(B31&lt;&gt;"",VLOOKUP($B31,IDX_REF!$A$2:$I$900,3,0),"")</f>
        <v>VNX ALLSHARE HSX TR (USD)</v>
      </c>
      <c r="D31" t="str">
        <f>IF(C31&lt;&gt;"",VLOOKUP($B31,IDX_REF!$A$2:$I$900,4,0),"")</f>
        <v>USD</v>
      </c>
      <c r="E31">
        <f>IF(D31&lt;&gt;"",VLOOKUP($B31,IDX_REF!$A$2:$I$900,5,0),"")</f>
        <v>1000</v>
      </c>
      <c r="F31" t="str">
        <f>IF(E31&lt;&gt;"",VLOOKUP($B31,IDX_REF!$A$2:$I$900,7,0),"")</f>
        <v>R</v>
      </c>
      <c r="G31" t="str">
        <f>IF(F31&lt;&gt;"",VLOOKUP($B31,IDX_REF!$A$2:$I$900,8,0),"")</f>
        <v>VNXHSXPRVND</v>
      </c>
      <c r="H31" s="12">
        <v>1190476190476.1904</v>
      </c>
      <c r="I31" s="12">
        <f>IF(B31&lt;&gt;"",SUMIF(IDX_COMPOSITION!$R$2:$R$123,IDX_SPECS!$G31,IDX_COMPOSITION!$K$2:$K$123)/V31,"")</f>
        <v>2011899717.0123343</v>
      </c>
      <c r="J31" s="12">
        <f t="shared" si="0"/>
        <v>1492.9148559022706</v>
      </c>
      <c r="K31" s="75">
        <v>41165</v>
      </c>
      <c r="L31" s="1">
        <v>0</v>
      </c>
      <c r="M31">
        <f>IF(B31&lt;&gt;"",COUNTIF(IDX_COMPOSITION!$R$2:$R$123,IDX_SPECS!G31),"")</f>
        <v>11</v>
      </c>
      <c r="N31">
        <f>IF(B31&lt;&gt;"",VLOOKUP($B31,IDX_REF!$A$2:$K$580,10,0),"")</f>
        <v>1</v>
      </c>
      <c r="O31">
        <f>IF(C31&lt;&gt;"",VLOOKUP($B31,IDX_REF!$A$2:$K$580,11,0),"")</f>
        <v>0</v>
      </c>
      <c r="Q31" s="12">
        <f>IF(B31&lt;&gt;"",SUMIF(IDX_COMPOSITION!$R$2:$R$123,IDX_SPECS!$G31,IDX_COMPOSITION!$N$2:$N$123)/V31,"")</f>
        <v>35565267.062585652</v>
      </c>
      <c r="R31">
        <v>0</v>
      </c>
      <c r="S31" s="25" t="str">
        <f>IF(R31=1,SUMIF(IDX_COMPOSITION!$R$2:$R$123,IDX_SPECS!$G31,IDX_COMPOSITION!#REF!)/IF(ISNA(VLOOKUP(D31&amp;INDEX($D$2:$D$1048576,MATCH(G31,$B$2:$B$1048576,0)),CUR_RATES!$A$2:$F$1048576,4,0)),1,VLOOKUP(D31&amp;INDEX($D$2:$D$1048576,MATCH(G31,$B$2:$B$1048576,0)),CUR_RATES!$A$2:$F$1048576,4,0)),"")</f>
        <v/>
      </c>
      <c r="T31" s="29" t="str">
        <f t="shared" si="1"/>
        <v/>
      </c>
      <c r="U31" t="str">
        <f>IF(B31&lt;&gt;"",VLOOKUP($B31,IDX_REF!$A$2:$K$580,9,0),"")</f>
        <v>Benchmark</v>
      </c>
      <c r="V31" s="12">
        <f>IF(B31&lt;&gt;"",IF(D31=INDEX($D$2:$D$1048576,MATCH(G31,$B$2:$B$1048576,0)),1,IF(SUMPRODUCT(--(K31=CUR_RATES!$E$1:$E$97),--(D31&amp;INDEX($D$2:$D$1048576,MATCH(G31,$B$2:$B$1048576,0))=CUR_RATES!$A$1:$A$97),ROW(CUR_RATES!$E$1:$E$97))=0,INDEX(CUR_RATES!$D:$D,SUMPRODUCT(--((K31-1)=CUR_RATES!$E$1:$E$97),--(D31&amp;INDEX($D$2:$D$1048576,MATCH(G31,$B$2:$B$1048576,0))=CUR_RATES!$A$1:$A$97),ROW(CUR_RATES!$E$1:$E$97))),INDEX(CUR_RATES!$D:$D,SUMPRODUCT(--(K31=CUR_RATES!$E$1:$E$97),--(D31&amp;INDEX($D$2:$D$1048576,MATCH(G31,$B$2:$B$1048576,0))=CUR_RATES!$A$1:$A$97),ROW(CUR_RATES!$E$1:$E$97))))),"")</f>
        <v>21890</v>
      </c>
      <c r="W31">
        <v>1576.3440000000001</v>
      </c>
      <c r="Y31" s="12">
        <f t="shared" si="2"/>
        <v>-5.2925721858762733</v>
      </c>
    </row>
    <row r="32" spans="1:25" x14ac:dyDescent="0.2">
      <c r="A32">
        <v>20020</v>
      </c>
      <c r="B32" s="2" t="str">
        <f>IF(INDEX(IDX_REF!$A:$A,ROW(IDX_REF!B32))=0,"",INDEX(IDX_REF!$A:$A,ROW(IDX_REF!B32)))</f>
        <v>VNXHSXTRJPY</v>
      </c>
      <c r="C32" t="str">
        <f>IF(B32&lt;&gt;"",VLOOKUP($B32,IDX_REF!$A$2:$I$900,3,0),"")</f>
        <v>VNX ALLSHARE HSX TR (JPY)</v>
      </c>
      <c r="D32" t="str">
        <f>IF(C32&lt;&gt;"",VLOOKUP($B32,IDX_REF!$A$2:$I$900,4,0),"")</f>
        <v>JPY</v>
      </c>
      <c r="E32">
        <f>IF(D32&lt;&gt;"",VLOOKUP($B32,IDX_REF!$A$2:$I$900,5,0),"")</f>
        <v>1000</v>
      </c>
      <c r="F32" t="str">
        <f>IF(E32&lt;&gt;"",VLOOKUP($B32,IDX_REF!$A$2:$I$900,7,0),"")</f>
        <v>R</v>
      </c>
      <c r="G32" t="str">
        <f>IF(F32&lt;&gt;"",VLOOKUP($B32,IDX_REF!$A$2:$I$900,8,0),"")</f>
        <v>VNXHSXPRVND</v>
      </c>
      <c r="H32" s="12">
        <v>94339622641.50943</v>
      </c>
      <c r="I32" s="12">
        <f>IF(B32&lt;&gt;"",SUMIF(IDX_COMPOSITION!$R$2:$R$123,IDX_SPECS!$G32,IDX_COMPOSITION!$K$2:$K$123)/V32,"")</f>
        <v>156171931934.04254</v>
      </c>
      <c r="J32" s="12">
        <f t="shared" si="0"/>
        <v>1765.4137113391678</v>
      </c>
      <c r="K32" s="75">
        <v>41165</v>
      </c>
      <c r="L32" s="1">
        <v>0</v>
      </c>
      <c r="M32">
        <f>IF(B32&lt;&gt;"",COUNTIF(IDX_COMPOSITION!$R$2:$R$123,IDX_SPECS!G32),"")</f>
        <v>11</v>
      </c>
      <c r="N32">
        <f>IF(B32&lt;&gt;"",VLOOKUP($B32,IDX_REF!$A$2:$K$580,10,0),"")</f>
        <v>1</v>
      </c>
      <c r="O32">
        <f>IF(C32&lt;&gt;"",VLOOKUP($B32,IDX_REF!$A$2:$K$580,11,0),"")</f>
        <v>0</v>
      </c>
      <c r="Q32" s="12">
        <f>IF(B32&lt;&gt;"",SUMIF(IDX_COMPOSITION!$R$2:$R$123,IDX_SPECS!$G32,IDX_COMPOSITION!$N$2:$N$123)/V32,"")</f>
        <v>2760722326.2411346</v>
      </c>
      <c r="R32">
        <v>0</v>
      </c>
      <c r="S32" s="25" t="str">
        <f>IF(R32=1,SUMIF(IDX_COMPOSITION!$R$2:$R$123,IDX_SPECS!$G32,IDX_COMPOSITION!#REF!)/IF(ISNA(VLOOKUP(D32&amp;INDEX($D$2:$D$1048576,MATCH(G32,$B$2:$B$1048576,0)),CUR_RATES!$A$2:$F$1048576,4,0)),1,VLOOKUP(D32&amp;INDEX($D$2:$D$1048576,MATCH(G32,$B$2:$B$1048576,0)),CUR_RATES!$A$2:$F$1048576,4,0)),"")</f>
        <v/>
      </c>
      <c r="T32" s="29" t="str">
        <f t="shared" si="1"/>
        <v/>
      </c>
      <c r="U32" t="str">
        <f>IF(B32&lt;&gt;"",VLOOKUP($B32,IDX_REF!$A$2:$K$580,9,0),"")</f>
        <v>Benchmark</v>
      </c>
      <c r="V32" s="12">
        <f>IF(B32&lt;&gt;"",IF(D32=INDEX($D$2:$D$1048576,MATCH(G32,$B$2:$B$1048576,0)),1,IF(SUMPRODUCT(--(K32=CUR_RATES!$E$1:$E$97),--(D32&amp;INDEX($D$2:$D$1048576,MATCH(G32,$B$2:$B$1048576,0))=CUR_RATES!$A$1:$A$97),ROW(CUR_RATES!$E$1:$E$97))=0,INDEX(CUR_RATES!$D:$D,SUMPRODUCT(--((K32-1)=CUR_RATES!$E$1:$E$97),--(D32&amp;INDEX($D$2:$D$1048576,MATCH(G32,$B$2:$B$1048576,0))=CUR_RATES!$A$1:$A$97),ROW(CUR_RATES!$E$1:$E$97))),INDEX(CUR_RATES!$D:$D,SUMPRODUCT(--(K32=CUR_RATES!$E$1:$E$97),--(D32&amp;INDEX($D$2:$D$1048576,MATCH(G32,$B$2:$B$1048576,0))=CUR_RATES!$A$1:$A$97),ROW(CUR_RATES!$E$1:$E$97))))),"")</f>
        <v>282</v>
      </c>
      <c r="W32">
        <v>1683.59</v>
      </c>
      <c r="Y32" s="12">
        <f t="shared" si="2"/>
        <v>4.860073494091071</v>
      </c>
    </row>
    <row r="33" spans="1:25" x14ac:dyDescent="0.2">
      <c r="A33">
        <v>20021</v>
      </c>
      <c r="B33" s="2" t="str">
        <f>IF(INDEX(IDX_REF!$A:$A,ROW(IDX_REF!B33))=0,"",INDEX(IDX_REF!$A:$A,ROW(IDX_REF!B33)))</f>
        <v>VNXHSXTREUR</v>
      </c>
      <c r="C33" t="str">
        <f>IF(B33&lt;&gt;"",VLOOKUP($B33,IDX_REF!$A$2:$I$900,3,0),"")</f>
        <v>VNX ALLSHARE HSX TR (EUR)</v>
      </c>
      <c r="D33" t="str">
        <f>IF(C33&lt;&gt;"",VLOOKUP($B33,IDX_REF!$A$2:$I$900,4,0),"")</f>
        <v>EUR</v>
      </c>
      <c r="E33">
        <f>IF(D33&lt;&gt;"",VLOOKUP($B33,IDX_REF!$A$2:$I$900,5,0),"")</f>
        <v>1000</v>
      </c>
      <c r="F33" t="str">
        <f>IF(E33&lt;&gt;"",VLOOKUP($B33,IDX_REF!$A$2:$I$900,7,0),"")</f>
        <v>R</v>
      </c>
      <c r="G33" t="str">
        <f>IF(F33&lt;&gt;"",VLOOKUP($B33,IDX_REF!$A$2:$I$900,8,0),"")</f>
        <v>VNXHSXPRVND</v>
      </c>
      <c r="H33" s="12">
        <v>862068965517.24133</v>
      </c>
      <c r="I33" s="12">
        <f>IF(B33&lt;&gt;"",SUMIF(IDX_COMPOSITION!$R$2:$R$123,IDX_SPECS!$G33,IDX_COMPOSITION!$K$2:$K$123)/V33,"")</f>
        <v>1477339155.1417143</v>
      </c>
      <c r="J33" s="12">
        <f t="shared" si="0"/>
        <v>1985.5796213796684</v>
      </c>
      <c r="K33" s="75">
        <v>41165</v>
      </c>
      <c r="L33" s="1">
        <v>0</v>
      </c>
      <c r="M33">
        <f>IF(B33&lt;&gt;"",COUNTIF(IDX_COMPOSITION!$R$2:$R$123,IDX_SPECS!G33),"")</f>
        <v>11</v>
      </c>
      <c r="N33">
        <f>IF(B33&lt;&gt;"",VLOOKUP($B33,IDX_REF!$A$2:$K$580,10,0),"")</f>
        <v>1</v>
      </c>
      <c r="O33">
        <f>IF(C33&lt;&gt;"",VLOOKUP($B33,IDX_REF!$A$2:$K$580,11,0),"")</f>
        <v>0</v>
      </c>
      <c r="Q33" s="12">
        <f>IF(B33&lt;&gt;"",SUMIF(IDX_COMPOSITION!$R$2:$R$123,IDX_SPECS!$G33,IDX_COMPOSITION!$N$2:$N$123)/V33,"")</f>
        <v>26115596.692192193</v>
      </c>
      <c r="R33">
        <v>0</v>
      </c>
      <c r="S33" s="25" t="str">
        <f>IF(R33=1,SUMIF(IDX_COMPOSITION!$R$2:$R$123,IDX_SPECS!$G33,IDX_COMPOSITION!#REF!)/IF(ISNA(VLOOKUP(D33&amp;INDEX($D$2:$D$1048576,MATCH(G33,$B$2:$B$1048576,0)),CUR_RATES!$A$2:$F$1048576,4,0)),1,VLOOKUP(D33&amp;INDEX($D$2:$D$1048576,MATCH(G33,$B$2:$B$1048576,0)),CUR_RATES!$A$2:$F$1048576,4,0)),"")</f>
        <v/>
      </c>
      <c r="T33" s="29" t="str">
        <f t="shared" si="1"/>
        <v/>
      </c>
      <c r="U33" t="str">
        <f>IF(B33&lt;&gt;"",VLOOKUP($B33,IDX_REF!$A$2:$K$580,9,0),"")</f>
        <v>Benchmark</v>
      </c>
      <c r="V33" s="12">
        <f>IF(B33&lt;&gt;"",IF(D33=INDEX($D$2:$D$1048576,MATCH(G33,$B$2:$B$1048576,0)),1,IF(SUMPRODUCT(--(K33=CUR_RATES!$E$1:$E$97),--(D33&amp;INDEX($D$2:$D$1048576,MATCH(G33,$B$2:$B$1048576,0))=CUR_RATES!$A$1:$A$97),ROW(CUR_RATES!$E$1:$E$97))=0,INDEX(CUR_RATES!$D:$D,SUMPRODUCT(--((K33-1)=CUR_RATES!$E$1:$E$97),--(D33&amp;INDEX($D$2:$D$1048576,MATCH(G33,$B$2:$B$1048576,0))=CUR_RATES!$A$1:$A$97),ROW(CUR_RATES!$E$1:$E$97))),INDEX(CUR_RATES!$D:$D,SUMPRODUCT(--(K33=CUR_RATES!$E$1:$E$97),--(D33&amp;INDEX($D$2:$D$1048576,MATCH(G33,$B$2:$B$1048576,0))=CUR_RATES!$A$1:$A$97),ROW(CUR_RATES!$E$1:$E$97))))),"")</f>
        <v>29810.68</v>
      </c>
      <c r="W33">
        <v>1943.595</v>
      </c>
      <c r="Y33" s="12">
        <f t="shared" si="2"/>
        <v>2.1601527776964025</v>
      </c>
    </row>
    <row r="34" spans="1:25" x14ac:dyDescent="0.2">
      <c r="A34">
        <v>20022</v>
      </c>
      <c r="B34" s="2" t="str">
        <f>IF(INDEX(IDX_REF!$A:$A,ROW(IDX_REF!B34))=0,"",INDEX(IDX_REF!$A:$A,ROW(IDX_REF!B34)))</f>
        <v>VNXHNXPRVND</v>
      </c>
      <c r="C34" t="str">
        <f>IF(B34&lt;&gt;"",VLOOKUP($B34,IDX_REF!$A$2:$I$900,3,0),"")</f>
        <v xml:space="preserve">VNX ALLSHARE HNX </v>
      </c>
      <c r="D34" t="str">
        <f>IF(C34&lt;&gt;"",VLOOKUP($B34,IDX_REF!$A$2:$I$900,4,0),"")</f>
        <v>VND</v>
      </c>
      <c r="E34">
        <f>IF(D34&lt;&gt;"",VLOOKUP($B34,IDX_REF!$A$2:$I$900,5,0),"")</f>
        <v>1000</v>
      </c>
      <c r="F34" t="str">
        <f>IF(E34&lt;&gt;"",VLOOKUP($B34,IDX_REF!$A$2:$I$900,7,0),"")</f>
        <v>P</v>
      </c>
      <c r="G34" t="str">
        <f>IF(F34&lt;&gt;"",VLOOKUP($B34,IDX_REF!$A$2:$I$900,8,0),"")</f>
        <v>VNXHNXPRVND</v>
      </c>
      <c r="H34" s="12">
        <v>8000000000000</v>
      </c>
      <c r="I34" s="12">
        <f>IF(B34&lt;&gt;"",SUMIF(IDX_COMPOSITION!$R$2:$R$123,IDX_SPECS!$G34,IDX_COMPOSITION!$K$2:$K$123)/V34,"")</f>
        <v>8168944913000</v>
      </c>
      <c r="J34" s="12">
        <f t="shared" ref="J34:J65" si="3">IF(B34&lt;&gt;"",IF(F34="P",E34*I34/H34,(W34/VLOOKUP(LEFT(G34,LEN(G34)-3)&amp;D34,$B$2:$W$1048576,22,0))*(VLOOKUP(LEFT(G34,LEN(G34)-3)&amp;D34,$B$2:$W$1048576,9,0)+E34*Q34/H34)),"")</f>
        <v>1021.118114125</v>
      </c>
      <c r="K34" s="75">
        <v>41165</v>
      </c>
      <c r="L34" s="1">
        <v>0</v>
      </c>
      <c r="M34">
        <f>IF(B34&lt;&gt;"",COUNTIF(IDX_COMPOSITION!$R$2:$R$123,IDX_SPECS!G34),"")</f>
        <v>15</v>
      </c>
      <c r="N34">
        <f>IF(B34&lt;&gt;"",VLOOKUP($B34,IDX_REF!$A$2:$K$580,10,0),"")</f>
        <v>1</v>
      </c>
      <c r="O34">
        <f>IF(C34&lt;&gt;"",VLOOKUP($B34,IDX_REF!$A$2:$K$580,11,0),"")</f>
        <v>0</v>
      </c>
      <c r="Q34" s="12">
        <f>IF(B34&lt;&gt;"",SUMIF(IDX_COMPOSITION!$R$2:$R$123,IDX_SPECS!$G34,IDX_COMPOSITION!$N$2:$N$123)/V34,"")</f>
        <v>71809560000</v>
      </c>
      <c r="R34">
        <v>0</v>
      </c>
      <c r="S34" s="25" t="str">
        <f>IF(R34=1,SUMIF(IDX_COMPOSITION!$R$2:$R$123,IDX_SPECS!$G34,IDX_COMPOSITION!#REF!)/IF(ISNA(VLOOKUP(D34&amp;INDEX($D$2:$D$1048576,MATCH(G34,$B$2:$B$1048576,0)),CUR_RATES!$A$2:$F$1048576,4,0)),1,VLOOKUP(D34&amp;INDEX($D$2:$D$1048576,MATCH(G34,$B$2:$B$1048576,0)),CUR_RATES!$A$2:$F$1048576,4,0)),"")</f>
        <v/>
      </c>
      <c r="T34" s="29" t="str">
        <f t="shared" ref="T34:T65" si="4">IF(S34&lt;&gt;"",IF(F34="P",S34*H34/I34,S34*H34/Q34),"")</f>
        <v/>
      </c>
      <c r="U34" t="str">
        <f>IF(B34&lt;&gt;"",VLOOKUP($B34,IDX_REF!$A$2:$K$580,9,0),"")</f>
        <v>Benchmark</v>
      </c>
      <c r="V34" s="12">
        <f>IF(B34&lt;&gt;"",IF(D34=INDEX($D$2:$D$1048576,MATCH(G34,$B$2:$B$1048576,0)),1,IF(SUMPRODUCT(--(K34=CUR_RATES!$E$1:$E$97),--(D34&amp;INDEX($D$2:$D$1048576,MATCH(G34,$B$2:$B$1048576,0))=CUR_RATES!$A$1:$A$97),ROW(CUR_RATES!$E$1:$E$97))=0,INDEX(CUR_RATES!$D:$D,SUMPRODUCT(--((K34-1)=CUR_RATES!$E$1:$E$97),--(D34&amp;INDEX($D$2:$D$1048576,MATCH(G34,$B$2:$B$1048576,0))=CUR_RATES!$A$1:$A$97),ROW(CUR_RATES!$E$1:$E$97))),INDEX(CUR_RATES!$D:$D,SUMPRODUCT(--(K34=CUR_RATES!$E$1:$E$97),--(D34&amp;INDEX($D$2:$D$1048576,MATCH(G34,$B$2:$B$1048576,0))=CUR_RATES!$A$1:$A$97),ROW(CUR_RATES!$E$1:$E$97))))),"")</f>
        <v>1</v>
      </c>
      <c r="W34">
        <v>1031.442</v>
      </c>
      <c r="Y34" s="12">
        <f t="shared" si="2"/>
        <v>-1.0009177321652574</v>
      </c>
    </row>
    <row r="35" spans="1:25" x14ac:dyDescent="0.2">
      <c r="A35">
        <v>20023</v>
      </c>
      <c r="B35" s="2" t="str">
        <f>IF(INDEX(IDX_REF!$A:$A,ROW(IDX_REF!B35))=0,"",INDEX(IDX_REF!$A:$A,ROW(IDX_REF!B35)))</f>
        <v>VNXHNXPRUSD</v>
      </c>
      <c r="C35" t="str">
        <f>IF(B35&lt;&gt;"",VLOOKUP($B35,IDX_REF!$A$2:$I$900,3,0),"")</f>
        <v>VNX ALLSHARE HNX (USD)</v>
      </c>
      <c r="D35" t="str">
        <f>IF(C35&lt;&gt;"",VLOOKUP($B35,IDX_REF!$A$2:$I$900,4,0),"")</f>
        <v>USD</v>
      </c>
      <c r="E35">
        <f>IF(D35&lt;&gt;"",VLOOKUP($B35,IDX_REF!$A$2:$I$900,5,0),"")</f>
        <v>1000</v>
      </c>
      <c r="F35" t="str">
        <f>IF(E35&lt;&gt;"",VLOOKUP($B35,IDX_REF!$A$2:$I$900,7,0),"")</f>
        <v>P</v>
      </c>
      <c r="G35" t="str">
        <f>IF(F35&lt;&gt;"",VLOOKUP($B35,IDX_REF!$A$2:$I$900,8,0),"")</f>
        <v>VNXHNXPRVND</v>
      </c>
      <c r="H35" s="12">
        <v>380952380.95238096</v>
      </c>
      <c r="I35" s="12">
        <f>IF(B35&lt;&gt;"",SUMIF(IDX_COMPOSITION!$R$2:$R$123,IDX_SPECS!$G35,IDX_COMPOSITION!$K$2:$K$123)/V35,"")</f>
        <v>373181585.79259938</v>
      </c>
      <c r="J35" s="12">
        <f t="shared" si="3"/>
        <v>979.60166270557329</v>
      </c>
      <c r="K35" s="75">
        <v>41165</v>
      </c>
      <c r="L35" s="1">
        <v>0</v>
      </c>
      <c r="M35">
        <f>IF(B35&lt;&gt;"",COUNTIF(IDX_COMPOSITION!$R$2:$R$123,IDX_SPECS!G35),"")</f>
        <v>15</v>
      </c>
      <c r="N35">
        <f>IF(B35&lt;&gt;"",VLOOKUP($B35,IDX_REF!$A$2:$K$580,10,0),"")</f>
        <v>1</v>
      </c>
      <c r="O35">
        <f>IF(C35&lt;&gt;"",VLOOKUP($B35,IDX_REF!$A$2:$K$580,11,0),"")</f>
        <v>0</v>
      </c>
      <c r="Q35" s="12">
        <f>IF(B35&lt;&gt;"",SUMIF(IDX_COMPOSITION!$R$2:$R$123,IDX_SPECS!$G35,IDX_COMPOSITION!$N$2:$N$123)/V35,"")</f>
        <v>3280473.2754682503</v>
      </c>
      <c r="R35">
        <v>0</v>
      </c>
      <c r="S35" s="25" t="str">
        <f>IF(R35=1,SUMIF(IDX_COMPOSITION!$R$2:$R$123,IDX_SPECS!$G35,IDX_COMPOSITION!#REF!)/IF(ISNA(VLOOKUP(D35&amp;INDEX($D$2:$D$1048576,MATCH(G35,$B$2:$B$1048576,0)),CUR_RATES!$A$2:$F$1048576,4,0)),1,VLOOKUP(D35&amp;INDEX($D$2:$D$1048576,MATCH(G35,$B$2:$B$1048576,0)),CUR_RATES!$A$2:$F$1048576,4,0)),"")</f>
        <v/>
      </c>
      <c r="T35" s="29" t="str">
        <f t="shared" si="4"/>
        <v/>
      </c>
      <c r="U35" t="str">
        <f>IF(B35&lt;&gt;"",VLOOKUP($B35,IDX_REF!$A$2:$K$580,9,0),"")</f>
        <v>Benchmark</v>
      </c>
      <c r="V35" s="12">
        <f>IF(B35&lt;&gt;"",IF(D35=INDEX($D$2:$D$1048576,MATCH(G35,$B$2:$B$1048576,0)),1,IF(SUMPRODUCT(--(K35=CUR_RATES!$E$1:$E$97),--(D35&amp;INDEX($D$2:$D$1048576,MATCH(G35,$B$2:$B$1048576,0))=CUR_RATES!$A$1:$A$97),ROW(CUR_RATES!$E$1:$E$97))=0,INDEX(CUR_RATES!$D:$D,SUMPRODUCT(--((K35-1)=CUR_RATES!$E$1:$E$97),--(D35&amp;INDEX($D$2:$D$1048576,MATCH(G35,$B$2:$B$1048576,0))=CUR_RATES!$A$1:$A$97),ROW(CUR_RATES!$E$1:$E$97))),INDEX(CUR_RATES!$D:$D,SUMPRODUCT(--(K35=CUR_RATES!$E$1:$E$97),--(D35&amp;INDEX($D$2:$D$1048576,MATCH(G35,$B$2:$B$1048576,0))=CUR_RATES!$A$1:$A$97),ROW(CUR_RATES!$E$1:$E$97))))),"")</f>
        <v>21890</v>
      </c>
      <c r="W35">
        <v>979.60170000000005</v>
      </c>
      <c r="Y35" s="12">
        <f t="shared" si="2"/>
        <v>-3.8071010657736146E-6</v>
      </c>
    </row>
    <row r="36" spans="1:25" x14ac:dyDescent="0.2">
      <c r="A36">
        <v>20024</v>
      </c>
      <c r="B36" s="2" t="str">
        <f>IF(INDEX(IDX_REF!$A:$A,ROW(IDX_REF!B36))=0,"",INDEX(IDX_REF!$A:$A,ROW(IDX_REF!B36)))</f>
        <v>VNXHNXPRJPY</v>
      </c>
      <c r="C36" t="str">
        <f>IF(B36&lt;&gt;"",VLOOKUP($B36,IDX_REF!$A$2:$I$900,3,0),"")</f>
        <v>VNX ALLSHARE HNX (JPY)</v>
      </c>
      <c r="D36" t="str">
        <f>IF(C36&lt;&gt;"",VLOOKUP($B36,IDX_REF!$A$2:$I$900,4,0),"")</f>
        <v>JPY</v>
      </c>
      <c r="E36">
        <f>IF(D36&lt;&gt;"",VLOOKUP($B36,IDX_REF!$A$2:$I$900,5,0),"")</f>
        <v>1000</v>
      </c>
      <c r="F36" t="str">
        <f>IF(E36&lt;&gt;"",VLOOKUP($B36,IDX_REF!$A$2:$I$900,7,0),"")</f>
        <v>P</v>
      </c>
      <c r="G36" t="str">
        <f>IF(F36&lt;&gt;"",VLOOKUP($B36,IDX_REF!$A$2:$I$900,8,0),"")</f>
        <v>VNXHNXPRVND</v>
      </c>
      <c r="H36" s="12">
        <v>30188679245.28302</v>
      </c>
      <c r="I36" s="12">
        <f>IF(B36&lt;&gt;"",SUMIF(IDX_COMPOSITION!$R$2:$R$123,IDX_SPECS!$G36,IDX_COMPOSITION!$K$2:$K$123)/V36,"")</f>
        <v>28967889762.411346</v>
      </c>
      <c r="J36" s="12">
        <f t="shared" si="3"/>
        <v>959.56134837987588</v>
      </c>
      <c r="K36" s="75">
        <v>41165</v>
      </c>
      <c r="L36" s="1">
        <v>0</v>
      </c>
      <c r="M36">
        <f>IF(B36&lt;&gt;"",COUNTIF(IDX_COMPOSITION!$R$2:$R$123,IDX_SPECS!G36),"")</f>
        <v>15</v>
      </c>
      <c r="N36">
        <f>IF(B36&lt;&gt;"",VLOOKUP($B36,IDX_REF!$A$2:$K$580,10,0),"")</f>
        <v>1</v>
      </c>
      <c r="O36">
        <f>IF(C36&lt;&gt;"",VLOOKUP($B36,IDX_REF!$A$2:$K$580,11,0),"")</f>
        <v>0</v>
      </c>
      <c r="Q36" s="12">
        <f>IF(B36&lt;&gt;"",SUMIF(IDX_COMPOSITION!$R$2:$R$123,IDX_SPECS!$G36,IDX_COMPOSITION!$N$2:$N$123)/V36,"")</f>
        <v>254643829.78723404</v>
      </c>
      <c r="R36">
        <v>0</v>
      </c>
      <c r="S36" s="25" t="str">
        <f>IF(R36=1,SUMIF(IDX_COMPOSITION!$R$2:$R$123,IDX_SPECS!$G36,IDX_COMPOSITION!#REF!)/IF(ISNA(VLOOKUP(D36&amp;INDEX($D$2:$D$1048576,MATCH(G36,$B$2:$B$1048576,0)),CUR_RATES!$A$2:$F$1048576,4,0)),1,VLOOKUP(D36&amp;INDEX($D$2:$D$1048576,MATCH(G36,$B$2:$B$1048576,0)),CUR_RATES!$A$2:$F$1048576,4,0)),"")</f>
        <v/>
      </c>
      <c r="T36" s="29" t="str">
        <f t="shared" si="4"/>
        <v/>
      </c>
      <c r="U36" t="str">
        <f>IF(B36&lt;&gt;"",VLOOKUP($B36,IDX_REF!$A$2:$K$580,9,0),"")</f>
        <v>Benchmark</v>
      </c>
      <c r="V36" s="12">
        <f>IF(B36&lt;&gt;"",IF(D36=INDEX($D$2:$D$1048576,MATCH(G36,$B$2:$B$1048576,0)),1,IF(SUMPRODUCT(--(K36=CUR_RATES!$E$1:$E$97),--(D36&amp;INDEX($D$2:$D$1048576,MATCH(G36,$B$2:$B$1048576,0))=CUR_RATES!$A$1:$A$97),ROW(CUR_RATES!$E$1:$E$97))=0,INDEX(CUR_RATES!$D:$D,SUMPRODUCT(--((K36-1)=CUR_RATES!$E$1:$E$97),--(D36&amp;INDEX($D$2:$D$1048576,MATCH(G36,$B$2:$B$1048576,0))=CUR_RATES!$A$1:$A$97),ROW(CUR_RATES!$E$1:$E$97))),INDEX(CUR_RATES!$D:$D,SUMPRODUCT(--(K36=CUR_RATES!$E$1:$E$97),--(D36&amp;INDEX($D$2:$D$1048576,MATCH(G36,$B$2:$B$1048576,0))=CUR_RATES!$A$1:$A$97),ROW(CUR_RATES!$E$1:$E$97))))),"")</f>
        <v>282</v>
      </c>
      <c r="W36">
        <v>911.14469999999994</v>
      </c>
      <c r="Y36" s="12">
        <f t="shared" si="2"/>
        <v>5.3138264844075742</v>
      </c>
    </row>
    <row r="37" spans="1:25" x14ac:dyDescent="0.2">
      <c r="A37">
        <v>20025</v>
      </c>
      <c r="B37" s="2" t="str">
        <f>IF(INDEX(IDX_REF!$A:$A,ROW(IDX_REF!B37))=0,"",INDEX(IDX_REF!$A:$A,ROW(IDX_REF!B37)))</f>
        <v>VNXHNXPREUR</v>
      </c>
      <c r="C37" t="str">
        <f>IF(B37&lt;&gt;"",VLOOKUP($B37,IDX_REF!$A$2:$I$900,3,0),"")</f>
        <v>VNX ALLSHARE HNX (EUR)</v>
      </c>
      <c r="D37" t="str">
        <f>IF(C37&lt;&gt;"",VLOOKUP($B37,IDX_REF!$A$2:$I$900,4,0),"")</f>
        <v>EUR</v>
      </c>
      <c r="E37">
        <f>IF(D37&lt;&gt;"",VLOOKUP($B37,IDX_REF!$A$2:$I$900,5,0),"")</f>
        <v>1000</v>
      </c>
      <c r="F37" t="str">
        <f>IF(E37&lt;&gt;"",VLOOKUP($B37,IDX_REF!$A$2:$I$900,7,0),"")</f>
        <v>P</v>
      </c>
      <c r="G37" t="str">
        <f>IF(F37&lt;&gt;"",VLOOKUP($B37,IDX_REF!$A$2:$I$900,8,0),"")</f>
        <v>VNXHNXPRVND</v>
      </c>
      <c r="H37" s="12">
        <v>275862068.96551722</v>
      </c>
      <c r="I37" s="12">
        <f>IF(B37&lt;&gt;"",SUMIF(IDX_COMPOSITION!$R$2:$R$123,IDX_SPECS!$G37,IDX_COMPOSITION!$K$2:$K$123)/V37,"")</f>
        <v>274027459.7224887</v>
      </c>
      <c r="J37" s="12">
        <f t="shared" si="3"/>
        <v>993.34954149402165</v>
      </c>
      <c r="K37" s="75">
        <v>41165</v>
      </c>
      <c r="L37" s="1">
        <v>0</v>
      </c>
      <c r="M37">
        <f>IF(B37&lt;&gt;"",COUNTIF(IDX_COMPOSITION!$R$2:$R$123,IDX_SPECS!G37),"")</f>
        <v>15</v>
      </c>
      <c r="N37">
        <f>IF(B37&lt;&gt;"",VLOOKUP($B37,IDX_REF!$A$2:$K$580,10,0),"")</f>
        <v>1</v>
      </c>
      <c r="O37">
        <f>IF(C37&lt;&gt;"",VLOOKUP($B37,IDX_REF!$A$2:$K$580,11,0),"")</f>
        <v>0</v>
      </c>
      <c r="Q37" s="12">
        <f>IF(B37&lt;&gt;"",SUMIF(IDX_COMPOSITION!$R$2:$R$123,IDX_SPECS!$G37,IDX_COMPOSITION!$N$2:$N$123)/V37,"")</f>
        <v>2408853.4713062565</v>
      </c>
      <c r="R37">
        <v>0</v>
      </c>
      <c r="S37" s="25" t="str">
        <f>IF(R37=1,SUMIF(IDX_COMPOSITION!$R$2:$R$123,IDX_SPECS!$G37,IDX_COMPOSITION!#REF!)/IF(ISNA(VLOOKUP(D37&amp;INDEX($D$2:$D$1048576,MATCH(G37,$B$2:$B$1048576,0)),CUR_RATES!$A$2:$F$1048576,4,0)),1,VLOOKUP(D37&amp;INDEX($D$2:$D$1048576,MATCH(G37,$B$2:$B$1048576,0)),CUR_RATES!$A$2:$F$1048576,4,0)),"")</f>
        <v/>
      </c>
      <c r="T37" s="29" t="str">
        <f t="shared" si="4"/>
        <v/>
      </c>
      <c r="U37" t="str">
        <f>IF(B37&lt;&gt;"",VLOOKUP($B37,IDX_REF!$A$2:$K$580,9,0),"")</f>
        <v>Benchmark</v>
      </c>
      <c r="V37" s="12">
        <f>IF(B37&lt;&gt;"",IF(D37=INDEX($D$2:$D$1048576,MATCH(G37,$B$2:$B$1048576,0)),1,IF(SUMPRODUCT(--(K37=CUR_RATES!$E$1:$E$97),--(D37&amp;INDEX($D$2:$D$1048576,MATCH(G37,$B$2:$B$1048576,0))=CUR_RATES!$A$1:$A$97),ROW(CUR_RATES!$E$1:$E$97))=0,INDEX(CUR_RATES!$D:$D,SUMPRODUCT(--((K37-1)=CUR_RATES!$E$1:$E$97),--(D37&amp;INDEX($D$2:$D$1048576,MATCH(G37,$B$2:$B$1048576,0))=CUR_RATES!$A$1:$A$97),ROW(CUR_RATES!$E$1:$E$97))),INDEX(CUR_RATES!$D:$D,SUMPRODUCT(--(K37=CUR_RATES!$E$1:$E$97),--(D37&amp;INDEX($D$2:$D$1048576,MATCH(G37,$B$2:$B$1048576,0))=CUR_RATES!$A$1:$A$97),ROW(CUR_RATES!$E$1:$E$97))))),"")</f>
        <v>29810.68</v>
      </c>
      <c r="W37">
        <v>972.74450000000002</v>
      </c>
      <c r="Y37" s="12">
        <f t="shared" si="2"/>
        <v>2.118237779192957</v>
      </c>
    </row>
    <row r="38" spans="1:25" x14ac:dyDescent="0.2">
      <c r="A38">
        <v>20026</v>
      </c>
      <c r="B38" s="2" t="str">
        <f>IF(INDEX(IDX_REF!$A:$A,ROW(IDX_REF!B38))=0,"",INDEX(IDX_REF!$A:$A,ROW(IDX_REF!B38)))</f>
        <v>VNXHNXTRVND</v>
      </c>
      <c r="C38" t="str">
        <f>IF(B38&lt;&gt;"",VLOOKUP($B38,IDX_REF!$A$2:$I$900,3,0),"")</f>
        <v xml:space="preserve">VNX ALLSHARE HNX TR </v>
      </c>
      <c r="D38" t="str">
        <f>IF(C38&lt;&gt;"",VLOOKUP($B38,IDX_REF!$A$2:$I$900,4,0),"")</f>
        <v>VND</v>
      </c>
      <c r="E38">
        <f>IF(D38&lt;&gt;"",VLOOKUP($B38,IDX_REF!$A$2:$I$900,5,0),"")</f>
        <v>1000</v>
      </c>
      <c r="F38" t="str">
        <f>IF(E38&lt;&gt;"",VLOOKUP($B38,IDX_REF!$A$2:$I$900,7,0),"")</f>
        <v>R</v>
      </c>
      <c r="G38" t="str">
        <f>IF(F38&lt;&gt;"",VLOOKUP($B38,IDX_REF!$A$2:$I$900,8,0),"")</f>
        <v>VNXHNXPRVND</v>
      </c>
      <c r="H38" s="12">
        <v>8000000000000</v>
      </c>
      <c r="I38" s="12">
        <f>IF(B38&lt;&gt;"",SUMIF(IDX_COMPOSITION!$R$2:$R$123,IDX_SPECS!$G38,IDX_COMPOSITION!$K$2:$K$123)/V38,"")</f>
        <v>8168944913000</v>
      </c>
      <c r="J38" s="12">
        <f t="shared" si="3"/>
        <v>1118.0212727002502</v>
      </c>
      <c r="K38" s="75">
        <v>41165</v>
      </c>
      <c r="L38" s="1">
        <v>0</v>
      </c>
      <c r="M38">
        <f>IF(B38&lt;&gt;"",COUNTIF(IDX_COMPOSITION!$R$2:$R$123,IDX_SPECS!G38),"")</f>
        <v>15</v>
      </c>
      <c r="N38">
        <f>IF(B38&lt;&gt;"",VLOOKUP($B38,IDX_REF!$A$2:$K$580,10,0),"")</f>
        <v>1</v>
      </c>
      <c r="O38">
        <f>IF(C38&lt;&gt;"",VLOOKUP($B38,IDX_REF!$A$2:$K$580,11,0),"")</f>
        <v>0</v>
      </c>
      <c r="Q38" s="12">
        <f>IF(B38&lt;&gt;"",SUMIF(IDX_COMPOSITION!$R$2:$R$123,IDX_SPECS!$G38,IDX_COMPOSITION!$N$2:$N$123)/V38,"")</f>
        <v>71809560000</v>
      </c>
      <c r="R38">
        <v>0</v>
      </c>
      <c r="S38" s="25" t="str">
        <f>IF(R38=1,SUMIF(IDX_COMPOSITION!$R$2:$R$123,IDX_SPECS!$G38,IDX_COMPOSITION!#REF!)/IF(ISNA(VLOOKUP(D38&amp;INDEX($D$2:$D$1048576,MATCH(G38,$B$2:$B$1048576,0)),CUR_RATES!$A$2:$F$1048576,4,0)),1,VLOOKUP(D38&amp;INDEX($D$2:$D$1048576,MATCH(G38,$B$2:$B$1048576,0)),CUR_RATES!$A$2:$F$1048576,4,0)),"")</f>
        <v/>
      </c>
      <c r="T38" s="29" t="str">
        <f t="shared" si="4"/>
        <v/>
      </c>
      <c r="U38" t="str">
        <f>IF(B38&lt;&gt;"",VLOOKUP($B38,IDX_REF!$A$2:$K$580,9,0),"")</f>
        <v>Benchmark</v>
      </c>
      <c r="V38" s="12">
        <f>IF(B38&lt;&gt;"",IF(D38=INDEX($D$2:$D$1048576,MATCH(G38,$B$2:$B$1048576,0)),1,IF(SUMPRODUCT(--(K38=CUR_RATES!$E$1:$E$97),--(D38&amp;INDEX($D$2:$D$1048576,MATCH(G38,$B$2:$B$1048576,0))=CUR_RATES!$A$1:$A$97),ROW(CUR_RATES!$E$1:$E$97))=0,INDEX(CUR_RATES!$D:$D,SUMPRODUCT(--((K38-1)=CUR_RATES!$E$1:$E$97),--(D38&amp;INDEX($D$2:$D$1048576,MATCH(G38,$B$2:$B$1048576,0))=CUR_RATES!$A$1:$A$97),ROW(CUR_RATES!$E$1:$E$97))),INDEX(CUR_RATES!$D:$D,SUMPRODUCT(--(K38=CUR_RATES!$E$1:$E$97),--(D38&amp;INDEX($D$2:$D$1048576,MATCH(G38,$B$2:$B$1048576,0))=CUR_RATES!$A$1:$A$97),ROW(CUR_RATES!$E$1:$E$97))))),"")</f>
        <v>1</v>
      </c>
      <c r="W38">
        <v>1119.4839999999999</v>
      </c>
      <c r="Y38" s="12">
        <f t="shared" si="2"/>
        <v>-0.13066084908312747</v>
      </c>
    </row>
    <row r="39" spans="1:25" x14ac:dyDescent="0.2">
      <c r="A39">
        <v>20027</v>
      </c>
      <c r="B39" s="2" t="str">
        <f>IF(INDEX(IDX_REF!$A:$A,ROW(IDX_REF!B39))=0,"",INDEX(IDX_REF!$A:$A,ROW(IDX_REF!B39)))</f>
        <v>VNXHNXTRUSD</v>
      </c>
      <c r="C39" t="str">
        <f>IF(B39&lt;&gt;"",VLOOKUP($B39,IDX_REF!$A$2:$I$900,3,0),"")</f>
        <v>VNX ALLSHARE HNX TR (USD)</v>
      </c>
      <c r="D39" t="str">
        <f>IF(C39&lt;&gt;"",VLOOKUP($B39,IDX_REF!$A$2:$I$900,4,0),"")</f>
        <v>USD</v>
      </c>
      <c r="E39">
        <f>IF(D39&lt;&gt;"",VLOOKUP($B39,IDX_REF!$A$2:$I$900,5,0),"")</f>
        <v>1000</v>
      </c>
      <c r="F39" t="str">
        <f>IF(E39&lt;&gt;"",VLOOKUP($B39,IDX_REF!$A$2:$I$900,7,0),"")</f>
        <v>R</v>
      </c>
      <c r="G39" t="str">
        <f>IF(F39&lt;&gt;"",VLOOKUP($B39,IDX_REF!$A$2:$I$900,8,0),"")</f>
        <v>VNXHNXPRVND</v>
      </c>
      <c r="H39" s="12">
        <v>380952380952.38098</v>
      </c>
      <c r="I39" s="12">
        <f>IF(B39&lt;&gt;"",SUMIF(IDX_COMPOSITION!$R$2:$R$123,IDX_SPECS!$G39,IDX_COMPOSITION!$K$2:$K$123)/V39,"")</f>
        <v>373181585.79259938</v>
      </c>
      <c r="J39" s="12">
        <f t="shared" si="3"/>
        <v>1010.0718405599533</v>
      </c>
      <c r="K39" s="75">
        <v>41165</v>
      </c>
      <c r="L39" s="1">
        <v>0</v>
      </c>
      <c r="M39">
        <f>IF(B39&lt;&gt;"",COUNTIF(IDX_COMPOSITION!$R$2:$R$123,IDX_SPECS!G39),"")</f>
        <v>15</v>
      </c>
      <c r="N39">
        <f>IF(B39&lt;&gt;"",VLOOKUP($B39,IDX_REF!$A$2:$K$580,10,0),"")</f>
        <v>1</v>
      </c>
      <c r="O39">
        <f>IF(C39&lt;&gt;"",VLOOKUP($B39,IDX_REF!$A$2:$K$580,11,0),"")</f>
        <v>0</v>
      </c>
      <c r="Q39" s="12">
        <f>IF(B39&lt;&gt;"",SUMIF(IDX_COMPOSITION!$R$2:$R$123,IDX_SPECS!$G39,IDX_COMPOSITION!$N$2:$N$123)/V39,"")</f>
        <v>3280473.2754682503</v>
      </c>
      <c r="R39">
        <v>0</v>
      </c>
      <c r="S39" s="25" t="str">
        <f>IF(R39=1,SUMIF(IDX_COMPOSITION!$R$2:$R$123,IDX_SPECS!$G39,IDX_COMPOSITION!#REF!)/IF(ISNA(VLOOKUP(D39&amp;INDEX($D$2:$D$1048576,MATCH(G39,$B$2:$B$1048576,0)),CUR_RATES!$A$2:$F$1048576,4,0)),1,VLOOKUP(D39&amp;INDEX($D$2:$D$1048576,MATCH(G39,$B$2:$B$1048576,0)),CUR_RATES!$A$2:$F$1048576,4,0)),"")</f>
        <v/>
      </c>
      <c r="T39" s="29" t="str">
        <f t="shared" si="4"/>
        <v/>
      </c>
      <c r="U39" t="str">
        <f>IF(B39&lt;&gt;"",VLOOKUP($B39,IDX_REF!$A$2:$K$580,9,0),"")</f>
        <v>Benchmark</v>
      </c>
      <c r="V39" s="12">
        <f>IF(B39&lt;&gt;"",IF(D39=INDEX($D$2:$D$1048576,MATCH(G39,$B$2:$B$1048576,0)),1,IF(SUMPRODUCT(--(K39=CUR_RATES!$E$1:$E$97),--(D39&amp;INDEX($D$2:$D$1048576,MATCH(G39,$B$2:$B$1048576,0))=CUR_RATES!$A$1:$A$97),ROW(CUR_RATES!$E$1:$E$97))=0,INDEX(CUR_RATES!$D:$D,SUMPRODUCT(--((K39-1)=CUR_RATES!$E$1:$E$97),--(D39&amp;INDEX($D$2:$D$1048576,MATCH(G39,$B$2:$B$1048576,0))=CUR_RATES!$A$1:$A$97),ROW(CUR_RATES!$E$1:$E$97))),INDEX(CUR_RATES!$D:$D,SUMPRODUCT(--(K39=CUR_RATES!$E$1:$E$97),--(D39&amp;INDEX($D$2:$D$1048576,MATCH(G39,$B$2:$B$1048576,0))=CUR_RATES!$A$1:$A$97),ROW(CUR_RATES!$E$1:$E$97))))),"")</f>
        <v>21890</v>
      </c>
      <c r="W39">
        <v>1010.063</v>
      </c>
      <c r="Y39" s="12">
        <f t="shared" si="2"/>
        <v>8.7524837097702364E-4</v>
      </c>
    </row>
    <row r="40" spans="1:25" x14ac:dyDescent="0.2">
      <c r="A40">
        <v>20028</v>
      </c>
      <c r="B40" s="2" t="str">
        <f>IF(INDEX(IDX_REF!$A:$A,ROW(IDX_REF!B40))=0,"",INDEX(IDX_REF!$A:$A,ROW(IDX_REF!B40)))</f>
        <v>VNXHNXTRJPY</v>
      </c>
      <c r="C40" t="str">
        <f>IF(B40&lt;&gt;"",VLOOKUP($B40,IDX_REF!$A$2:$I$900,3,0),"")</f>
        <v>VNX ALLSHARE HNX TR (JPY)</v>
      </c>
      <c r="D40" t="str">
        <f>IF(C40&lt;&gt;"",VLOOKUP($B40,IDX_REF!$A$2:$I$900,4,0),"")</f>
        <v>JPY</v>
      </c>
      <c r="E40">
        <f>IF(D40&lt;&gt;"",VLOOKUP($B40,IDX_REF!$A$2:$I$900,5,0),"")</f>
        <v>1000</v>
      </c>
      <c r="F40" t="str">
        <f>IF(E40&lt;&gt;"",VLOOKUP($B40,IDX_REF!$A$2:$I$900,7,0),"")</f>
        <v>R</v>
      </c>
      <c r="G40" t="str">
        <f>IF(F40&lt;&gt;"",VLOOKUP($B40,IDX_REF!$A$2:$I$900,8,0),"")</f>
        <v>VNXHNXPRVND</v>
      </c>
      <c r="H40" s="12">
        <v>30188679245.28302</v>
      </c>
      <c r="I40" s="12">
        <f>IF(B40&lt;&gt;"",SUMIF(IDX_COMPOSITION!$R$2:$R$123,IDX_SPECS!$G40,IDX_COMPOSITION!$K$2:$K$123)/V40,"")</f>
        <v>28967889762.411346</v>
      </c>
      <c r="J40" s="12">
        <f t="shared" si="3"/>
        <v>1058.8598561126505</v>
      </c>
      <c r="K40" s="75">
        <v>41165</v>
      </c>
      <c r="L40" s="1">
        <v>0</v>
      </c>
      <c r="M40">
        <f>IF(B40&lt;&gt;"",COUNTIF(IDX_COMPOSITION!$R$2:$R$123,IDX_SPECS!G40),"")</f>
        <v>15</v>
      </c>
      <c r="N40">
        <f>IF(B40&lt;&gt;"",VLOOKUP($B40,IDX_REF!$A$2:$K$580,10,0),"")</f>
        <v>1</v>
      </c>
      <c r="O40">
        <f>IF(C40&lt;&gt;"",VLOOKUP($B40,IDX_REF!$A$2:$K$580,11,0),"")</f>
        <v>0</v>
      </c>
      <c r="Q40" s="12">
        <f>IF(B40&lt;&gt;"",SUMIF(IDX_COMPOSITION!$R$2:$R$123,IDX_SPECS!$G40,IDX_COMPOSITION!$N$2:$N$123)/V40,"")</f>
        <v>254643829.78723404</v>
      </c>
      <c r="R40">
        <v>0</v>
      </c>
      <c r="S40" s="25" t="str">
        <f>IF(R40=1,SUMIF(IDX_COMPOSITION!$R$2:$R$123,IDX_SPECS!$G40,IDX_COMPOSITION!#REF!)/IF(ISNA(VLOOKUP(D40&amp;INDEX($D$2:$D$1048576,MATCH(G40,$B$2:$B$1048576,0)),CUR_RATES!$A$2:$F$1048576,4,0)),1,VLOOKUP(D40&amp;INDEX($D$2:$D$1048576,MATCH(G40,$B$2:$B$1048576,0)),CUR_RATES!$A$2:$F$1048576,4,0)),"")</f>
        <v/>
      </c>
      <c r="T40" s="29" t="str">
        <f t="shared" si="4"/>
        <v/>
      </c>
      <c r="U40" t="str">
        <f>IF(B40&lt;&gt;"",VLOOKUP($B40,IDX_REF!$A$2:$K$580,9,0),"")</f>
        <v>Benchmark</v>
      </c>
      <c r="V40" s="12">
        <f>IF(B40&lt;&gt;"",IF(D40=INDEX($D$2:$D$1048576,MATCH(G40,$B$2:$B$1048576,0)),1,IF(SUMPRODUCT(--(K40=CUR_RATES!$E$1:$E$97),--(D40&amp;INDEX($D$2:$D$1048576,MATCH(G40,$B$2:$B$1048576,0))=CUR_RATES!$A$1:$A$97),ROW(CUR_RATES!$E$1:$E$97))=0,INDEX(CUR_RATES!$D:$D,SUMPRODUCT(--((K40-1)=CUR_RATES!$E$1:$E$97),--(D40&amp;INDEX($D$2:$D$1048576,MATCH(G40,$B$2:$B$1048576,0))=CUR_RATES!$A$1:$A$97),ROW(CUR_RATES!$E$1:$E$97))),INDEX(CUR_RATES!$D:$D,SUMPRODUCT(--(K40=CUR_RATES!$E$1:$E$97),--(D40&amp;INDEX($D$2:$D$1048576,MATCH(G40,$B$2:$B$1048576,0))=CUR_RATES!$A$1:$A$97),ROW(CUR_RATES!$E$1:$E$97))))),"")</f>
        <v>282</v>
      </c>
      <c r="W40">
        <v>996.67160000000001</v>
      </c>
      <c r="Y40" s="12">
        <f t="shared" si="2"/>
        <v>6.2395934741845256</v>
      </c>
    </row>
    <row r="41" spans="1:25" x14ac:dyDescent="0.2">
      <c r="A41">
        <v>20029</v>
      </c>
      <c r="B41" s="2" t="str">
        <f>IF(INDEX(IDX_REF!$A:$A,ROW(IDX_REF!B41))=0,"",INDEX(IDX_REF!$A:$A,ROW(IDX_REF!B41)))</f>
        <v>VNXHNXTREUR</v>
      </c>
      <c r="C41" t="str">
        <f>IF(B41&lt;&gt;"",VLOOKUP($B41,IDX_REF!$A$2:$I$900,3,0),"")</f>
        <v>VNX ALLSHARE HNX TR (EUR)</v>
      </c>
      <c r="D41" t="str">
        <f>IF(C41&lt;&gt;"",VLOOKUP($B41,IDX_REF!$A$2:$I$900,4,0),"")</f>
        <v>EUR</v>
      </c>
      <c r="E41">
        <f>IF(D41&lt;&gt;"",VLOOKUP($B41,IDX_REF!$A$2:$I$900,5,0),"")</f>
        <v>1000</v>
      </c>
      <c r="F41" t="str">
        <f>IF(E41&lt;&gt;"",VLOOKUP($B41,IDX_REF!$A$2:$I$900,7,0),"")</f>
        <v>R</v>
      </c>
      <c r="G41" t="str">
        <f>IF(F41&lt;&gt;"",VLOOKUP($B41,IDX_REF!$A$2:$I$900,8,0),"")</f>
        <v>VNXHNXPRVND</v>
      </c>
      <c r="H41" s="12">
        <v>275862068965.51721</v>
      </c>
      <c r="I41" s="12">
        <f>IF(B41&lt;&gt;"",SUMIF(IDX_COMPOSITION!$R$2:$R$123,IDX_SPECS!$G41,IDX_COMPOSITION!$K$2:$K$123)/V41,"")</f>
        <v>274027459.7224887</v>
      </c>
      <c r="J41" s="12">
        <f t="shared" si="3"/>
        <v>1149.8696347562116</v>
      </c>
      <c r="K41" s="75">
        <v>41165</v>
      </c>
      <c r="L41" s="1">
        <v>0</v>
      </c>
      <c r="M41">
        <f>IF(B41&lt;&gt;"",COUNTIF(IDX_COMPOSITION!$R$2:$R$123,IDX_SPECS!G41),"")</f>
        <v>15</v>
      </c>
      <c r="N41">
        <f>IF(B41&lt;&gt;"",VLOOKUP($B41,IDX_REF!$A$2:$K$580,10,0),"")</f>
        <v>1</v>
      </c>
      <c r="O41">
        <f>IF(C41&lt;&gt;"",VLOOKUP($B41,IDX_REF!$A$2:$K$580,11,0),"")</f>
        <v>0</v>
      </c>
      <c r="Q41" s="12">
        <f>IF(B41&lt;&gt;"",SUMIF(IDX_COMPOSITION!$R$2:$R$123,IDX_SPECS!$G41,IDX_COMPOSITION!$N$2:$N$123)/V41,"")</f>
        <v>2408853.4713062565</v>
      </c>
      <c r="R41">
        <v>0</v>
      </c>
      <c r="S41" s="25" t="str">
        <f>IF(R41=1,SUMIF(IDX_COMPOSITION!$R$2:$R$123,IDX_SPECS!$G41,IDX_COMPOSITION!#REF!)/IF(ISNA(VLOOKUP(D41&amp;INDEX($D$2:$D$1048576,MATCH(G41,$B$2:$B$1048576,0)),CUR_RATES!$A$2:$F$1048576,4,0)),1,VLOOKUP(D41&amp;INDEX($D$2:$D$1048576,MATCH(G41,$B$2:$B$1048576,0)),CUR_RATES!$A$2:$F$1048576,4,0)),"")</f>
        <v/>
      </c>
      <c r="T41" s="29" t="str">
        <f t="shared" si="4"/>
        <v/>
      </c>
      <c r="U41" t="str">
        <f>IF(B41&lt;&gt;"",VLOOKUP($B41,IDX_REF!$A$2:$K$580,9,0),"")</f>
        <v>Benchmark</v>
      </c>
      <c r="V41" s="12">
        <f>IF(B41&lt;&gt;"",IF(D41=INDEX($D$2:$D$1048576,MATCH(G41,$B$2:$B$1048576,0)),1,IF(SUMPRODUCT(--(K41=CUR_RATES!$E$1:$E$97),--(D41&amp;INDEX($D$2:$D$1048576,MATCH(G41,$B$2:$B$1048576,0))=CUR_RATES!$A$1:$A$97),ROW(CUR_RATES!$E$1:$E$97))=0,INDEX(CUR_RATES!$D:$D,SUMPRODUCT(--((K41-1)=CUR_RATES!$E$1:$E$97),--(D41&amp;INDEX($D$2:$D$1048576,MATCH(G41,$B$2:$B$1048576,0))=CUR_RATES!$A$1:$A$97),ROW(CUR_RATES!$E$1:$E$97))),INDEX(CUR_RATES!$D:$D,SUMPRODUCT(--(K41=CUR_RATES!$E$1:$E$97),--(D41&amp;INDEX($D$2:$D$1048576,MATCH(G41,$B$2:$B$1048576,0))=CUR_RATES!$A$1:$A$97),ROW(CUR_RATES!$E$1:$E$97))))),"")</f>
        <v>29810.68</v>
      </c>
      <c r="W41">
        <v>1126.008</v>
      </c>
      <c r="Y41" s="12">
        <f t="shared" si="2"/>
        <v>2.1191354551842894</v>
      </c>
    </row>
    <row r="42" spans="1:25" x14ac:dyDescent="0.2">
      <c r="A42">
        <v>20030</v>
      </c>
      <c r="B42" s="2" t="str">
        <f>IF(INDEX(IDX_REF!$A:$A,ROW(IDX_REF!B42))=0,"",INDEX(IDX_REF!$A:$A,ROW(IDX_REF!B42)))</f>
        <v>VNXBMPRVND</v>
      </c>
      <c r="C42" t="str">
        <f>IF(B42&lt;&gt;"",VLOOKUP($B42,IDX_REF!$A$2:$I$900,3,0),"")</f>
        <v xml:space="preserve">VNX BASIC MATERIALS </v>
      </c>
      <c r="D42" t="str">
        <f>IF(C42&lt;&gt;"",VLOOKUP($B42,IDX_REF!$A$2:$I$900,4,0),"")</f>
        <v>VND</v>
      </c>
      <c r="E42">
        <f>IF(D42&lt;&gt;"",VLOOKUP($B42,IDX_REF!$A$2:$I$900,5,0),"")</f>
        <v>1000</v>
      </c>
      <c r="F42" t="str">
        <f>IF(E42&lt;&gt;"",VLOOKUP($B42,IDX_REF!$A$2:$I$900,7,0),"")</f>
        <v>P</v>
      </c>
      <c r="G42" t="str">
        <f>IF(F42&lt;&gt;"",VLOOKUP($B42,IDX_REF!$A$2:$I$900,8,0),"")</f>
        <v>VNXBMPRVND</v>
      </c>
      <c r="H42" s="12">
        <v>10000000000000</v>
      </c>
      <c r="I42" s="12">
        <f>IF(B42&lt;&gt;"",SUMIF(IDX_COMPOSITION!$R$2:$R$123,IDX_SPECS!$G42,IDX_COMPOSITION!$K$2:$K$123)/V42,"")</f>
        <v>14803791408000</v>
      </c>
      <c r="J42" s="12">
        <f t="shared" si="3"/>
        <v>1480.3791408</v>
      </c>
      <c r="K42" s="75">
        <v>41165</v>
      </c>
      <c r="L42" s="1">
        <v>0</v>
      </c>
      <c r="M42">
        <f>IF(B42&lt;&gt;"",COUNTIF(IDX_COMPOSITION!$R$2:$R$123,IDX_SPECS!G42),"")</f>
        <v>1</v>
      </c>
      <c r="N42">
        <f>IF(B42&lt;&gt;"",VLOOKUP($B42,IDX_REF!$A$2:$K$580,10,0),"")</f>
        <v>1</v>
      </c>
      <c r="O42">
        <f>IF(C42&lt;&gt;"",VLOOKUP($B42,IDX_REF!$A$2:$K$580,11,0),"")</f>
        <v>0</v>
      </c>
      <c r="Q42" s="12">
        <f>IF(B42&lt;&gt;"",SUMIF(IDX_COMPOSITION!$R$2:$R$123,IDX_SPECS!$G42,IDX_COMPOSITION!$N$2:$N$123)/V42,"")</f>
        <v>528706836000</v>
      </c>
      <c r="R42">
        <v>0</v>
      </c>
      <c r="S42" s="25" t="str">
        <f>IF(R42=1,SUMIF(IDX_COMPOSITION!$R$2:$R$123,IDX_SPECS!$G42,IDX_COMPOSITION!#REF!)/IF(ISNA(VLOOKUP(D42&amp;INDEX($D$2:$D$1048576,MATCH(G42,$B$2:$B$1048576,0)),CUR_RATES!$A$2:$F$1048576,4,0)),1,VLOOKUP(D42&amp;INDEX($D$2:$D$1048576,MATCH(G42,$B$2:$B$1048576,0)),CUR_RATES!$A$2:$F$1048576,4,0)),"")</f>
        <v/>
      </c>
      <c r="T42" s="29" t="str">
        <f t="shared" si="4"/>
        <v/>
      </c>
      <c r="U42" t="str">
        <f>IF(B42&lt;&gt;"",VLOOKUP($B42,IDX_REF!$A$2:$K$580,9,0),"")</f>
        <v>Sectors</v>
      </c>
      <c r="V42" s="12">
        <f>IF(B42&lt;&gt;"",IF(D42=INDEX($D$2:$D$1048576,MATCH(G42,$B$2:$B$1048576,0)),1,IF(SUMPRODUCT(--(K42=CUR_RATES!$E$1:$E$97),--(D42&amp;INDEX($D$2:$D$1048576,MATCH(G42,$B$2:$B$1048576,0))=CUR_RATES!$A$1:$A$97),ROW(CUR_RATES!$E$1:$E$97))=0,INDEX(CUR_RATES!$D:$D,SUMPRODUCT(--((K42-1)=CUR_RATES!$E$1:$E$97),--(D42&amp;INDEX($D$2:$D$1048576,MATCH(G42,$B$2:$B$1048576,0))=CUR_RATES!$A$1:$A$97),ROW(CUR_RATES!$E$1:$E$97))),INDEX(CUR_RATES!$D:$D,SUMPRODUCT(--(K42=CUR_RATES!$E$1:$E$97),--(D42&amp;INDEX($D$2:$D$1048576,MATCH(G42,$B$2:$B$1048576,0))=CUR_RATES!$A$1:$A$97),ROW(CUR_RATES!$E$1:$E$97))))),"")</f>
        <v>1</v>
      </c>
      <c r="W42">
        <v>1558.712</v>
      </c>
      <c r="Y42" s="12">
        <f t="shared" si="2"/>
        <v>-5.0254863759308988</v>
      </c>
    </row>
    <row r="43" spans="1:25" x14ac:dyDescent="0.2">
      <c r="A43">
        <v>20031</v>
      </c>
      <c r="B43" s="2" t="str">
        <f>IF(INDEX(IDX_REF!$A:$A,ROW(IDX_REF!B43))=0,"",INDEX(IDX_REF!$A:$A,ROW(IDX_REF!B43)))</f>
        <v>VNXBMPRUSD</v>
      </c>
      <c r="C43" t="str">
        <f>IF(B43&lt;&gt;"",VLOOKUP($B43,IDX_REF!$A$2:$I$900,3,0),"")</f>
        <v>VNX BASIC MATERIALS (USD)</v>
      </c>
      <c r="D43" t="str">
        <f>IF(C43&lt;&gt;"",VLOOKUP($B43,IDX_REF!$A$2:$I$900,4,0),"")</f>
        <v>USD</v>
      </c>
      <c r="E43">
        <f>IF(D43&lt;&gt;"",VLOOKUP($B43,IDX_REF!$A$2:$I$900,5,0),"")</f>
        <v>1000</v>
      </c>
      <c r="F43" t="str">
        <f>IF(E43&lt;&gt;"",VLOOKUP($B43,IDX_REF!$A$2:$I$900,7,0),"")</f>
        <v>P</v>
      </c>
      <c r="G43" t="str">
        <f>IF(F43&lt;&gt;"",VLOOKUP($B43,IDX_REF!$A$2:$I$900,8,0),"")</f>
        <v>VNXBMPRVND</v>
      </c>
      <c r="H43" s="12">
        <v>476190476.19047618</v>
      </c>
      <c r="I43" s="12">
        <f>IF(B43&lt;&gt;"",SUMIF(IDX_COMPOSITION!$R$2:$R$123,IDX_SPECS!$G43,IDX_COMPOSITION!$K$2:$K$123)/V43,"")</f>
        <v>676281014.52718139</v>
      </c>
      <c r="J43" s="12">
        <f t="shared" si="3"/>
        <v>1420.190130507081</v>
      </c>
      <c r="K43" s="75">
        <v>41165</v>
      </c>
      <c r="L43" s="1">
        <v>0</v>
      </c>
      <c r="M43">
        <f>IF(B43&lt;&gt;"",COUNTIF(IDX_COMPOSITION!$R$2:$R$123,IDX_SPECS!G43),"")</f>
        <v>1</v>
      </c>
      <c r="N43">
        <f>IF(B43&lt;&gt;"",VLOOKUP($B43,IDX_REF!$A$2:$K$580,10,0),"")</f>
        <v>1</v>
      </c>
      <c r="O43">
        <f>IF(C43&lt;&gt;"",VLOOKUP($B43,IDX_REF!$A$2:$K$580,11,0),"")</f>
        <v>0</v>
      </c>
      <c r="Q43" s="12">
        <f>IF(B43&lt;&gt;"",SUMIF(IDX_COMPOSITION!$R$2:$R$123,IDX_SPECS!$G43,IDX_COMPOSITION!$N$2:$N$123)/V43,"")</f>
        <v>24152893.375970762</v>
      </c>
      <c r="R43">
        <v>0</v>
      </c>
      <c r="S43" s="25" t="str">
        <f>IF(R43=1,SUMIF(IDX_COMPOSITION!$R$2:$R$123,IDX_SPECS!$G43,IDX_COMPOSITION!#REF!)/IF(ISNA(VLOOKUP(D43&amp;INDEX($D$2:$D$1048576,MATCH(G43,$B$2:$B$1048576,0)),CUR_RATES!$A$2:$F$1048576,4,0)),1,VLOOKUP(D43&amp;INDEX($D$2:$D$1048576,MATCH(G43,$B$2:$B$1048576,0)),CUR_RATES!$A$2:$F$1048576,4,0)),"")</f>
        <v/>
      </c>
      <c r="T43" s="29" t="str">
        <f t="shared" si="4"/>
        <v/>
      </c>
      <c r="U43" t="str">
        <f>IF(B43&lt;&gt;"",VLOOKUP($B43,IDX_REF!$A$2:$K$580,9,0),"")</f>
        <v>Sectors</v>
      </c>
      <c r="V43" s="12">
        <f>IF(B43&lt;&gt;"",IF(D43=INDEX($D$2:$D$1048576,MATCH(G43,$B$2:$B$1048576,0)),1,IF(SUMPRODUCT(--(K43=CUR_RATES!$E$1:$E$97),--(D43&amp;INDEX($D$2:$D$1048576,MATCH(G43,$B$2:$B$1048576,0))=CUR_RATES!$A$1:$A$97),ROW(CUR_RATES!$E$1:$E$97))=0,INDEX(CUR_RATES!$D:$D,SUMPRODUCT(--((K43-1)=CUR_RATES!$E$1:$E$97),--(D43&amp;INDEX($D$2:$D$1048576,MATCH(G43,$B$2:$B$1048576,0))=CUR_RATES!$A$1:$A$97),ROW(CUR_RATES!$E$1:$E$97))),INDEX(CUR_RATES!$D:$D,SUMPRODUCT(--(K43=CUR_RATES!$E$1:$E$97),--(D43&amp;INDEX($D$2:$D$1048576,MATCH(G43,$B$2:$B$1048576,0))=CUR_RATES!$A$1:$A$97),ROW(CUR_RATES!$E$1:$E$97))))),"")</f>
        <v>21890</v>
      </c>
      <c r="W43">
        <v>1362.596</v>
      </c>
      <c r="Y43" s="12">
        <f t="shared" si="2"/>
        <v>4.2267943328089173</v>
      </c>
    </row>
    <row r="44" spans="1:25" x14ac:dyDescent="0.2">
      <c r="A44">
        <v>20032</v>
      </c>
      <c r="B44" s="2" t="str">
        <f>IF(INDEX(IDX_REF!$A:$A,ROW(IDX_REF!B44))=0,"",INDEX(IDX_REF!$A:$A,ROW(IDX_REF!B44)))</f>
        <v>VNXBMPRJPY</v>
      </c>
      <c r="C44" t="str">
        <f>IF(B44&lt;&gt;"",VLOOKUP($B44,IDX_REF!$A$2:$I$900,3,0),"")</f>
        <v>VNX BASIC MATERIALS (JPY)</v>
      </c>
      <c r="D44" t="str">
        <f>IF(C44&lt;&gt;"",VLOOKUP($B44,IDX_REF!$A$2:$I$900,4,0),"")</f>
        <v>JPY</v>
      </c>
      <c r="E44">
        <f>IF(D44&lt;&gt;"",VLOOKUP($B44,IDX_REF!$A$2:$I$900,5,0),"")</f>
        <v>1000</v>
      </c>
      <c r="F44" t="str">
        <f>IF(E44&lt;&gt;"",VLOOKUP($B44,IDX_REF!$A$2:$I$900,7,0),"")</f>
        <v>P</v>
      </c>
      <c r="G44" t="str">
        <f>IF(F44&lt;&gt;"",VLOOKUP($B44,IDX_REF!$A$2:$I$900,8,0),"")</f>
        <v>VNXBMPRVND</v>
      </c>
      <c r="H44" s="12">
        <v>37735849056.603775</v>
      </c>
      <c r="I44" s="12">
        <f>IF(B44&lt;&gt;"",SUMIF(IDX_COMPOSITION!$R$2:$R$123,IDX_SPECS!$G44,IDX_COMPOSITION!$K$2:$K$123)/V44,"")</f>
        <v>52495714212.765961</v>
      </c>
      <c r="J44" s="12">
        <f t="shared" si="3"/>
        <v>1391.136426638298</v>
      </c>
      <c r="K44" s="75">
        <v>41165</v>
      </c>
      <c r="L44" s="1">
        <v>0</v>
      </c>
      <c r="M44">
        <f>IF(B44&lt;&gt;"",COUNTIF(IDX_COMPOSITION!$R$2:$R$123,IDX_SPECS!G44),"")</f>
        <v>1</v>
      </c>
      <c r="N44">
        <f>IF(B44&lt;&gt;"",VLOOKUP($B44,IDX_REF!$A$2:$K$580,10,0),"")</f>
        <v>1</v>
      </c>
      <c r="O44">
        <f>IF(C44&lt;&gt;"",VLOOKUP($B44,IDX_REF!$A$2:$K$580,11,0),"")</f>
        <v>0</v>
      </c>
      <c r="Q44" s="12">
        <f>IF(B44&lt;&gt;"",SUMIF(IDX_COMPOSITION!$R$2:$R$123,IDX_SPECS!$G44,IDX_COMPOSITION!$N$2:$N$123)/V44,"")</f>
        <v>1874846936.1702127</v>
      </c>
      <c r="R44">
        <v>0</v>
      </c>
      <c r="S44" s="25" t="str">
        <f>IF(R44=1,SUMIF(IDX_COMPOSITION!$R$2:$R$123,IDX_SPECS!$G44,IDX_COMPOSITION!#REF!)/IF(ISNA(VLOOKUP(D44&amp;INDEX($D$2:$D$1048576,MATCH(G44,$B$2:$B$1048576,0)),CUR_RATES!$A$2:$F$1048576,4,0)),1,VLOOKUP(D44&amp;INDEX($D$2:$D$1048576,MATCH(G44,$B$2:$B$1048576,0)),CUR_RATES!$A$2:$F$1048576,4,0)),"")</f>
        <v/>
      </c>
      <c r="T44" s="29" t="str">
        <f t="shared" si="4"/>
        <v/>
      </c>
      <c r="U44" t="str">
        <f>IF(B44&lt;&gt;"",VLOOKUP($B44,IDX_REF!$A$2:$K$580,9,0),"")</f>
        <v>Sectors</v>
      </c>
      <c r="V44" s="12">
        <f>IF(B44&lt;&gt;"",IF(D44=INDEX($D$2:$D$1048576,MATCH(G44,$B$2:$B$1048576,0)),1,IF(SUMPRODUCT(--(K44=CUR_RATES!$E$1:$E$97),--(D44&amp;INDEX($D$2:$D$1048576,MATCH(G44,$B$2:$B$1048576,0))=CUR_RATES!$A$1:$A$97),ROW(CUR_RATES!$E$1:$E$97))=0,INDEX(CUR_RATES!$D:$D,SUMPRODUCT(--((K44-1)=CUR_RATES!$E$1:$E$97),--(D44&amp;INDEX($D$2:$D$1048576,MATCH(G44,$B$2:$B$1048576,0))=CUR_RATES!$A$1:$A$97),ROW(CUR_RATES!$E$1:$E$97))),INDEX(CUR_RATES!$D:$D,SUMPRODUCT(--(K44=CUR_RATES!$E$1:$E$97),--(D44&amp;INDEX($D$2:$D$1048576,MATCH(G44,$B$2:$B$1048576,0))=CUR_RATES!$A$1:$A$97),ROW(CUR_RATES!$E$1:$E$97))))),"")</f>
        <v>282</v>
      </c>
      <c r="W44">
        <v>1421.2529999999999</v>
      </c>
      <c r="Y44" s="12">
        <f t="shared" si="2"/>
        <v>-2.119015640544081</v>
      </c>
    </row>
    <row r="45" spans="1:25" x14ac:dyDescent="0.2">
      <c r="A45">
        <v>20033</v>
      </c>
      <c r="B45" s="2" t="str">
        <f>IF(INDEX(IDX_REF!$A:$A,ROW(IDX_REF!B45))=0,"",INDEX(IDX_REF!$A:$A,ROW(IDX_REF!B45)))</f>
        <v>VNXBMPREUR</v>
      </c>
      <c r="C45" t="str">
        <f>IF(B45&lt;&gt;"",VLOOKUP($B45,IDX_REF!$A$2:$I$900,3,0),"")</f>
        <v>VNX BASIC MATERIALS (EUR)</v>
      </c>
      <c r="D45" t="str">
        <f>IF(C45&lt;&gt;"",VLOOKUP($B45,IDX_REF!$A$2:$I$900,4,0),"")</f>
        <v>EUR</v>
      </c>
      <c r="E45">
        <f>IF(D45&lt;&gt;"",VLOOKUP($B45,IDX_REF!$A$2:$I$900,5,0),"")</f>
        <v>1000</v>
      </c>
      <c r="F45" t="str">
        <f>IF(E45&lt;&gt;"",VLOOKUP($B45,IDX_REF!$A$2:$I$900,7,0),"")</f>
        <v>P</v>
      </c>
      <c r="G45" t="str">
        <f>IF(F45&lt;&gt;"",VLOOKUP($B45,IDX_REF!$A$2:$I$900,8,0),"")</f>
        <v>VNXBMPRVND</v>
      </c>
      <c r="H45" s="12">
        <v>344827586.20689654</v>
      </c>
      <c r="I45" s="12">
        <f>IF(B45&lt;&gt;"",SUMIF(IDX_COMPOSITION!$R$2:$R$123,IDX_SPECS!$G45,IDX_COMPOSITION!$K$2:$K$123)/V45,"")</f>
        <v>496593549.96263081</v>
      </c>
      <c r="J45" s="12">
        <f t="shared" si="3"/>
        <v>1440.1212948916293</v>
      </c>
      <c r="K45" s="75">
        <v>41165</v>
      </c>
      <c r="L45" s="1">
        <v>0</v>
      </c>
      <c r="M45">
        <f>IF(B45&lt;&gt;"",COUNTIF(IDX_COMPOSITION!$R$2:$R$123,IDX_SPECS!G45),"")</f>
        <v>1</v>
      </c>
      <c r="N45">
        <f>IF(B45&lt;&gt;"",VLOOKUP($B45,IDX_REF!$A$2:$K$580,10,0),"")</f>
        <v>1</v>
      </c>
      <c r="O45">
        <f>IF(C45&lt;&gt;"",VLOOKUP($B45,IDX_REF!$A$2:$K$580,11,0),"")</f>
        <v>0</v>
      </c>
      <c r="Q45" s="12">
        <f>IF(B45&lt;&gt;"",SUMIF(IDX_COMPOSITION!$R$2:$R$123,IDX_SPECS!$G45,IDX_COMPOSITION!$N$2:$N$123)/V45,"")</f>
        <v>17735483.927236814</v>
      </c>
      <c r="R45">
        <v>0</v>
      </c>
      <c r="S45" s="25" t="str">
        <f>IF(R45=1,SUMIF(IDX_COMPOSITION!$R$2:$R$123,IDX_SPECS!$G45,IDX_COMPOSITION!#REF!)/IF(ISNA(VLOOKUP(D45&amp;INDEX($D$2:$D$1048576,MATCH(G45,$B$2:$B$1048576,0)),CUR_RATES!$A$2:$F$1048576,4,0)),1,VLOOKUP(D45&amp;INDEX($D$2:$D$1048576,MATCH(G45,$B$2:$B$1048576,0)),CUR_RATES!$A$2:$F$1048576,4,0)),"")</f>
        <v/>
      </c>
      <c r="T45" s="29" t="str">
        <f t="shared" si="4"/>
        <v/>
      </c>
      <c r="U45" t="str">
        <f>IF(B45&lt;&gt;"",VLOOKUP($B45,IDX_REF!$A$2:$K$580,9,0),"")</f>
        <v>Sectors</v>
      </c>
      <c r="V45" s="12">
        <f>IF(B45&lt;&gt;"",IF(D45=INDEX($D$2:$D$1048576,MATCH(G45,$B$2:$B$1048576,0)),1,IF(SUMPRODUCT(--(K45=CUR_RATES!$E$1:$E$97),--(D45&amp;INDEX($D$2:$D$1048576,MATCH(G45,$B$2:$B$1048576,0))=CUR_RATES!$A$1:$A$97),ROW(CUR_RATES!$E$1:$E$97))=0,INDEX(CUR_RATES!$D:$D,SUMPRODUCT(--((K45-1)=CUR_RATES!$E$1:$E$97),--(D45&amp;INDEX($D$2:$D$1048576,MATCH(G45,$B$2:$B$1048576,0))=CUR_RATES!$A$1:$A$97),ROW(CUR_RATES!$E$1:$E$97))),INDEX(CUR_RATES!$D:$D,SUMPRODUCT(--(K45=CUR_RATES!$E$1:$E$97),--(D45&amp;INDEX($D$2:$D$1048576,MATCH(G45,$B$2:$B$1048576,0))=CUR_RATES!$A$1:$A$97),ROW(CUR_RATES!$E$1:$E$97))))),"")</f>
        <v>29810.68</v>
      </c>
      <c r="W45">
        <v>1523.53</v>
      </c>
      <c r="Y45" s="12">
        <f t="shared" si="2"/>
        <v>-5.4747005381167861</v>
      </c>
    </row>
    <row r="46" spans="1:25" x14ac:dyDescent="0.2">
      <c r="A46">
        <v>20034</v>
      </c>
      <c r="B46" s="2" t="str">
        <f>IF(INDEX(IDX_REF!$A:$A,ROW(IDX_REF!B46))=0,"",INDEX(IDX_REF!$A:$A,ROW(IDX_REF!B46)))</f>
        <v>VNXCSPRVND</v>
      </c>
      <c r="C46" t="str">
        <f>IF(B46&lt;&gt;"",VLOOKUP($B46,IDX_REF!$A$2:$I$900,3,0),"")</f>
        <v xml:space="preserve">VNX CONSUMER SERVICES </v>
      </c>
      <c r="D46" t="str">
        <f>IF(C46&lt;&gt;"",VLOOKUP($B46,IDX_REF!$A$2:$I$900,4,0),"")</f>
        <v>VND</v>
      </c>
      <c r="E46">
        <f>IF(D46&lt;&gt;"",VLOOKUP($B46,IDX_REF!$A$2:$I$900,5,0),"")</f>
        <v>1000</v>
      </c>
      <c r="F46" t="str">
        <f>IF(E46&lt;&gt;"",VLOOKUP($B46,IDX_REF!$A$2:$I$900,7,0),"")</f>
        <v>P</v>
      </c>
      <c r="G46" t="str">
        <f>IF(F46&lt;&gt;"",VLOOKUP($B46,IDX_REF!$A$2:$I$900,8,0),"")</f>
        <v>VNXCSPRVND</v>
      </c>
      <c r="H46" s="12">
        <v>10000000000000</v>
      </c>
      <c r="I46" s="12">
        <f>IF(B46&lt;&gt;"",SUMIF(IDX_COMPOSITION!$R$2:$R$123,IDX_SPECS!$G46,IDX_COMPOSITION!$K$2:$K$123)/V46,"")</f>
        <v>788158560000</v>
      </c>
      <c r="J46" s="12">
        <f t="shared" si="3"/>
        <v>78.815855999999997</v>
      </c>
      <c r="K46" s="75">
        <v>41165</v>
      </c>
      <c r="L46" s="1">
        <v>0</v>
      </c>
      <c r="M46">
        <f>IF(B46&lt;&gt;"",COUNTIF(IDX_COMPOSITION!$R$2:$R$123,IDX_SPECS!G46),"")</f>
        <v>1</v>
      </c>
      <c r="N46">
        <f>IF(B46&lt;&gt;"",VLOOKUP($B46,IDX_REF!$A$2:$K$580,10,0),"")</f>
        <v>1</v>
      </c>
      <c r="O46">
        <f>IF(C46&lt;&gt;"",VLOOKUP($B46,IDX_REF!$A$2:$K$580,11,0),"")</f>
        <v>0</v>
      </c>
      <c r="Q46" s="12">
        <f>IF(B46&lt;&gt;"",SUMIF(IDX_COMPOSITION!$R$2:$R$123,IDX_SPECS!$G46,IDX_COMPOSITION!$N$2:$N$123)/V46,"")</f>
        <v>105556950000</v>
      </c>
      <c r="R46">
        <v>0</v>
      </c>
      <c r="S46" s="25" t="str">
        <f>IF(R46=1,SUMIF(IDX_COMPOSITION!$R$2:$R$123,IDX_SPECS!$G46,IDX_COMPOSITION!#REF!)/IF(ISNA(VLOOKUP(D46&amp;INDEX($D$2:$D$1048576,MATCH(G46,$B$2:$B$1048576,0)),CUR_RATES!$A$2:$F$1048576,4,0)),1,VLOOKUP(D46&amp;INDEX($D$2:$D$1048576,MATCH(G46,$B$2:$B$1048576,0)),CUR_RATES!$A$2:$F$1048576,4,0)),"")</f>
        <v/>
      </c>
      <c r="T46" s="29" t="str">
        <f t="shared" si="4"/>
        <v/>
      </c>
      <c r="U46" t="str">
        <f>IF(B46&lt;&gt;"",VLOOKUP($B46,IDX_REF!$A$2:$K$580,9,0),"")</f>
        <v>Sectors</v>
      </c>
      <c r="V46" s="12">
        <f>IF(B46&lt;&gt;"",IF(D46=INDEX($D$2:$D$1048576,MATCH(G46,$B$2:$B$1048576,0)),1,IF(SUMPRODUCT(--(K46=CUR_RATES!$E$1:$E$97),--(D46&amp;INDEX($D$2:$D$1048576,MATCH(G46,$B$2:$B$1048576,0))=CUR_RATES!$A$1:$A$97),ROW(CUR_RATES!$E$1:$E$97))=0,INDEX(CUR_RATES!$D:$D,SUMPRODUCT(--((K46-1)=CUR_RATES!$E$1:$E$97),--(D46&amp;INDEX($D$2:$D$1048576,MATCH(G46,$B$2:$B$1048576,0))=CUR_RATES!$A$1:$A$97),ROW(CUR_RATES!$E$1:$E$97))),INDEX(CUR_RATES!$D:$D,SUMPRODUCT(--(K46=CUR_RATES!$E$1:$E$97),--(D46&amp;INDEX($D$2:$D$1048576,MATCH(G46,$B$2:$B$1048576,0))=CUR_RATES!$A$1:$A$97),ROW(CUR_RATES!$E$1:$E$97))))),"")</f>
        <v>1</v>
      </c>
      <c r="W46">
        <v>80.584429999999998</v>
      </c>
      <c r="Y46" s="12">
        <f t="shared" si="2"/>
        <v>-2.1946845066720719</v>
      </c>
    </row>
    <row r="47" spans="1:25" x14ac:dyDescent="0.2">
      <c r="A47">
        <v>20035</v>
      </c>
      <c r="B47" s="2" t="str">
        <f>IF(INDEX(IDX_REF!$A:$A,ROW(IDX_REF!B47))=0,"",INDEX(IDX_REF!$A:$A,ROW(IDX_REF!B47)))</f>
        <v>VNXCSPRUSD</v>
      </c>
      <c r="C47" t="str">
        <f>IF(B47&lt;&gt;"",VLOOKUP($B47,IDX_REF!$A$2:$I$900,3,0),"")</f>
        <v>VNX CONSUMER SERVICES (USD)</v>
      </c>
      <c r="D47" t="str">
        <f>IF(C47&lt;&gt;"",VLOOKUP($B47,IDX_REF!$A$2:$I$900,4,0),"")</f>
        <v>USD</v>
      </c>
      <c r="E47">
        <f>IF(D47&lt;&gt;"",VLOOKUP($B47,IDX_REF!$A$2:$I$900,5,0),"")</f>
        <v>1000</v>
      </c>
      <c r="F47" t="str">
        <f>IF(E47&lt;&gt;"",VLOOKUP($B47,IDX_REF!$A$2:$I$900,7,0),"")</f>
        <v>P</v>
      </c>
      <c r="G47" t="str">
        <f>IF(F47&lt;&gt;"",VLOOKUP($B47,IDX_REF!$A$2:$I$900,8,0),"")</f>
        <v>VNXCSPRVND</v>
      </c>
      <c r="H47" s="12">
        <v>476190476.19047618</v>
      </c>
      <c r="I47" s="12">
        <f>IF(B47&lt;&gt;"",SUMIF(IDX_COMPOSITION!$R$2:$R$123,IDX_SPECS!$G47,IDX_COMPOSITION!$K$2:$K$123)/V47,"")</f>
        <v>36005416.171767928</v>
      </c>
      <c r="J47" s="12">
        <f t="shared" si="3"/>
        <v>75.611373960712655</v>
      </c>
      <c r="K47" s="75">
        <v>41165</v>
      </c>
      <c r="L47" s="1">
        <v>0</v>
      </c>
      <c r="M47">
        <f>IF(B47&lt;&gt;"",COUNTIF(IDX_COMPOSITION!$R$2:$R$123,IDX_SPECS!G47),"")</f>
        <v>1</v>
      </c>
      <c r="N47">
        <f>IF(B47&lt;&gt;"",VLOOKUP($B47,IDX_REF!$A$2:$K$580,10,0),"")</f>
        <v>1</v>
      </c>
      <c r="O47">
        <f>IF(C47&lt;&gt;"",VLOOKUP($B47,IDX_REF!$A$2:$K$580,11,0),"")</f>
        <v>0</v>
      </c>
      <c r="Q47" s="12">
        <f>IF(B47&lt;&gt;"",SUMIF(IDX_COMPOSITION!$R$2:$R$123,IDX_SPECS!$G47,IDX_COMPOSITION!$N$2:$N$123)/V47,"")</f>
        <v>4822153.9515760625</v>
      </c>
      <c r="R47">
        <v>0</v>
      </c>
      <c r="S47" s="25" t="str">
        <f>IF(R47=1,SUMIF(IDX_COMPOSITION!$R$2:$R$123,IDX_SPECS!$G47,IDX_COMPOSITION!#REF!)/IF(ISNA(VLOOKUP(D47&amp;INDEX($D$2:$D$1048576,MATCH(G47,$B$2:$B$1048576,0)),CUR_RATES!$A$2:$F$1048576,4,0)),1,VLOOKUP(D47&amp;INDEX($D$2:$D$1048576,MATCH(G47,$B$2:$B$1048576,0)),CUR_RATES!$A$2:$F$1048576,4,0)),"")</f>
        <v/>
      </c>
      <c r="T47" s="29" t="str">
        <f t="shared" si="4"/>
        <v/>
      </c>
      <c r="U47" t="str">
        <f>IF(B47&lt;&gt;"",VLOOKUP($B47,IDX_REF!$A$2:$K$580,9,0),"")</f>
        <v>Sectors</v>
      </c>
      <c r="V47" s="12">
        <f>IF(B47&lt;&gt;"",IF(D47=INDEX($D$2:$D$1048576,MATCH(G47,$B$2:$B$1048576,0)),1,IF(SUMPRODUCT(--(K47=CUR_RATES!$E$1:$E$97),--(D47&amp;INDEX($D$2:$D$1048576,MATCH(G47,$B$2:$B$1048576,0))=CUR_RATES!$A$1:$A$97),ROW(CUR_RATES!$E$1:$E$97))=0,INDEX(CUR_RATES!$D:$D,SUMPRODUCT(--((K47-1)=CUR_RATES!$E$1:$E$97),--(D47&amp;INDEX($D$2:$D$1048576,MATCH(G47,$B$2:$B$1048576,0))=CUR_RATES!$A$1:$A$97),ROW(CUR_RATES!$E$1:$E$97))),INDEX(CUR_RATES!$D:$D,SUMPRODUCT(--(K47=CUR_RATES!$E$1:$E$97),--(D47&amp;INDEX($D$2:$D$1048576,MATCH(G47,$B$2:$B$1048576,0))=CUR_RATES!$A$1:$A$97),ROW(CUR_RATES!$E$1:$E$97))))),"")</f>
        <v>21890</v>
      </c>
      <c r="W47">
        <v>75.611369999999994</v>
      </c>
      <c r="Y47" s="12">
        <f t="shared" si="2"/>
        <v>5.2382500951316232E-6</v>
      </c>
    </row>
    <row r="48" spans="1:25" x14ac:dyDescent="0.2">
      <c r="A48">
        <v>20036</v>
      </c>
      <c r="B48" s="2" t="str">
        <f>IF(INDEX(IDX_REF!$A:$A,ROW(IDX_REF!B48))=0,"",INDEX(IDX_REF!$A:$A,ROW(IDX_REF!B48)))</f>
        <v>VNXCSPRJPY</v>
      </c>
      <c r="C48" t="str">
        <f>IF(B48&lt;&gt;"",VLOOKUP($B48,IDX_REF!$A$2:$I$900,3,0),"")</f>
        <v>VNX CONSUMER SERVICES (JPY)</v>
      </c>
      <c r="D48" t="str">
        <f>IF(C48&lt;&gt;"",VLOOKUP($B48,IDX_REF!$A$2:$I$900,4,0),"")</f>
        <v>JPY</v>
      </c>
      <c r="E48">
        <f>IF(D48&lt;&gt;"",VLOOKUP($B48,IDX_REF!$A$2:$I$900,5,0),"")</f>
        <v>1000</v>
      </c>
      <c r="F48" t="str">
        <f>IF(E48&lt;&gt;"",VLOOKUP($B48,IDX_REF!$A$2:$I$900,7,0),"")</f>
        <v>P</v>
      </c>
      <c r="G48" t="str">
        <f>IF(F48&lt;&gt;"",VLOOKUP($B48,IDX_REF!$A$2:$I$900,8,0),"")</f>
        <v>VNXCSPRVND</v>
      </c>
      <c r="H48" s="12">
        <v>37735849056.603775</v>
      </c>
      <c r="I48" s="12">
        <f>IF(B48&lt;&gt;"",SUMIF(IDX_COMPOSITION!$R$2:$R$123,IDX_SPECS!$G48,IDX_COMPOSITION!$K$2:$K$123)/V48,"")</f>
        <v>2794888510.638298</v>
      </c>
      <c r="J48" s="12">
        <f t="shared" si="3"/>
        <v>74.064545531914888</v>
      </c>
      <c r="K48" s="75">
        <v>41165</v>
      </c>
      <c r="L48" s="1">
        <v>0</v>
      </c>
      <c r="M48">
        <f>IF(B48&lt;&gt;"",COUNTIF(IDX_COMPOSITION!$R$2:$R$123,IDX_SPECS!G48),"")</f>
        <v>1</v>
      </c>
      <c r="N48">
        <f>IF(B48&lt;&gt;"",VLOOKUP($B48,IDX_REF!$A$2:$K$580,10,0),"")</f>
        <v>1</v>
      </c>
      <c r="O48">
        <f>IF(C48&lt;&gt;"",VLOOKUP($B48,IDX_REF!$A$2:$K$580,11,0),"")</f>
        <v>0</v>
      </c>
      <c r="Q48" s="12">
        <f>IF(B48&lt;&gt;"",SUMIF(IDX_COMPOSITION!$R$2:$R$123,IDX_SPECS!$G48,IDX_COMPOSITION!$N$2:$N$123)/V48,"")</f>
        <v>374315425.53191489</v>
      </c>
      <c r="R48">
        <v>0</v>
      </c>
      <c r="S48" s="25" t="str">
        <f>IF(R48=1,SUMIF(IDX_COMPOSITION!$R$2:$R$123,IDX_SPECS!$G48,IDX_COMPOSITION!#REF!)/IF(ISNA(VLOOKUP(D48&amp;INDEX($D$2:$D$1048576,MATCH(G48,$B$2:$B$1048576,0)),CUR_RATES!$A$2:$F$1048576,4,0)),1,VLOOKUP(D48&amp;INDEX($D$2:$D$1048576,MATCH(G48,$B$2:$B$1048576,0)),CUR_RATES!$A$2:$F$1048576,4,0)),"")</f>
        <v/>
      </c>
      <c r="T48" s="29" t="str">
        <f t="shared" si="4"/>
        <v/>
      </c>
      <c r="U48" t="str">
        <f>IF(B48&lt;&gt;"",VLOOKUP($B48,IDX_REF!$A$2:$K$580,9,0),"")</f>
        <v>Sectors</v>
      </c>
      <c r="V48" s="12">
        <f>IF(B48&lt;&gt;"",IF(D48=INDEX($D$2:$D$1048576,MATCH(G48,$B$2:$B$1048576,0)),1,IF(SUMPRODUCT(--(K48=CUR_RATES!$E$1:$E$97),--(D48&amp;INDEX($D$2:$D$1048576,MATCH(G48,$B$2:$B$1048576,0))=CUR_RATES!$A$1:$A$97),ROW(CUR_RATES!$E$1:$E$97))=0,INDEX(CUR_RATES!$D:$D,SUMPRODUCT(--((K48-1)=CUR_RATES!$E$1:$E$97),--(D48&amp;INDEX($D$2:$D$1048576,MATCH(G48,$B$2:$B$1048576,0))=CUR_RATES!$A$1:$A$97),ROW(CUR_RATES!$E$1:$E$97))),INDEX(CUR_RATES!$D:$D,SUMPRODUCT(--(K48=CUR_RATES!$E$1:$E$97),--(D48&amp;INDEX($D$2:$D$1048576,MATCH(G48,$B$2:$B$1048576,0))=CUR_RATES!$A$1:$A$97),ROW(CUR_RATES!$E$1:$E$97))))),"")</f>
        <v>282</v>
      </c>
      <c r="W48">
        <v>75.578090000000003</v>
      </c>
      <c r="Y48" s="12">
        <f t="shared" si="2"/>
        <v>-2.0026233371141227</v>
      </c>
    </row>
    <row r="49" spans="1:25" x14ac:dyDescent="0.2">
      <c r="A49">
        <v>20037</v>
      </c>
      <c r="B49" s="2" t="str">
        <f>IF(INDEX(IDX_REF!$A:$A,ROW(IDX_REF!B49))=0,"",INDEX(IDX_REF!$A:$A,ROW(IDX_REF!B49)))</f>
        <v>VNXCSPREUR</v>
      </c>
      <c r="C49" t="str">
        <f>IF(B49&lt;&gt;"",VLOOKUP($B49,IDX_REF!$A$2:$I$900,3,0),"")</f>
        <v>VNX CONSUMER SERVICES (EUR)</v>
      </c>
      <c r="D49" t="str">
        <f>IF(C49&lt;&gt;"",VLOOKUP($B49,IDX_REF!$A$2:$I$900,4,0),"")</f>
        <v>EUR</v>
      </c>
      <c r="E49">
        <f>IF(D49&lt;&gt;"",VLOOKUP($B49,IDX_REF!$A$2:$I$900,5,0),"")</f>
        <v>1000</v>
      </c>
      <c r="F49" t="str">
        <f>IF(E49&lt;&gt;"",VLOOKUP($B49,IDX_REF!$A$2:$I$900,7,0),"")</f>
        <v>P</v>
      </c>
      <c r="G49" t="str">
        <f>IF(F49&lt;&gt;"",VLOOKUP($B49,IDX_REF!$A$2:$I$900,8,0),"")</f>
        <v>VNXCSPRVND</v>
      </c>
      <c r="H49" s="12">
        <v>344827586.20689654</v>
      </c>
      <c r="I49" s="12">
        <f>IF(B49&lt;&gt;"",SUMIF(IDX_COMPOSITION!$R$2:$R$123,IDX_SPECS!$G49,IDX_COMPOSITION!$K$2:$K$123)/V49,"")</f>
        <v>26438798.44404757</v>
      </c>
      <c r="J49" s="12">
        <f t="shared" si="3"/>
        <v>76.672515487737954</v>
      </c>
      <c r="K49" s="75">
        <v>41165</v>
      </c>
      <c r="L49" s="1">
        <v>0</v>
      </c>
      <c r="M49">
        <f>IF(B49&lt;&gt;"",COUNTIF(IDX_COMPOSITION!$R$2:$R$123,IDX_SPECS!G49),"")</f>
        <v>1</v>
      </c>
      <c r="N49">
        <f>IF(B49&lt;&gt;"",VLOOKUP($B49,IDX_REF!$A$2:$K$580,10,0),"")</f>
        <v>1</v>
      </c>
      <c r="O49">
        <f>IF(C49&lt;&gt;"",VLOOKUP($B49,IDX_REF!$A$2:$K$580,11,0),"")</f>
        <v>0</v>
      </c>
      <c r="Q49" s="12">
        <f>IF(B49&lt;&gt;"",SUMIF(IDX_COMPOSITION!$R$2:$R$123,IDX_SPECS!$G49,IDX_COMPOSITION!$N$2:$N$123)/V49,"")</f>
        <v>3540910.5058992282</v>
      </c>
      <c r="R49">
        <v>0</v>
      </c>
      <c r="S49" s="25" t="str">
        <f>IF(R49=1,SUMIF(IDX_COMPOSITION!$R$2:$R$123,IDX_SPECS!$G49,IDX_COMPOSITION!#REF!)/IF(ISNA(VLOOKUP(D49&amp;INDEX($D$2:$D$1048576,MATCH(G49,$B$2:$B$1048576,0)),CUR_RATES!$A$2:$F$1048576,4,0)),1,VLOOKUP(D49&amp;INDEX($D$2:$D$1048576,MATCH(G49,$B$2:$B$1048576,0)),CUR_RATES!$A$2:$F$1048576,4,0)),"")</f>
        <v/>
      </c>
      <c r="T49" s="29" t="str">
        <f t="shared" si="4"/>
        <v/>
      </c>
      <c r="U49" t="str">
        <f>IF(B49&lt;&gt;"",VLOOKUP($B49,IDX_REF!$A$2:$K$580,9,0),"")</f>
        <v>Sectors</v>
      </c>
      <c r="V49" s="12">
        <f>IF(B49&lt;&gt;"",IF(D49=INDEX($D$2:$D$1048576,MATCH(G49,$B$2:$B$1048576,0)),1,IF(SUMPRODUCT(--(K49=CUR_RATES!$E$1:$E$97),--(D49&amp;INDEX($D$2:$D$1048576,MATCH(G49,$B$2:$B$1048576,0))=CUR_RATES!$A$1:$A$97),ROW(CUR_RATES!$E$1:$E$97))=0,INDEX(CUR_RATES!$D:$D,SUMPRODUCT(--((K49-1)=CUR_RATES!$E$1:$E$97),--(D49&amp;INDEX($D$2:$D$1048576,MATCH(G49,$B$2:$B$1048576,0))=CUR_RATES!$A$1:$A$97),ROW(CUR_RATES!$E$1:$E$97))),INDEX(CUR_RATES!$D:$D,SUMPRODUCT(--(K49=CUR_RATES!$E$1:$E$97),--(D49&amp;INDEX($D$2:$D$1048576,MATCH(G49,$B$2:$B$1048576,0))=CUR_RATES!$A$1:$A$97),ROW(CUR_RATES!$E$1:$E$97))))),"")</f>
        <v>29810.68</v>
      </c>
      <c r="W49">
        <v>80.080500000000001</v>
      </c>
      <c r="Y49" s="12">
        <f t="shared" si="2"/>
        <v>-4.2556983438690406</v>
      </c>
    </row>
    <row r="50" spans="1:25" x14ac:dyDescent="0.2">
      <c r="A50">
        <v>20038</v>
      </c>
      <c r="B50" s="2" t="str">
        <f>IF(INDEX(IDX_REF!$A:$A,ROW(IDX_REF!B50))=0,"",INDEX(IDX_REF!$A:$A,ROW(IDX_REF!B50)))</f>
        <v>VNXFIPRVND</v>
      </c>
      <c r="C50" t="str">
        <f>IF(B50&lt;&gt;"",VLOOKUP($B50,IDX_REF!$A$2:$I$900,3,0),"")</f>
        <v xml:space="preserve">VNX FINANCIALS </v>
      </c>
      <c r="D50" t="str">
        <f>IF(C50&lt;&gt;"",VLOOKUP($B50,IDX_REF!$A$2:$I$900,4,0),"")</f>
        <v>VND</v>
      </c>
      <c r="E50">
        <f>IF(D50&lt;&gt;"",VLOOKUP($B50,IDX_REF!$A$2:$I$900,5,0),"")</f>
        <v>1000</v>
      </c>
      <c r="F50" t="str">
        <f>IF(E50&lt;&gt;"",VLOOKUP($B50,IDX_REF!$A$2:$I$900,7,0),"")</f>
        <v>P</v>
      </c>
      <c r="G50" t="str">
        <f>IF(F50&lt;&gt;"",VLOOKUP($B50,IDX_REF!$A$2:$I$900,8,0),"")</f>
        <v>VNXFIPRVND</v>
      </c>
      <c r="H50" s="12">
        <v>10000000000000</v>
      </c>
      <c r="I50" s="12">
        <f>IF(B50&lt;&gt;"",SUMIF(IDX_COMPOSITION!$R$2:$R$123,IDX_SPECS!$G50,IDX_COMPOSITION!$K$2:$K$123)/V50,"")</f>
        <v>10683771510000</v>
      </c>
      <c r="J50" s="12">
        <f t="shared" si="3"/>
        <v>1068.3771509999999</v>
      </c>
      <c r="K50" s="75">
        <v>41165</v>
      </c>
      <c r="L50" s="1">
        <v>0</v>
      </c>
      <c r="M50">
        <f>IF(B50&lt;&gt;"",COUNTIF(IDX_COMPOSITION!$R$2:$R$123,IDX_SPECS!G50),"")</f>
        <v>5</v>
      </c>
      <c r="N50">
        <f>IF(B50&lt;&gt;"",VLOOKUP($B50,IDX_REF!$A$2:$K$580,10,0),"")</f>
        <v>1</v>
      </c>
      <c r="O50">
        <f>IF(C50&lt;&gt;"",VLOOKUP($B50,IDX_REF!$A$2:$K$580,11,0),"")</f>
        <v>0</v>
      </c>
      <c r="Q50" s="12">
        <f>IF(B50&lt;&gt;"",SUMIF(IDX_COMPOSITION!$R$2:$R$123,IDX_SPECS!$G50,IDX_COMPOSITION!$N$2:$N$123)/V50,"")</f>
        <v>50000000000</v>
      </c>
      <c r="R50">
        <v>0</v>
      </c>
      <c r="S50" s="25" t="str">
        <f>IF(R50=1,SUMIF(IDX_COMPOSITION!$R$2:$R$123,IDX_SPECS!$G50,IDX_COMPOSITION!#REF!)/IF(ISNA(VLOOKUP(D50&amp;INDEX($D$2:$D$1048576,MATCH(G50,$B$2:$B$1048576,0)),CUR_RATES!$A$2:$F$1048576,4,0)),1,VLOOKUP(D50&amp;INDEX($D$2:$D$1048576,MATCH(G50,$B$2:$B$1048576,0)),CUR_RATES!$A$2:$F$1048576,4,0)),"")</f>
        <v/>
      </c>
      <c r="T50" s="29" t="str">
        <f t="shared" si="4"/>
        <v/>
      </c>
      <c r="U50" t="str">
        <f>IF(B50&lt;&gt;"",VLOOKUP($B50,IDX_REF!$A$2:$K$580,9,0),"")</f>
        <v>Sectors</v>
      </c>
      <c r="V50" s="12">
        <f>IF(B50&lt;&gt;"",IF(D50=INDEX($D$2:$D$1048576,MATCH(G50,$B$2:$B$1048576,0)),1,IF(SUMPRODUCT(--(K50=CUR_RATES!$E$1:$E$97),--(D50&amp;INDEX($D$2:$D$1048576,MATCH(G50,$B$2:$B$1048576,0))=CUR_RATES!$A$1:$A$97),ROW(CUR_RATES!$E$1:$E$97))=0,INDEX(CUR_RATES!$D:$D,SUMPRODUCT(--((K50-1)=CUR_RATES!$E$1:$E$97),--(D50&amp;INDEX($D$2:$D$1048576,MATCH(G50,$B$2:$B$1048576,0))=CUR_RATES!$A$1:$A$97),ROW(CUR_RATES!$E$1:$E$97))),INDEX(CUR_RATES!$D:$D,SUMPRODUCT(--(K50=CUR_RATES!$E$1:$E$97),--(D50&amp;INDEX($D$2:$D$1048576,MATCH(G50,$B$2:$B$1048576,0))=CUR_RATES!$A$1:$A$97),ROW(CUR_RATES!$E$1:$E$97))))),"")</f>
        <v>1</v>
      </c>
      <c r="W50">
        <v>1090.7660000000001</v>
      </c>
      <c r="Y50" s="12">
        <f t="shared" si="2"/>
        <v>-2.0525803884609681</v>
      </c>
    </row>
    <row r="51" spans="1:25" x14ac:dyDescent="0.2">
      <c r="A51">
        <v>20039</v>
      </c>
      <c r="B51" s="2" t="str">
        <f>IF(INDEX(IDX_REF!$A:$A,ROW(IDX_REF!B51))=0,"",INDEX(IDX_REF!$A:$A,ROW(IDX_REF!B51)))</f>
        <v>VNXFIPRUSD</v>
      </c>
      <c r="C51" t="str">
        <f>IF(B51&lt;&gt;"",VLOOKUP($B51,IDX_REF!$A$2:$I$900,3,0),"")</f>
        <v>VNX FINANCIALS (USD)</v>
      </c>
      <c r="D51" t="str">
        <f>IF(C51&lt;&gt;"",VLOOKUP($B51,IDX_REF!$A$2:$I$900,4,0),"")</f>
        <v>USD</v>
      </c>
      <c r="E51">
        <f>IF(D51&lt;&gt;"",VLOOKUP($B51,IDX_REF!$A$2:$I$900,5,0),"")</f>
        <v>1000</v>
      </c>
      <c r="F51" t="str">
        <f>IF(E51&lt;&gt;"",VLOOKUP($B51,IDX_REF!$A$2:$I$900,7,0),"")</f>
        <v>P</v>
      </c>
      <c r="G51" t="str">
        <f>IF(F51&lt;&gt;"",VLOOKUP($B51,IDX_REF!$A$2:$I$900,8,0),"")</f>
        <v>VNXFIPRVND</v>
      </c>
      <c r="H51" s="12">
        <v>476190476.19047618</v>
      </c>
      <c r="I51" s="12">
        <f>IF(B51&lt;&gt;"",SUMIF(IDX_COMPOSITION!$R$2:$R$123,IDX_SPECS!$G51,IDX_COMPOSITION!$K$2:$K$123)/V51,"")</f>
        <v>488066309.27364093</v>
      </c>
      <c r="J51" s="12">
        <f t="shared" si="3"/>
        <v>1024.939249474646</v>
      </c>
      <c r="K51" s="75">
        <v>41165</v>
      </c>
      <c r="L51" s="1">
        <v>0</v>
      </c>
      <c r="M51">
        <f>IF(B51&lt;&gt;"",COUNTIF(IDX_COMPOSITION!$R$2:$R$123,IDX_SPECS!G51),"")</f>
        <v>5</v>
      </c>
      <c r="N51">
        <f>IF(B51&lt;&gt;"",VLOOKUP($B51,IDX_REF!$A$2:$K$580,10,0),"")</f>
        <v>1</v>
      </c>
      <c r="O51">
        <f>IF(C51&lt;&gt;"",VLOOKUP($B51,IDX_REF!$A$2:$K$580,11,0),"")</f>
        <v>0</v>
      </c>
      <c r="Q51" s="12">
        <f>IF(B51&lt;&gt;"",SUMIF(IDX_COMPOSITION!$R$2:$R$123,IDX_SPECS!$G51,IDX_COMPOSITION!$N$2:$N$123)/V51,"")</f>
        <v>2284148.0127912289</v>
      </c>
      <c r="R51">
        <v>0</v>
      </c>
      <c r="S51" s="25" t="str">
        <f>IF(R51=1,SUMIF(IDX_COMPOSITION!$R$2:$R$123,IDX_SPECS!$G51,IDX_COMPOSITION!#REF!)/IF(ISNA(VLOOKUP(D51&amp;INDEX($D$2:$D$1048576,MATCH(G51,$B$2:$B$1048576,0)),CUR_RATES!$A$2:$F$1048576,4,0)),1,VLOOKUP(D51&amp;INDEX($D$2:$D$1048576,MATCH(G51,$B$2:$B$1048576,0)),CUR_RATES!$A$2:$F$1048576,4,0)),"")</f>
        <v/>
      </c>
      <c r="T51" s="29" t="str">
        <f t="shared" si="4"/>
        <v/>
      </c>
      <c r="U51" t="str">
        <f>IF(B51&lt;&gt;"",VLOOKUP($B51,IDX_REF!$A$2:$K$580,9,0),"")</f>
        <v>Sectors</v>
      </c>
      <c r="V51" s="12">
        <f>IF(B51&lt;&gt;"",IF(D51=INDEX($D$2:$D$1048576,MATCH(G51,$B$2:$B$1048576,0)),1,IF(SUMPRODUCT(--(K51=CUR_RATES!$E$1:$E$97),--(D51&amp;INDEX($D$2:$D$1048576,MATCH(G51,$B$2:$B$1048576,0))=CUR_RATES!$A$1:$A$97),ROW(CUR_RATES!$E$1:$E$97))=0,INDEX(CUR_RATES!$D:$D,SUMPRODUCT(--((K51-1)=CUR_RATES!$E$1:$E$97),--(D51&amp;INDEX($D$2:$D$1048576,MATCH(G51,$B$2:$B$1048576,0))=CUR_RATES!$A$1:$A$97),ROW(CUR_RATES!$E$1:$E$97))),INDEX(CUR_RATES!$D:$D,SUMPRODUCT(--(K51=CUR_RATES!$E$1:$E$97),--(D51&amp;INDEX($D$2:$D$1048576,MATCH(G51,$B$2:$B$1048576,0))=CUR_RATES!$A$1:$A$97),ROW(CUR_RATES!$E$1:$E$97))))),"")</f>
        <v>21890</v>
      </c>
      <c r="W51">
        <v>992.31579999999997</v>
      </c>
      <c r="Y51" s="12">
        <f t="shared" si="2"/>
        <v>3.2876075816434653</v>
      </c>
    </row>
    <row r="52" spans="1:25" x14ac:dyDescent="0.2">
      <c r="A52">
        <v>20040</v>
      </c>
      <c r="B52" s="2" t="str">
        <f>IF(INDEX(IDX_REF!$A:$A,ROW(IDX_REF!B52))=0,"",INDEX(IDX_REF!$A:$A,ROW(IDX_REF!B52)))</f>
        <v>VNXFIPRJPY</v>
      </c>
      <c r="C52" t="str">
        <f>IF(B52&lt;&gt;"",VLOOKUP($B52,IDX_REF!$A$2:$I$900,3,0),"")</f>
        <v>VNX FINANCIALS (JPY)</v>
      </c>
      <c r="D52" t="str">
        <f>IF(C52&lt;&gt;"",VLOOKUP($B52,IDX_REF!$A$2:$I$900,4,0),"")</f>
        <v>JPY</v>
      </c>
      <c r="E52">
        <f>IF(D52&lt;&gt;"",VLOOKUP($B52,IDX_REF!$A$2:$I$900,5,0),"")</f>
        <v>1000</v>
      </c>
      <c r="F52" t="str">
        <f>IF(E52&lt;&gt;"",VLOOKUP($B52,IDX_REF!$A$2:$I$900,7,0),"")</f>
        <v>P</v>
      </c>
      <c r="G52" t="str">
        <f>IF(F52&lt;&gt;"",VLOOKUP($B52,IDX_REF!$A$2:$I$900,8,0),"")</f>
        <v>VNXFIPRVND</v>
      </c>
      <c r="H52" s="12">
        <v>37735849056.603775</v>
      </c>
      <c r="I52" s="12">
        <f>IF(B52&lt;&gt;"",SUMIF(IDX_COMPOSITION!$R$2:$R$123,IDX_SPECS!$G52,IDX_COMPOSITION!$K$2:$K$123)/V52,"")</f>
        <v>37885714574.468086</v>
      </c>
      <c r="J52" s="12">
        <f t="shared" si="3"/>
        <v>1003.9714362234042</v>
      </c>
      <c r="K52" s="75">
        <v>41165</v>
      </c>
      <c r="L52" s="1">
        <v>0</v>
      </c>
      <c r="M52">
        <f>IF(B52&lt;&gt;"",COUNTIF(IDX_COMPOSITION!$R$2:$R$123,IDX_SPECS!G52),"")</f>
        <v>5</v>
      </c>
      <c r="N52">
        <f>IF(B52&lt;&gt;"",VLOOKUP($B52,IDX_REF!$A$2:$K$580,10,0),"")</f>
        <v>1</v>
      </c>
      <c r="O52">
        <f>IF(C52&lt;&gt;"",VLOOKUP($B52,IDX_REF!$A$2:$K$580,11,0),"")</f>
        <v>0</v>
      </c>
      <c r="Q52" s="12">
        <f>IF(B52&lt;&gt;"",SUMIF(IDX_COMPOSITION!$R$2:$R$123,IDX_SPECS!$G52,IDX_COMPOSITION!$N$2:$N$123)/V52,"")</f>
        <v>177304964.5390071</v>
      </c>
      <c r="R52">
        <v>0</v>
      </c>
      <c r="S52" s="25" t="str">
        <f>IF(R52=1,SUMIF(IDX_COMPOSITION!$R$2:$R$123,IDX_SPECS!$G52,IDX_COMPOSITION!#REF!)/IF(ISNA(VLOOKUP(D52&amp;INDEX($D$2:$D$1048576,MATCH(G52,$B$2:$B$1048576,0)),CUR_RATES!$A$2:$F$1048576,4,0)),1,VLOOKUP(D52&amp;INDEX($D$2:$D$1048576,MATCH(G52,$B$2:$B$1048576,0)),CUR_RATES!$A$2:$F$1048576,4,0)),"")</f>
        <v/>
      </c>
      <c r="T52" s="29" t="str">
        <f t="shared" si="4"/>
        <v/>
      </c>
      <c r="U52" t="str">
        <f>IF(B52&lt;&gt;"",VLOOKUP($B52,IDX_REF!$A$2:$K$580,9,0),"")</f>
        <v>Sectors</v>
      </c>
      <c r="V52" s="12">
        <f>IF(B52&lt;&gt;"",IF(D52=INDEX($D$2:$D$1048576,MATCH(G52,$B$2:$B$1048576,0)),1,IF(SUMPRODUCT(--(K52=CUR_RATES!$E$1:$E$97),--(D52&amp;INDEX($D$2:$D$1048576,MATCH(G52,$B$2:$B$1048576,0))=CUR_RATES!$A$1:$A$97),ROW(CUR_RATES!$E$1:$E$97))=0,INDEX(CUR_RATES!$D:$D,SUMPRODUCT(--((K52-1)=CUR_RATES!$E$1:$E$97),--(D52&amp;INDEX($D$2:$D$1048576,MATCH(G52,$B$2:$B$1048576,0))=CUR_RATES!$A$1:$A$97),ROW(CUR_RATES!$E$1:$E$97))),INDEX(CUR_RATES!$D:$D,SUMPRODUCT(--(K52=CUR_RATES!$E$1:$E$97),--(D52&amp;INDEX($D$2:$D$1048576,MATCH(G52,$B$2:$B$1048576,0))=CUR_RATES!$A$1:$A$97),ROW(CUR_RATES!$E$1:$E$97))))),"")</f>
        <v>282</v>
      </c>
      <c r="W52">
        <v>983.59469999999999</v>
      </c>
      <c r="Y52" s="12">
        <f t="shared" si="2"/>
        <v>2.0716598232385999</v>
      </c>
    </row>
    <row r="53" spans="1:25" x14ac:dyDescent="0.2">
      <c r="A53">
        <v>20041</v>
      </c>
      <c r="B53" s="2" t="str">
        <f>IF(INDEX(IDX_REF!$A:$A,ROW(IDX_REF!B53))=0,"",INDEX(IDX_REF!$A:$A,ROW(IDX_REF!B53)))</f>
        <v>VNXFIPREUR</v>
      </c>
      <c r="C53" t="str">
        <f>IF(B53&lt;&gt;"",VLOOKUP($B53,IDX_REF!$A$2:$I$900,3,0),"")</f>
        <v>VNX FINANCIALS (EUR)</v>
      </c>
      <c r="D53" t="str">
        <f>IF(C53&lt;&gt;"",VLOOKUP($B53,IDX_REF!$A$2:$I$900,4,0),"")</f>
        <v>EUR</v>
      </c>
      <c r="E53">
        <f>IF(D53&lt;&gt;"",VLOOKUP($B53,IDX_REF!$A$2:$I$900,5,0),"")</f>
        <v>1000</v>
      </c>
      <c r="F53" t="str">
        <f>IF(E53&lt;&gt;"",VLOOKUP($B53,IDX_REF!$A$2:$I$900,7,0),"")</f>
        <v>P</v>
      </c>
      <c r="G53" t="str">
        <f>IF(F53&lt;&gt;"",VLOOKUP($B53,IDX_REF!$A$2:$I$900,8,0),"")</f>
        <v>VNXFIPRVND</v>
      </c>
      <c r="H53" s="12">
        <v>344827586.20689654</v>
      </c>
      <c r="I53" s="12">
        <f>IF(B53&lt;&gt;"",SUMIF(IDX_COMPOSITION!$R$2:$R$123,IDX_SPECS!$G53,IDX_COMPOSITION!$K$2:$K$123)/V53,"")</f>
        <v>358387380.29457897</v>
      </c>
      <c r="J53" s="12">
        <f t="shared" si="3"/>
        <v>1039.323402854279</v>
      </c>
      <c r="K53" s="75">
        <v>41165</v>
      </c>
      <c r="L53" s="1">
        <v>0</v>
      </c>
      <c r="M53">
        <f>IF(B53&lt;&gt;"",COUNTIF(IDX_COMPOSITION!$R$2:$R$123,IDX_SPECS!G53),"")</f>
        <v>5</v>
      </c>
      <c r="N53">
        <f>IF(B53&lt;&gt;"",VLOOKUP($B53,IDX_REF!$A$2:$K$580,10,0),"")</f>
        <v>1</v>
      </c>
      <c r="O53">
        <f>IF(C53&lt;&gt;"",VLOOKUP($B53,IDX_REF!$A$2:$K$580,11,0),"")</f>
        <v>0</v>
      </c>
      <c r="Q53" s="12">
        <f>IF(B53&lt;&gt;"",SUMIF(IDX_COMPOSITION!$R$2:$R$123,IDX_SPECS!$G53,IDX_COMPOSITION!$N$2:$N$123)/V53,"")</f>
        <v>1677251.240159567</v>
      </c>
      <c r="R53">
        <v>0</v>
      </c>
      <c r="S53" s="25" t="str">
        <f>IF(R53=1,SUMIF(IDX_COMPOSITION!$R$2:$R$123,IDX_SPECS!$G53,IDX_COMPOSITION!#REF!)/IF(ISNA(VLOOKUP(D53&amp;INDEX($D$2:$D$1048576,MATCH(G53,$B$2:$B$1048576,0)),CUR_RATES!$A$2:$F$1048576,4,0)),1,VLOOKUP(D53&amp;INDEX($D$2:$D$1048576,MATCH(G53,$B$2:$B$1048576,0)),CUR_RATES!$A$2:$F$1048576,4,0)),"")</f>
        <v/>
      </c>
      <c r="T53" s="29" t="str">
        <f t="shared" si="4"/>
        <v/>
      </c>
      <c r="U53" t="str">
        <f>IF(B53&lt;&gt;"",VLOOKUP($B53,IDX_REF!$A$2:$K$580,9,0),"")</f>
        <v>Sectors</v>
      </c>
      <c r="V53" s="12">
        <f>IF(B53&lt;&gt;"",IF(D53=INDEX($D$2:$D$1048576,MATCH(G53,$B$2:$B$1048576,0)),1,IF(SUMPRODUCT(--(K53=CUR_RATES!$E$1:$E$97),--(D53&amp;INDEX($D$2:$D$1048576,MATCH(G53,$B$2:$B$1048576,0))=CUR_RATES!$A$1:$A$97),ROW(CUR_RATES!$E$1:$E$97))=0,INDEX(CUR_RATES!$D:$D,SUMPRODUCT(--((K53-1)=CUR_RATES!$E$1:$E$97),--(D53&amp;INDEX($D$2:$D$1048576,MATCH(G53,$B$2:$B$1048576,0))=CUR_RATES!$A$1:$A$97),ROW(CUR_RATES!$E$1:$E$97))),INDEX(CUR_RATES!$D:$D,SUMPRODUCT(--(K53=CUR_RATES!$E$1:$E$97),--(D53&amp;INDEX($D$2:$D$1048576,MATCH(G53,$B$2:$B$1048576,0))=CUR_RATES!$A$1:$A$97),ROW(CUR_RATES!$E$1:$E$97))))),"")</f>
        <v>29810.68</v>
      </c>
      <c r="W53">
        <v>1072.0519999999999</v>
      </c>
      <c r="Y53" s="12">
        <f t="shared" si="2"/>
        <v>-3.0528926904404705</v>
      </c>
    </row>
    <row r="54" spans="1:25" x14ac:dyDescent="0.2">
      <c r="A54">
        <v>20042</v>
      </c>
      <c r="B54" s="2" t="str">
        <f>IF(INDEX(IDX_REF!$A:$A,ROW(IDX_REF!B54))=0,"",INDEX(IDX_REF!$A:$A,ROW(IDX_REF!B54)))</f>
        <v>VNXINPRVND</v>
      </c>
      <c r="C54" t="str">
        <f>IF(B54&lt;&gt;"",VLOOKUP($B54,IDX_REF!$A$2:$I$900,3,0),"")</f>
        <v xml:space="preserve">VNX INDUSTRIALS </v>
      </c>
      <c r="D54" t="str">
        <f>IF(C54&lt;&gt;"",VLOOKUP($B54,IDX_REF!$A$2:$I$900,4,0),"")</f>
        <v>VND</v>
      </c>
      <c r="E54">
        <f>IF(D54&lt;&gt;"",VLOOKUP($B54,IDX_REF!$A$2:$I$900,5,0),"")</f>
        <v>1000</v>
      </c>
      <c r="F54" t="str">
        <f>IF(E54&lt;&gt;"",VLOOKUP($B54,IDX_REF!$A$2:$I$900,7,0),"")</f>
        <v>P</v>
      </c>
      <c r="G54" t="str">
        <f>IF(F54&lt;&gt;"",VLOOKUP($B54,IDX_REF!$A$2:$I$900,8,0),"")</f>
        <v>VNXINPRVND</v>
      </c>
      <c r="H54" s="12">
        <v>10000000000000</v>
      </c>
      <c r="I54" s="12">
        <f>IF(B54&lt;&gt;"",SUMIF(IDX_COMPOSITION!$R$2:$R$123,IDX_SPECS!$G54,IDX_COMPOSITION!$K$2:$K$123)/V54,"")</f>
        <v>12555633734400</v>
      </c>
      <c r="J54" s="12">
        <f t="shared" si="3"/>
        <v>1255.5633734400001</v>
      </c>
      <c r="K54" s="75">
        <v>41165</v>
      </c>
      <c r="L54" s="1">
        <v>0</v>
      </c>
      <c r="M54">
        <f>IF(B54&lt;&gt;"",COUNTIF(IDX_COMPOSITION!$R$2:$R$123,IDX_SPECS!G54),"")</f>
        <v>15</v>
      </c>
      <c r="N54">
        <f>IF(B54&lt;&gt;"",VLOOKUP($B54,IDX_REF!$A$2:$K$580,10,0),"")</f>
        <v>1</v>
      </c>
      <c r="O54">
        <f>IF(C54&lt;&gt;"",VLOOKUP($B54,IDX_REF!$A$2:$K$580,11,0),"")</f>
        <v>0</v>
      </c>
      <c r="Q54" s="12">
        <f>IF(B54&lt;&gt;"",SUMIF(IDX_COMPOSITION!$R$2:$R$123,IDX_SPECS!$G54,IDX_COMPOSITION!$N$2:$N$123)/V54,"")</f>
        <v>461428473000</v>
      </c>
      <c r="R54">
        <v>0</v>
      </c>
      <c r="S54" s="25" t="str">
        <f>IF(R54=1,SUMIF(IDX_COMPOSITION!$R$2:$R$123,IDX_SPECS!$G54,IDX_COMPOSITION!#REF!)/IF(ISNA(VLOOKUP(D54&amp;INDEX($D$2:$D$1048576,MATCH(G54,$B$2:$B$1048576,0)),CUR_RATES!$A$2:$F$1048576,4,0)),1,VLOOKUP(D54&amp;INDEX($D$2:$D$1048576,MATCH(G54,$B$2:$B$1048576,0)),CUR_RATES!$A$2:$F$1048576,4,0)),"")</f>
        <v/>
      </c>
      <c r="T54" s="29" t="str">
        <f t="shared" si="4"/>
        <v/>
      </c>
      <c r="U54" t="str">
        <f>IF(B54&lt;&gt;"",VLOOKUP($B54,IDX_REF!$A$2:$K$580,9,0),"")</f>
        <v>Sectors</v>
      </c>
      <c r="V54" s="12">
        <f>IF(B54&lt;&gt;"",IF(D54=INDEX($D$2:$D$1048576,MATCH(G54,$B$2:$B$1048576,0)),1,IF(SUMPRODUCT(--(K54=CUR_RATES!$E$1:$E$97),--(D54&amp;INDEX($D$2:$D$1048576,MATCH(G54,$B$2:$B$1048576,0))=CUR_RATES!$A$1:$A$97),ROW(CUR_RATES!$E$1:$E$97))=0,INDEX(CUR_RATES!$D:$D,SUMPRODUCT(--((K54-1)=CUR_RATES!$E$1:$E$97),--(D54&amp;INDEX($D$2:$D$1048576,MATCH(G54,$B$2:$B$1048576,0))=CUR_RATES!$A$1:$A$97),ROW(CUR_RATES!$E$1:$E$97))),INDEX(CUR_RATES!$D:$D,SUMPRODUCT(--(K54=CUR_RATES!$E$1:$E$97),--(D54&amp;INDEX($D$2:$D$1048576,MATCH(G54,$B$2:$B$1048576,0))=CUR_RATES!$A$1:$A$97),ROW(CUR_RATES!$E$1:$E$97))))),"")</f>
        <v>1</v>
      </c>
      <c r="W54">
        <v>1216.4469999999999</v>
      </c>
      <c r="Y54" s="12">
        <f t="shared" si="2"/>
        <v>3.2156249668090919</v>
      </c>
    </row>
    <row r="55" spans="1:25" x14ac:dyDescent="0.2">
      <c r="A55">
        <v>20043</v>
      </c>
      <c r="B55" s="2" t="str">
        <f>IF(INDEX(IDX_REF!$A:$A,ROW(IDX_REF!B55))=0,"",INDEX(IDX_REF!$A:$A,ROW(IDX_REF!B55)))</f>
        <v>VNXINPRUSD</v>
      </c>
      <c r="C55" t="str">
        <f>IF(B55&lt;&gt;"",VLOOKUP($B55,IDX_REF!$A$2:$I$900,3,0),"")</f>
        <v>VNX INDUSTRIALS (USD)</v>
      </c>
      <c r="D55" t="str">
        <f>IF(C55&lt;&gt;"",VLOOKUP($B55,IDX_REF!$A$2:$I$900,4,0),"")</f>
        <v>USD</v>
      </c>
      <c r="E55">
        <f>IF(D55&lt;&gt;"",VLOOKUP($B55,IDX_REF!$A$2:$I$900,5,0),"")</f>
        <v>1000</v>
      </c>
      <c r="F55" t="str">
        <f>IF(E55&lt;&gt;"",VLOOKUP($B55,IDX_REF!$A$2:$I$900,7,0),"")</f>
        <v>P</v>
      </c>
      <c r="G55" t="str">
        <f>IF(F55&lt;&gt;"",VLOOKUP($B55,IDX_REF!$A$2:$I$900,8,0),"")</f>
        <v>VNXINPRVND</v>
      </c>
      <c r="H55" s="12">
        <v>476190476.19047618</v>
      </c>
      <c r="I55" s="12">
        <f>IF(B55&lt;&gt;"",SUMIF(IDX_COMPOSITION!$R$2:$R$123,IDX_SPECS!$G55,IDX_COMPOSITION!$K$2:$K$123)/V55,"")</f>
        <v>573578516.87528551</v>
      </c>
      <c r="J55" s="12">
        <f t="shared" si="3"/>
        <v>1204.5148854380996</v>
      </c>
      <c r="K55" s="75">
        <v>41165</v>
      </c>
      <c r="L55" s="1">
        <v>0</v>
      </c>
      <c r="M55">
        <f>IF(B55&lt;&gt;"",COUNTIF(IDX_COMPOSITION!$R$2:$R$123,IDX_SPECS!G55),"")</f>
        <v>15</v>
      </c>
      <c r="N55">
        <f>IF(B55&lt;&gt;"",VLOOKUP($B55,IDX_REF!$A$2:$K$580,10,0),"")</f>
        <v>1</v>
      </c>
      <c r="O55">
        <f>IF(C55&lt;&gt;"",VLOOKUP($B55,IDX_REF!$A$2:$K$580,11,0),"")</f>
        <v>0</v>
      </c>
      <c r="Q55" s="12">
        <f>IF(B55&lt;&gt;"",SUMIF(IDX_COMPOSITION!$R$2:$R$123,IDX_SPECS!$G55,IDX_COMPOSITION!$N$2:$N$123)/V55,"")</f>
        <v>21079418.592964824</v>
      </c>
      <c r="R55">
        <v>0</v>
      </c>
      <c r="S55" s="25" t="str">
        <f>IF(R55=1,SUMIF(IDX_COMPOSITION!$R$2:$R$123,IDX_SPECS!$G55,IDX_COMPOSITION!#REF!)/IF(ISNA(VLOOKUP(D55&amp;INDEX($D$2:$D$1048576,MATCH(G55,$B$2:$B$1048576,0)),CUR_RATES!$A$2:$F$1048576,4,0)),1,VLOOKUP(D55&amp;INDEX($D$2:$D$1048576,MATCH(G55,$B$2:$B$1048576,0)),CUR_RATES!$A$2:$F$1048576,4,0)),"")</f>
        <v/>
      </c>
      <c r="T55" s="29" t="str">
        <f t="shared" si="4"/>
        <v/>
      </c>
      <c r="U55" t="str">
        <f>IF(B55&lt;&gt;"",VLOOKUP($B55,IDX_REF!$A$2:$K$580,9,0),"")</f>
        <v>Sectors</v>
      </c>
      <c r="V55" s="12">
        <f>IF(B55&lt;&gt;"",IF(D55=INDEX($D$2:$D$1048576,MATCH(G55,$B$2:$B$1048576,0)),1,IF(SUMPRODUCT(--(K55=CUR_RATES!$E$1:$E$97),--(D55&amp;INDEX($D$2:$D$1048576,MATCH(G55,$B$2:$B$1048576,0))=CUR_RATES!$A$1:$A$97),ROW(CUR_RATES!$E$1:$E$97))=0,INDEX(CUR_RATES!$D:$D,SUMPRODUCT(--((K55-1)=CUR_RATES!$E$1:$E$97),--(D55&amp;INDEX($D$2:$D$1048576,MATCH(G55,$B$2:$B$1048576,0))=CUR_RATES!$A$1:$A$97),ROW(CUR_RATES!$E$1:$E$97))),INDEX(CUR_RATES!$D:$D,SUMPRODUCT(--(K55=CUR_RATES!$E$1:$E$97),--(D55&amp;INDEX($D$2:$D$1048576,MATCH(G55,$B$2:$B$1048576,0))=CUR_RATES!$A$1:$A$97),ROW(CUR_RATES!$E$1:$E$97))))),"")</f>
        <v>21890</v>
      </c>
      <c r="W55">
        <v>1204.5150000000001</v>
      </c>
      <c r="Y55" s="12">
        <f t="shared" si="2"/>
        <v>-9.5110397583754089E-6</v>
      </c>
    </row>
    <row r="56" spans="1:25" x14ac:dyDescent="0.2">
      <c r="A56">
        <v>20044</v>
      </c>
      <c r="B56" s="2" t="str">
        <f>IF(INDEX(IDX_REF!$A:$A,ROW(IDX_REF!B56))=0,"",INDEX(IDX_REF!$A:$A,ROW(IDX_REF!B56)))</f>
        <v>VNXINPRJPY</v>
      </c>
      <c r="C56" t="str">
        <f>IF(B56&lt;&gt;"",VLOOKUP($B56,IDX_REF!$A$2:$I$900,3,0),"")</f>
        <v>VNX INDUSTRIALS (JPY)</v>
      </c>
      <c r="D56" t="str">
        <f>IF(C56&lt;&gt;"",VLOOKUP($B56,IDX_REF!$A$2:$I$900,4,0),"")</f>
        <v>JPY</v>
      </c>
      <c r="E56">
        <f>IF(D56&lt;&gt;"",VLOOKUP($B56,IDX_REF!$A$2:$I$900,5,0),"")</f>
        <v>1000</v>
      </c>
      <c r="F56" t="str">
        <f>IF(E56&lt;&gt;"",VLOOKUP($B56,IDX_REF!$A$2:$I$900,7,0),"")</f>
        <v>P</v>
      </c>
      <c r="G56" t="str">
        <f>IF(F56&lt;&gt;"",VLOOKUP($B56,IDX_REF!$A$2:$I$900,8,0),"")</f>
        <v>VNXINPRVND</v>
      </c>
      <c r="H56" s="12">
        <v>37735849056.603775</v>
      </c>
      <c r="I56" s="12">
        <f>IF(B56&lt;&gt;"",SUMIF(IDX_COMPOSITION!$R$2:$R$123,IDX_SPECS!$G56,IDX_COMPOSITION!$K$2:$K$123)/V56,"")</f>
        <v>44523523880.851067</v>
      </c>
      <c r="J56" s="12">
        <f t="shared" si="3"/>
        <v>1179.8733828425534</v>
      </c>
      <c r="K56" s="75">
        <v>41165</v>
      </c>
      <c r="L56" s="1">
        <v>0</v>
      </c>
      <c r="M56">
        <f>IF(B56&lt;&gt;"",COUNTIF(IDX_COMPOSITION!$R$2:$R$123,IDX_SPECS!G56),"")</f>
        <v>15</v>
      </c>
      <c r="N56">
        <f>IF(B56&lt;&gt;"",VLOOKUP($B56,IDX_REF!$A$2:$K$580,10,0),"")</f>
        <v>1</v>
      </c>
      <c r="O56">
        <f>IF(C56&lt;&gt;"",VLOOKUP($B56,IDX_REF!$A$2:$K$580,11,0),"")</f>
        <v>0</v>
      </c>
      <c r="Q56" s="12">
        <f>IF(B56&lt;&gt;"",SUMIF(IDX_COMPOSITION!$R$2:$R$123,IDX_SPECS!$G56,IDX_COMPOSITION!$N$2:$N$123)/V56,"")</f>
        <v>1636271180.8510637</v>
      </c>
      <c r="R56">
        <v>0</v>
      </c>
      <c r="S56" s="25" t="str">
        <f>IF(R56=1,SUMIF(IDX_COMPOSITION!$R$2:$R$123,IDX_SPECS!$G56,IDX_COMPOSITION!#REF!)/IF(ISNA(VLOOKUP(D56&amp;INDEX($D$2:$D$1048576,MATCH(G56,$B$2:$B$1048576,0)),CUR_RATES!$A$2:$F$1048576,4,0)),1,VLOOKUP(D56&amp;INDEX($D$2:$D$1048576,MATCH(G56,$B$2:$B$1048576,0)),CUR_RATES!$A$2:$F$1048576,4,0)),"")</f>
        <v/>
      </c>
      <c r="T56" s="29" t="str">
        <f t="shared" si="4"/>
        <v/>
      </c>
      <c r="U56" t="str">
        <f>IF(B56&lt;&gt;"",VLOOKUP($B56,IDX_REF!$A$2:$K$580,9,0),"")</f>
        <v>Sectors</v>
      </c>
      <c r="V56" s="12">
        <f>IF(B56&lt;&gt;"",IF(D56=INDEX($D$2:$D$1048576,MATCH(G56,$B$2:$B$1048576,0)),1,IF(SUMPRODUCT(--(K56=CUR_RATES!$E$1:$E$97),--(D56&amp;INDEX($D$2:$D$1048576,MATCH(G56,$B$2:$B$1048576,0))=CUR_RATES!$A$1:$A$97),ROW(CUR_RATES!$E$1:$E$97))=0,INDEX(CUR_RATES!$D:$D,SUMPRODUCT(--((K56-1)=CUR_RATES!$E$1:$E$97),--(D56&amp;INDEX($D$2:$D$1048576,MATCH(G56,$B$2:$B$1048576,0))=CUR_RATES!$A$1:$A$97),ROW(CUR_RATES!$E$1:$E$97))),INDEX(CUR_RATES!$D:$D,SUMPRODUCT(--(K56=CUR_RATES!$E$1:$E$97),--(D56&amp;INDEX($D$2:$D$1048576,MATCH(G56,$B$2:$B$1048576,0))=CUR_RATES!$A$1:$A$97),ROW(CUR_RATES!$E$1:$E$97))))),"")</f>
        <v>282</v>
      </c>
      <c r="W56">
        <v>1143.17</v>
      </c>
      <c r="Y56" s="12">
        <f t="shared" si="2"/>
        <v>3.2106670786106446</v>
      </c>
    </row>
    <row r="57" spans="1:25" x14ac:dyDescent="0.2">
      <c r="A57">
        <v>20045</v>
      </c>
      <c r="B57" s="2" t="str">
        <f>IF(INDEX(IDX_REF!$A:$A,ROW(IDX_REF!B57))=0,"",INDEX(IDX_REF!$A:$A,ROW(IDX_REF!B57)))</f>
        <v>VNXINPREUR</v>
      </c>
      <c r="C57" t="str">
        <f>IF(B57&lt;&gt;"",VLOOKUP($B57,IDX_REF!$A$2:$I$900,3,0),"")</f>
        <v>VNX INDUSTRIALS (EUR)</v>
      </c>
      <c r="D57" t="str">
        <f>IF(C57&lt;&gt;"",VLOOKUP($B57,IDX_REF!$A$2:$I$900,4,0),"")</f>
        <v>EUR</v>
      </c>
      <c r="E57">
        <f>IF(D57&lt;&gt;"",VLOOKUP($B57,IDX_REF!$A$2:$I$900,5,0),"")</f>
        <v>1000</v>
      </c>
      <c r="F57" t="str">
        <f>IF(E57&lt;&gt;"",VLOOKUP($B57,IDX_REF!$A$2:$I$900,7,0),"")</f>
        <v>P</v>
      </c>
      <c r="G57" t="str">
        <f>IF(F57&lt;&gt;"",VLOOKUP($B57,IDX_REF!$A$2:$I$900,8,0),"")</f>
        <v>VNXINPRVND</v>
      </c>
      <c r="H57" s="12">
        <v>344827586.20689654</v>
      </c>
      <c r="I57" s="12">
        <f>IF(B57&lt;&gt;"",SUMIF(IDX_COMPOSITION!$R$2:$R$123,IDX_SPECS!$G57,IDX_COMPOSITION!$K$2:$K$123)/V57,"")</f>
        <v>421179045.04023391</v>
      </c>
      <c r="J57" s="12">
        <f t="shared" si="3"/>
        <v>1221.4192306166783</v>
      </c>
      <c r="K57" s="75">
        <v>41165</v>
      </c>
      <c r="L57" s="1">
        <v>0</v>
      </c>
      <c r="M57">
        <f>IF(B57&lt;&gt;"",COUNTIF(IDX_COMPOSITION!$R$2:$R$123,IDX_SPECS!G57),"")</f>
        <v>15</v>
      </c>
      <c r="N57">
        <f>IF(B57&lt;&gt;"",VLOOKUP($B57,IDX_REF!$A$2:$K$580,10,0),"")</f>
        <v>1</v>
      </c>
      <c r="O57">
        <f>IF(C57&lt;&gt;"",VLOOKUP($B57,IDX_REF!$A$2:$K$580,11,0),"")</f>
        <v>0</v>
      </c>
      <c r="Q57" s="12">
        <f>IF(B57&lt;&gt;"",SUMIF(IDX_COMPOSITION!$R$2:$R$123,IDX_SPECS!$G57,IDX_COMPOSITION!$N$2:$N$123)/V57,"")</f>
        <v>15478629.571683705</v>
      </c>
      <c r="R57">
        <v>0</v>
      </c>
      <c r="S57" s="25" t="str">
        <f>IF(R57=1,SUMIF(IDX_COMPOSITION!$R$2:$R$123,IDX_SPECS!$G57,IDX_COMPOSITION!#REF!)/IF(ISNA(VLOOKUP(D57&amp;INDEX($D$2:$D$1048576,MATCH(G57,$B$2:$B$1048576,0)),CUR_RATES!$A$2:$F$1048576,4,0)),1,VLOOKUP(D57&amp;INDEX($D$2:$D$1048576,MATCH(G57,$B$2:$B$1048576,0)),CUR_RATES!$A$2:$F$1048576,4,0)),"")</f>
        <v/>
      </c>
      <c r="T57" s="29" t="str">
        <f t="shared" si="4"/>
        <v/>
      </c>
      <c r="U57" t="str">
        <f>IF(B57&lt;&gt;"",VLOOKUP($B57,IDX_REF!$A$2:$K$580,9,0),"")</f>
        <v>Sectors</v>
      </c>
      <c r="V57" s="12">
        <f>IF(B57&lt;&gt;"",IF(D57=INDEX($D$2:$D$1048576,MATCH(G57,$B$2:$B$1048576,0)),1,IF(SUMPRODUCT(--(K57=CUR_RATES!$E$1:$E$97),--(D57&amp;INDEX($D$2:$D$1048576,MATCH(G57,$B$2:$B$1048576,0))=CUR_RATES!$A$1:$A$97),ROW(CUR_RATES!$E$1:$E$97))=0,INDEX(CUR_RATES!$D:$D,SUMPRODUCT(--((K57-1)=CUR_RATES!$E$1:$E$97),--(D57&amp;INDEX($D$2:$D$1048576,MATCH(G57,$B$2:$B$1048576,0))=CUR_RATES!$A$1:$A$97),ROW(CUR_RATES!$E$1:$E$97))),INDEX(CUR_RATES!$D:$D,SUMPRODUCT(--(K57=CUR_RATES!$E$1:$E$97),--(D57&amp;INDEX($D$2:$D$1048576,MATCH(G57,$B$2:$B$1048576,0))=CUR_RATES!$A$1:$A$97),ROW(CUR_RATES!$E$1:$E$97))))),"")</f>
        <v>29810.68</v>
      </c>
      <c r="W57">
        <v>1221.4190000000001</v>
      </c>
      <c r="Y57" s="12">
        <f t="shared" si="2"/>
        <v>1.8881045587887267E-5</v>
      </c>
    </row>
    <row r="58" spans="1:25" x14ac:dyDescent="0.2">
      <c r="A58">
        <v>20046</v>
      </c>
      <c r="B58" s="2" t="str">
        <f>IF(INDEX(IDX_REF!$A:$A,ROW(IDX_REF!B58))=0,"",INDEX(IDX_REF!$A:$A,ROW(IDX_REF!B58)))</f>
        <v>VNXOGPRVND</v>
      </c>
      <c r="C58" t="str">
        <f>IF(B58&lt;&gt;"",VLOOKUP($B58,IDX_REF!$A$2:$I$900,3,0),"")</f>
        <v xml:space="preserve">VNX OIL &amp; GAS </v>
      </c>
      <c r="D58" t="str">
        <f>IF(C58&lt;&gt;"",VLOOKUP($B58,IDX_REF!$A$2:$I$900,4,0),"")</f>
        <v>VND</v>
      </c>
      <c r="E58">
        <f>IF(D58&lt;&gt;"",VLOOKUP($B58,IDX_REF!$A$2:$I$900,5,0),"")</f>
        <v>1000</v>
      </c>
      <c r="F58" t="str">
        <f>IF(E58&lt;&gt;"",VLOOKUP($B58,IDX_REF!$A$2:$I$900,7,0),"")</f>
        <v>P</v>
      </c>
      <c r="G58" t="str">
        <f>IF(F58&lt;&gt;"",VLOOKUP($B58,IDX_REF!$A$2:$I$900,8,0),"")</f>
        <v>VNXOGPRVND</v>
      </c>
      <c r="H58" s="12">
        <v>10000000000000</v>
      </c>
      <c r="I58" s="12">
        <f>IF(B58&lt;&gt;"",SUMIF(IDX_COMPOSITION!$R$2:$R$123,IDX_SPECS!$G58,IDX_COMPOSITION!$K$2:$K$123)/V58,"")</f>
        <v>13957715385000</v>
      </c>
      <c r="J58" s="12">
        <f t="shared" si="3"/>
        <v>1395.7715384999999</v>
      </c>
      <c r="K58" s="75">
        <v>41165</v>
      </c>
      <c r="L58" s="1">
        <v>0</v>
      </c>
      <c r="M58">
        <f>IF(B58&lt;&gt;"",COUNTIF(IDX_COMPOSITION!$R$2:$R$123,IDX_SPECS!G58),"")</f>
        <v>5</v>
      </c>
      <c r="N58">
        <f>IF(B58&lt;&gt;"",VLOOKUP($B58,IDX_REF!$A$2:$K$580,10,0),"")</f>
        <v>1</v>
      </c>
      <c r="O58">
        <f>IF(C58&lt;&gt;"",VLOOKUP($B58,IDX_REF!$A$2:$K$580,11,0),"")</f>
        <v>0</v>
      </c>
      <c r="Q58" s="12">
        <f>IF(B58&lt;&gt;"",SUMIF(IDX_COMPOSITION!$R$2:$R$123,IDX_SPECS!$G58,IDX_COMPOSITION!$N$2:$N$123)/V58,"")</f>
        <v>700764606800</v>
      </c>
      <c r="R58">
        <v>0</v>
      </c>
      <c r="S58" s="25" t="str">
        <f>IF(R58=1,SUMIF(IDX_COMPOSITION!$R$2:$R$123,IDX_SPECS!$G58,IDX_COMPOSITION!#REF!)/IF(ISNA(VLOOKUP(D58&amp;INDEX($D$2:$D$1048576,MATCH(G58,$B$2:$B$1048576,0)),CUR_RATES!$A$2:$F$1048576,4,0)),1,VLOOKUP(D58&amp;INDEX($D$2:$D$1048576,MATCH(G58,$B$2:$B$1048576,0)),CUR_RATES!$A$2:$F$1048576,4,0)),"")</f>
        <v/>
      </c>
      <c r="T58" s="29" t="str">
        <f t="shared" si="4"/>
        <v/>
      </c>
      <c r="U58" t="str">
        <f>IF(B58&lt;&gt;"",VLOOKUP($B58,IDX_REF!$A$2:$K$580,9,0),"")</f>
        <v>Sectors</v>
      </c>
      <c r="V58" s="12">
        <f>IF(B58&lt;&gt;"",IF(D58=INDEX($D$2:$D$1048576,MATCH(G58,$B$2:$B$1048576,0)),1,IF(SUMPRODUCT(--(K58=CUR_RATES!$E$1:$E$97),--(D58&amp;INDEX($D$2:$D$1048576,MATCH(G58,$B$2:$B$1048576,0))=CUR_RATES!$A$1:$A$97),ROW(CUR_RATES!$E$1:$E$97))=0,INDEX(CUR_RATES!$D:$D,SUMPRODUCT(--((K58-1)=CUR_RATES!$E$1:$E$97),--(D58&amp;INDEX($D$2:$D$1048576,MATCH(G58,$B$2:$B$1048576,0))=CUR_RATES!$A$1:$A$97),ROW(CUR_RATES!$E$1:$E$97))),INDEX(CUR_RATES!$D:$D,SUMPRODUCT(--(K58=CUR_RATES!$E$1:$E$97),--(D58&amp;INDEX($D$2:$D$1048576,MATCH(G58,$B$2:$B$1048576,0))=CUR_RATES!$A$1:$A$97),ROW(CUR_RATES!$E$1:$E$97))))),"")</f>
        <v>1</v>
      </c>
      <c r="W58">
        <v>1469.9690000000001</v>
      </c>
      <c r="Y58" s="12">
        <f t="shared" si="2"/>
        <v>-5.0475528055353642</v>
      </c>
    </row>
    <row r="59" spans="1:25" x14ac:dyDescent="0.2">
      <c r="A59">
        <v>20047</v>
      </c>
      <c r="B59" s="2" t="str">
        <f>IF(INDEX(IDX_REF!$A:$A,ROW(IDX_REF!B59))=0,"",INDEX(IDX_REF!$A:$A,ROW(IDX_REF!B59)))</f>
        <v>VNXOGPRUSD</v>
      </c>
      <c r="C59" t="str">
        <f>IF(B59&lt;&gt;"",VLOOKUP($B59,IDX_REF!$A$2:$I$900,3,0),"")</f>
        <v>VNX OIL &amp; GAS (USD)</v>
      </c>
      <c r="D59" t="str">
        <f>IF(C59&lt;&gt;"",VLOOKUP($B59,IDX_REF!$A$2:$I$900,4,0),"")</f>
        <v>USD</v>
      </c>
      <c r="E59">
        <f>IF(D59&lt;&gt;"",VLOOKUP($B59,IDX_REF!$A$2:$I$900,5,0),"")</f>
        <v>1000</v>
      </c>
      <c r="F59" t="str">
        <f>IF(E59&lt;&gt;"",VLOOKUP($B59,IDX_REF!$A$2:$I$900,7,0),"")</f>
        <v>P</v>
      </c>
      <c r="G59" t="str">
        <f>IF(F59&lt;&gt;"",VLOOKUP($B59,IDX_REF!$A$2:$I$900,8,0),"")</f>
        <v>VNXOGPRVND</v>
      </c>
      <c r="H59" s="12">
        <v>476190476.19047618</v>
      </c>
      <c r="I59" s="12">
        <f>IF(B59&lt;&gt;"",SUMIF(IDX_COMPOSITION!$R$2:$R$123,IDX_SPECS!$G59,IDX_COMPOSITION!$K$2:$K$123)/V59,"")</f>
        <v>637629757.19506621</v>
      </c>
      <c r="J59" s="12">
        <f t="shared" si="3"/>
        <v>1339.022490109639</v>
      </c>
      <c r="K59" s="75">
        <v>41165</v>
      </c>
      <c r="L59" s="1">
        <v>0</v>
      </c>
      <c r="M59">
        <f>IF(B59&lt;&gt;"",COUNTIF(IDX_COMPOSITION!$R$2:$R$123,IDX_SPECS!G59),"")</f>
        <v>5</v>
      </c>
      <c r="N59">
        <f>IF(B59&lt;&gt;"",VLOOKUP($B59,IDX_REF!$A$2:$K$580,10,0),"")</f>
        <v>1</v>
      </c>
      <c r="O59">
        <f>IF(C59&lt;&gt;"",VLOOKUP($B59,IDX_REF!$A$2:$K$580,11,0),"")</f>
        <v>0</v>
      </c>
      <c r="Q59" s="12">
        <f>IF(B59&lt;&gt;"",SUMIF(IDX_COMPOSITION!$R$2:$R$123,IDX_SPECS!$G59,IDX_COMPOSITION!$N$2:$N$123)/V59,"")</f>
        <v>32013001.681132939</v>
      </c>
      <c r="R59">
        <v>0</v>
      </c>
      <c r="S59" s="25" t="str">
        <f>IF(R59=1,SUMIF(IDX_COMPOSITION!$R$2:$R$123,IDX_SPECS!$G59,IDX_COMPOSITION!#REF!)/IF(ISNA(VLOOKUP(D59&amp;INDEX($D$2:$D$1048576,MATCH(G59,$B$2:$B$1048576,0)),CUR_RATES!$A$2:$F$1048576,4,0)),1,VLOOKUP(D59&amp;INDEX($D$2:$D$1048576,MATCH(G59,$B$2:$B$1048576,0)),CUR_RATES!$A$2:$F$1048576,4,0)),"")</f>
        <v/>
      </c>
      <c r="T59" s="29" t="str">
        <f t="shared" si="4"/>
        <v/>
      </c>
      <c r="U59" t="str">
        <f>IF(B59&lt;&gt;"",VLOOKUP($B59,IDX_REF!$A$2:$K$580,9,0),"")</f>
        <v>Sectors</v>
      </c>
      <c r="V59" s="12">
        <f>IF(B59&lt;&gt;"",IF(D59=INDEX($D$2:$D$1048576,MATCH(G59,$B$2:$B$1048576,0)),1,IF(SUMPRODUCT(--(K59=CUR_RATES!$E$1:$E$97),--(D59&amp;INDEX($D$2:$D$1048576,MATCH(G59,$B$2:$B$1048576,0))=CUR_RATES!$A$1:$A$97),ROW(CUR_RATES!$E$1:$E$97))=0,INDEX(CUR_RATES!$D:$D,SUMPRODUCT(--((K59-1)=CUR_RATES!$E$1:$E$97),--(D59&amp;INDEX($D$2:$D$1048576,MATCH(G59,$B$2:$B$1048576,0))=CUR_RATES!$A$1:$A$97),ROW(CUR_RATES!$E$1:$E$97))),INDEX(CUR_RATES!$D:$D,SUMPRODUCT(--(K59=CUR_RATES!$E$1:$E$97),--(D59&amp;INDEX($D$2:$D$1048576,MATCH(G59,$B$2:$B$1048576,0))=CUR_RATES!$A$1:$A$97),ROW(CUR_RATES!$E$1:$E$97))))),"")</f>
        <v>21890</v>
      </c>
      <c r="W59">
        <v>1368.028</v>
      </c>
      <c r="Y59" s="12">
        <f t="shared" si="2"/>
        <v>-2.1202424139243536</v>
      </c>
    </row>
    <row r="60" spans="1:25" x14ac:dyDescent="0.2">
      <c r="A60">
        <v>20048</v>
      </c>
      <c r="B60" s="2" t="str">
        <f>IF(INDEX(IDX_REF!$A:$A,ROW(IDX_REF!B60))=0,"",INDEX(IDX_REF!$A:$A,ROW(IDX_REF!B60)))</f>
        <v>VNXOGPRJPY</v>
      </c>
      <c r="C60" t="str">
        <f>IF(B60&lt;&gt;"",VLOOKUP($B60,IDX_REF!$A$2:$I$900,3,0),"")</f>
        <v>VNX OIL &amp; GAS (JPY)</v>
      </c>
      <c r="D60" t="str">
        <f>IF(C60&lt;&gt;"",VLOOKUP($B60,IDX_REF!$A$2:$I$900,4,0),"")</f>
        <v>JPY</v>
      </c>
      <c r="E60">
        <f>IF(D60&lt;&gt;"",VLOOKUP($B60,IDX_REF!$A$2:$I$900,5,0),"")</f>
        <v>1000</v>
      </c>
      <c r="F60" t="str">
        <f>IF(E60&lt;&gt;"",VLOOKUP($B60,IDX_REF!$A$2:$I$900,7,0),"")</f>
        <v>P</v>
      </c>
      <c r="G60" t="str">
        <f>IF(F60&lt;&gt;"",VLOOKUP($B60,IDX_REF!$A$2:$I$900,8,0),"")</f>
        <v>VNXOGPRVND</v>
      </c>
      <c r="H60" s="12">
        <v>37735849056.603775</v>
      </c>
      <c r="I60" s="12">
        <f>IF(B60&lt;&gt;"",SUMIF(IDX_COMPOSITION!$R$2:$R$123,IDX_SPECS!$G60,IDX_COMPOSITION!$K$2:$K$123)/V60,"")</f>
        <v>49495444627.659576</v>
      </c>
      <c r="J60" s="12">
        <f t="shared" si="3"/>
        <v>1311.6292826329789</v>
      </c>
      <c r="K60" s="75">
        <v>41165</v>
      </c>
      <c r="L60" s="1">
        <v>0</v>
      </c>
      <c r="M60">
        <f>IF(B60&lt;&gt;"",COUNTIF(IDX_COMPOSITION!$R$2:$R$123,IDX_SPECS!G60),"")</f>
        <v>5</v>
      </c>
      <c r="N60">
        <f>IF(B60&lt;&gt;"",VLOOKUP($B60,IDX_REF!$A$2:$K$580,10,0),"")</f>
        <v>1</v>
      </c>
      <c r="O60">
        <f>IF(C60&lt;&gt;"",VLOOKUP($B60,IDX_REF!$A$2:$K$580,11,0),"")</f>
        <v>0</v>
      </c>
      <c r="Q60" s="12">
        <f>IF(B60&lt;&gt;"",SUMIF(IDX_COMPOSITION!$R$2:$R$123,IDX_SPECS!$G60,IDX_COMPOSITION!$N$2:$N$123)/V60,"")</f>
        <v>2484980875.1773047</v>
      </c>
      <c r="R60">
        <v>0</v>
      </c>
      <c r="S60" s="25" t="str">
        <f>IF(R60=1,SUMIF(IDX_COMPOSITION!$R$2:$R$123,IDX_SPECS!$G60,IDX_COMPOSITION!#REF!)/IF(ISNA(VLOOKUP(D60&amp;INDEX($D$2:$D$1048576,MATCH(G60,$B$2:$B$1048576,0)),CUR_RATES!$A$2:$F$1048576,4,0)),1,VLOOKUP(D60&amp;INDEX($D$2:$D$1048576,MATCH(G60,$B$2:$B$1048576,0)),CUR_RATES!$A$2:$F$1048576,4,0)),"")</f>
        <v/>
      </c>
      <c r="T60" s="29" t="str">
        <f t="shared" si="4"/>
        <v/>
      </c>
      <c r="U60" t="str">
        <f>IF(B60&lt;&gt;"",VLOOKUP($B60,IDX_REF!$A$2:$K$580,9,0),"")</f>
        <v>Sectors</v>
      </c>
      <c r="V60" s="12">
        <f>IF(B60&lt;&gt;"",IF(D60=INDEX($D$2:$D$1048576,MATCH(G60,$B$2:$B$1048576,0)),1,IF(SUMPRODUCT(--(K60=CUR_RATES!$E$1:$E$97),--(D60&amp;INDEX($D$2:$D$1048576,MATCH(G60,$B$2:$B$1048576,0))=CUR_RATES!$A$1:$A$97),ROW(CUR_RATES!$E$1:$E$97))=0,INDEX(CUR_RATES!$D:$D,SUMPRODUCT(--((K60-1)=CUR_RATES!$E$1:$E$97),--(D60&amp;INDEX($D$2:$D$1048576,MATCH(G60,$B$2:$B$1048576,0))=CUR_RATES!$A$1:$A$97),ROW(CUR_RATES!$E$1:$E$97))),INDEX(CUR_RATES!$D:$D,SUMPRODUCT(--(K60=CUR_RATES!$E$1:$E$97),--(D60&amp;INDEX($D$2:$D$1048576,MATCH(G60,$B$2:$B$1048576,0))=CUR_RATES!$A$1:$A$97),ROW(CUR_RATES!$E$1:$E$97))))),"")</f>
        <v>282</v>
      </c>
      <c r="W60">
        <v>1285.165</v>
      </c>
      <c r="Y60" s="12">
        <f t="shared" si="2"/>
        <v>2.0592128351596015</v>
      </c>
    </row>
    <row r="61" spans="1:25" x14ac:dyDescent="0.2">
      <c r="A61">
        <v>20049</v>
      </c>
      <c r="B61" s="2" t="str">
        <f>IF(INDEX(IDX_REF!$A:$A,ROW(IDX_REF!B61))=0,"",INDEX(IDX_REF!$A:$A,ROW(IDX_REF!B61)))</f>
        <v>VNXOGPREUR</v>
      </c>
      <c r="C61" t="str">
        <f>IF(B61&lt;&gt;"",VLOOKUP($B61,IDX_REF!$A$2:$I$900,3,0),"")</f>
        <v>VNX OIL &amp; GAS (EUR)</v>
      </c>
      <c r="D61" t="str">
        <f>IF(C61&lt;&gt;"",VLOOKUP($B61,IDX_REF!$A$2:$I$900,4,0),"")</f>
        <v>EUR</v>
      </c>
      <c r="E61">
        <f>IF(D61&lt;&gt;"",VLOOKUP($B61,IDX_REF!$A$2:$I$900,5,0),"")</f>
        <v>1000</v>
      </c>
      <c r="F61" t="str">
        <f>IF(E61&lt;&gt;"",VLOOKUP($B61,IDX_REF!$A$2:$I$900,7,0),"")</f>
        <v>P</v>
      </c>
      <c r="G61" t="str">
        <f>IF(F61&lt;&gt;"",VLOOKUP($B61,IDX_REF!$A$2:$I$900,8,0),"")</f>
        <v>VNXOGPRVND</v>
      </c>
      <c r="H61" s="12">
        <v>344827586.20689654</v>
      </c>
      <c r="I61" s="12">
        <f>IF(B61&lt;&gt;"",SUMIF(IDX_COMPOSITION!$R$2:$R$123,IDX_SPECS!$G61,IDX_COMPOSITION!$K$2:$K$123)/V61,"")</f>
        <v>468211908.78571033</v>
      </c>
      <c r="J61" s="12">
        <f t="shared" si="3"/>
        <v>1357.8145354785599</v>
      </c>
      <c r="K61" s="75">
        <v>41165</v>
      </c>
      <c r="L61" s="1">
        <v>0</v>
      </c>
      <c r="M61">
        <f>IF(B61&lt;&gt;"",COUNTIF(IDX_COMPOSITION!$R$2:$R$123,IDX_SPECS!G61),"")</f>
        <v>5</v>
      </c>
      <c r="N61">
        <f>IF(B61&lt;&gt;"",VLOOKUP($B61,IDX_REF!$A$2:$K$580,10,0),"")</f>
        <v>1</v>
      </c>
      <c r="O61">
        <f>IF(C61&lt;&gt;"",VLOOKUP($B61,IDX_REF!$A$2:$K$580,11,0),"")</f>
        <v>0</v>
      </c>
      <c r="Q61" s="12">
        <f>IF(B61&lt;&gt;"",SUMIF(IDX_COMPOSITION!$R$2:$R$123,IDX_SPECS!$G61,IDX_COMPOSITION!$N$2:$N$123)/V61,"")</f>
        <v>23507166.116304625</v>
      </c>
      <c r="R61">
        <v>0</v>
      </c>
      <c r="S61" s="25" t="str">
        <f>IF(R61=1,SUMIF(IDX_COMPOSITION!$R$2:$R$123,IDX_SPECS!$G61,IDX_COMPOSITION!#REF!)/IF(ISNA(VLOOKUP(D61&amp;INDEX($D$2:$D$1048576,MATCH(G61,$B$2:$B$1048576,0)),CUR_RATES!$A$2:$F$1048576,4,0)),1,VLOOKUP(D61&amp;INDEX($D$2:$D$1048576,MATCH(G61,$B$2:$B$1048576,0)),CUR_RATES!$A$2:$F$1048576,4,0)),"")</f>
        <v/>
      </c>
      <c r="T61" s="29" t="str">
        <f t="shared" si="4"/>
        <v/>
      </c>
      <c r="U61" t="str">
        <f>IF(B61&lt;&gt;"",VLOOKUP($B61,IDX_REF!$A$2:$K$580,9,0),"")</f>
        <v>Sectors</v>
      </c>
      <c r="V61" s="12">
        <f>IF(B61&lt;&gt;"",IF(D61=INDEX($D$2:$D$1048576,MATCH(G61,$B$2:$B$1048576,0)),1,IF(SUMPRODUCT(--(K61=CUR_RATES!$E$1:$E$97),--(D61&amp;INDEX($D$2:$D$1048576,MATCH(G61,$B$2:$B$1048576,0))=CUR_RATES!$A$1:$A$97),ROW(CUR_RATES!$E$1:$E$97))=0,INDEX(CUR_RATES!$D:$D,SUMPRODUCT(--((K61-1)=CUR_RATES!$E$1:$E$97),--(D61&amp;INDEX($D$2:$D$1048576,MATCH(G61,$B$2:$B$1048576,0))=CUR_RATES!$A$1:$A$97),ROW(CUR_RATES!$E$1:$E$97))),INDEX(CUR_RATES!$D:$D,SUMPRODUCT(--(K61=CUR_RATES!$E$1:$E$97),--(D61&amp;INDEX($D$2:$D$1048576,MATCH(G61,$B$2:$B$1048576,0))=CUR_RATES!$A$1:$A$97),ROW(CUR_RATES!$E$1:$E$97))))),"")</f>
        <v>29810.68</v>
      </c>
      <c r="W61">
        <v>1420.125</v>
      </c>
      <c r="Y61" s="12">
        <f t="shared" si="2"/>
        <v>-4.3876746428265152</v>
      </c>
    </row>
    <row r="62" spans="1:25" x14ac:dyDescent="0.2">
      <c r="A62">
        <v>20050</v>
      </c>
      <c r="B62" s="2" t="str">
        <f>IF(INDEX(IDX_REF!$A:$A,ROW(IDX_REF!B62))=0,"",INDEX(IDX_REF!$A:$A,ROW(IDX_REF!B62)))</f>
        <v>VNXUTPRVND</v>
      </c>
      <c r="C62" t="str">
        <f>IF(B62&lt;&gt;"",VLOOKUP($B62,IDX_REF!$A$2:$I$900,3,0),"")</f>
        <v xml:space="preserve">VNX UTILITIES </v>
      </c>
      <c r="D62" t="str">
        <f>IF(C62&lt;&gt;"",VLOOKUP($B62,IDX_REF!$A$2:$I$900,4,0),"")</f>
        <v>VND</v>
      </c>
      <c r="E62">
        <f>IF(D62&lt;&gt;"",VLOOKUP($B62,IDX_REF!$A$2:$I$900,5,0),"")</f>
        <v>1000</v>
      </c>
      <c r="F62" t="str">
        <f>IF(E62&lt;&gt;"",VLOOKUP($B62,IDX_REF!$A$2:$I$900,7,0),"")</f>
        <v>P</v>
      </c>
      <c r="G62" t="str">
        <f>IF(F62&lt;&gt;"",VLOOKUP($B62,IDX_REF!$A$2:$I$900,8,0),"")</f>
        <v>VNXUTPRVND</v>
      </c>
      <c r="H62" s="12">
        <v>10000000000000</v>
      </c>
      <c r="I62" s="12">
        <f>IF(B62&lt;&gt;"",SUMIF(IDX_COMPOSITION!$R$2:$R$123,IDX_SPECS!$G62,IDX_COMPOSITION!$K$2:$K$123)/V62,"")</f>
        <v>2957227000000</v>
      </c>
      <c r="J62" s="12">
        <f t="shared" si="3"/>
        <v>295.72269999999997</v>
      </c>
      <c r="K62" s="75">
        <v>41165</v>
      </c>
      <c r="L62" s="1">
        <v>0</v>
      </c>
      <c r="M62">
        <f>IF(B62&lt;&gt;"",COUNTIF(IDX_COMPOSITION!$R$2:$R$123,IDX_SPECS!G62),"")</f>
        <v>3</v>
      </c>
      <c r="N62">
        <f>IF(B62&lt;&gt;"",VLOOKUP($B62,IDX_REF!$A$2:$K$580,10,0),"")</f>
        <v>1</v>
      </c>
      <c r="O62">
        <f>IF(C62&lt;&gt;"",VLOOKUP($B62,IDX_REF!$A$2:$K$580,11,0),"")</f>
        <v>0</v>
      </c>
      <c r="Q62" s="12">
        <f>IF(B62&lt;&gt;"",SUMIF(IDX_COMPOSITION!$R$2:$R$123,IDX_SPECS!$G62,IDX_COMPOSITION!$N$2:$N$123)/V62,"")</f>
        <v>0</v>
      </c>
      <c r="R62">
        <v>0</v>
      </c>
      <c r="S62" s="25" t="str">
        <f>IF(R62=1,SUMIF(IDX_COMPOSITION!$R$2:$R$123,IDX_SPECS!$G62,IDX_COMPOSITION!#REF!)/IF(ISNA(VLOOKUP(D62&amp;INDEX($D$2:$D$1048576,MATCH(G62,$B$2:$B$1048576,0)),CUR_RATES!$A$2:$F$1048576,4,0)),1,VLOOKUP(D62&amp;INDEX($D$2:$D$1048576,MATCH(G62,$B$2:$B$1048576,0)),CUR_RATES!$A$2:$F$1048576,4,0)),"")</f>
        <v/>
      </c>
      <c r="T62" s="29" t="str">
        <f t="shared" si="4"/>
        <v/>
      </c>
      <c r="U62" t="str">
        <f>IF(B62&lt;&gt;"",VLOOKUP($B62,IDX_REF!$A$2:$K$580,9,0),"")</f>
        <v>Sectors</v>
      </c>
      <c r="V62" s="12">
        <f>IF(B62&lt;&gt;"",IF(D62=INDEX($D$2:$D$1048576,MATCH(G62,$B$2:$B$1048576,0)),1,IF(SUMPRODUCT(--(K62=CUR_RATES!$E$1:$E$97),--(D62&amp;INDEX($D$2:$D$1048576,MATCH(G62,$B$2:$B$1048576,0))=CUR_RATES!$A$1:$A$97),ROW(CUR_RATES!$E$1:$E$97))=0,INDEX(CUR_RATES!$D:$D,SUMPRODUCT(--((K62-1)=CUR_RATES!$E$1:$E$97),--(D62&amp;INDEX($D$2:$D$1048576,MATCH(G62,$B$2:$B$1048576,0))=CUR_RATES!$A$1:$A$97),ROW(CUR_RATES!$E$1:$E$97))),INDEX(CUR_RATES!$D:$D,SUMPRODUCT(--(K62=CUR_RATES!$E$1:$E$97),--(D62&amp;INDEX($D$2:$D$1048576,MATCH(G62,$B$2:$B$1048576,0))=CUR_RATES!$A$1:$A$97),ROW(CUR_RATES!$E$1:$E$97))))),"")</f>
        <v>1</v>
      </c>
      <c r="W62">
        <v>295.72269999999997</v>
      </c>
      <c r="Y62" s="12">
        <f t="shared" si="2"/>
        <v>0</v>
      </c>
    </row>
    <row r="63" spans="1:25" x14ac:dyDescent="0.2">
      <c r="A63">
        <v>20051</v>
      </c>
      <c r="B63" s="2" t="str">
        <f>IF(INDEX(IDX_REF!$A:$A,ROW(IDX_REF!B63))=0,"",INDEX(IDX_REF!$A:$A,ROW(IDX_REF!B63)))</f>
        <v>VNXUTPRUSD</v>
      </c>
      <c r="C63" t="str">
        <f>IF(B63&lt;&gt;"",VLOOKUP($B63,IDX_REF!$A$2:$I$900,3,0),"")</f>
        <v>VNX UTILITIES (USD)</v>
      </c>
      <c r="D63" t="str">
        <f>IF(C63&lt;&gt;"",VLOOKUP($B63,IDX_REF!$A$2:$I$900,4,0),"")</f>
        <v>USD</v>
      </c>
      <c r="E63">
        <f>IF(D63&lt;&gt;"",VLOOKUP($B63,IDX_REF!$A$2:$I$900,5,0),"")</f>
        <v>1000</v>
      </c>
      <c r="F63" t="str">
        <f>IF(E63&lt;&gt;"",VLOOKUP($B63,IDX_REF!$A$2:$I$900,7,0),"")</f>
        <v>P</v>
      </c>
      <c r="G63" t="str">
        <f>IF(F63&lt;&gt;"",VLOOKUP($B63,IDX_REF!$A$2:$I$900,8,0),"")</f>
        <v>VNXUTPRVND</v>
      </c>
      <c r="H63" s="12">
        <v>476190476.19047618</v>
      </c>
      <c r="I63" s="12">
        <f>IF(B63&lt;&gt;"",SUMIF(IDX_COMPOSITION!$R$2:$R$123,IDX_SPECS!$G63,IDX_COMPOSITION!$K$2:$K$123)/V63,"")</f>
        <v>135094883.50845134</v>
      </c>
      <c r="J63" s="12">
        <f t="shared" si="3"/>
        <v>283.69925536774781</v>
      </c>
      <c r="K63" s="75">
        <v>41165</v>
      </c>
      <c r="L63" s="1">
        <v>0</v>
      </c>
      <c r="M63">
        <f>IF(B63&lt;&gt;"",COUNTIF(IDX_COMPOSITION!$R$2:$R$123,IDX_SPECS!G63),"")</f>
        <v>3</v>
      </c>
      <c r="N63">
        <f>IF(B63&lt;&gt;"",VLOOKUP($B63,IDX_REF!$A$2:$K$580,10,0),"")</f>
        <v>1</v>
      </c>
      <c r="O63">
        <f>IF(C63&lt;&gt;"",VLOOKUP($B63,IDX_REF!$A$2:$K$580,11,0),"")</f>
        <v>0</v>
      </c>
      <c r="Q63" s="12">
        <f>IF(B63&lt;&gt;"",SUMIF(IDX_COMPOSITION!$R$2:$R$123,IDX_SPECS!$G63,IDX_COMPOSITION!$N$2:$N$123)/V63,"")</f>
        <v>0</v>
      </c>
      <c r="R63">
        <v>0</v>
      </c>
      <c r="S63" s="25" t="str">
        <f>IF(R63=1,SUMIF(IDX_COMPOSITION!$R$2:$R$123,IDX_SPECS!$G63,IDX_COMPOSITION!#REF!)/IF(ISNA(VLOOKUP(D63&amp;INDEX($D$2:$D$1048576,MATCH(G63,$B$2:$B$1048576,0)),CUR_RATES!$A$2:$F$1048576,4,0)),1,VLOOKUP(D63&amp;INDEX($D$2:$D$1048576,MATCH(G63,$B$2:$B$1048576,0)),CUR_RATES!$A$2:$F$1048576,4,0)),"")</f>
        <v/>
      </c>
      <c r="T63" s="29" t="str">
        <f t="shared" si="4"/>
        <v/>
      </c>
      <c r="U63" t="str">
        <f>IF(B63&lt;&gt;"",VLOOKUP($B63,IDX_REF!$A$2:$K$580,9,0),"")</f>
        <v>Sectors</v>
      </c>
      <c r="V63" s="12">
        <f>IF(B63&lt;&gt;"",IF(D63=INDEX($D$2:$D$1048576,MATCH(G63,$B$2:$B$1048576,0)),1,IF(SUMPRODUCT(--(K63=CUR_RATES!$E$1:$E$97),--(D63&amp;INDEX($D$2:$D$1048576,MATCH(G63,$B$2:$B$1048576,0))=CUR_RATES!$A$1:$A$97),ROW(CUR_RATES!$E$1:$E$97))=0,INDEX(CUR_RATES!$D:$D,SUMPRODUCT(--((K63-1)=CUR_RATES!$E$1:$E$97),--(D63&amp;INDEX($D$2:$D$1048576,MATCH(G63,$B$2:$B$1048576,0))=CUR_RATES!$A$1:$A$97),ROW(CUR_RATES!$E$1:$E$97))),INDEX(CUR_RATES!$D:$D,SUMPRODUCT(--(K63=CUR_RATES!$E$1:$E$97),--(D63&amp;INDEX($D$2:$D$1048576,MATCH(G63,$B$2:$B$1048576,0))=CUR_RATES!$A$1:$A$97),ROW(CUR_RATES!$E$1:$E$97))))),"")</f>
        <v>21890</v>
      </c>
      <c r="W63">
        <v>275.30849999999998</v>
      </c>
      <c r="Y63" s="12">
        <f t="shared" si="2"/>
        <v>3.0477647321996337</v>
      </c>
    </row>
    <row r="64" spans="1:25" x14ac:dyDescent="0.2">
      <c r="A64">
        <v>20052</v>
      </c>
      <c r="B64" s="2" t="str">
        <f>IF(INDEX(IDX_REF!$A:$A,ROW(IDX_REF!B64))=0,"",INDEX(IDX_REF!$A:$A,ROW(IDX_REF!B64)))</f>
        <v>VNXUTPRJPY</v>
      </c>
      <c r="C64" t="str">
        <f>IF(B64&lt;&gt;"",VLOOKUP($B64,IDX_REF!$A$2:$I$900,3,0),"")</f>
        <v>VNX UTILITIES (JPY)</v>
      </c>
      <c r="D64" t="str">
        <f>IF(C64&lt;&gt;"",VLOOKUP($B64,IDX_REF!$A$2:$I$900,4,0),"")</f>
        <v>JPY</v>
      </c>
      <c r="E64">
        <f>IF(D64&lt;&gt;"",VLOOKUP($B64,IDX_REF!$A$2:$I$900,5,0),"")</f>
        <v>1000</v>
      </c>
      <c r="F64" t="str">
        <f>IF(E64&lt;&gt;"",VLOOKUP($B64,IDX_REF!$A$2:$I$900,7,0),"")</f>
        <v>P</v>
      </c>
      <c r="G64" t="str">
        <f>IF(F64&lt;&gt;"",VLOOKUP($B64,IDX_REF!$A$2:$I$900,8,0),"")</f>
        <v>VNXUTPRVND</v>
      </c>
      <c r="H64" s="12">
        <v>37735849056.603775</v>
      </c>
      <c r="I64" s="12">
        <f>IF(B64&lt;&gt;"",SUMIF(IDX_COMPOSITION!$R$2:$R$123,IDX_SPECS!$G64,IDX_COMPOSITION!$K$2:$K$123)/V64,"")</f>
        <v>10486620567.375887</v>
      </c>
      <c r="J64" s="12">
        <f t="shared" si="3"/>
        <v>277.89544503546097</v>
      </c>
      <c r="K64" s="75">
        <v>41165</v>
      </c>
      <c r="L64" s="1">
        <v>0</v>
      </c>
      <c r="M64">
        <f>IF(B64&lt;&gt;"",COUNTIF(IDX_COMPOSITION!$R$2:$R$123,IDX_SPECS!G64),"")</f>
        <v>3</v>
      </c>
      <c r="N64">
        <f>IF(B64&lt;&gt;"",VLOOKUP($B64,IDX_REF!$A$2:$K$580,10,0),"")</f>
        <v>1</v>
      </c>
      <c r="O64">
        <f>IF(C64&lt;&gt;"",VLOOKUP($B64,IDX_REF!$A$2:$K$580,11,0),"")</f>
        <v>0</v>
      </c>
      <c r="Q64" s="12">
        <f>IF(B64&lt;&gt;"",SUMIF(IDX_COMPOSITION!$R$2:$R$123,IDX_SPECS!$G64,IDX_COMPOSITION!$N$2:$N$123)/V64,"")</f>
        <v>0</v>
      </c>
      <c r="R64">
        <v>0</v>
      </c>
      <c r="S64" s="25" t="str">
        <f>IF(R64=1,SUMIF(IDX_COMPOSITION!$R$2:$R$123,IDX_SPECS!$G64,IDX_COMPOSITION!#REF!)/IF(ISNA(VLOOKUP(D64&amp;INDEX($D$2:$D$1048576,MATCH(G64,$B$2:$B$1048576,0)),CUR_RATES!$A$2:$F$1048576,4,0)),1,VLOOKUP(D64&amp;INDEX($D$2:$D$1048576,MATCH(G64,$B$2:$B$1048576,0)),CUR_RATES!$A$2:$F$1048576,4,0)),"")</f>
        <v/>
      </c>
      <c r="T64" s="29" t="str">
        <f t="shared" si="4"/>
        <v/>
      </c>
      <c r="U64" t="str">
        <f>IF(B64&lt;&gt;"",VLOOKUP($B64,IDX_REF!$A$2:$K$580,9,0),"")</f>
        <v>Sectors</v>
      </c>
      <c r="V64" s="12">
        <f>IF(B64&lt;&gt;"",IF(D64=INDEX($D$2:$D$1048576,MATCH(G64,$B$2:$B$1048576,0)),1,IF(SUMPRODUCT(--(K64=CUR_RATES!$E$1:$E$97),--(D64&amp;INDEX($D$2:$D$1048576,MATCH(G64,$B$2:$B$1048576,0))=CUR_RATES!$A$1:$A$97),ROW(CUR_RATES!$E$1:$E$97))=0,INDEX(CUR_RATES!$D:$D,SUMPRODUCT(--((K64-1)=CUR_RATES!$E$1:$E$97),--(D64&amp;INDEX($D$2:$D$1048576,MATCH(G64,$B$2:$B$1048576,0))=CUR_RATES!$A$1:$A$97),ROW(CUR_RATES!$E$1:$E$97))),INDEX(CUR_RATES!$D:$D,SUMPRODUCT(--(K64=CUR_RATES!$E$1:$E$97),--(D64&amp;INDEX($D$2:$D$1048576,MATCH(G64,$B$2:$B$1048576,0))=CUR_RATES!$A$1:$A$97),ROW(CUR_RATES!$E$1:$E$97))))),"")</f>
        <v>282</v>
      </c>
      <c r="W64">
        <v>283.6662</v>
      </c>
      <c r="Y64" s="12">
        <f t="shared" si="2"/>
        <v>-2.0343470475294683</v>
      </c>
    </row>
    <row r="65" spans="1:25" x14ac:dyDescent="0.2">
      <c r="A65">
        <v>20053</v>
      </c>
      <c r="B65" s="2" t="str">
        <f>IF(INDEX(IDX_REF!$A:$A,ROW(IDX_REF!B65))=0,"",INDEX(IDX_REF!$A:$A,ROW(IDX_REF!B65)))</f>
        <v>VNXUTPREUR</v>
      </c>
      <c r="C65" t="str">
        <f>IF(B65&lt;&gt;"",VLOOKUP($B65,IDX_REF!$A$2:$I$900,3,0),"")</f>
        <v>VNX UTILITIES TR (EUR)</v>
      </c>
      <c r="D65" t="str">
        <f>IF(C65&lt;&gt;"",VLOOKUP($B65,IDX_REF!$A$2:$I$900,4,0),"")</f>
        <v>EUR</v>
      </c>
      <c r="E65">
        <f>IF(D65&lt;&gt;"",VLOOKUP($B65,IDX_REF!$A$2:$I$900,5,0),"")</f>
        <v>1000</v>
      </c>
      <c r="F65" t="str">
        <f>IF(E65&lt;&gt;"",VLOOKUP($B65,IDX_REF!$A$2:$I$900,7,0),"")</f>
        <v>P</v>
      </c>
      <c r="G65" t="str">
        <f>IF(F65&lt;&gt;"",VLOOKUP($B65,IDX_REF!$A$2:$I$900,8,0),"")</f>
        <v>VNXUTPRVND</v>
      </c>
      <c r="H65" s="12">
        <v>344827586.20689654</v>
      </c>
      <c r="I65" s="12">
        <f>IF(B65&lt;&gt;"",SUMIF(IDX_COMPOSITION!$R$2:$R$123,IDX_SPECS!$G65,IDX_COMPOSITION!$K$2:$K$123)/V65,"")</f>
        <v>99200253.063667119</v>
      </c>
      <c r="J65" s="12">
        <f t="shared" si="3"/>
        <v>287.68073388463466</v>
      </c>
      <c r="K65" s="75">
        <v>41165</v>
      </c>
      <c r="L65" s="1">
        <v>0</v>
      </c>
      <c r="M65">
        <f>IF(B65&lt;&gt;"",COUNTIF(IDX_COMPOSITION!$R$2:$R$123,IDX_SPECS!G65),"")</f>
        <v>3</v>
      </c>
      <c r="N65">
        <f>IF(B65&lt;&gt;"",VLOOKUP($B65,IDX_REF!$A$2:$K$580,10,0),"")</f>
        <v>1</v>
      </c>
      <c r="O65">
        <f>IF(C65&lt;&gt;"",VLOOKUP($B65,IDX_REF!$A$2:$K$580,11,0),"")</f>
        <v>0</v>
      </c>
      <c r="Q65" s="12">
        <f>IF(B65&lt;&gt;"",SUMIF(IDX_COMPOSITION!$R$2:$R$123,IDX_SPECS!$G65,IDX_COMPOSITION!$N$2:$N$123)/V65,"")</f>
        <v>0</v>
      </c>
      <c r="R65">
        <v>0</v>
      </c>
      <c r="S65" s="25" t="str">
        <f>IF(R65=1,SUMIF(IDX_COMPOSITION!$R$2:$R$123,IDX_SPECS!$G65,IDX_COMPOSITION!#REF!)/IF(ISNA(VLOOKUP(D65&amp;INDEX($D$2:$D$1048576,MATCH(G65,$B$2:$B$1048576,0)),CUR_RATES!$A$2:$F$1048576,4,0)),1,VLOOKUP(D65&amp;INDEX($D$2:$D$1048576,MATCH(G65,$B$2:$B$1048576,0)),CUR_RATES!$A$2:$F$1048576,4,0)),"")</f>
        <v/>
      </c>
      <c r="T65" s="29" t="str">
        <f t="shared" si="4"/>
        <v/>
      </c>
      <c r="U65" t="str">
        <f>IF(B65&lt;&gt;"",VLOOKUP($B65,IDX_REF!$A$2:$K$580,9,0),"")</f>
        <v>Sectors</v>
      </c>
      <c r="V65" s="12">
        <f>IF(B65&lt;&gt;"",IF(D65=INDEX($D$2:$D$1048576,MATCH(G65,$B$2:$B$1048576,0)),1,IF(SUMPRODUCT(--(K65=CUR_RATES!$E$1:$E$97),--(D65&amp;INDEX($D$2:$D$1048576,MATCH(G65,$B$2:$B$1048576,0))=CUR_RATES!$A$1:$A$97),ROW(CUR_RATES!$E$1:$E$97))=0,INDEX(CUR_RATES!$D:$D,SUMPRODUCT(--((K65-1)=CUR_RATES!$E$1:$E$97),--(D65&amp;INDEX($D$2:$D$1048576,MATCH(G65,$B$2:$B$1048576,0))=CUR_RATES!$A$1:$A$97),ROW(CUR_RATES!$E$1:$E$97))),INDEX(CUR_RATES!$D:$D,SUMPRODUCT(--(K65=CUR_RATES!$E$1:$E$97),--(D65&amp;INDEX($D$2:$D$1048576,MATCH(G65,$B$2:$B$1048576,0))=CUR_RATES!$A$1:$A$97),ROW(CUR_RATES!$E$1:$E$97))))),"")</f>
        <v>29810.68</v>
      </c>
      <c r="W65">
        <v>304.07920000000001</v>
      </c>
      <c r="Y65" s="12">
        <f t="shared" si="2"/>
        <v>-5.392827301362721</v>
      </c>
    </row>
    <row r="66" spans="1:25" x14ac:dyDescent="0.2">
      <c r="A66">
        <v>20054</v>
      </c>
      <c r="B66" s="2" t="str">
        <f>IF(INDEX(IDX_REF!$A:$A,ROW(IDX_REF!B66))=0,"",INDEX(IDX_REF!$A:$A,ROW(IDX_REF!B66)))</f>
        <v>VNXBMTRVND</v>
      </c>
      <c r="C66" t="str">
        <f>IF(B66&lt;&gt;"",VLOOKUP($B66,IDX_REF!$A$2:$I$900,3,0),"")</f>
        <v xml:space="preserve">VNX BASIC MATERIALS TR </v>
      </c>
      <c r="D66" t="str">
        <f>IF(C66&lt;&gt;"",VLOOKUP($B66,IDX_REF!$A$2:$I$900,4,0),"")</f>
        <v>VND</v>
      </c>
      <c r="E66">
        <f>IF(D66&lt;&gt;"",VLOOKUP($B66,IDX_REF!$A$2:$I$900,5,0),"")</f>
        <v>1000</v>
      </c>
      <c r="F66" t="str">
        <f>IF(E66&lt;&gt;"",VLOOKUP($B66,IDX_REF!$A$2:$I$900,7,0),"")</f>
        <v>R</v>
      </c>
      <c r="G66" t="str">
        <f>IF(F66&lt;&gt;"",VLOOKUP($B66,IDX_REF!$A$2:$I$900,8,0),"")</f>
        <v>VNXBMPRVND</v>
      </c>
      <c r="H66" s="12">
        <v>10000000000000</v>
      </c>
      <c r="I66" s="12">
        <f>IF(B66&lt;&gt;"",SUMIF(IDX_COMPOSITION!$R$2:$R$123,IDX_SPECS!$G66,IDX_COMPOSITION!$K$2:$K$123)/V66,"")</f>
        <v>14803791408000</v>
      </c>
      <c r="J66" s="12">
        <f t="shared" ref="J66:J89" si="5">IF(B66&lt;&gt;"",IF(F66="P",E66*I66/H66,(W66/VLOOKUP(LEFT(G66,LEN(G66)-3)&amp;D66,$B$2:$W$1048576,22,0))*(VLOOKUP(LEFT(G66,LEN(G66)-3)&amp;D66,$B$2:$W$1048576,9,0)+E66*Q66/H66)),"")</f>
        <v>1572.0839193562765</v>
      </c>
      <c r="K66" s="75">
        <v>41165</v>
      </c>
      <c r="L66" s="1">
        <v>0</v>
      </c>
      <c r="M66">
        <f>IF(B66&lt;&gt;"",COUNTIF(IDX_COMPOSITION!$R$2:$R$123,IDX_SPECS!G66),"")</f>
        <v>1</v>
      </c>
      <c r="N66">
        <f>IF(B66&lt;&gt;"",VLOOKUP($B66,IDX_REF!$A$2:$K$580,10,0),"")</f>
        <v>1</v>
      </c>
      <c r="O66">
        <f>IF(C66&lt;&gt;"",VLOOKUP($B66,IDX_REF!$A$2:$K$580,11,0),"")</f>
        <v>0</v>
      </c>
      <c r="Q66" s="12">
        <f>IF(B66&lt;&gt;"",SUMIF(IDX_COMPOSITION!$R$2:$R$123,IDX_SPECS!$G66,IDX_COMPOSITION!$N$2:$N$123)/V66,"")</f>
        <v>528706836000</v>
      </c>
      <c r="R66">
        <v>0</v>
      </c>
      <c r="S66" s="25" t="str">
        <f>IF(R66=1,SUMIF(IDX_COMPOSITION!$R$2:$R$123,IDX_SPECS!$G66,IDX_COMPOSITION!#REF!)/IF(ISNA(VLOOKUP(D66&amp;INDEX($D$2:$D$1048576,MATCH(G66,$B$2:$B$1048576,0)),CUR_RATES!$A$2:$F$1048576,4,0)),1,VLOOKUP(D66&amp;INDEX($D$2:$D$1048576,MATCH(G66,$B$2:$B$1048576,0)),CUR_RATES!$A$2:$F$1048576,4,0)),"")</f>
        <v/>
      </c>
      <c r="T66" s="29" t="str">
        <f t="shared" ref="T66:T89" si="6">IF(S66&lt;&gt;"",IF(F66="P",S66*H66/I66,S66*H66/Q66),"")</f>
        <v/>
      </c>
      <c r="U66" t="str">
        <f>IF(B66&lt;&gt;"",VLOOKUP($B66,IDX_REF!$A$2:$K$580,9,0),"")</f>
        <v>Sectors</v>
      </c>
      <c r="V66" s="12">
        <f>IF(B66&lt;&gt;"",IF(D66=INDEX($D$2:$D$1048576,MATCH(G66,$B$2:$B$1048576,0)),1,IF(SUMPRODUCT(--(K66=CUR_RATES!$E$1:$E$97),--(D66&amp;INDEX($D$2:$D$1048576,MATCH(G66,$B$2:$B$1048576,0))=CUR_RATES!$A$1:$A$97),ROW(CUR_RATES!$E$1:$E$97))=0,INDEX(CUR_RATES!$D:$D,SUMPRODUCT(--((K66-1)=CUR_RATES!$E$1:$E$97),--(D66&amp;INDEX($D$2:$D$1048576,MATCH(G66,$B$2:$B$1048576,0))=CUR_RATES!$A$1:$A$97),ROW(CUR_RATES!$E$1:$E$97))),INDEX(CUR_RATES!$D:$D,SUMPRODUCT(--(K66=CUR_RATES!$E$1:$E$97),--(D66&amp;INDEX($D$2:$D$1048576,MATCH(G66,$B$2:$B$1048576,0))=CUR_RATES!$A$1:$A$97),ROW(CUR_RATES!$E$1:$E$97))))),"")</f>
        <v>1</v>
      </c>
      <c r="W66">
        <v>1598.191</v>
      </c>
      <c r="Y66" s="12">
        <f t="shared" si="2"/>
        <v>-1.6335394607855707</v>
      </c>
    </row>
    <row r="67" spans="1:25" x14ac:dyDescent="0.2">
      <c r="A67">
        <v>20055</v>
      </c>
      <c r="B67" s="2" t="str">
        <f>IF(INDEX(IDX_REF!$A:$A,ROW(IDX_REF!B67))=0,"",INDEX(IDX_REF!$A:$A,ROW(IDX_REF!B67)))</f>
        <v>VNXBMTRUSD</v>
      </c>
      <c r="C67" t="str">
        <f>IF(B67&lt;&gt;"",VLOOKUP($B67,IDX_REF!$A$2:$I$900,3,0),"")</f>
        <v>VNX BASIC MATERIALS TR (USD)</v>
      </c>
      <c r="D67" t="str">
        <f>IF(C67&lt;&gt;"",VLOOKUP($B67,IDX_REF!$A$2:$I$900,4,0),"")</f>
        <v>USD</v>
      </c>
      <c r="E67">
        <f>IF(D67&lt;&gt;"",VLOOKUP($B67,IDX_REF!$A$2:$I$900,5,0),"")</f>
        <v>1000</v>
      </c>
      <c r="F67" t="str">
        <f>IF(E67&lt;&gt;"",VLOOKUP($B67,IDX_REF!$A$2:$I$900,7,0),"")</f>
        <v>R</v>
      </c>
      <c r="G67" t="str">
        <f>IF(F67&lt;&gt;"",VLOOKUP($B67,IDX_REF!$A$2:$I$900,8,0),"")</f>
        <v>VNXBMPRVND</v>
      </c>
      <c r="H67" s="12">
        <v>476190476190.4762</v>
      </c>
      <c r="I67" s="12">
        <f>IF(B67&lt;&gt;"",SUMIF(IDX_COMPOSITION!$R$2:$R$123,IDX_SPECS!$G67,IDX_COMPOSITION!$K$2:$K$123)/V67,"")</f>
        <v>676281014.52718139</v>
      </c>
      <c r="J67" s="12">
        <f t="shared" si="5"/>
        <v>1414.0902087916224</v>
      </c>
      <c r="K67" s="75">
        <v>41165</v>
      </c>
      <c r="L67" s="1">
        <v>0</v>
      </c>
      <c r="M67">
        <f>IF(B67&lt;&gt;"",COUNTIF(IDX_COMPOSITION!$R$2:$R$123,IDX_SPECS!G67),"")</f>
        <v>1</v>
      </c>
      <c r="N67">
        <f>IF(B67&lt;&gt;"",VLOOKUP($B67,IDX_REF!$A$2:$K$580,10,0),"")</f>
        <v>1</v>
      </c>
      <c r="O67">
        <f>IF(C67&lt;&gt;"",VLOOKUP($B67,IDX_REF!$A$2:$K$580,11,0),"")</f>
        <v>0</v>
      </c>
      <c r="Q67" s="12">
        <f>IF(B67&lt;&gt;"",SUMIF(IDX_COMPOSITION!$R$2:$R$123,IDX_SPECS!$G67,IDX_COMPOSITION!$N$2:$N$123)/V67,"")</f>
        <v>24152893.375970762</v>
      </c>
      <c r="R67">
        <v>0</v>
      </c>
      <c r="S67" s="25" t="str">
        <f>IF(R67=1,SUMIF(IDX_COMPOSITION!$R$2:$R$123,IDX_SPECS!$G67,IDX_COMPOSITION!#REF!)/IF(ISNA(VLOOKUP(D67&amp;INDEX($D$2:$D$1048576,MATCH(G67,$B$2:$B$1048576,0)),CUR_RATES!$A$2:$F$1048576,4,0)),1,VLOOKUP(D67&amp;INDEX($D$2:$D$1048576,MATCH(G67,$B$2:$B$1048576,0)),CUR_RATES!$A$2:$F$1048576,4,0)),"")</f>
        <v/>
      </c>
      <c r="T67" s="29" t="str">
        <f t="shared" si="6"/>
        <v/>
      </c>
      <c r="U67" t="str">
        <f>IF(B67&lt;&gt;"",VLOOKUP($B67,IDX_REF!$A$2:$K$580,9,0),"")</f>
        <v>Sectors</v>
      </c>
      <c r="V67" s="12">
        <f>IF(B67&lt;&gt;"",IF(D67=INDEX($D$2:$D$1048576,MATCH(G67,$B$2:$B$1048576,0)),1,IF(SUMPRODUCT(--(K67=CUR_RATES!$E$1:$E$97),--(D67&amp;INDEX($D$2:$D$1048576,MATCH(G67,$B$2:$B$1048576,0))=CUR_RATES!$A$1:$A$97),ROW(CUR_RATES!$E$1:$E$97))=0,INDEX(CUR_RATES!$D:$D,SUMPRODUCT(--((K67-1)=CUR_RATES!$E$1:$E$97),--(D67&amp;INDEX($D$2:$D$1048576,MATCH(G67,$B$2:$B$1048576,0))=CUR_RATES!$A$1:$A$97),ROW(CUR_RATES!$E$1:$E$97))),INDEX(CUR_RATES!$D:$D,SUMPRODUCT(--(K67=CUR_RATES!$E$1:$E$97),--(D67&amp;INDEX($D$2:$D$1048576,MATCH(G67,$B$2:$B$1048576,0))=CUR_RATES!$A$1:$A$97),ROW(CUR_RATES!$E$1:$E$97))))),"")</f>
        <v>21890</v>
      </c>
      <c r="W67">
        <v>1356.6949999999999</v>
      </c>
      <c r="Y67" s="12">
        <f t="shared" ref="Y67:Y89" si="7">(J67-W67)/W67*100</f>
        <v>4.2305167183208097</v>
      </c>
    </row>
    <row r="68" spans="1:25" x14ac:dyDescent="0.2">
      <c r="A68">
        <v>20056</v>
      </c>
      <c r="B68" s="2" t="str">
        <f>IF(INDEX(IDX_REF!$A:$A,ROW(IDX_REF!B68))=0,"",INDEX(IDX_REF!$A:$A,ROW(IDX_REF!B68)))</f>
        <v>VNXBMTRJPY</v>
      </c>
      <c r="C68" t="str">
        <f>IF(B68&lt;&gt;"",VLOOKUP($B68,IDX_REF!$A$2:$I$900,3,0),"")</f>
        <v>VNX BASIC MATERIALS TR (JPY)</v>
      </c>
      <c r="D68" t="str">
        <f>IF(C68&lt;&gt;"",VLOOKUP($B68,IDX_REF!$A$2:$I$900,4,0),"")</f>
        <v>JPY</v>
      </c>
      <c r="E68">
        <f>IF(D68&lt;&gt;"",VLOOKUP($B68,IDX_REF!$A$2:$I$900,5,0),"")</f>
        <v>1000</v>
      </c>
      <c r="F68" t="str">
        <f>IF(E68&lt;&gt;"",VLOOKUP($B68,IDX_REF!$A$2:$I$900,7,0),"")</f>
        <v>R</v>
      </c>
      <c r="G68" t="str">
        <f>IF(F68&lt;&gt;"",VLOOKUP($B68,IDX_REF!$A$2:$I$900,8,0),"")</f>
        <v>VNXBMPRVND</v>
      </c>
      <c r="H68" s="12">
        <v>37735849056.603775</v>
      </c>
      <c r="I68" s="12">
        <f>IF(B68&lt;&gt;"",SUMIF(IDX_COMPOSITION!$R$2:$R$123,IDX_SPECS!$G68,IDX_COMPOSITION!$K$2:$K$123)/V68,"")</f>
        <v>52495714212.765961</v>
      </c>
      <c r="J68" s="12">
        <f t="shared" si="5"/>
        <v>1689.9633314358146</v>
      </c>
      <c r="K68" s="75">
        <v>41165</v>
      </c>
      <c r="L68" s="1">
        <v>0</v>
      </c>
      <c r="M68">
        <f>IF(B68&lt;&gt;"",COUNTIF(IDX_COMPOSITION!$R$2:$R$123,IDX_SPECS!G68),"")</f>
        <v>1</v>
      </c>
      <c r="N68">
        <f>IF(B68&lt;&gt;"",VLOOKUP($B68,IDX_REF!$A$2:$K$580,10,0),"")</f>
        <v>1</v>
      </c>
      <c r="O68">
        <f>IF(C68&lt;&gt;"",VLOOKUP($B68,IDX_REF!$A$2:$K$580,11,0),"")</f>
        <v>0</v>
      </c>
      <c r="Q68" s="12">
        <f>IF(B68&lt;&gt;"",SUMIF(IDX_COMPOSITION!$R$2:$R$123,IDX_SPECS!$G68,IDX_COMPOSITION!$N$2:$N$123)/V68,"")</f>
        <v>1874846936.1702127</v>
      </c>
      <c r="R68">
        <v>0</v>
      </c>
      <c r="S68" s="25" t="str">
        <f>IF(R68=1,SUMIF(IDX_COMPOSITION!$R$2:$R$123,IDX_SPECS!$G68,IDX_COMPOSITION!#REF!)/IF(ISNA(VLOOKUP(D68&amp;INDEX($D$2:$D$1048576,MATCH(G68,$B$2:$B$1048576,0)),CUR_RATES!$A$2:$F$1048576,4,0)),1,VLOOKUP(D68&amp;INDEX($D$2:$D$1048576,MATCH(G68,$B$2:$B$1048576,0)),CUR_RATES!$A$2:$F$1048576,4,0)),"")</f>
        <v/>
      </c>
      <c r="T68" s="29" t="str">
        <f t="shared" si="6"/>
        <v/>
      </c>
      <c r="U68" t="str">
        <f>IF(B68&lt;&gt;"",VLOOKUP($B68,IDX_REF!$A$2:$K$580,9,0),"")</f>
        <v>Sectors</v>
      </c>
      <c r="V68" s="12">
        <f>IF(B68&lt;&gt;"",IF(D68=INDEX($D$2:$D$1048576,MATCH(G68,$B$2:$B$1048576,0)),1,IF(SUMPRODUCT(--(K68=CUR_RATES!$E$1:$E$97),--(D68&amp;INDEX($D$2:$D$1048576,MATCH(G68,$B$2:$B$1048576,0))=CUR_RATES!$A$1:$A$97),ROW(CUR_RATES!$E$1:$E$97))=0,INDEX(CUR_RATES!$D:$D,SUMPRODUCT(--((K68-1)=CUR_RATES!$E$1:$E$97),--(D68&amp;INDEX($D$2:$D$1048576,MATCH(G68,$B$2:$B$1048576,0))=CUR_RATES!$A$1:$A$97),ROW(CUR_RATES!$E$1:$E$97))),INDEX(CUR_RATES!$D:$D,SUMPRODUCT(--(K68=CUR_RATES!$E$1:$E$97),--(D68&amp;INDEX($D$2:$D$1048576,MATCH(G68,$B$2:$B$1048576,0))=CUR_RATES!$A$1:$A$97),ROW(CUR_RATES!$E$1:$E$97))))),"")</f>
        <v>282</v>
      </c>
      <c r="W68">
        <v>1667.0129999999999</v>
      </c>
      <c r="Y68" s="12">
        <f t="shared" si="7"/>
        <v>1.3767338008650583</v>
      </c>
    </row>
    <row r="69" spans="1:25" x14ac:dyDescent="0.2">
      <c r="A69">
        <v>20057</v>
      </c>
      <c r="B69" s="2" t="str">
        <f>IF(INDEX(IDX_REF!$A:$A,ROW(IDX_REF!B69))=0,"",INDEX(IDX_REF!$A:$A,ROW(IDX_REF!B69)))</f>
        <v>VNXBMTREUR</v>
      </c>
      <c r="C69" t="str">
        <f>IF(B69&lt;&gt;"",VLOOKUP($B69,IDX_REF!$A$2:$I$900,3,0),"")</f>
        <v>VNX BASIC MATERIALS TR (EUR)</v>
      </c>
      <c r="D69" t="str">
        <f>IF(C69&lt;&gt;"",VLOOKUP($B69,IDX_REF!$A$2:$I$900,4,0),"")</f>
        <v>EUR</v>
      </c>
      <c r="E69">
        <f>IF(D69&lt;&gt;"",VLOOKUP($B69,IDX_REF!$A$2:$I$900,5,0),"")</f>
        <v>1000</v>
      </c>
      <c r="F69" t="str">
        <f>IF(E69&lt;&gt;"",VLOOKUP($B69,IDX_REF!$A$2:$I$900,7,0),"")</f>
        <v>R</v>
      </c>
      <c r="G69" t="str">
        <f>IF(F69&lt;&gt;"",VLOOKUP($B69,IDX_REF!$A$2:$I$900,8,0),"")</f>
        <v>VNXBMPRVND</v>
      </c>
      <c r="H69" s="12">
        <v>344827586206.89655</v>
      </c>
      <c r="I69" s="12">
        <f>IF(B69&lt;&gt;"",SUMIF(IDX_COMPOSITION!$R$2:$R$123,IDX_SPECS!$G69,IDX_COMPOSITION!$K$2:$K$123)/V69,"")</f>
        <v>496593549.96263081</v>
      </c>
      <c r="J69" s="12">
        <f t="shared" si="5"/>
        <v>1356.2927077094992</v>
      </c>
      <c r="K69" s="75">
        <v>41165</v>
      </c>
      <c r="L69" s="1">
        <v>0</v>
      </c>
      <c r="M69">
        <f>IF(B69&lt;&gt;"",COUNTIF(IDX_COMPOSITION!$R$2:$R$123,IDX_SPECS!G69),"")</f>
        <v>1</v>
      </c>
      <c r="N69">
        <f>IF(B69&lt;&gt;"",VLOOKUP($B69,IDX_REF!$A$2:$K$580,10,0),"")</f>
        <v>1</v>
      </c>
      <c r="O69">
        <f>IF(C69&lt;&gt;"",VLOOKUP($B69,IDX_REF!$A$2:$K$580,11,0),"")</f>
        <v>0</v>
      </c>
      <c r="Q69" s="12">
        <f>IF(B69&lt;&gt;"",SUMIF(IDX_COMPOSITION!$R$2:$R$123,IDX_SPECS!$G69,IDX_COMPOSITION!$N$2:$N$123)/V69,"")</f>
        <v>17735483.927236814</v>
      </c>
      <c r="R69">
        <v>0</v>
      </c>
      <c r="S69" s="25" t="str">
        <f>IF(R69=1,SUMIF(IDX_COMPOSITION!$R$2:$R$123,IDX_SPECS!$G69,IDX_COMPOSITION!#REF!)/IF(ISNA(VLOOKUP(D69&amp;INDEX($D$2:$D$1048576,MATCH(G69,$B$2:$B$1048576,0)),CUR_RATES!$A$2:$F$1048576,4,0)),1,VLOOKUP(D69&amp;INDEX($D$2:$D$1048576,MATCH(G69,$B$2:$B$1048576,0)),CUR_RATES!$A$2:$F$1048576,4,0)),"")</f>
        <v/>
      </c>
      <c r="T69" s="29" t="str">
        <f t="shared" si="6"/>
        <v/>
      </c>
      <c r="U69" t="str">
        <f>IF(B69&lt;&gt;"",VLOOKUP($B69,IDX_REF!$A$2:$K$580,9,0),"")</f>
        <v>Sectors</v>
      </c>
      <c r="V69" s="12">
        <f>IF(B69&lt;&gt;"",IF(D69=INDEX($D$2:$D$1048576,MATCH(G69,$B$2:$B$1048576,0)),1,IF(SUMPRODUCT(--(K69=CUR_RATES!$E$1:$E$97),--(D69&amp;INDEX($D$2:$D$1048576,MATCH(G69,$B$2:$B$1048576,0))=CUR_RATES!$A$1:$A$97),ROW(CUR_RATES!$E$1:$E$97))=0,INDEX(CUR_RATES!$D:$D,SUMPRODUCT(--((K69-1)=CUR_RATES!$E$1:$E$97),--(D69&amp;INDEX($D$2:$D$1048576,MATCH(G69,$B$2:$B$1048576,0))=CUR_RATES!$A$1:$A$97),ROW(CUR_RATES!$E$1:$E$97))),INDEX(CUR_RATES!$D:$D,SUMPRODUCT(--(K69=CUR_RATES!$E$1:$E$97),--(D69&amp;INDEX($D$2:$D$1048576,MATCH(G69,$B$2:$B$1048576,0))=CUR_RATES!$A$1:$A$97),ROW(CUR_RATES!$E$1:$E$97))))),"")</f>
        <v>29810.68</v>
      </c>
      <c r="W69">
        <v>1434.7950000000001</v>
      </c>
      <c r="Y69" s="12">
        <f t="shared" si="7"/>
        <v>-5.4713246345645832</v>
      </c>
    </row>
    <row r="70" spans="1:25" x14ac:dyDescent="0.2">
      <c r="A70">
        <v>20058</v>
      </c>
      <c r="B70" s="2" t="str">
        <f>IF(INDEX(IDX_REF!$A:$A,ROW(IDX_REF!B70))=0,"",INDEX(IDX_REF!$A:$A,ROW(IDX_REF!B70)))</f>
        <v>VNXCSTRVND</v>
      </c>
      <c r="C70" t="str">
        <f>IF(B70&lt;&gt;"",VLOOKUP($B70,IDX_REF!$A$2:$I$900,3,0),"")</f>
        <v xml:space="preserve">VNX CONSUMER SERVICES TR </v>
      </c>
      <c r="D70" t="str">
        <f>IF(C70&lt;&gt;"",VLOOKUP($B70,IDX_REF!$A$2:$I$900,4,0),"")</f>
        <v>VND</v>
      </c>
      <c r="E70">
        <f>IF(D70&lt;&gt;"",VLOOKUP($B70,IDX_REF!$A$2:$I$900,5,0),"")</f>
        <v>1000</v>
      </c>
      <c r="F70" t="str">
        <f>IF(E70&lt;&gt;"",VLOOKUP($B70,IDX_REF!$A$2:$I$900,7,0),"")</f>
        <v>R</v>
      </c>
      <c r="G70" t="str">
        <f>IF(F70&lt;&gt;"",VLOOKUP($B70,IDX_REF!$A$2:$I$900,8,0),"")</f>
        <v>VNXCSPRVND</v>
      </c>
      <c r="H70" s="12">
        <v>10000000000000</v>
      </c>
      <c r="I70" s="12">
        <f>IF(B70&lt;&gt;"",SUMIF(IDX_COMPOSITION!$R$2:$R$123,IDX_SPECS!$G70,IDX_COMPOSITION!$K$2:$K$123)/V70,"")</f>
        <v>788158560000</v>
      </c>
      <c r="J70" s="12">
        <f t="shared" si="5"/>
        <v>115.6852126298579</v>
      </c>
      <c r="K70" s="75">
        <v>41165</v>
      </c>
      <c r="L70" s="1">
        <v>0</v>
      </c>
      <c r="M70">
        <f>IF(B70&lt;&gt;"",COUNTIF(IDX_COMPOSITION!$R$2:$R$123,IDX_SPECS!G70),"")</f>
        <v>1</v>
      </c>
      <c r="N70">
        <f>IF(B70&lt;&gt;"",VLOOKUP($B70,IDX_REF!$A$2:$K$580,10,0),"")</f>
        <v>1</v>
      </c>
      <c r="O70">
        <f>IF(C70&lt;&gt;"",VLOOKUP($B70,IDX_REF!$A$2:$K$580,11,0),"")</f>
        <v>0</v>
      </c>
      <c r="Q70" s="12">
        <f>IF(B70&lt;&gt;"",SUMIF(IDX_COMPOSITION!$R$2:$R$123,IDX_SPECS!$G70,IDX_COMPOSITION!$N$2:$N$123)/V70,"")</f>
        <v>105556950000</v>
      </c>
      <c r="R70">
        <v>0</v>
      </c>
      <c r="S70" s="25" t="str">
        <f>IF(R70=1,SUMIF(IDX_COMPOSITION!$R$2:$R$123,IDX_SPECS!$G70,IDX_COMPOSITION!#REF!)/IF(ISNA(VLOOKUP(D70&amp;INDEX($D$2:$D$1048576,MATCH(G70,$B$2:$B$1048576,0)),CUR_RATES!$A$2:$F$1048576,4,0)),1,VLOOKUP(D70&amp;INDEX($D$2:$D$1048576,MATCH(G70,$B$2:$B$1048576,0)),CUR_RATES!$A$2:$F$1048576,4,0)),"")</f>
        <v/>
      </c>
      <c r="T70" s="29" t="str">
        <f t="shared" si="6"/>
        <v/>
      </c>
      <c r="U70" t="str">
        <f>IF(B70&lt;&gt;"",VLOOKUP($B70,IDX_REF!$A$2:$K$580,9,0),"")</f>
        <v>Sectors</v>
      </c>
      <c r="V70" s="12">
        <f>IF(B70&lt;&gt;"",IF(D70=INDEX($D$2:$D$1048576,MATCH(G70,$B$2:$B$1048576,0)),1,IF(SUMPRODUCT(--(K70=CUR_RATES!$E$1:$E$97),--(D70&amp;INDEX($D$2:$D$1048576,MATCH(G70,$B$2:$B$1048576,0))=CUR_RATES!$A$1:$A$97),ROW(CUR_RATES!$E$1:$E$97))=0,INDEX(CUR_RATES!$D:$D,SUMPRODUCT(--((K70-1)=CUR_RATES!$E$1:$E$97),--(D70&amp;INDEX($D$2:$D$1048576,MATCH(G70,$B$2:$B$1048576,0))=CUR_RATES!$A$1:$A$97),ROW(CUR_RATES!$E$1:$E$97))),INDEX(CUR_RATES!$D:$D,SUMPRODUCT(--(K70=CUR_RATES!$E$1:$E$97),--(D70&amp;INDEX($D$2:$D$1048576,MATCH(G70,$B$2:$B$1048576,0))=CUR_RATES!$A$1:$A$97),ROW(CUR_RATES!$E$1:$E$97))))),"")</f>
        <v>1</v>
      </c>
      <c r="W70">
        <v>104.3109</v>
      </c>
      <c r="Y70" s="12">
        <f t="shared" si="7"/>
        <v>10.904241675470058</v>
      </c>
    </row>
    <row r="71" spans="1:25" x14ac:dyDescent="0.2">
      <c r="A71">
        <v>20059</v>
      </c>
      <c r="B71" s="2" t="str">
        <f>IF(INDEX(IDX_REF!$A:$A,ROW(IDX_REF!B71))=0,"",INDEX(IDX_REF!$A:$A,ROW(IDX_REF!B71)))</f>
        <v>VNXCSTRUSD</v>
      </c>
      <c r="C71" t="str">
        <f>IF(B71&lt;&gt;"",VLOOKUP($B71,IDX_REF!$A$2:$I$900,3,0),"")</f>
        <v>VNX CONSUMER SERVICES TR (USD)</v>
      </c>
      <c r="D71" t="str">
        <f>IF(C71&lt;&gt;"",VLOOKUP($B71,IDX_REF!$A$2:$I$900,4,0),"")</f>
        <v>USD</v>
      </c>
      <c r="E71">
        <f>IF(D71&lt;&gt;"",VLOOKUP($B71,IDX_REF!$A$2:$I$900,5,0),"")</f>
        <v>1000</v>
      </c>
      <c r="F71" t="str">
        <f>IF(E71&lt;&gt;"",VLOOKUP($B71,IDX_REF!$A$2:$I$900,7,0),"")</f>
        <v>R</v>
      </c>
      <c r="G71" t="str">
        <f>IF(F71&lt;&gt;"",VLOOKUP($B71,IDX_REF!$A$2:$I$900,8,0),"")</f>
        <v>VNXCSPRVND</v>
      </c>
      <c r="H71" s="12">
        <v>476190476190.4762</v>
      </c>
      <c r="I71" s="12">
        <f>IF(B71&lt;&gt;"",SUMIF(IDX_COMPOSITION!$R$2:$R$123,IDX_SPECS!$G71,IDX_COMPOSITION!$K$2:$K$123)/V71,"")</f>
        <v>36005416.171767928</v>
      </c>
      <c r="J71" s="12">
        <f t="shared" si="5"/>
        <v>69.269659572267813</v>
      </c>
      <c r="K71" s="75">
        <v>41165</v>
      </c>
      <c r="L71" s="1">
        <v>0</v>
      </c>
      <c r="M71">
        <f>IF(B71&lt;&gt;"",COUNTIF(IDX_COMPOSITION!$R$2:$R$123,IDX_SPECS!G71),"")</f>
        <v>1</v>
      </c>
      <c r="N71">
        <f>IF(B71&lt;&gt;"",VLOOKUP($B71,IDX_REF!$A$2:$K$580,10,0),"")</f>
        <v>1</v>
      </c>
      <c r="O71">
        <f>IF(C71&lt;&gt;"",VLOOKUP($B71,IDX_REF!$A$2:$K$580,11,0),"")</f>
        <v>0</v>
      </c>
      <c r="Q71" s="12">
        <f>IF(B71&lt;&gt;"",SUMIF(IDX_COMPOSITION!$R$2:$R$123,IDX_SPECS!$G71,IDX_COMPOSITION!$N$2:$N$123)/V71,"")</f>
        <v>4822153.9515760625</v>
      </c>
      <c r="R71">
        <v>0</v>
      </c>
      <c r="S71" s="25" t="str">
        <f>IF(R71=1,SUMIF(IDX_COMPOSITION!$R$2:$R$123,IDX_SPECS!$G71,IDX_COMPOSITION!#REF!)/IF(ISNA(VLOOKUP(D71&amp;INDEX($D$2:$D$1048576,MATCH(G71,$B$2:$B$1048576,0)),CUR_RATES!$A$2:$F$1048576,4,0)),1,VLOOKUP(D71&amp;INDEX($D$2:$D$1048576,MATCH(G71,$B$2:$B$1048576,0)),CUR_RATES!$A$2:$F$1048576,4,0)),"")</f>
        <v/>
      </c>
      <c r="T71" s="29" t="str">
        <f t="shared" si="6"/>
        <v/>
      </c>
      <c r="U71" t="str">
        <f>IF(B71&lt;&gt;"",VLOOKUP($B71,IDX_REF!$A$2:$K$580,9,0),"")</f>
        <v>Sectors</v>
      </c>
      <c r="V71" s="12">
        <f>IF(B71&lt;&gt;"",IF(D71=INDEX($D$2:$D$1048576,MATCH(G71,$B$2:$B$1048576,0)),1,IF(SUMPRODUCT(--(K71=CUR_RATES!$E$1:$E$97),--(D71&amp;INDEX($D$2:$D$1048576,MATCH(G71,$B$2:$B$1048576,0))=CUR_RATES!$A$1:$A$97),ROW(CUR_RATES!$E$1:$E$97))=0,INDEX(CUR_RATES!$D:$D,SUMPRODUCT(--((K71-1)=CUR_RATES!$E$1:$E$97),--(D71&amp;INDEX($D$2:$D$1048576,MATCH(G71,$B$2:$B$1048576,0))=CUR_RATES!$A$1:$A$97),ROW(CUR_RATES!$E$1:$E$97))),INDEX(CUR_RATES!$D:$D,SUMPRODUCT(--(K71=CUR_RATES!$E$1:$E$97),--(D71&amp;INDEX($D$2:$D$1048576,MATCH(G71,$B$2:$B$1048576,0))=CUR_RATES!$A$1:$A$97),ROW(CUR_RATES!$E$1:$E$97))))),"")</f>
        <v>21890</v>
      </c>
      <c r="W71">
        <v>69.260379999999998</v>
      </c>
      <c r="Y71" s="12">
        <f t="shared" si="7"/>
        <v>1.3398096094498367E-2</v>
      </c>
    </row>
    <row r="72" spans="1:25" x14ac:dyDescent="0.2">
      <c r="A72">
        <v>20060</v>
      </c>
      <c r="B72" s="2" t="str">
        <f>IF(INDEX(IDX_REF!$A:$A,ROW(IDX_REF!B72))=0,"",INDEX(IDX_REF!$A:$A,ROW(IDX_REF!B72)))</f>
        <v>VNXCSTRJPY</v>
      </c>
      <c r="C72" t="str">
        <f>IF(B72&lt;&gt;"",VLOOKUP($B72,IDX_REF!$A$2:$I$900,3,0),"")</f>
        <v>VNX CONSUMER SERVICES TR (JPY)</v>
      </c>
      <c r="D72" t="str">
        <f>IF(C72&lt;&gt;"",VLOOKUP($B72,IDX_REF!$A$2:$I$900,4,0),"")</f>
        <v>JPY</v>
      </c>
      <c r="E72">
        <f>IF(D72&lt;&gt;"",VLOOKUP($B72,IDX_REF!$A$2:$I$900,5,0),"")</f>
        <v>1000</v>
      </c>
      <c r="F72" t="str">
        <f>IF(E72&lt;&gt;"",VLOOKUP($B72,IDX_REF!$A$2:$I$900,7,0),"")</f>
        <v>R</v>
      </c>
      <c r="G72" t="str">
        <f>IF(F72&lt;&gt;"",VLOOKUP($B72,IDX_REF!$A$2:$I$900,8,0),"")</f>
        <v>VNXCSPRVND</v>
      </c>
      <c r="H72" s="12">
        <v>37735849056.603775</v>
      </c>
      <c r="I72" s="12">
        <f>IF(B72&lt;&gt;"",SUMIF(IDX_COMPOSITION!$R$2:$R$123,IDX_SPECS!$G72,IDX_COMPOSITION!$K$2:$K$123)/V72,"")</f>
        <v>2794888510.638298</v>
      </c>
      <c r="J72" s="12">
        <f t="shared" si="5"/>
        <v>103.21278182429221</v>
      </c>
      <c r="K72" s="75">
        <v>41165</v>
      </c>
      <c r="L72" s="1">
        <v>0</v>
      </c>
      <c r="M72">
        <f>IF(B72&lt;&gt;"",COUNTIF(IDX_COMPOSITION!$R$2:$R$123,IDX_SPECS!G72),"")</f>
        <v>1</v>
      </c>
      <c r="N72">
        <f>IF(B72&lt;&gt;"",VLOOKUP($B72,IDX_REF!$A$2:$K$580,10,0),"")</f>
        <v>1</v>
      </c>
      <c r="O72">
        <f>IF(C72&lt;&gt;"",VLOOKUP($B72,IDX_REF!$A$2:$K$580,11,0),"")</f>
        <v>0</v>
      </c>
      <c r="Q72" s="12">
        <f>IF(B72&lt;&gt;"",SUMIF(IDX_COMPOSITION!$R$2:$R$123,IDX_SPECS!$G72,IDX_COMPOSITION!$N$2:$N$123)/V72,"")</f>
        <v>374315425.53191489</v>
      </c>
      <c r="R72">
        <v>0</v>
      </c>
      <c r="S72" s="25" t="str">
        <f>IF(R72=1,SUMIF(IDX_COMPOSITION!$R$2:$R$123,IDX_SPECS!$G72,IDX_COMPOSITION!#REF!)/IF(ISNA(VLOOKUP(D72&amp;INDEX($D$2:$D$1048576,MATCH(G72,$B$2:$B$1048576,0)),CUR_RATES!$A$2:$F$1048576,4,0)),1,VLOOKUP(D72&amp;INDEX($D$2:$D$1048576,MATCH(G72,$B$2:$B$1048576,0)),CUR_RATES!$A$2:$F$1048576,4,0)),"")</f>
        <v/>
      </c>
      <c r="T72" s="29" t="str">
        <f t="shared" si="6"/>
        <v/>
      </c>
      <c r="U72" t="str">
        <f>IF(B72&lt;&gt;"",VLOOKUP($B72,IDX_REF!$A$2:$K$580,9,0),"")</f>
        <v>Sectors</v>
      </c>
      <c r="V72" s="12">
        <f>IF(B72&lt;&gt;"",IF(D72=INDEX($D$2:$D$1048576,MATCH(G72,$B$2:$B$1048576,0)),1,IF(SUMPRODUCT(--(K72=CUR_RATES!$E$1:$E$97),--(D72&amp;INDEX($D$2:$D$1048576,MATCH(G72,$B$2:$B$1048576,0))=CUR_RATES!$A$1:$A$97),ROW(CUR_RATES!$E$1:$E$97))=0,INDEX(CUR_RATES!$D:$D,SUMPRODUCT(--((K72-1)=CUR_RATES!$E$1:$E$97),--(D72&amp;INDEX($D$2:$D$1048576,MATCH(G72,$B$2:$B$1048576,0))=CUR_RATES!$A$1:$A$97),ROW(CUR_RATES!$E$1:$E$97))),INDEX(CUR_RATES!$D:$D,SUMPRODUCT(--(K72=CUR_RATES!$E$1:$E$97),--(D72&amp;INDEX($D$2:$D$1048576,MATCH(G72,$B$2:$B$1048576,0))=CUR_RATES!$A$1:$A$97),ROW(CUR_RATES!$E$1:$E$97))))),"")</f>
        <v>282</v>
      </c>
      <c r="W72">
        <v>92.882379999999998</v>
      </c>
      <c r="Y72" s="12">
        <f t="shared" si="7"/>
        <v>11.122025323093798</v>
      </c>
    </row>
    <row r="73" spans="1:25" x14ac:dyDescent="0.2">
      <c r="A73">
        <v>20061</v>
      </c>
      <c r="B73" s="2" t="str">
        <f>IF(INDEX(IDX_REF!$A:$A,ROW(IDX_REF!B73))=0,"",INDEX(IDX_REF!$A:$A,ROW(IDX_REF!B73)))</f>
        <v>VNXCSTREUR</v>
      </c>
      <c r="C73" t="str">
        <f>IF(B73&lt;&gt;"",VLOOKUP($B73,IDX_REF!$A$2:$I$900,3,0),"")</f>
        <v>VNX CONSUMER SERVICES TR (EUR)</v>
      </c>
      <c r="D73" t="str">
        <f>IF(C73&lt;&gt;"",VLOOKUP($B73,IDX_REF!$A$2:$I$900,4,0),"")</f>
        <v>EUR</v>
      </c>
      <c r="E73">
        <f>IF(D73&lt;&gt;"",VLOOKUP($B73,IDX_REF!$A$2:$I$900,5,0),"")</f>
        <v>1000</v>
      </c>
      <c r="F73" t="str">
        <f>IF(E73&lt;&gt;"",VLOOKUP($B73,IDX_REF!$A$2:$I$900,7,0),"")</f>
        <v>R</v>
      </c>
      <c r="G73" t="str">
        <f>IF(F73&lt;&gt;"",VLOOKUP($B73,IDX_REF!$A$2:$I$900,8,0),"")</f>
        <v>VNXCSPRVND</v>
      </c>
      <c r="H73" s="12">
        <v>344827586206.89655</v>
      </c>
      <c r="I73" s="12">
        <f>IF(B73&lt;&gt;"",SUMIF(IDX_COMPOSITION!$R$2:$R$123,IDX_SPECS!$G73,IDX_COMPOSITION!$K$2:$K$123)/V73,"")</f>
        <v>26438798.44404757</v>
      </c>
      <c r="J73" s="12">
        <f t="shared" si="5"/>
        <v>78.735701970086367</v>
      </c>
      <c r="K73" s="75">
        <v>41165</v>
      </c>
      <c r="L73" s="1">
        <v>0</v>
      </c>
      <c r="M73">
        <f>IF(B73&lt;&gt;"",COUNTIF(IDX_COMPOSITION!$R$2:$R$123,IDX_SPECS!G73),"")</f>
        <v>1</v>
      </c>
      <c r="N73">
        <f>IF(B73&lt;&gt;"",VLOOKUP($B73,IDX_REF!$A$2:$K$580,10,0),"")</f>
        <v>1</v>
      </c>
      <c r="O73">
        <f>IF(C73&lt;&gt;"",VLOOKUP($B73,IDX_REF!$A$2:$K$580,11,0),"")</f>
        <v>0</v>
      </c>
      <c r="Q73" s="12">
        <f>IF(B73&lt;&gt;"",SUMIF(IDX_COMPOSITION!$R$2:$R$123,IDX_SPECS!$G73,IDX_COMPOSITION!$N$2:$N$123)/V73,"")</f>
        <v>3540910.5058992282</v>
      </c>
      <c r="R73">
        <v>0</v>
      </c>
      <c r="S73" s="25" t="str">
        <f>IF(R73=1,SUMIF(IDX_COMPOSITION!$R$2:$R$123,IDX_SPECS!$G73,IDX_COMPOSITION!#REF!)/IF(ISNA(VLOOKUP(D73&amp;INDEX($D$2:$D$1048576,MATCH(G73,$B$2:$B$1048576,0)),CUR_RATES!$A$2:$F$1048576,4,0)),1,VLOOKUP(D73&amp;INDEX($D$2:$D$1048576,MATCH(G73,$B$2:$B$1048576,0)),CUR_RATES!$A$2:$F$1048576,4,0)),"")</f>
        <v/>
      </c>
      <c r="T73" s="29" t="str">
        <f t="shared" si="6"/>
        <v/>
      </c>
      <c r="U73" t="str">
        <f>IF(B73&lt;&gt;"",VLOOKUP($B73,IDX_REF!$A$2:$K$580,9,0),"")</f>
        <v>Sectors</v>
      </c>
      <c r="V73" s="12">
        <f>IF(B73&lt;&gt;"",IF(D73=INDEX($D$2:$D$1048576,MATCH(G73,$B$2:$B$1048576,0)),1,IF(SUMPRODUCT(--(K73=CUR_RATES!$E$1:$E$97),--(D73&amp;INDEX($D$2:$D$1048576,MATCH(G73,$B$2:$B$1048576,0))=CUR_RATES!$A$1:$A$97),ROW(CUR_RATES!$E$1:$E$97))=0,INDEX(CUR_RATES!$D:$D,SUMPRODUCT(--((K73-1)=CUR_RATES!$E$1:$E$97),--(D73&amp;INDEX($D$2:$D$1048576,MATCH(G73,$B$2:$B$1048576,0))=CUR_RATES!$A$1:$A$97),ROW(CUR_RATES!$E$1:$E$97))),INDEX(CUR_RATES!$D:$D,SUMPRODUCT(--(K73=CUR_RATES!$E$1:$E$97),--(D73&amp;INDEX($D$2:$D$1048576,MATCH(G73,$B$2:$B$1048576,0))=CUR_RATES!$A$1:$A$97),ROW(CUR_RATES!$E$1:$E$97))))),"")</f>
        <v>29810.68</v>
      </c>
      <c r="W73">
        <v>82.224379999999996</v>
      </c>
      <c r="Y73" s="12">
        <f t="shared" si="7"/>
        <v>-4.2428754463258089</v>
      </c>
    </row>
    <row r="74" spans="1:25" x14ac:dyDescent="0.2">
      <c r="A74">
        <v>20062</v>
      </c>
      <c r="B74" s="2" t="str">
        <f>IF(INDEX(IDX_REF!$A:$A,ROW(IDX_REF!B74))=0,"",INDEX(IDX_REF!$A:$A,ROW(IDX_REF!B74)))</f>
        <v>VNXFITRVND</v>
      </c>
      <c r="C74" t="str">
        <f>IF(B74&lt;&gt;"",VLOOKUP($B74,IDX_REF!$A$2:$I$900,3,0),"")</f>
        <v xml:space="preserve">VNX FINANCIALS TR </v>
      </c>
      <c r="D74" t="str">
        <f>IF(C74&lt;&gt;"",VLOOKUP($B74,IDX_REF!$A$2:$I$900,4,0),"")</f>
        <v>VND</v>
      </c>
      <c r="E74">
        <f>IF(D74&lt;&gt;"",VLOOKUP($B74,IDX_REF!$A$2:$I$900,5,0),"")</f>
        <v>1000</v>
      </c>
      <c r="F74" t="str">
        <f>IF(E74&lt;&gt;"",VLOOKUP($B74,IDX_REF!$A$2:$I$900,7,0),"")</f>
        <v>R</v>
      </c>
      <c r="G74" t="str">
        <f>IF(F74&lt;&gt;"",VLOOKUP($B74,IDX_REF!$A$2:$I$900,8,0),"")</f>
        <v>VNXFIPRVND</v>
      </c>
      <c r="H74" s="12">
        <v>10000000000000</v>
      </c>
      <c r="I74" s="12">
        <f>IF(B74&lt;&gt;"",SUMIF(IDX_COMPOSITION!$R$2:$R$123,IDX_SPECS!$G74,IDX_COMPOSITION!$K$2:$K$123)/V74,"")</f>
        <v>10683771510000</v>
      </c>
      <c r="J74" s="12">
        <f t="shared" si="5"/>
        <v>927.5800824124118</v>
      </c>
      <c r="K74" s="75">
        <v>41165</v>
      </c>
      <c r="L74" s="1">
        <v>0</v>
      </c>
      <c r="M74">
        <f>IF(B74&lt;&gt;"",COUNTIF(IDX_COMPOSITION!$R$2:$R$123,IDX_SPECS!G74),"")</f>
        <v>5</v>
      </c>
      <c r="N74">
        <f>IF(B74&lt;&gt;"",VLOOKUP($B74,IDX_REF!$A$2:$K$580,10,0),"")</f>
        <v>1</v>
      </c>
      <c r="O74">
        <f>IF(C74&lt;&gt;"",VLOOKUP($B74,IDX_REF!$A$2:$K$580,11,0),"")</f>
        <v>0</v>
      </c>
      <c r="Q74" s="12">
        <f>IF(B74&lt;&gt;"",SUMIF(IDX_COMPOSITION!$R$2:$R$123,IDX_SPECS!$G74,IDX_COMPOSITION!$N$2:$N$123)/V74,"")</f>
        <v>50000000000</v>
      </c>
      <c r="R74">
        <v>0</v>
      </c>
      <c r="S74" s="25" t="str">
        <f>IF(R74=1,SUMIF(IDX_COMPOSITION!$R$2:$R$123,IDX_SPECS!$G74,IDX_COMPOSITION!#REF!)/IF(ISNA(VLOOKUP(D74&amp;INDEX($D$2:$D$1048576,MATCH(G74,$B$2:$B$1048576,0)),CUR_RATES!$A$2:$F$1048576,4,0)),1,VLOOKUP(D74&amp;INDEX($D$2:$D$1048576,MATCH(G74,$B$2:$B$1048576,0)),CUR_RATES!$A$2:$F$1048576,4,0)),"")</f>
        <v/>
      </c>
      <c r="T74" s="29" t="str">
        <f t="shared" si="6"/>
        <v/>
      </c>
      <c r="U74" t="str">
        <f>IF(B74&lt;&gt;"",VLOOKUP($B74,IDX_REF!$A$2:$K$580,9,0),"")</f>
        <v>Sectors</v>
      </c>
      <c r="V74" s="12">
        <f>IF(B74&lt;&gt;"",IF(D74=INDEX($D$2:$D$1048576,MATCH(G74,$B$2:$B$1048576,0)),1,IF(SUMPRODUCT(--(K74=CUR_RATES!$E$1:$E$97),--(D74&amp;INDEX($D$2:$D$1048576,MATCH(G74,$B$2:$B$1048576,0))=CUR_RATES!$A$1:$A$97),ROW(CUR_RATES!$E$1:$E$97))=0,INDEX(CUR_RATES!$D:$D,SUMPRODUCT(--((K74-1)=CUR_RATES!$E$1:$E$97),--(D74&amp;INDEX($D$2:$D$1048576,MATCH(G74,$B$2:$B$1048576,0))=CUR_RATES!$A$1:$A$97),ROW(CUR_RATES!$E$1:$E$97))),INDEX(CUR_RATES!$D:$D,SUMPRODUCT(--(K74=CUR_RATES!$E$1:$E$97),--(D74&amp;INDEX($D$2:$D$1048576,MATCH(G74,$B$2:$B$1048576,0))=CUR_RATES!$A$1:$A$97),ROW(CUR_RATES!$E$1:$E$97))))),"")</f>
        <v>1</v>
      </c>
      <c r="W74">
        <v>942.60699999999997</v>
      </c>
      <c r="Y74" s="12">
        <f t="shared" si="7"/>
        <v>-1.5941869291855644</v>
      </c>
    </row>
    <row r="75" spans="1:25" x14ac:dyDescent="0.2">
      <c r="A75">
        <v>20063</v>
      </c>
      <c r="B75" s="2" t="str">
        <f>IF(INDEX(IDX_REF!$A:$A,ROW(IDX_REF!B75))=0,"",INDEX(IDX_REF!$A:$A,ROW(IDX_REF!B75)))</f>
        <v>VNXFITRUSD</v>
      </c>
      <c r="C75" t="str">
        <f>IF(B75&lt;&gt;"",VLOOKUP($B75,IDX_REF!$A$2:$I$900,3,0),"")</f>
        <v>VNX FINANCIALS TR (USD)</v>
      </c>
      <c r="D75" t="str">
        <f>IF(C75&lt;&gt;"",VLOOKUP($B75,IDX_REF!$A$2:$I$900,4,0),"")</f>
        <v>USD</v>
      </c>
      <c r="E75">
        <f>IF(D75&lt;&gt;"",VLOOKUP($B75,IDX_REF!$A$2:$I$900,5,0),"")</f>
        <v>1000</v>
      </c>
      <c r="F75" t="str">
        <f>IF(E75&lt;&gt;"",VLOOKUP($B75,IDX_REF!$A$2:$I$900,7,0),"")</f>
        <v>R</v>
      </c>
      <c r="G75" t="str">
        <f>IF(F75&lt;&gt;"",VLOOKUP($B75,IDX_REF!$A$2:$I$900,8,0),"")</f>
        <v>VNXFIPRVND</v>
      </c>
      <c r="H75" s="12">
        <v>476190476190.4762</v>
      </c>
      <c r="I75" s="12">
        <f>IF(B75&lt;&gt;"",SUMIF(IDX_COMPOSITION!$R$2:$R$123,IDX_SPECS!$G75,IDX_COMPOSITION!$K$2:$K$123)/V75,"")</f>
        <v>488066309.27364093</v>
      </c>
      <c r="J75" s="12">
        <f t="shared" si="5"/>
        <v>964.58011019817411</v>
      </c>
      <c r="K75" s="75">
        <v>41165</v>
      </c>
      <c r="L75" s="1">
        <v>0</v>
      </c>
      <c r="M75">
        <f>IF(B75&lt;&gt;"",COUNTIF(IDX_COMPOSITION!$R$2:$R$123,IDX_SPECS!G75),"")</f>
        <v>5</v>
      </c>
      <c r="N75">
        <f>IF(B75&lt;&gt;"",VLOOKUP($B75,IDX_REF!$A$2:$K$580,10,0),"")</f>
        <v>1</v>
      </c>
      <c r="O75">
        <f>IF(C75&lt;&gt;"",VLOOKUP($B75,IDX_REF!$A$2:$K$580,11,0),"")</f>
        <v>0</v>
      </c>
      <c r="Q75" s="12">
        <f>IF(B75&lt;&gt;"",SUMIF(IDX_COMPOSITION!$R$2:$R$123,IDX_SPECS!$G75,IDX_COMPOSITION!$N$2:$N$123)/V75,"")</f>
        <v>2284148.0127912289</v>
      </c>
      <c r="R75">
        <v>0</v>
      </c>
      <c r="S75" s="25" t="str">
        <f>IF(R75=1,SUMIF(IDX_COMPOSITION!$R$2:$R$123,IDX_SPECS!$G75,IDX_COMPOSITION!#REF!)/IF(ISNA(VLOOKUP(D75&amp;INDEX($D$2:$D$1048576,MATCH(G75,$B$2:$B$1048576,0)),CUR_RATES!$A$2:$F$1048576,4,0)),1,VLOOKUP(D75&amp;INDEX($D$2:$D$1048576,MATCH(G75,$B$2:$B$1048576,0)),CUR_RATES!$A$2:$F$1048576,4,0)),"")</f>
        <v/>
      </c>
      <c r="T75" s="29" t="str">
        <f t="shared" si="6"/>
        <v/>
      </c>
      <c r="U75" t="str">
        <f>IF(B75&lt;&gt;"",VLOOKUP($B75,IDX_REF!$A$2:$K$580,9,0),"")</f>
        <v>Sectors</v>
      </c>
      <c r="V75" s="12">
        <f>IF(B75&lt;&gt;"",IF(D75=INDEX($D$2:$D$1048576,MATCH(G75,$B$2:$B$1048576,0)),1,IF(SUMPRODUCT(--(K75=CUR_RATES!$E$1:$E$97),--(D75&amp;INDEX($D$2:$D$1048576,MATCH(G75,$B$2:$B$1048576,0))=CUR_RATES!$A$1:$A$97),ROW(CUR_RATES!$E$1:$E$97))=0,INDEX(CUR_RATES!$D:$D,SUMPRODUCT(--((K75-1)=CUR_RATES!$E$1:$E$97),--(D75&amp;INDEX($D$2:$D$1048576,MATCH(G75,$B$2:$B$1048576,0))=CUR_RATES!$A$1:$A$97),ROW(CUR_RATES!$E$1:$E$97))),INDEX(CUR_RATES!$D:$D,SUMPRODUCT(--(K75=CUR_RATES!$E$1:$E$97),--(D75&amp;INDEX($D$2:$D$1048576,MATCH(G75,$B$2:$B$1048576,0))=CUR_RATES!$A$1:$A$97),ROW(CUR_RATES!$E$1:$E$97))))),"")</f>
        <v>21890</v>
      </c>
      <c r="W75">
        <v>933.87350000000004</v>
      </c>
      <c r="Y75" s="12">
        <f t="shared" si="7"/>
        <v>3.2880909671571228</v>
      </c>
    </row>
    <row r="76" spans="1:25" x14ac:dyDescent="0.2">
      <c r="A76">
        <v>20064</v>
      </c>
      <c r="B76" s="2" t="str">
        <f>IF(INDEX(IDX_REF!$A:$A,ROW(IDX_REF!B76))=0,"",INDEX(IDX_REF!$A:$A,ROW(IDX_REF!B76)))</f>
        <v>VNXFITRJPY</v>
      </c>
      <c r="C76" t="str">
        <f>IF(B76&lt;&gt;"",VLOOKUP($B76,IDX_REF!$A$2:$I$900,3,0),"")</f>
        <v>VNX FINANCIALS TR (JPY)</v>
      </c>
      <c r="D76" t="str">
        <f>IF(C76&lt;&gt;"",VLOOKUP($B76,IDX_REF!$A$2:$I$900,4,0),"")</f>
        <v>JPY</v>
      </c>
      <c r="E76">
        <f>IF(D76&lt;&gt;"",VLOOKUP($B76,IDX_REF!$A$2:$I$900,5,0),"")</f>
        <v>1000</v>
      </c>
      <c r="F76" t="str">
        <f>IF(E76&lt;&gt;"",VLOOKUP($B76,IDX_REF!$A$2:$I$900,7,0),"")</f>
        <v>R</v>
      </c>
      <c r="G76" t="str">
        <f>IF(F76&lt;&gt;"",VLOOKUP($B76,IDX_REF!$A$2:$I$900,8,0),"")</f>
        <v>VNXFIPRVND</v>
      </c>
      <c r="H76" s="12">
        <v>37735849056.603775</v>
      </c>
      <c r="I76" s="12">
        <f>IF(B76&lt;&gt;"",SUMIF(IDX_COMPOSITION!$R$2:$R$123,IDX_SPECS!$G76,IDX_COMPOSITION!$K$2:$K$123)/V76,"")</f>
        <v>37885714574.468086</v>
      </c>
      <c r="J76" s="12">
        <f t="shared" si="5"/>
        <v>1052.7193752526596</v>
      </c>
      <c r="K76" s="75">
        <v>41165</v>
      </c>
      <c r="L76" s="1">
        <v>0</v>
      </c>
      <c r="M76">
        <f>IF(B76&lt;&gt;"",COUNTIF(IDX_COMPOSITION!$R$2:$R$123,IDX_SPECS!G76),"")</f>
        <v>5</v>
      </c>
      <c r="N76">
        <f>IF(B76&lt;&gt;"",VLOOKUP($B76,IDX_REF!$A$2:$K$580,10,0),"")</f>
        <v>1</v>
      </c>
      <c r="O76">
        <f>IF(C76&lt;&gt;"",VLOOKUP($B76,IDX_REF!$A$2:$K$580,11,0),"")</f>
        <v>0</v>
      </c>
      <c r="Q76" s="12">
        <f>IF(B76&lt;&gt;"",SUMIF(IDX_COMPOSITION!$R$2:$R$123,IDX_SPECS!$G76,IDX_COMPOSITION!$N$2:$N$123)/V76,"")</f>
        <v>177304964.5390071</v>
      </c>
      <c r="R76">
        <v>0</v>
      </c>
      <c r="S76" s="25" t="str">
        <f>IF(R76=1,SUMIF(IDX_COMPOSITION!$R$2:$R$123,IDX_SPECS!$G76,IDX_COMPOSITION!#REF!)/IF(ISNA(VLOOKUP(D76&amp;INDEX($D$2:$D$1048576,MATCH(G76,$B$2:$B$1048576,0)),CUR_RATES!$A$2:$F$1048576,4,0)),1,VLOOKUP(D76&amp;INDEX($D$2:$D$1048576,MATCH(G76,$B$2:$B$1048576,0)),CUR_RATES!$A$2:$F$1048576,4,0)),"")</f>
        <v/>
      </c>
      <c r="T76" s="29" t="str">
        <f t="shared" si="6"/>
        <v/>
      </c>
      <c r="U76" t="str">
        <f>IF(B76&lt;&gt;"",VLOOKUP($B76,IDX_REF!$A$2:$K$580,9,0),"")</f>
        <v>Sectors</v>
      </c>
      <c r="V76" s="12">
        <f>IF(B76&lt;&gt;"",IF(D76=INDEX($D$2:$D$1048576,MATCH(G76,$B$2:$B$1048576,0)),1,IF(SUMPRODUCT(--(K76=CUR_RATES!$E$1:$E$97),--(D76&amp;INDEX($D$2:$D$1048576,MATCH(G76,$B$2:$B$1048576,0))=CUR_RATES!$A$1:$A$97),ROW(CUR_RATES!$E$1:$E$97))=0,INDEX(CUR_RATES!$D:$D,SUMPRODUCT(--((K76-1)=CUR_RATES!$E$1:$E$97),--(D76&amp;INDEX($D$2:$D$1048576,MATCH(G76,$B$2:$B$1048576,0))=CUR_RATES!$A$1:$A$97),ROW(CUR_RATES!$E$1:$E$97))),INDEX(CUR_RATES!$D:$D,SUMPRODUCT(--(K76=CUR_RATES!$E$1:$E$97),--(D76&amp;INDEX($D$2:$D$1048576,MATCH(G76,$B$2:$B$1048576,0))=CUR_RATES!$A$1:$A$97),ROW(CUR_RATES!$E$1:$E$97))))),"")</f>
        <v>282</v>
      </c>
      <c r="W76">
        <v>1026.549</v>
      </c>
      <c r="Y76" s="12">
        <f t="shared" si="7"/>
        <v>2.5493547071459419</v>
      </c>
    </row>
    <row r="77" spans="1:25" x14ac:dyDescent="0.2">
      <c r="A77">
        <v>20065</v>
      </c>
      <c r="B77" s="2" t="str">
        <f>IF(INDEX(IDX_REF!$A:$A,ROW(IDX_REF!B77))=0,"",INDEX(IDX_REF!$A:$A,ROW(IDX_REF!B77)))</f>
        <v>VNXFITREUR</v>
      </c>
      <c r="C77" t="str">
        <f>IF(B77&lt;&gt;"",VLOOKUP($B77,IDX_REF!$A$2:$I$900,3,0),"")</f>
        <v>VNX FINANCIALS TR (EUR)</v>
      </c>
      <c r="D77" t="str">
        <f>IF(C77&lt;&gt;"",VLOOKUP($B77,IDX_REF!$A$2:$I$900,4,0),"")</f>
        <v>EUR</v>
      </c>
      <c r="E77">
        <f>IF(D77&lt;&gt;"",VLOOKUP($B77,IDX_REF!$A$2:$I$900,5,0),"")</f>
        <v>1000</v>
      </c>
      <c r="F77" t="str">
        <f>IF(E77&lt;&gt;"",VLOOKUP($B77,IDX_REF!$A$2:$I$900,7,0),"")</f>
        <v>R</v>
      </c>
      <c r="G77" t="str">
        <f>IF(F77&lt;&gt;"",VLOOKUP($B77,IDX_REF!$A$2:$I$900,8,0),"")</f>
        <v>VNXFIPRVND</v>
      </c>
      <c r="H77" s="12">
        <v>344827586206.89655</v>
      </c>
      <c r="I77" s="12">
        <f>IF(B77&lt;&gt;"",SUMIF(IDX_COMPOSITION!$R$2:$R$123,IDX_SPECS!$G77,IDX_COMPOSITION!$K$2:$K$123)/V77,"")</f>
        <v>358387380.29457897</v>
      </c>
      <c r="J77" s="12">
        <f t="shared" si="5"/>
        <v>987.53597135832672</v>
      </c>
      <c r="K77" s="75">
        <v>41165</v>
      </c>
      <c r="L77" s="1">
        <v>0</v>
      </c>
      <c r="M77">
        <f>IF(B77&lt;&gt;"",COUNTIF(IDX_COMPOSITION!$R$2:$R$123,IDX_SPECS!G77),"")</f>
        <v>5</v>
      </c>
      <c r="N77">
        <f>IF(B77&lt;&gt;"",VLOOKUP($B77,IDX_REF!$A$2:$K$580,10,0),"")</f>
        <v>1</v>
      </c>
      <c r="O77">
        <f>IF(C77&lt;&gt;"",VLOOKUP($B77,IDX_REF!$A$2:$K$580,11,0),"")</f>
        <v>0</v>
      </c>
      <c r="Q77" s="12">
        <f>IF(B77&lt;&gt;"",SUMIF(IDX_COMPOSITION!$R$2:$R$123,IDX_SPECS!$G77,IDX_COMPOSITION!$N$2:$N$123)/V77,"")</f>
        <v>1677251.240159567</v>
      </c>
      <c r="R77">
        <v>0</v>
      </c>
      <c r="S77" s="25" t="str">
        <f>IF(R77=1,SUMIF(IDX_COMPOSITION!$R$2:$R$123,IDX_SPECS!$G77,IDX_COMPOSITION!#REF!)/IF(ISNA(VLOOKUP(D77&amp;INDEX($D$2:$D$1048576,MATCH(G77,$B$2:$B$1048576,0)),CUR_RATES!$A$2:$F$1048576,4,0)),1,VLOOKUP(D77&amp;INDEX($D$2:$D$1048576,MATCH(G77,$B$2:$B$1048576,0)),CUR_RATES!$A$2:$F$1048576,4,0)),"")</f>
        <v/>
      </c>
      <c r="T77" s="29" t="str">
        <f t="shared" si="6"/>
        <v/>
      </c>
      <c r="U77" t="str">
        <f>IF(B77&lt;&gt;"",VLOOKUP($B77,IDX_REF!$A$2:$K$580,9,0),"")</f>
        <v>Sectors</v>
      </c>
      <c r="V77" s="12">
        <f>IF(B77&lt;&gt;"",IF(D77=INDEX($D$2:$D$1048576,MATCH(G77,$B$2:$B$1048576,0)),1,IF(SUMPRODUCT(--(K77=CUR_RATES!$E$1:$E$97),--(D77&amp;INDEX($D$2:$D$1048576,MATCH(G77,$B$2:$B$1048576,0))=CUR_RATES!$A$1:$A$97),ROW(CUR_RATES!$E$1:$E$97))=0,INDEX(CUR_RATES!$D:$D,SUMPRODUCT(--((K77-1)=CUR_RATES!$E$1:$E$97),--(D77&amp;INDEX($D$2:$D$1048576,MATCH(G77,$B$2:$B$1048576,0))=CUR_RATES!$A$1:$A$97),ROW(CUR_RATES!$E$1:$E$97))),INDEX(CUR_RATES!$D:$D,SUMPRODUCT(--(K77=CUR_RATES!$E$1:$E$97),--(D77&amp;INDEX($D$2:$D$1048576,MATCH(G77,$B$2:$B$1048576,0))=CUR_RATES!$A$1:$A$97),ROW(CUR_RATES!$E$1:$E$97))))),"")</f>
        <v>29810.68</v>
      </c>
      <c r="W77">
        <v>1018.629</v>
      </c>
      <c r="Y77" s="12">
        <f t="shared" si="7"/>
        <v>-3.0524389784380084</v>
      </c>
    </row>
    <row r="78" spans="1:25" x14ac:dyDescent="0.2">
      <c r="A78">
        <v>20066</v>
      </c>
      <c r="B78" s="2" t="str">
        <f>IF(INDEX(IDX_REF!$A:$A,ROW(IDX_REF!B78))=0,"",INDEX(IDX_REF!$A:$A,ROW(IDX_REF!B78)))</f>
        <v>VNXINTRVND</v>
      </c>
      <c r="C78" t="str">
        <f>IF(B78&lt;&gt;"",VLOOKUP($B78,IDX_REF!$A$2:$I$900,3,0),"")</f>
        <v xml:space="preserve">VNX INDUSTRIALS TR </v>
      </c>
      <c r="D78" t="str">
        <f>IF(C78&lt;&gt;"",VLOOKUP($B78,IDX_REF!$A$2:$I$900,4,0),"")</f>
        <v>VND</v>
      </c>
      <c r="E78">
        <f>IF(D78&lt;&gt;"",VLOOKUP($B78,IDX_REF!$A$2:$I$900,5,0),"")</f>
        <v>1000</v>
      </c>
      <c r="F78" t="str">
        <f>IF(E78&lt;&gt;"",VLOOKUP($B78,IDX_REF!$A$2:$I$900,7,0),"")</f>
        <v>R</v>
      </c>
      <c r="G78" t="str">
        <f>IF(F78&lt;&gt;"",VLOOKUP($B78,IDX_REF!$A$2:$I$900,8,0),"")</f>
        <v>VNXINPRVND</v>
      </c>
      <c r="H78" s="12">
        <v>10000000000000</v>
      </c>
      <c r="I78" s="12">
        <f>IF(B78&lt;&gt;"",SUMIF(IDX_COMPOSITION!$R$2:$R$123,IDX_SPECS!$G78,IDX_COMPOSITION!$K$2:$K$123)/V78,"")</f>
        <v>12555633734400</v>
      </c>
      <c r="J78" s="12">
        <f t="shared" si="5"/>
        <v>1457.7818717248695</v>
      </c>
      <c r="K78" s="75">
        <v>41165</v>
      </c>
      <c r="L78" s="1">
        <v>0</v>
      </c>
      <c r="M78">
        <f>IF(B78&lt;&gt;"",COUNTIF(IDX_COMPOSITION!$R$2:$R$123,IDX_SPECS!G78),"")</f>
        <v>15</v>
      </c>
      <c r="N78">
        <f>IF(B78&lt;&gt;"",VLOOKUP($B78,IDX_REF!$A$2:$K$580,10,0),"")</f>
        <v>1</v>
      </c>
      <c r="O78">
        <f>IF(C78&lt;&gt;"",VLOOKUP($B78,IDX_REF!$A$2:$K$580,11,0),"")</f>
        <v>0</v>
      </c>
      <c r="Q78" s="12">
        <f>IF(B78&lt;&gt;"",SUMIF(IDX_COMPOSITION!$R$2:$R$123,IDX_SPECS!$G78,IDX_COMPOSITION!$N$2:$N$123)/V78,"")</f>
        <v>461428473000</v>
      </c>
      <c r="R78">
        <v>0</v>
      </c>
      <c r="S78" s="25" t="str">
        <f>IF(R78=1,SUMIF(IDX_COMPOSITION!$R$2:$R$123,IDX_SPECS!$G78,IDX_COMPOSITION!#REF!)/IF(ISNA(VLOOKUP(D78&amp;INDEX($D$2:$D$1048576,MATCH(G78,$B$2:$B$1048576,0)),CUR_RATES!$A$2:$F$1048576,4,0)),1,VLOOKUP(D78&amp;INDEX($D$2:$D$1048576,MATCH(G78,$B$2:$B$1048576,0)),CUR_RATES!$A$2:$F$1048576,4,0)),"")</f>
        <v/>
      </c>
      <c r="T78" s="29" t="str">
        <f t="shared" si="6"/>
        <v/>
      </c>
      <c r="U78" t="str">
        <f>IF(B78&lt;&gt;"",VLOOKUP($B78,IDX_REF!$A$2:$K$580,9,0),"")</f>
        <v>Sectors</v>
      </c>
      <c r="V78" s="12">
        <f>IF(B78&lt;&gt;"",IF(D78=INDEX($D$2:$D$1048576,MATCH(G78,$B$2:$B$1048576,0)),1,IF(SUMPRODUCT(--(K78=CUR_RATES!$E$1:$E$97),--(D78&amp;INDEX($D$2:$D$1048576,MATCH(G78,$B$2:$B$1048576,0))=CUR_RATES!$A$1:$A$97),ROW(CUR_RATES!$E$1:$E$97))=0,INDEX(CUR_RATES!$D:$D,SUMPRODUCT(--((K78-1)=CUR_RATES!$E$1:$E$97),--(D78&amp;INDEX($D$2:$D$1048576,MATCH(G78,$B$2:$B$1048576,0))=CUR_RATES!$A$1:$A$97),ROW(CUR_RATES!$E$1:$E$97))),INDEX(CUR_RATES!$D:$D,SUMPRODUCT(--(K78=CUR_RATES!$E$1:$E$97),--(D78&amp;INDEX($D$2:$D$1048576,MATCH(G78,$B$2:$B$1048576,0))=CUR_RATES!$A$1:$A$97),ROW(CUR_RATES!$E$1:$E$97))))),"")</f>
        <v>1</v>
      </c>
      <c r="W78">
        <v>1362.3</v>
      </c>
      <c r="Y78" s="12">
        <f t="shared" si="7"/>
        <v>7.0088726216596582</v>
      </c>
    </row>
    <row r="79" spans="1:25" x14ac:dyDescent="0.2">
      <c r="A79">
        <v>20067</v>
      </c>
      <c r="B79" s="2" t="str">
        <f>IF(INDEX(IDX_REF!$A:$A,ROW(IDX_REF!B79))=0,"",INDEX(IDX_REF!$A:$A,ROW(IDX_REF!B79)))</f>
        <v>VNXINTRUSD</v>
      </c>
      <c r="C79" t="str">
        <f>IF(B79&lt;&gt;"",VLOOKUP($B79,IDX_REF!$A$2:$I$900,3,0),"")</f>
        <v>VNX INDUSTRIALS TR (USD)</v>
      </c>
      <c r="D79" t="str">
        <f>IF(C79&lt;&gt;"",VLOOKUP($B79,IDX_REF!$A$2:$I$900,4,0),"")</f>
        <v>USD</v>
      </c>
      <c r="E79">
        <f>IF(D79&lt;&gt;"",VLOOKUP($B79,IDX_REF!$A$2:$I$900,5,0),"")</f>
        <v>1000</v>
      </c>
      <c r="F79" t="str">
        <f>IF(E79&lt;&gt;"",VLOOKUP($B79,IDX_REF!$A$2:$I$900,7,0),"")</f>
        <v>R</v>
      </c>
      <c r="G79" t="str">
        <f>IF(F79&lt;&gt;"",VLOOKUP($B79,IDX_REF!$A$2:$I$900,8,0),"")</f>
        <v>VNXINPRVND</v>
      </c>
      <c r="H79" s="12">
        <v>476190476190.4762</v>
      </c>
      <c r="I79" s="12">
        <f>IF(B79&lt;&gt;"",SUMIF(IDX_COMPOSITION!$R$2:$R$123,IDX_SPECS!$G79,IDX_COMPOSITION!$K$2:$K$123)/V79,"")</f>
        <v>573578516.87528551</v>
      </c>
      <c r="J79" s="12">
        <f t="shared" si="5"/>
        <v>1131.7934850458964</v>
      </c>
      <c r="K79" s="75">
        <v>41165</v>
      </c>
      <c r="L79" s="1">
        <v>0</v>
      </c>
      <c r="M79">
        <f>IF(B79&lt;&gt;"",COUNTIF(IDX_COMPOSITION!$R$2:$R$123,IDX_SPECS!G79),"")</f>
        <v>15</v>
      </c>
      <c r="N79">
        <f>IF(B79&lt;&gt;"",VLOOKUP($B79,IDX_REF!$A$2:$K$580,10,0),"")</f>
        <v>1</v>
      </c>
      <c r="O79">
        <f>IF(C79&lt;&gt;"",VLOOKUP($B79,IDX_REF!$A$2:$K$580,11,0),"")</f>
        <v>0</v>
      </c>
      <c r="Q79" s="12">
        <f>IF(B79&lt;&gt;"",SUMIF(IDX_COMPOSITION!$R$2:$R$123,IDX_SPECS!$G79,IDX_COMPOSITION!$N$2:$N$123)/V79,"")</f>
        <v>21079418.592964824</v>
      </c>
      <c r="R79">
        <v>0</v>
      </c>
      <c r="S79" s="25" t="str">
        <f>IF(R79=1,SUMIF(IDX_COMPOSITION!$R$2:$R$123,IDX_SPECS!$G79,IDX_COMPOSITION!#REF!)/IF(ISNA(VLOOKUP(D79&amp;INDEX($D$2:$D$1048576,MATCH(G79,$B$2:$B$1048576,0)),CUR_RATES!$A$2:$F$1048576,4,0)),1,VLOOKUP(D79&amp;INDEX($D$2:$D$1048576,MATCH(G79,$B$2:$B$1048576,0)),CUR_RATES!$A$2:$F$1048576,4,0)),"")</f>
        <v/>
      </c>
      <c r="T79" s="29" t="str">
        <f t="shared" si="6"/>
        <v/>
      </c>
      <c r="U79" t="str">
        <f>IF(B79&lt;&gt;"",VLOOKUP($B79,IDX_REF!$A$2:$K$580,9,0),"")</f>
        <v>Sectors</v>
      </c>
      <c r="V79" s="12">
        <f>IF(B79&lt;&gt;"",IF(D79=INDEX($D$2:$D$1048576,MATCH(G79,$B$2:$B$1048576,0)),1,IF(SUMPRODUCT(--(K79=CUR_RATES!$E$1:$E$97),--(D79&amp;INDEX($D$2:$D$1048576,MATCH(G79,$B$2:$B$1048576,0))=CUR_RATES!$A$1:$A$97),ROW(CUR_RATES!$E$1:$E$97))=0,INDEX(CUR_RATES!$D:$D,SUMPRODUCT(--((K79-1)=CUR_RATES!$E$1:$E$97),--(D79&amp;INDEX($D$2:$D$1048576,MATCH(G79,$B$2:$B$1048576,0))=CUR_RATES!$A$1:$A$97),ROW(CUR_RATES!$E$1:$E$97))),INDEX(CUR_RATES!$D:$D,SUMPRODUCT(--(K79=CUR_RATES!$E$1:$E$97),--(D79&amp;INDEX($D$2:$D$1048576,MATCH(G79,$B$2:$B$1048576,0))=CUR_RATES!$A$1:$A$97),ROW(CUR_RATES!$E$1:$E$97))))),"")</f>
        <v>21890</v>
      </c>
      <c r="W79">
        <v>1131.752</v>
      </c>
      <c r="Y79" s="12">
        <f t="shared" si="7"/>
        <v>3.6655597601311313E-3</v>
      </c>
    </row>
    <row r="80" spans="1:25" x14ac:dyDescent="0.2">
      <c r="A80">
        <v>20068</v>
      </c>
      <c r="B80" s="2" t="str">
        <f>IF(INDEX(IDX_REF!$A:$A,ROW(IDX_REF!B80))=0,"",INDEX(IDX_REF!$A:$A,ROW(IDX_REF!B80)))</f>
        <v>VNXINTRJPY</v>
      </c>
      <c r="C80" t="str">
        <f>IF(B80&lt;&gt;"",VLOOKUP($B80,IDX_REF!$A$2:$I$900,3,0),"")</f>
        <v>VNX INDUSTRIALS TR (JPY)</v>
      </c>
      <c r="D80" t="str">
        <f>IF(C80&lt;&gt;"",VLOOKUP($B80,IDX_REF!$A$2:$I$900,4,0),"")</f>
        <v>JPY</v>
      </c>
      <c r="E80">
        <f>IF(D80&lt;&gt;"",VLOOKUP($B80,IDX_REF!$A$2:$I$900,5,0),"")</f>
        <v>1000</v>
      </c>
      <c r="F80" t="str">
        <f>IF(E80&lt;&gt;"",VLOOKUP($B80,IDX_REF!$A$2:$I$900,7,0),"")</f>
        <v>R</v>
      </c>
      <c r="G80" t="str">
        <f>IF(F80&lt;&gt;"",VLOOKUP($B80,IDX_REF!$A$2:$I$900,8,0),"")</f>
        <v>VNXINPRVND</v>
      </c>
      <c r="H80" s="12">
        <v>37735849056.603775</v>
      </c>
      <c r="I80" s="12">
        <f>IF(B80&lt;&gt;"",SUMIF(IDX_COMPOSITION!$R$2:$R$123,IDX_SPECS!$G80,IDX_COMPOSITION!$K$2:$K$123)/V80,"")</f>
        <v>44523523880.851067</v>
      </c>
      <c r="J80" s="12">
        <f t="shared" si="5"/>
        <v>1403.1581352681933</v>
      </c>
      <c r="K80" s="75">
        <v>41165</v>
      </c>
      <c r="L80" s="1">
        <v>0</v>
      </c>
      <c r="M80">
        <f>IF(B80&lt;&gt;"",COUNTIF(IDX_COMPOSITION!$R$2:$R$123,IDX_SPECS!G80),"")</f>
        <v>15</v>
      </c>
      <c r="N80">
        <f>IF(B80&lt;&gt;"",VLOOKUP($B80,IDX_REF!$A$2:$K$580,10,0),"")</f>
        <v>1</v>
      </c>
      <c r="O80">
        <f>IF(C80&lt;&gt;"",VLOOKUP($B80,IDX_REF!$A$2:$K$580,11,0),"")</f>
        <v>0</v>
      </c>
      <c r="Q80" s="12">
        <f>IF(B80&lt;&gt;"",SUMIF(IDX_COMPOSITION!$R$2:$R$123,IDX_SPECS!$G80,IDX_COMPOSITION!$N$2:$N$123)/V80,"")</f>
        <v>1636271180.8510637</v>
      </c>
      <c r="R80">
        <v>0</v>
      </c>
      <c r="S80" s="25" t="str">
        <f>IF(R80=1,SUMIF(IDX_COMPOSITION!$R$2:$R$123,IDX_SPECS!$G80,IDX_COMPOSITION!#REF!)/IF(ISNA(VLOOKUP(D80&amp;INDEX($D$2:$D$1048576,MATCH(G80,$B$2:$B$1048576,0)),CUR_RATES!$A$2:$F$1048576,4,0)),1,VLOOKUP(D80&amp;INDEX($D$2:$D$1048576,MATCH(G80,$B$2:$B$1048576,0)),CUR_RATES!$A$2:$F$1048576,4,0)),"")</f>
        <v/>
      </c>
      <c r="T80" s="29" t="str">
        <f t="shared" si="6"/>
        <v/>
      </c>
      <c r="U80" t="str">
        <f>IF(B80&lt;&gt;"",VLOOKUP($B80,IDX_REF!$A$2:$K$580,9,0),"")</f>
        <v>Sectors</v>
      </c>
      <c r="V80" s="12">
        <f>IF(B80&lt;&gt;"",IF(D80=INDEX($D$2:$D$1048576,MATCH(G80,$B$2:$B$1048576,0)),1,IF(SUMPRODUCT(--(K80=CUR_RATES!$E$1:$E$97),--(D80&amp;INDEX($D$2:$D$1048576,MATCH(G80,$B$2:$B$1048576,0))=CUR_RATES!$A$1:$A$97),ROW(CUR_RATES!$E$1:$E$97))=0,INDEX(CUR_RATES!$D:$D,SUMPRODUCT(--((K80-1)=CUR_RATES!$E$1:$E$97),--(D80&amp;INDEX($D$2:$D$1048576,MATCH(G80,$B$2:$B$1048576,0))=CUR_RATES!$A$1:$A$97),ROW(CUR_RATES!$E$1:$E$97))),INDEX(CUR_RATES!$D:$D,SUMPRODUCT(--(K80=CUR_RATES!$E$1:$E$97),--(D80&amp;INDEX($D$2:$D$1048576,MATCH(G80,$B$2:$B$1048576,0))=CUR_RATES!$A$1:$A$97),ROW(CUR_RATES!$E$1:$E$97))))),"")</f>
        <v>282</v>
      </c>
      <c r="W80">
        <v>1311.317</v>
      </c>
      <c r="Y80" s="12">
        <f t="shared" si="7"/>
        <v>7.0037325275424083</v>
      </c>
    </row>
    <row r="81" spans="1:25" x14ac:dyDescent="0.2">
      <c r="A81">
        <v>20069</v>
      </c>
      <c r="B81" s="2" t="str">
        <f>IF(INDEX(IDX_REF!$A:$A,ROW(IDX_REF!B81))=0,"",INDEX(IDX_REF!$A:$A,ROW(IDX_REF!B81)))</f>
        <v>VNXINTREUR</v>
      </c>
      <c r="C81" t="str">
        <f>IF(B81&lt;&gt;"",VLOOKUP($B81,IDX_REF!$A$2:$I$900,3,0),"")</f>
        <v>VNX INDUSTRIALS TR (EUR)</v>
      </c>
      <c r="D81" t="str">
        <f>IF(C81&lt;&gt;"",VLOOKUP($B81,IDX_REF!$A$2:$I$900,4,0),"")</f>
        <v>EUR</v>
      </c>
      <c r="E81">
        <f>IF(D81&lt;&gt;"",VLOOKUP($B81,IDX_REF!$A$2:$I$900,5,0),"")</f>
        <v>1000</v>
      </c>
      <c r="F81" t="str">
        <f>IF(E81&lt;&gt;"",VLOOKUP($B81,IDX_REF!$A$2:$I$900,7,0),"")</f>
        <v>R</v>
      </c>
      <c r="G81" t="str">
        <f>IF(F81&lt;&gt;"",VLOOKUP($B81,IDX_REF!$A$2:$I$900,8,0),"")</f>
        <v>VNXINPRVND</v>
      </c>
      <c r="H81" s="12">
        <v>344827586206.89655</v>
      </c>
      <c r="I81" s="12">
        <f>IF(B81&lt;&gt;"",SUMIF(IDX_COMPOSITION!$R$2:$R$123,IDX_SPECS!$G81,IDX_COMPOSITION!$K$2:$K$123)/V81,"")</f>
        <v>421179045.04023391</v>
      </c>
      <c r="J81" s="12">
        <f t="shared" si="5"/>
        <v>1111.7890674473633</v>
      </c>
      <c r="K81" s="75">
        <v>41165</v>
      </c>
      <c r="L81" s="1">
        <v>0</v>
      </c>
      <c r="M81">
        <f>IF(B81&lt;&gt;"",COUNTIF(IDX_COMPOSITION!$R$2:$R$123,IDX_SPECS!G81),"")</f>
        <v>15</v>
      </c>
      <c r="N81">
        <f>IF(B81&lt;&gt;"",VLOOKUP($B81,IDX_REF!$A$2:$K$580,10,0),"")</f>
        <v>1</v>
      </c>
      <c r="O81">
        <f>IF(C81&lt;&gt;"",VLOOKUP($B81,IDX_REF!$A$2:$K$580,11,0),"")</f>
        <v>0</v>
      </c>
      <c r="Q81" s="12">
        <f>IF(B81&lt;&gt;"",SUMIF(IDX_COMPOSITION!$R$2:$R$123,IDX_SPECS!$G81,IDX_COMPOSITION!$N$2:$N$123)/V81,"")</f>
        <v>15478629.571683705</v>
      </c>
      <c r="R81">
        <v>0</v>
      </c>
      <c r="S81" s="25" t="str">
        <f>IF(R81=1,SUMIF(IDX_COMPOSITION!$R$2:$R$123,IDX_SPECS!$G81,IDX_COMPOSITION!#REF!)/IF(ISNA(VLOOKUP(D81&amp;INDEX($D$2:$D$1048576,MATCH(G81,$B$2:$B$1048576,0)),CUR_RATES!$A$2:$F$1048576,4,0)),1,VLOOKUP(D81&amp;INDEX($D$2:$D$1048576,MATCH(G81,$B$2:$B$1048576,0)),CUR_RATES!$A$2:$F$1048576,4,0)),"")</f>
        <v/>
      </c>
      <c r="T81" s="29" t="str">
        <f t="shared" si="6"/>
        <v/>
      </c>
      <c r="U81" t="str">
        <f>IF(B81&lt;&gt;"",VLOOKUP($B81,IDX_REF!$A$2:$K$580,9,0),"")</f>
        <v>Sectors</v>
      </c>
      <c r="V81" s="12">
        <f>IF(B81&lt;&gt;"",IF(D81=INDEX($D$2:$D$1048576,MATCH(G81,$B$2:$B$1048576,0)),1,IF(SUMPRODUCT(--(K81=CUR_RATES!$E$1:$E$97),--(D81&amp;INDEX($D$2:$D$1048576,MATCH(G81,$B$2:$B$1048576,0))=CUR_RATES!$A$1:$A$97),ROW(CUR_RATES!$E$1:$E$97))=0,INDEX(CUR_RATES!$D:$D,SUMPRODUCT(--((K81-1)=CUR_RATES!$E$1:$E$97),--(D81&amp;INDEX($D$2:$D$1048576,MATCH(G81,$B$2:$B$1048576,0))=CUR_RATES!$A$1:$A$97),ROW(CUR_RATES!$E$1:$E$97))),INDEX(CUR_RATES!$D:$D,SUMPRODUCT(--(K81=CUR_RATES!$E$1:$E$97),--(D81&amp;INDEX($D$2:$D$1048576,MATCH(G81,$B$2:$B$1048576,0))=CUR_RATES!$A$1:$A$97),ROW(CUR_RATES!$E$1:$E$97))))),"")</f>
        <v>29810.68</v>
      </c>
      <c r="W81">
        <v>1111.748</v>
      </c>
      <c r="Y81" s="12">
        <f t="shared" si="7"/>
        <v>3.6939528888988581E-3</v>
      </c>
    </row>
    <row r="82" spans="1:25" x14ac:dyDescent="0.2">
      <c r="A82">
        <v>20070</v>
      </c>
      <c r="B82" s="2" t="str">
        <f>IF(INDEX(IDX_REF!$A:$A,ROW(IDX_REF!B82))=0,"",INDEX(IDX_REF!$A:$A,ROW(IDX_REF!B82)))</f>
        <v>VNXOGTRVND</v>
      </c>
      <c r="C82" t="str">
        <f>IF(B82&lt;&gt;"",VLOOKUP($B82,IDX_REF!$A$2:$I$900,3,0),"")</f>
        <v xml:space="preserve">VNX OIL &amp; GAS TR </v>
      </c>
      <c r="D82" t="str">
        <f>IF(C82&lt;&gt;"",VLOOKUP($B82,IDX_REF!$A$2:$I$900,4,0),"")</f>
        <v>VND</v>
      </c>
      <c r="E82">
        <f>IF(D82&lt;&gt;"",VLOOKUP($B82,IDX_REF!$A$2:$I$900,5,0),"")</f>
        <v>1000</v>
      </c>
      <c r="F82" t="str">
        <f>IF(E82&lt;&gt;"",VLOOKUP($B82,IDX_REF!$A$2:$I$900,7,0),"")</f>
        <v>R</v>
      </c>
      <c r="G82" t="str">
        <f>IF(F82&lt;&gt;"",VLOOKUP($B82,IDX_REF!$A$2:$I$900,8,0),"")</f>
        <v>VNXOGPRVND</v>
      </c>
      <c r="H82" s="12">
        <v>10000000000000</v>
      </c>
      <c r="I82" s="12">
        <f>IF(B82&lt;&gt;"",SUMIF(IDX_COMPOSITION!$R$2:$R$123,IDX_SPECS!$G82,IDX_COMPOSITION!$K$2:$K$123)/V82,"")</f>
        <v>13957715385000</v>
      </c>
      <c r="J82" s="12">
        <f t="shared" si="5"/>
        <v>1627.2731777104718</v>
      </c>
      <c r="K82" s="75">
        <v>41165</v>
      </c>
      <c r="L82" s="1">
        <v>0</v>
      </c>
      <c r="M82">
        <f>IF(B82&lt;&gt;"",COUNTIF(IDX_COMPOSITION!$R$2:$R$123,IDX_SPECS!G82),"")</f>
        <v>5</v>
      </c>
      <c r="N82">
        <f>IF(B82&lt;&gt;"",VLOOKUP($B82,IDX_REF!$A$2:$K$580,10,0),"")</f>
        <v>1</v>
      </c>
      <c r="O82">
        <f>IF(C82&lt;&gt;"",VLOOKUP($B82,IDX_REF!$A$2:$K$580,11,0),"")</f>
        <v>0</v>
      </c>
      <c r="Q82" s="12">
        <f>IF(B82&lt;&gt;"",SUMIF(IDX_COMPOSITION!$R$2:$R$123,IDX_SPECS!$G82,IDX_COMPOSITION!$N$2:$N$123)/V82,"")</f>
        <v>700764606800</v>
      </c>
      <c r="R82">
        <v>0</v>
      </c>
      <c r="S82" s="25" t="str">
        <f>IF(R82=1,SUMIF(IDX_COMPOSITION!$R$2:$R$123,IDX_SPECS!$G82,IDX_COMPOSITION!#REF!)/IF(ISNA(VLOOKUP(D82&amp;INDEX($D$2:$D$1048576,MATCH(G82,$B$2:$B$1048576,0)),CUR_RATES!$A$2:$F$1048576,4,0)),1,VLOOKUP(D82&amp;INDEX($D$2:$D$1048576,MATCH(G82,$B$2:$B$1048576,0)),CUR_RATES!$A$2:$F$1048576,4,0)),"")</f>
        <v/>
      </c>
      <c r="T82" s="29" t="str">
        <f t="shared" si="6"/>
        <v/>
      </c>
      <c r="U82" t="str">
        <f>IF(B82&lt;&gt;"",VLOOKUP($B82,IDX_REF!$A$2:$K$580,9,0),"")</f>
        <v>Sectors</v>
      </c>
      <c r="V82" s="12">
        <f>IF(B82&lt;&gt;"",IF(D82=INDEX($D$2:$D$1048576,MATCH(G82,$B$2:$B$1048576,0)),1,IF(SUMPRODUCT(--(K82=CUR_RATES!$E$1:$E$97),--(D82&amp;INDEX($D$2:$D$1048576,MATCH(G82,$B$2:$B$1048576,0))=CUR_RATES!$A$1:$A$97),ROW(CUR_RATES!$E$1:$E$97))=0,INDEX(CUR_RATES!$D:$D,SUMPRODUCT(--((K82-1)=CUR_RATES!$E$1:$E$97),--(D82&amp;INDEX($D$2:$D$1048576,MATCH(G82,$B$2:$B$1048576,0))=CUR_RATES!$A$1:$A$97),ROW(CUR_RATES!$E$1:$E$97))),INDEX(CUR_RATES!$D:$D,SUMPRODUCT(--(K82=CUR_RATES!$E$1:$E$97),--(D82&amp;INDEX($D$2:$D$1048576,MATCH(G82,$B$2:$B$1048576,0))=CUR_RATES!$A$1:$A$97),ROW(CUR_RATES!$E$1:$E$97))))),"")</f>
        <v>1</v>
      </c>
      <c r="W82">
        <v>1631.848</v>
      </c>
      <c r="Y82" s="12">
        <f t="shared" si="7"/>
        <v>-0.2803461038974297</v>
      </c>
    </row>
    <row r="83" spans="1:25" x14ac:dyDescent="0.2">
      <c r="A83">
        <v>20071</v>
      </c>
      <c r="B83" s="2" t="str">
        <f>IF(INDEX(IDX_REF!$A:$A,ROW(IDX_REF!B83))=0,"",INDEX(IDX_REF!$A:$A,ROW(IDX_REF!B83)))</f>
        <v>VNXOGTRUSD</v>
      </c>
      <c r="C83" t="str">
        <f>IF(B83&lt;&gt;"",VLOOKUP($B83,IDX_REF!$A$2:$I$900,3,0),"")</f>
        <v>VNX OIL &amp; GAS TR (USD)</v>
      </c>
      <c r="D83" t="str">
        <f>IF(C83&lt;&gt;"",VLOOKUP($B83,IDX_REF!$A$2:$I$900,4,0),"")</f>
        <v>USD</v>
      </c>
      <c r="E83">
        <f>IF(D83&lt;&gt;"",VLOOKUP($B83,IDX_REF!$A$2:$I$900,5,0),"")</f>
        <v>1000</v>
      </c>
      <c r="F83" t="str">
        <f>IF(E83&lt;&gt;"",VLOOKUP($B83,IDX_REF!$A$2:$I$900,7,0),"")</f>
        <v>R</v>
      </c>
      <c r="G83" t="str">
        <f>IF(F83&lt;&gt;"",VLOOKUP($B83,IDX_REF!$A$2:$I$900,8,0),"")</f>
        <v>VNXOGPRVND</v>
      </c>
      <c r="H83" s="12">
        <v>476190476190.4762</v>
      </c>
      <c r="I83" s="12">
        <f>IF(B83&lt;&gt;"",SUMIF(IDX_COMPOSITION!$R$2:$R$123,IDX_SPECS!$G83,IDX_COMPOSITION!$K$2:$K$123)/V83,"")</f>
        <v>637629757.19506621</v>
      </c>
      <c r="J83" s="12">
        <f t="shared" si="5"/>
        <v>1416.4518888936013</v>
      </c>
      <c r="K83" s="75">
        <v>41165</v>
      </c>
      <c r="L83" s="1">
        <v>0</v>
      </c>
      <c r="M83">
        <f>IF(B83&lt;&gt;"",COUNTIF(IDX_COMPOSITION!$R$2:$R$123,IDX_SPECS!G83),"")</f>
        <v>5</v>
      </c>
      <c r="N83">
        <f>IF(B83&lt;&gt;"",VLOOKUP($B83,IDX_REF!$A$2:$K$580,10,0),"")</f>
        <v>1</v>
      </c>
      <c r="O83">
        <f>IF(C83&lt;&gt;"",VLOOKUP($B83,IDX_REF!$A$2:$K$580,11,0),"")</f>
        <v>0</v>
      </c>
      <c r="Q83" s="12">
        <f>IF(B83&lt;&gt;"",SUMIF(IDX_COMPOSITION!$R$2:$R$123,IDX_SPECS!$G83,IDX_COMPOSITION!$N$2:$N$123)/V83,"")</f>
        <v>32013001.681132939</v>
      </c>
      <c r="R83">
        <v>0</v>
      </c>
      <c r="S83" s="25" t="str">
        <f>IF(R83=1,SUMIF(IDX_COMPOSITION!$R$2:$R$123,IDX_SPECS!$G83,IDX_COMPOSITION!#REF!)/IF(ISNA(VLOOKUP(D83&amp;INDEX($D$2:$D$1048576,MATCH(G83,$B$2:$B$1048576,0)),CUR_RATES!$A$2:$F$1048576,4,0)),1,VLOOKUP(D83&amp;INDEX($D$2:$D$1048576,MATCH(G83,$B$2:$B$1048576,0)),CUR_RATES!$A$2:$F$1048576,4,0)),"")</f>
        <v/>
      </c>
      <c r="T83" s="29" t="str">
        <f t="shared" si="6"/>
        <v/>
      </c>
      <c r="U83" t="str">
        <f>IF(B83&lt;&gt;"",VLOOKUP($B83,IDX_REF!$A$2:$K$580,9,0),"")</f>
        <v>Sectors</v>
      </c>
      <c r="V83" s="12">
        <f>IF(B83&lt;&gt;"",IF(D83=INDEX($D$2:$D$1048576,MATCH(G83,$B$2:$B$1048576,0)),1,IF(SUMPRODUCT(--(K83=CUR_RATES!$E$1:$E$97),--(D83&amp;INDEX($D$2:$D$1048576,MATCH(G83,$B$2:$B$1048576,0))=CUR_RATES!$A$1:$A$97),ROW(CUR_RATES!$E$1:$E$97))=0,INDEX(CUR_RATES!$D:$D,SUMPRODUCT(--((K83-1)=CUR_RATES!$E$1:$E$97),--(D83&amp;INDEX($D$2:$D$1048576,MATCH(G83,$B$2:$B$1048576,0))=CUR_RATES!$A$1:$A$97),ROW(CUR_RATES!$E$1:$E$97))),INDEX(CUR_RATES!$D:$D,SUMPRODUCT(--(K83=CUR_RATES!$E$1:$E$97),--(D83&amp;INDEX($D$2:$D$1048576,MATCH(G83,$B$2:$B$1048576,0))=CUR_RATES!$A$1:$A$97),ROW(CUR_RATES!$E$1:$E$97))))),"")</f>
        <v>21890</v>
      </c>
      <c r="W83">
        <v>1447.0619999999999</v>
      </c>
      <c r="Y83" s="12">
        <f t="shared" si="7"/>
        <v>-2.1153282379330371</v>
      </c>
    </row>
    <row r="84" spans="1:25" x14ac:dyDescent="0.2">
      <c r="A84">
        <v>20072</v>
      </c>
      <c r="B84" s="2" t="str">
        <f>IF(INDEX(IDX_REF!$A:$A,ROW(IDX_REF!B84))=0,"",INDEX(IDX_REF!$A:$A,ROW(IDX_REF!B84)))</f>
        <v>VNXOGTRJPY</v>
      </c>
      <c r="C84" t="str">
        <f>IF(B84&lt;&gt;"",VLOOKUP($B84,IDX_REF!$A$2:$I$900,3,0),"")</f>
        <v>VNX OIL &amp; GAS TR (JPY)</v>
      </c>
      <c r="D84" t="str">
        <f>IF(C84&lt;&gt;"",VLOOKUP($B84,IDX_REF!$A$2:$I$900,4,0),"")</f>
        <v>JPY</v>
      </c>
      <c r="E84">
        <f>IF(D84&lt;&gt;"",VLOOKUP($B84,IDX_REF!$A$2:$I$900,5,0),"")</f>
        <v>1000</v>
      </c>
      <c r="F84" t="str">
        <f>IF(E84&lt;&gt;"",VLOOKUP($B84,IDX_REF!$A$2:$I$900,7,0),"")</f>
        <v>R</v>
      </c>
      <c r="G84" t="str">
        <f>IF(F84&lt;&gt;"",VLOOKUP($B84,IDX_REF!$A$2:$I$900,8,0),"")</f>
        <v>VNXOGPRVND</v>
      </c>
      <c r="H84" s="12">
        <v>37735849056.603775</v>
      </c>
      <c r="I84" s="12">
        <f>IF(B84&lt;&gt;"",SUMIF(IDX_COMPOSITION!$R$2:$R$123,IDX_SPECS!$G84,IDX_COMPOSITION!$K$2:$K$123)/V84,"")</f>
        <v>49495444627.659576</v>
      </c>
      <c r="J84" s="12">
        <f t="shared" si="5"/>
        <v>1726.7871142710751</v>
      </c>
      <c r="K84" s="75">
        <v>41165</v>
      </c>
      <c r="L84" s="1">
        <v>0</v>
      </c>
      <c r="M84">
        <f>IF(B84&lt;&gt;"",COUNTIF(IDX_COMPOSITION!$R$2:$R$123,IDX_SPECS!G84),"")</f>
        <v>5</v>
      </c>
      <c r="N84">
        <f>IF(B84&lt;&gt;"",VLOOKUP($B84,IDX_REF!$A$2:$K$580,10,0),"")</f>
        <v>1</v>
      </c>
      <c r="O84">
        <f>IF(C84&lt;&gt;"",VLOOKUP($B84,IDX_REF!$A$2:$K$580,11,0),"")</f>
        <v>0</v>
      </c>
      <c r="Q84" s="12">
        <f>IF(B84&lt;&gt;"",SUMIF(IDX_COMPOSITION!$R$2:$R$123,IDX_SPECS!$G84,IDX_COMPOSITION!$N$2:$N$123)/V84,"")</f>
        <v>2484980875.1773047</v>
      </c>
      <c r="R84">
        <v>0</v>
      </c>
      <c r="S84" s="25" t="str">
        <f>IF(R84=1,SUMIF(IDX_COMPOSITION!$R$2:$R$123,IDX_SPECS!$G84,IDX_COMPOSITION!#REF!)/IF(ISNA(VLOOKUP(D84&amp;INDEX($D$2:$D$1048576,MATCH(G84,$B$2:$B$1048576,0)),CUR_RATES!$A$2:$F$1048576,4,0)),1,VLOOKUP(D84&amp;INDEX($D$2:$D$1048576,MATCH(G84,$B$2:$B$1048576,0)),CUR_RATES!$A$2:$F$1048576,4,0)),"")</f>
        <v/>
      </c>
      <c r="T84" s="29" t="str">
        <f t="shared" si="6"/>
        <v/>
      </c>
      <c r="U84" t="str">
        <f>IF(B84&lt;&gt;"",VLOOKUP($B84,IDX_REF!$A$2:$K$580,9,0),"")</f>
        <v>Sectors</v>
      </c>
      <c r="V84" s="12">
        <f>IF(B84&lt;&gt;"",IF(D84=INDEX($D$2:$D$1048576,MATCH(G84,$B$2:$B$1048576,0)),1,IF(SUMPRODUCT(--(K84=CUR_RATES!$E$1:$E$97),--(D84&amp;INDEX($D$2:$D$1048576,MATCH(G84,$B$2:$B$1048576,0))=CUR_RATES!$A$1:$A$97),ROW(CUR_RATES!$E$1:$E$97))=0,INDEX(CUR_RATES!$D:$D,SUMPRODUCT(--((K84-1)=CUR_RATES!$E$1:$E$97),--(D84&amp;INDEX($D$2:$D$1048576,MATCH(G84,$B$2:$B$1048576,0))=CUR_RATES!$A$1:$A$97),ROW(CUR_RATES!$E$1:$E$97))),INDEX(CUR_RATES!$D:$D,SUMPRODUCT(--(K84=CUR_RATES!$E$1:$E$97),--(D84&amp;INDEX($D$2:$D$1048576,MATCH(G84,$B$2:$B$1048576,0))=CUR_RATES!$A$1:$A$97),ROW(CUR_RATES!$E$1:$E$97))))),"")</f>
        <v>282</v>
      </c>
      <c r="W84">
        <v>1611.0609999999999</v>
      </c>
      <c r="Y84" s="12">
        <f t="shared" si="7"/>
        <v>7.1832236191599934</v>
      </c>
    </row>
    <row r="85" spans="1:25" x14ac:dyDescent="0.2">
      <c r="A85">
        <v>20073</v>
      </c>
      <c r="B85" s="2" t="str">
        <f>IF(INDEX(IDX_REF!$A:$A,ROW(IDX_REF!B85))=0,"",INDEX(IDX_REF!$A:$A,ROW(IDX_REF!B85)))</f>
        <v>VNXOGTREUR</v>
      </c>
      <c r="C85" t="str">
        <f>IF(B85&lt;&gt;"",VLOOKUP($B85,IDX_REF!$A$2:$I$900,3,0),"")</f>
        <v>VNX OIL &amp; GAS TR (EUR)</v>
      </c>
      <c r="D85" t="str">
        <f>IF(C85&lt;&gt;"",VLOOKUP($B85,IDX_REF!$A$2:$I$900,4,0),"")</f>
        <v>EUR</v>
      </c>
      <c r="E85">
        <f>IF(D85&lt;&gt;"",VLOOKUP($B85,IDX_REF!$A$2:$I$900,5,0),"")</f>
        <v>1000</v>
      </c>
      <c r="F85" t="str">
        <f>IF(E85&lt;&gt;"",VLOOKUP($B85,IDX_REF!$A$2:$I$900,7,0),"")</f>
        <v>R</v>
      </c>
      <c r="G85" t="str">
        <f>IF(F85&lt;&gt;"",VLOOKUP($B85,IDX_REF!$A$2:$I$900,8,0),"")</f>
        <v>VNXOGPRVND</v>
      </c>
      <c r="H85" s="12">
        <v>344827586206.89655</v>
      </c>
      <c r="I85" s="12">
        <f>IF(B85&lt;&gt;"",SUMIF(IDX_COMPOSITION!$R$2:$R$123,IDX_SPECS!$G85,IDX_COMPOSITION!$K$2:$K$123)/V85,"")</f>
        <v>468211908.78571033</v>
      </c>
      <c r="J85" s="12">
        <f t="shared" si="5"/>
        <v>1407.6676750953329</v>
      </c>
      <c r="K85" s="75">
        <v>41165</v>
      </c>
      <c r="L85" s="1">
        <v>0</v>
      </c>
      <c r="M85">
        <f>IF(B85&lt;&gt;"",COUNTIF(IDX_COMPOSITION!$R$2:$R$123,IDX_SPECS!G85),"")</f>
        <v>5</v>
      </c>
      <c r="N85">
        <f>IF(B85&lt;&gt;"",VLOOKUP($B85,IDX_REF!$A$2:$K$580,10,0),"")</f>
        <v>1</v>
      </c>
      <c r="O85">
        <f>IF(C85&lt;&gt;"",VLOOKUP($B85,IDX_REF!$A$2:$K$580,11,0),"")</f>
        <v>0</v>
      </c>
      <c r="Q85" s="12">
        <f>IF(B85&lt;&gt;"",SUMIF(IDX_COMPOSITION!$R$2:$R$123,IDX_SPECS!$G85,IDX_COMPOSITION!$N$2:$N$123)/V85,"")</f>
        <v>23507166.116304625</v>
      </c>
      <c r="R85">
        <v>0</v>
      </c>
      <c r="S85" s="25" t="str">
        <f>IF(R85=1,SUMIF(IDX_COMPOSITION!$R$2:$R$123,IDX_SPECS!$G85,IDX_COMPOSITION!#REF!)/IF(ISNA(VLOOKUP(D85&amp;INDEX($D$2:$D$1048576,MATCH(G85,$B$2:$B$1048576,0)),CUR_RATES!$A$2:$F$1048576,4,0)),1,VLOOKUP(D85&amp;INDEX($D$2:$D$1048576,MATCH(G85,$B$2:$B$1048576,0)),CUR_RATES!$A$2:$F$1048576,4,0)),"")</f>
        <v/>
      </c>
      <c r="T85" s="29" t="str">
        <f t="shared" si="6"/>
        <v/>
      </c>
      <c r="U85" t="str">
        <f>IF(B85&lt;&gt;"",VLOOKUP($B85,IDX_REF!$A$2:$K$580,9,0),"")</f>
        <v>Sectors</v>
      </c>
      <c r="V85" s="12">
        <f>IF(B85&lt;&gt;"",IF(D85=INDEX($D$2:$D$1048576,MATCH(G85,$B$2:$B$1048576,0)),1,IF(SUMPRODUCT(--(K85=CUR_RATES!$E$1:$E$97),--(D85&amp;INDEX($D$2:$D$1048576,MATCH(G85,$B$2:$B$1048576,0))=CUR_RATES!$A$1:$A$97),ROW(CUR_RATES!$E$1:$E$97))=0,INDEX(CUR_RATES!$D:$D,SUMPRODUCT(--((K85-1)=CUR_RATES!$E$1:$E$97),--(D85&amp;INDEX($D$2:$D$1048576,MATCH(G85,$B$2:$B$1048576,0))=CUR_RATES!$A$1:$A$97),ROW(CUR_RATES!$E$1:$E$97))),INDEX(CUR_RATES!$D:$D,SUMPRODUCT(--(K85=CUR_RATES!$E$1:$E$97),--(D85&amp;INDEX($D$2:$D$1048576,MATCH(G85,$B$2:$B$1048576,0))=CUR_RATES!$A$1:$A$97),ROW(CUR_RATES!$E$1:$E$97))))),"")</f>
        <v>29810.68</v>
      </c>
      <c r="W85">
        <v>1472.192</v>
      </c>
      <c r="Y85" s="12">
        <f t="shared" si="7"/>
        <v>-4.3828743061140862</v>
      </c>
    </row>
    <row r="86" spans="1:25" x14ac:dyDescent="0.2">
      <c r="A86">
        <v>20074</v>
      </c>
      <c r="B86" s="2" t="str">
        <f>IF(INDEX(IDX_REF!$A:$A,ROW(IDX_REF!B86))=0,"",INDEX(IDX_REF!$A:$A,ROW(IDX_REF!B86)))</f>
        <v>VNXUTTRVND</v>
      </c>
      <c r="C86" t="str">
        <f>IF(B86&lt;&gt;"",VLOOKUP($B86,IDX_REF!$A$2:$I$900,3,0),"")</f>
        <v xml:space="preserve">VNX UTILITIES TR </v>
      </c>
      <c r="D86" t="str">
        <f>IF(C86&lt;&gt;"",VLOOKUP($B86,IDX_REF!$A$2:$I$900,4,0),"")</f>
        <v>VND</v>
      </c>
      <c r="E86">
        <f>IF(D86&lt;&gt;"",VLOOKUP($B86,IDX_REF!$A$2:$I$900,5,0),"")</f>
        <v>1000</v>
      </c>
      <c r="F86" t="str">
        <f>IF(E86&lt;&gt;"",VLOOKUP($B86,IDX_REF!$A$2:$I$900,7,0),"")</f>
        <v>R</v>
      </c>
      <c r="G86" t="str">
        <f>IF(F86&lt;&gt;"",VLOOKUP($B86,IDX_REF!$A$2:$I$900,8,0),"")</f>
        <v>VNXUTPRVND</v>
      </c>
      <c r="H86" s="12">
        <v>10000000000000</v>
      </c>
      <c r="I86" s="12">
        <f>IF(B86&lt;&gt;"",SUMIF(IDX_COMPOSITION!$R$2:$R$123,IDX_SPECS!$G86,IDX_COMPOSITION!$K$2:$K$123)/V86,"")</f>
        <v>2957227000000</v>
      </c>
      <c r="J86" s="12">
        <f t="shared" si="5"/>
        <v>293.8777</v>
      </c>
      <c r="K86" s="75">
        <v>41165</v>
      </c>
      <c r="L86" s="1">
        <v>0</v>
      </c>
      <c r="M86">
        <f>IF(B86&lt;&gt;"",COUNTIF(IDX_COMPOSITION!$R$2:$R$123,IDX_SPECS!G86),"")</f>
        <v>3</v>
      </c>
      <c r="N86">
        <f>IF(B86&lt;&gt;"",VLOOKUP($B86,IDX_REF!$A$2:$K$580,10,0),"")</f>
        <v>1</v>
      </c>
      <c r="O86">
        <f>IF(C86&lt;&gt;"",VLOOKUP($B86,IDX_REF!$A$2:$K$580,11,0),"")</f>
        <v>0</v>
      </c>
      <c r="Q86" s="12">
        <f>IF(B86&lt;&gt;"",SUMIF(IDX_COMPOSITION!$R$2:$R$123,IDX_SPECS!$G86,IDX_COMPOSITION!$N$2:$N$123)/V86,"")</f>
        <v>0</v>
      </c>
      <c r="R86">
        <v>0</v>
      </c>
      <c r="S86" s="25" t="str">
        <f>IF(R86=1,SUMIF(IDX_COMPOSITION!$R$2:$R$123,IDX_SPECS!$G86,IDX_COMPOSITION!#REF!)/IF(ISNA(VLOOKUP(D86&amp;INDEX($D$2:$D$1048576,MATCH(G86,$B$2:$B$1048576,0)),CUR_RATES!$A$2:$F$1048576,4,0)),1,VLOOKUP(D86&amp;INDEX($D$2:$D$1048576,MATCH(G86,$B$2:$B$1048576,0)),CUR_RATES!$A$2:$F$1048576,4,0)),"")</f>
        <v/>
      </c>
      <c r="T86" s="29" t="str">
        <f t="shared" si="6"/>
        <v/>
      </c>
      <c r="U86" t="str">
        <f>IF(B86&lt;&gt;"",VLOOKUP($B86,IDX_REF!$A$2:$K$580,9,0),"")</f>
        <v>Sectors</v>
      </c>
      <c r="V86" s="12">
        <f>IF(B86&lt;&gt;"",IF(D86=INDEX($D$2:$D$1048576,MATCH(G86,$B$2:$B$1048576,0)),1,IF(SUMPRODUCT(--(K86=CUR_RATES!$E$1:$E$97),--(D86&amp;INDEX($D$2:$D$1048576,MATCH(G86,$B$2:$B$1048576,0))=CUR_RATES!$A$1:$A$97),ROW(CUR_RATES!$E$1:$E$97))=0,INDEX(CUR_RATES!$D:$D,SUMPRODUCT(--((K86-1)=CUR_RATES!$E$1:$E$97),--(D86&amp;INDEX($D$2:$D$1048576,MATCH(G86,$B$2:$B$1048576,0))=CUR_RATES!$A$1:$A$97),ROW(CUR_RATES!$E$1:$E$97))),INDEX(CUR_RATES!$D:$D,SUMPRODUCT(--(K86=CUR_RATES!$E$1:$E$97),--(D86&amp;INDEX($D$2:$D$1048576,MATCH(G86,$B$2:$B$1048576,0))=CUR_RATES!$A$1:$A$97),ROW(CUR_RATES!$E$1:$E$97))))),"")</f>
        <v>1</v>
      </c>
      <c r="W86">
        <v>293.8777</v>
      </c>
      <c r="Y86" s="12">
        <f t="shared" si="7"/>
        <v>0</v>
      </c>
    </row>
    <row r="87" spans="1:25" x14ac:dyDescent="0.2">
      <c r="A87">
        <v>20075</v>
      </c>
      <c r="B87" s="2" t="str">
        <f>IF(INDEX(IDX_REF!$A:$A,ROW(IDX_REF!B87))=0,"",INDEX(IDX_REF!$A:$A,ROW(IDX_REF!B87)))</f>
        <v>VNXUTTRUSD</v>
      </c>
      <c r="C87" t="str">
        <f>IF(B87&lt;&gt;"",VLOOKUP($B87,IDX_REF!$A$2:$I$900,3,0),"")</f>
        <v>VNX UTILITIES TR (USD)</v>
      </c>
      <c r="D87" t="str">
        <f>IF(C87&lt;&gt;"",VLOOKUP($B87,IDX_REF!$A$2:$I$900,4,0),"")</f>
        <v>USD</v>
      </c>
      <c r="E87">
        <f>IF(D87&lt;&gt;"",VLOOKUP($B87,IDX_REF!$A$2:$I$900,5,0),"")</f>
        <v>1000</v>
      </c>
      <c r="F87" t="str">
        <f>IF(E87&lt;&gt;"",VLOOKUP($B87,IDX_REF!$A$2:$I$900,7,0),"")</f>
        <v>R</v>
      </c>
      <c r="G87" t="str">
        <f>IF(F87&lt;&gt;"",VLOOKUP($B87,IDX_REF!$A$2:$I$900,8,0),"")</f>
        <v>VNXUTPRVND</v>
      </c>
      <c r="H87" s="12">
        <v>476190476190.4762</v>
      </c>
      <c r="I87" s="12">
        <f>IF(B87&lt;&gt;"",SUMIF(IDX_COMPOSITION!$R$2:$R$123,IDX_SPECS!$G87,IDX_COMPOSITION!$K$2:$K$123)/V87,"")</f>
        <v>135094883.50845134</v>
      </c>
      <c r="J87" s="12">
        <f t="shared" si="5"/>
        <v>318.25601412739678</v>
      </c>
      <c r="K87" s="75">
        <v>41165</v>
      </c>
      <c r="L87" s="1">
        <v>0</v>
      </c>
      <c r="M87">
        <f>IF(B87&lt;&gt;"",COUNTIF(IDX_COMPOSITION!$R$2:$R$123,IDX_SPECS!G87),"")</f>
        <v>3</v>
      </c>
      <c r="N87">
        <f>IF(B87&lt;&gt;"",VLOOKUP($B87,IDX_REF!$A$2:$K$580,10,0),"")</f>
        <v>1</v>
      </c>
      <c r="O87">
        <f>IF(C87&lt;&gt;"",VLOOKUP($B87,IDX_REF!$A$2:$K$580,11,0),"")</f>
        <v>0</v>
      </c>
      <c r="Q87" s="12">
        <f>IF(B87&lt;&gt;"",SUMIF(IDX_COMPOSITION!$R$2:$R$123,IDX_SPECS!$G87,IDX_COMPOSITION!$N$2:$N$123)/V87,"")</f>
        <v>0</v>
      </c>
      <c r="R87">
        <v>0</v>
      </c>
      <c r="S87" s="25" t="str">
        <f>IF(R87=1,SUMIF(IDX_COMPOSITION!$R$2:$R$123,IDX_SPECS!$G87,IDX_COMPOSITION!#REF!)/IF(ISNA(VLOOKUP(D87&amp;INDEX($D$2:$D$1048576,MATCH(G87,$B$2:$B$1048576,0)),CUR_RATES!$A$2:$F$1048576,4,0)),1,VLOOKUP(D87&amp;INDEX($D$2:$D$1048576,MATCH(G87,$B$2:$B$1048576,0)),CUR_RATES!$A$2:$F$1048576,4,0)),"")</f>
        <v/>
      </c>
      <c r="T87" s="29" t="str">
        <f t="shared" si="6"/>
        <v/>
      </c>
      <c r="U87" t="str">
        <f>IF(B87&lt;&gt;"",VLOOKUP($B87,IDX_REF!$A$2:$K$580,9,0),"")</f>
        <v>Sectors</v>
      </c>
      <c r="V87" s="12">
        <f>IF(B87&lt;&gt;"",IF(D87=INDEX($D$2:$D$1048576,MATCH(G87,$B$2:$B$1048576,0)),1,IF(SUMPRODUCT(--(K87=CUR_RATES!$E$1:$E$97),--(D87&amp;INDEX($D$2:$D$1048576,MATCH(G87,$B$2:$B$1048576,0))=CUR_RATES!$A$1:$A$97),ROW(CUR_RATES!$E$1:$E$97))=0,INDEX(CUR_RATES!$D:$D,SUMPRODUCT(--((K87-1)=CUR_RATES!$E$1:$E$97),--(D87&amp;INDEX($D$2:$D$1048576,MATCH(G87,$B$2:$B$1048576,0))=CUR_RATES!$A$1:$A$97),ROW(CUR_RATES!$E$1:$E$97))),INDEX(CUR_RATES!$D:$D,SUMPRODUCT(--(K87=CUR_RATES!$E$1:$E$97),--(D87&amp;INDEX($D$2:$D$1048576,MATCH(G87,$B$2:$B$1048576,0))=CUR_RATES!$A$1:$A$97),ROW(CUR_RATES!$E$1:$E$97))))),"")</f>
        <v>21890</v>
      </c>
      <c r="W87">
        <v>308.84320000000002</v>
      </c>
      <c r="Y87" s="12">
        <f t="shared" si="7"/>
        <v>3.0477647321996262</v>
      </c>
    </row>
    <row r="88" spans="1:25" x14ac:dyDescent="0.2">
      <c r="A88">
        <v>20076</v>
      </c>
      <c r="B88" s="2" t="str">
        <f>IF(INDEX(IDX_REF!$A:$A,ROW(IDX_REF!B88))=0,"",INDEX(IDX_REF!$A:$A,ROW(IDX_REF!B88)))</f>
        <v>VNXUTTRJPY</v>
      </c>
      <c r="C88" t="str">
        <f>IF(B88&lt;&gt;"",VLOOKUP($B88,IDX_REF!$A$2:$I$900,3,0),"")</f>
        <v>VNX UTILITIES TR (JPY)</v>
      </c>
      <c r="D88" t="str">
        <f>IF(C88&lt;&gt;"",VLOOKUP($B88,IDX_REF!$A$2:$I$900,4,0),"")</f>
        <v>JPY</v>
      </c>
      <c r="E88">
        <f>IF(D88&lt;&gt;"",VLOOKUP($B88,IDX_REF!$A$2:$I$900,5,0),"")</f>
        <v>1000</v>
      </c>
      <c r="F88" t="str">
        <f>IF(E88&lt;&gt;"",VLOOKUP($B88,IDX_REF!$A$2:$I$900,7,0),"")</f>
        <v>R</v>
      </c>
      <c r="G88" t="str">
        <f>IF(F88&lt;&gt;"",VLOOKUP($B88,IDX_REF!$A$2:$I$900,8,0),"")</f>
        <v>VNXUTPRVND</v>
      </c>
      <c r="H88" s="12">
        <v>37735849056.603775</v>
      </c>
      <c r="I88" s="12">
        <f>IF(B88&lt;&gt;"",SUMIF(IDX_COMPOSITION!$R$2:$R$123,IDX_SPECS!$G88,IDX_COMPOSITION!$K$2:$K$123)/V88,"")</f>
        <v>10486620567.375887</v>
      </c>
      <c r="J88" s="12">
        <f t="shared" si="5"/>
        <v>244.27569022088505</v>
      </c>
      <c r="K88" s="75">
        <v>41165</v>
      </c>
      <c r="L88" s="1">
        <v>0</v>
      </c>
      <c r="M88">
        <f>IF(B88&lt;&gt;"",COUNTIF(IDX_COMPOSITION!$R$2:$R$123,IDX_SPECS!G88),"")</f>
        <v>3</v>
      </c>
      <c r="N88">
        <f>IF(B88&lt;&gt;"",VLOOKUP($B88,IDX_REF!$A$2:$K$580,10,0),"")</f>
        <v>1</v>
      </c>
      <c r="O88">
        <f>IF(C88&lt;&gt;"",VLOOKUP($B88,IDX_REF!$A$2:$K$580,11,0),"")</f>
        <v>0</v>
      </c>
      <c r="Q88" s="12">
        <f>IF(B88&lt;&gt;"",SUMIF(IDX_COMPOSITION!$R$2:$R$123,IDX_SPECS!$G88,IDX_COMPOSITION!$N$2:$N$123)/V88,"")</f>
        <v>0</v>
      </c>
      <c r="R88">
        <v>0</v>
      </c>
      <c r="S88" s="25" t="str">
        <f>IF(R88=1,SUMIF(IDX_COMPOSITION!$R$2:$R$123,IDX_SPECS!$G88,IDX_COMPOSITION!#REF!)/IF(ISNA(VLOOKUP(D88&amp;INDEX($D$2:$D$1048576,MATCH(G88,$B$2:$B$1048576,0)),CUR_RATES!$A$2:$F$1048576,4,0)),1,VLOOKUP(D88&amp;INDEX($D$2:$D$1048576,MATCH(G88,$B$2:$B$1048576,0)),CUR_RATES!$A$2:$F$1048576,4,0)),"")</f>
        <v/>
      </c>
      <c r="T88" s="29" t="str">
        <f t="shared" si="6"/>
        <v/>
      </c>
      <c r="U88" t="str">
        <f>IF(B88&lt;&gt;"",VLOOKUP($B88,IDX_REF!$A$2:$K$580,9,0),"")</f>
        <v>Sectors</v>
      </c>
      <c r="V88" s="12">
        <f>IF(B88&lt;&gt;"",IF(D88=INDEX($D$2:$D$1048576,MATCH(G88,$B$2:$B$1048576,0)),1,IF(SUMPRODUCT(--(K88=CUR_RATES!$E$1:$E$97),--(D88&amp;INDEX($D$2:$D$1048576,MATCH(G88,$B$2:$B$1048576,0))=CUR_RATES!$A$1:$A$97),ROW(CUR_RATES!$E$1:$E$97))=0,INDEX(CUR_RATES!$D:$D,SUMPRODUCT(--((K88-1)=CUR_RATES!$E$1:$E$97),--(D88&amp;INDEX($D$2:$D$1048576,MATCH(G88,$B$2:$B$1048576,0))=CUR_RATES!$A$1:$A$97),ROW(CUR_RATES!$E$1:$E$97))),INDEX(CUR_RATES!$D:$D,SUMPRODUCT(--(K88=CUR_RATES!$E$1:$E$97),--(D88&amp;INDEX($D$2:$D$1048576,MATCH(G88,$B$2:$B$1048576,0))=CUR_RATES!$A$1:$A$97),ROW(CUR_RATES!$E$1:$E$97))))),"")</f>
        <v>282</v>
      </c>
      <c r="W88">
        <v>249.34829999999999</v>
      </c>
      <c r="Y88" s="12">
        <f t="shared" si="7"/>
        <v>-2.0343470475294763</v>
      </c>
    </row>
    <row r="89" spans="1:25" x14ac:dyDescent="0.2">
      <c r="A89">
        <v>20077</v>
      </c>
      <c r="B89" s="2" t="str">
        <f>IF(INDEX(IDX_REF!$A:$A,ROW(IDX_REF!B89))=0,"",INDEX(IDX_REF!$A:$A,ROW(IDX_REF!B89)))</f>
        <v>VNXUTTREUR</v>
      </c>
      <c r="C89" t="str">
        <f>IF(B89&lt;&gt;"",VLOOKUP($B89,IDX_REF!$A$2:$I$900,3,0),"")</f>
        <v>VNX UTILITIES (EUR)</v>
      </c>
      <c r="D89" t="str">
        <f>IF(C89&lt;&gt;"",VLOOKUP($B89,IDX_REF!$A$2:$I$900,4,0),"")</f>
        <v>EUR</v>
      </c>
      <c r="E89">
        <f>IF(D89&lt;&gt;"",VLOOKUP($B89,IDX_REF!$A$2:$I$900,5,0),"")</f>
        <v>1000</v>
      </c>
      <c r="F89" t="str">
        <f>IF(E89&lt;&gt;"",VLOOKUP($B89,IDX_REF!$A$2:$I$900,7,0),"")</f>
        <v>R</v>
      </c>
      <c r="G89" t="str">
        <f>IF(F89&lt;&gt;"",VLOOKUP($B89,IDX_REF!$A$2:$I$900,8,0),"")</f>
        <v>VNXUTPRVND</v>
      </c>
      <c r="H89" s="12">
        <v>344827586206.89655</v>
      </c>
      <c r="I89" s="12">
        <f>IF(B89&lt;&gt;"",SUMIF(IDX_COMPOSITION!$R$2:$R$123,IDX_SPECS!$G89,IDX_COMPOSITION!$K$2:$K$123)/V89,"")</f>
        <v>99200253.063667119</v>
      </c>
      <c r="J89" s="12">
        <f t="shared" si="5"/>
        <v>274.75143384212078</v>
      </c>
      <c r="K89" s="75">
        <v>41165</v>
      </c>
      <c r="L89" s="1">
        <v>0</v>
      </c>
      <c r="M89">
        <f>IF(B89&lt;&gt;"",COUNTIF(IDX_COMPOSITION!$R$2:$R$123,IDX_SPECS!G89),"")</f>
        <v>3</v>
      </c>
      <c r="N89">
        <f>IF(B89&lt;&gt;"",VLOOKUP($B89,IDX_REF!$A$2:$K$580,10,0),"")</f>
        <v>1</v>
      </c>
      <c r="O89">
        <f>IF(C89&lt;&gt;"",VLOOKUP($B89,IDX_REF!$A$2:$K$580,11,0),"")</f>
        <v>0</v>
      </c>
      <c r="Q89" s="12">
        <f>IF(B89&lt;&gt;"",SUMIF(IDX_COMPOSITION!$R$2:$R$123,IDX_SPECS!$G89,IDX_COMPOSITION!$N$2:$N$123)/V89,"")</f>
        <v>0</v>
      </c>
      <c r="R89">
        <v>0</v>
      </c>
      <c r="S89" s="25" t="str">
        <f>IF(R89=1,SUMIF(IDX_COMPOSITION!$R$2:$R$123,IDX_SPECS!$G89,IDX_COMPOSITION!#REF!)/IF(ISNA(VLOOKUP(D89&amp;INDEX($D$2:$D$1048576,MATCH(G89,$B$2:$B$1048576,0)),CUR_RATES!$A$2:$F$1048576,4,0)),1,VLOOKUP(D89&amp;INDEX($D$2:$D$1048576,MATCH(G89,$B$2:$B$1048576,0)),CUR_RATES!$A$2:$F$1048576,4,0)),"")</f>
        <v/>
      </c>
      <c r="T89" s="29" t="str">
        <f t="shared" si="6"/>
        <v/>
      </c>
      <c r="U89" t="str">
        <f>IF(B89&lt;&gt;"",VLOOKUP($B89,IDX_REF!$A$2:$K$580,9,0),"")</f>
        <v>Sectors</v>
      </c>
      <c r="V89" s="12">
        <f>IF(B89&lt;&gt;"",IF(D89=INDEX($D$2:$D$1048576,MATCH(G89,$B$2:$B$1048576,0)),1,IF(SUMPRODUCT(--(K89=CUR_RATES!$E$1:$E$97),--(D89&amp;INDEX($D$2:$D$1048576,MATCH(G89,$B$2:$B$1048576,0))=CUR_RATES!$A$1:$A$97),ROW(CUR_RATES!$E$1:$E$97))=0,INDEX(CUR_RATES!$D:$D,SUMPRODUCT(--((K89-1)=CUR_RATES!$E$1:$E$97),--(D89&amp;INDEX($D$2:$D$1048576,MATCH(G89,$B$2:$B$1048576,0))=CUR_RATES!$A$1:$A$97),ROW(CUR_RATES!$E$1:$E$97))),INDEX(CUR_RATES!$D:$D,SUMPRODUCT(--(K89=CUR_RATES!$E$1:$E$97),--(D89&amp;INDEX($D$2:$D$1048576,MATCH(G89,$B$2:$B$1048576,0))=CUR_RATES!$A$1:$A$97),ROW(CUR_RATES!$E$1:$E$97))))),"")</f>
        <v>29810.68</v>
      </c>
      <c r="W89">
        <v>290.41289999999998</v>
      </c>
      <c r="Y89" s="12">
        <f t="shared" si="7"/>
        <v>-5.3928273013627166</v>
      </c>
    </row>
    <row r="93" spans="1:25" x14ac:dyDescent="0.2">
      <c r="K93" s="64"/>
      <c r="L93" s="1"/>
    </row>
    <row r="94" spans="1:25" x14ac:dyDescent="0.2">
      <c r="K94" s="64"/>
      <c r="L94" s="1"/>
    </row>
    <row r="95" spans="1:25" x14ac:dyDescent="0.2">
      <c r="K95" s="64"/>
      <c r="L95" s="1"/>
    </row>
    <row r="96" spans="1:25" x14ac:dyDescent="0.2">
      <c r="K96" s="64"/>
      <c r="L96" s="1"/>
    </row>
    <row r="97" spans="11:12" x14ac:dyDescent="0.2">
      <c r="K97" s="64"/>
      <c r="L97" s="1"/>
    </row>
    <row r="98" spans="11:12" x14ac:dyDescent="0.2">
      <c r="K98" s="64"/>
      <c r="L98" s="1"/>
    </row>
    <row r="99" spans="11:12" x14ac:dyDescent="0.2">
      <c r="K99" s="64"/>
      <c r="L99" s="1"/>
    </row>
    <row r="100" spans="11:12" x14ac:dyDescent="0.2">
      <c r="K100" s="64"/>
      <c r="L100" s="1"/>
    </row>
    <row r="101" spans="11:12" x14ac:dyDescent="0.2">
      <c r="K101" s="64"/>
      <c r="L101" s="1"/>
    </row>
    <row r="102" spans="11:12" x14ac:dyDescent="0.2">
      <c r="K102" s="64"/>
      <c r="L102" s="1"/>
    </row>
    <row r="103" spans="11:12" x14ac:dyDescent="0.2">
      <c r="K103" s="64"/>
      <c r="L103" s="1"/>
    </row>
    <row r="104" spans="11:12" x14ac:dyDescent="0.2">
      <c r="K104" s="64"/>
      <c r="L104" s="1"/>
    </row>
    <row r="105" spans="11:12" x14ac:dyDescent="0.2">
      <c r="K105" s="64"/>
      <c r="L105" s="1"/>
    </row>
    <row r="106" spans="11:12" x14ac:dyDescent="0.2">
      <c r="K106" s="64"/>
      <c r="L106" s="1"/>
    </row>
    <row r="107" spans="11:12" x14ac:dyDescent="0.2">
      <c r="K107" s="64"/>
      <c r="L107" s="1"/>
    </row>
    <row r="108" spans="11:12" x14ac:dyDescent="0.2">
      <c r="K108" s="64"/>
      <c r="L108" s="1"/>
    </row>
    <row r="109" spans="11:12" x14ac:dyDescent="0.2">
      <c r="K109" s="64"/>
      <c r="L109" s="1"/>
    </row>
    <row r="110" spans="11:12" x14ac:dyDescent="0.2">
      <c r="K110" s="64"/>
      <c r="L110" s="1"/>
    </row>
    <row r="111" spans="11:12" x14ac:dyDescent="0.2">
      <c r="K111" s="64"/>
      <c r="L111" s="1"/>
    </row>
    <row r="112" spans="11:12" x14ac:dyDescent="0.2">
      <c r="K112" s="64"/>
      <c r="L112" s="1"/>
    </row>
    <row r="113" spans="11:12" x14ac:dyDescent="0.2">
      <c r="K113" s="64"/>
      <c r="L113" s="1"/>
    </row>
    <row r="114" spans="11:12" x14ac:dyDescent="0.2">
      <c r="K114" s="64"/>
      <c r="L114" s="1"/>
    </row>
    <row r="115" spans="11:12" x14ac:dyDescent="0.2">
      <c r="K115" s="64"/>
      <c r="L115" s="1"/>
    </row>
    <row r="116" spans="11:12" x14ac:dyDescent="0.2">
      <c r="K116" s="64"/>
      <c r="L116" s="1"/>
    </row>
    <row r="117" spans="11:12" x14ac:dyDescent="0.2">
      <c r="K117" s="64"/>
      <c r="L117" s="1"/>
    </row>
    <row r="118" spans="11:12" x14ac:dyDescent="0.2">
      <c r="K118" s="64"/>
      <c r="L118" s="1"/>
    </row>
    <row r="119" spans="11:12" x14ac:dyDescent="0.2">
      <c r="K119" s="64"/>
      <c r="L119" s="1"/>
    </row>
    <row r="120" spans="11:12" x14ac:dyDescent="0.2">
      <c r="K120" s="64"/>
      <c r="L120" s="1"/>
    </row>
    <row r="121" spans="11:12" x14ac:dyDescent="0.2">
      <c r="K121" s="64"/>
      <c r="L121" s="1"/>
    </row>
    <row r="122" spans="11:12" x14ac:dyDescent="0.2">
      <c r="K122" s="64"/>
      <c r="L122" s="1"/>
    </row>
    <row r="123" spans="11:12" x14ac:dyDescent="0.2">
      <c r="K123" s="64"/>
      <c r="L123" s="1"/>
    </row>
    <row r="124" spans="11:12" x14ac:dyDescent="0.2">
      <c r="K124" s="64"/>
      <c r="L124" s="1"/>
    </row>
    <row r="125" spans="11:12" x14ac:dyDescent="0.2">
      <c r="K125" s="64"/>
      <c r="L125" s="1"/>
    </row>
    <row r="126" spans="11:12" x14ac:dyDescent="0.2">
      <c r="K126" s="64"/>
      <c r="L126" s="1"/>
    </row>
    <row r="127" spans="11:12" x14ac:dyDescent="0.2">
      <c r="K127" s="64"/>
      <c r="L127" s="1"/>
    </row>
    <row r="128" spans="11:12" x14ac:dyDescent="0.2">
      <c r="K128" s="64"/>
      <c r="L128" s="1"/>
    </row>
    <row r="129" spans="11:12" x14ac:dyDescent="0.2">
      <c r="K129" s="64"/>
      <c r="L129" s="1"/>
    </row>
    <row r="130" spans="11:12" x14ac:dyDescent="0.2">
      <c r="K130" s="64"/>
      <c r="L130" s="1"/>
    </row>
    <row r="131" spans="11:12" x14ac:dyDescent="0.2">
      <c r="K131" s="64"/>
      <c r="L131" s="1"/>
    </row>
    <row r="132" spans="11:12" x14ac:dyDescent="0.2">
      <c r="K132" s="64"/>
      <c r="L132" s="1"/>
    </row>
    <row r="133" spans="11:12" x14ac:dyDescent="0.2">
      <c r="K133" s="64"/>
      <c r="L133" s="1"/>
    </row>
    <row r="134" spans="11:12" x14ac:dyDescent="0.2">
      <c r="K134" s="64"/>
      <c r="L134" s="1"/>
    </row>
    <row r="135" spans="11:12" x14ac:dyDescent="0.2">
      <c r="K135" s="64"/>
      <c r="L135" s="1"/>
    </row>
    <row r="136" spans="11:12" x14ac:dyDescent="0.2">
      <c r="K136" s="64"/>
      <c r="L136" s="1"/>
    </row>
    <row r="137" spans="11:12" x14ac:dyDescent="0.2">
      <c r="K137" s="64"/>
      <c r="L137" s="1"/>
    </row>
    <row r="138" spans="11:12" x14ac:dyDescent="0.2">
      <c r="K138" s="64"/>
      <c r="L138" s="1"/>
    </row>
    <row r="139" spans="11:12" x14ac:dyDescent="0.2">
      <c r="K139" s="64"/>
      <c r="L139" s="1"/>
    </row>
    <row r="140" spans="11:12" x14ac:dyDescent="0.2">
      <c r="K140" s="64"/>
      <c r="L140" s="1"/>
    </row>
    <row r="141" spans="11:12" x14ac:dyDescent="0.2">
      <c r="K141" s="64"/>
      <c r="L141" s="1"/>
    </row>
    <row r="142" spans="11:12" x14ac:dyDescent="0.2">
      <c r="K142" s="64"/>
      <c r="L142" s="1"/>
    </row>
    <row r="143" spans="11:12" x14ac:dyDescent="0.2">
      <c r="K143" s="64"/>
      <c r="L143" s="1"/>
    </row>
    <row r="144" spans="11:12" x14ac:dyDescent="0.2">
      <c r="K144" s="64"/>
      <c r="L144" s="1"/>
    </row>
    <row r="145" spans="11:12" x14ac:dyDescent="0.2">
      <c r="K145" s="64"/>
      <c r="L145" s="1"/>
    </row>
    <row r="146" spans="11:12" x14ac:dyDescent="0.2">
      <c r="K146" s="64"/>
      <c r="L146" s="1"/>
    </row>
    <row r="147" spans="11:12" x14ac:dyDescent="0.2">
      <c r="K147" s="64"/>
      <c r="L147" s="1"/>
    </row>
    <row r="148" spans="11:12" x14ac:dyDescent="0.2">
      <c r="K148" s="64"/>
      <c r="L148" s="1"/>
    </row>
    <row r="149" spans="11:12" x14ac:dyDescent="0.2">
      <c r="K149" s="64"/>
      <c r="L149" s="1"/>
    </row>
    <row r="150" spans="11:12" x14ac:dyDescent="0.2">
      <c r="K150" s="64"/>
      <c r="L150" s="1"/>
    </row>
    <row r="151" spans="11:12" x14ac:dyDescent="0.2">
      <c r="K151" s="64"/>
      <c r="L151" s="1"/>
    </row>
    <row r="152" spans="11:12" x14ac:dyDescent="0.2">
      <c r="K152" s="64"/>
      <c r="L152" s="1"/>
    </row>
    <row r="153" spans="11:12" x14ac:dyDescent="0.2">
      <c r="K153" s="64"/>
      <c r="L153" s="1"/>
    </row>
    <row r="154" spans="11:12" x14ac:dyDescent="0.2">
      <c r="K154" s="64"/>
      <c r="L154" s="1"/>
    </row>
    <row r="155" spans="11:12" x14ac:dyDescent="0.2">
      <c r="K155" s="64"/>
      <c r="L155" s="1"/>
    </row>
    <row r="156" spans="11:12" x14ac:dyDescent="0.2">
      <c r="K156" s="64"/>
      <c r="L156" s="1"/>
    </row>
    <row r="157" spans="11:12" x14ac:dyDescent="0.2">
      <c r="K157" s="64"/>
      <c r="L157" s="1"/>
    </row>
    <row r="158" spans="11:12" x14ac:dyDescent="0.2">
      <c r="K158" s="64"/>
      <c r="L158" s="1"/>
    </row>
    <row r="159" spans="11:12" x14ac:dyDescent="0.2">
      <c r="K159" s="64"/>
      <c r="L159" s="1"/>
    </row>
    <row r="160" spans="11:12" x14ac:dyDescent="0.2">
      <c r="K160" s="64"/>
      <c r="L160" s="1"/>
    </row>
    <row r="161" spans="11:12" x14ac:dyDescent="0.2">
      <c r="K161" s="64"/>
      <c r="L161" s="1"/>
    </row>
    <row r="162" spans="11:12" x14ac:dyDescent="0.2">
      <c r="K162" s="64"/>
      <c r="L162" s="1"/>
    </row>
    <row r="163" spans="11:12" x14ac:dyDescent="0.2">
      <c r="K163" s="64"/>
      <c r="L163" s="1"/>
    </row>
    <row r="164" spans="11:12" x14ac:dyDescent="0.2">
      <c r="K164" s="64"/>
      <c r="L164" s="1"/>
    </row>
    <row r="165" spans="11:12" x14ac:dyDescent="0.2">
      <c r="K165" s="64"/>
      <c r="L165" s="1"/>
    </row>
    <row r="166" spans="11:12" x14ac:dyDescent="0.2">
      <c r="K166" s="64"/>
      <c r="L166" s="1"/>
    </row>
    <row r="167" spans="11:12" x14ac:dyDescent="0.2">
      <c r="K167" s="64"/>
      <c r="L167" s="1"/>
    </row>
    <row r="168" spans="11:12" x14ac:dyDescent="0.2">
      <c r="K168" s="64"/>
      <c r="L168" s="1"/>
    </row>
    <row r="169" spans="11:12" x14ac:dyDescent="0.2">
      <c r="K169" s="64"/>
      <c r="L169" s="1"/>
    </row>
    <row r="170" spans="11:12" x14ac:dyDescent="0.2">
      <c r="K170" s="64"/>
      <c r="L170" s="1"/>
    </row>
    <row r="171" spans="11:12" x14ac:dyDescent="0.2">
      <c r="K171" s="64"/>
      <c r="L171" s="1"/>
    </row>
    <row r="172" spans="11:12" x14ac:dyDescent="0.2">
      <c r="K172" s="64"/>
      <c r="L172" s="1"/>
    </row>
    <row r="173" spans="11:12" x14ac:dyDescent="0.2">
      <c r="K173" s="64"/>
      <c r="L173" s="1"/>
    </row>
    <row r="174" spans="11:12" x14ac:dyDescent="0.2">
      <c r="K174" s="64"/>
      <c r="L174" s="1"/>
    </row>
    <row r="175" spans="11:12" x14ac:dyDescent="0.2">
      <c r="K175" s="64"/>
      <c r="L175" s="1"/>
    </row>
    <row r="176" spans="11:12" x14ac:dyDescent="0.2">
      <c r="K176" s="64"/>
      <c r="L176" s="1"/>
    </row>
    <row r="177" spans="11:12" x14ac:dyDescent="0.2">
      <c r="K177" s="64"/>
      <c r="L177" s="1"/>
    </row>
    <row r="178" spans="11:12" x14ac:dyDescent="0.2">
      <c r="K178" s="64"/>
      <c r="L178" s="1"/>
    </row>
    <row r="179" spans="11:12" x14ac:dyDescent="0.2">
      <c r="K179" s="64"/>
      <c r="L179" s="1"/>
    </row>
    <row r="180" spans="11:12" x14ac:dyDescent="0.2">
      <c r="K180" s="64"/>
      <c r="L180" s="1"/>
    </row>
  </sheetData>
  <sortState ref="A2:X89">
    <sortCondition ref="A2:A89"/>
  </sortState>
  <customSheetViews>
    <customSheetView guid="{8EF2C042-D97C-40EA-9E42-A17331664713}">
      <pane xSplit="2" ySplit="1" topLeftCell="C2" activePane="bottomRight" state="frozen"/>
      <selection pane="bottomRight" activeCell="H19" sqref="H19"/>
      <pageMargins left="0.7" right="0.7" top="0.75" bottom="0.75" header="0.3" footer="0.3"/>
      <pageSetup paperSize="9" orientation="portrait" verticalDpi="0"/>
    </customSheetView>
    <customSheetView guid="{E8497AD8-A45C-484D-A252-6E26647DB053}">
      <pane xSplit="2" ySplit="1" topLeftCell="C2" activePane="bottomRight" state="frozen"/>
      <selection pane="bottomRight" activeCell="R14" sqref="R14"/>
      <pageMargins left="0.7" right="0.7" top="0.75" bottom="0.75" header="0.3" footer="0.3"/>
      <pageSetup paperSize="9" orientation="portrait" verticalDpi="0"/>
    </customSheetView>
    <customSheetView guid="{AAB8C83D-EE7C-4F2D-A040-F04A230A06FD}">
      <pane xSplit="2" ySplit="1" topLeftCell="H2" activePane="bottomRight" state="frozen"/>
      <selection pane="bottomRight" activeCell="T8" sqref="T8"/>
      <pageMargins left="0.7" right="0.7" top="0.75" bottom="0.75" header="0.3" footer="0.3"/>
      <pageSetup paperSize="9" orientation="portrait" verticalDpi="0"/>
    </customSheetView>
    <customSheetView guid="{A93D23F5-27FE-48DF-A0DC-3D7A8C6F3CF5}">
      <pane xSplit="2" ySplit="1" topLeftCell="C2" activePane="bottomRight" state="frozen"/>
      <selection pane="bottomRight" activeCell="H2" sqref="H2"/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CV616"/>
  <sheetViews>
    <sheetView topLeftCell="L1" workbookViewId="0">
      <selection activeCell="T2" sqref="T2"/>
    </sheetView>
  </sheetViews>
  <sheetFormatPr defaultColWidth="11.42578125" defaultRowHeight="12.75" x14ac:dyDescent="0.2"/>
  <cols>
    <col min="1" max="1" width="18.7109375" hidden="1" customWidth="1"/>
    <col min="2" max="2" width="10.140625" hidden="1" customWidth="1"/>
    <col min="3" max="3" width="6.85546875" hidden="1" customWidth="1"/>
    <col min="4" max="4" width="4" style="52" bestFit="1" customWidth="1"/>
    <col min="5" max="5" width="10.85546875" style="2" bestFit="1" customWidth="1"/>
    <col min="6" max="6" width="45.7109375" customWidth="1"/>
    <col min="7" max="7" width="17.7109375" style="8" customWidth="1"/>
    <col min="8" max="8" width="17" customWidth="1"/>
    <col min="9" max="12" width="15.85546875" customWidth="1"/>
    <col min="13" max="13" width="15.85546875" hidden="1" customWidth="1"/>
    <col min="14" max="14" width="17.42578125" hidden="1" customWidth="1"/>
    <col min="15" max="15" width="21.42578125" style="8" bestFit="1" customWidth="1"/>
    <col min="16" max="16" width="15" bestFit="1" customWidth="1"/>
    <col min="17" max="17" width="14.42578125" customWidth="1"/>
    <col min="18" max="18" width="21.42578125" style="8" bestFit="1" customWidth="1"/>
    <col min="19" max="19" width="18.7109375" bestFit="1" customWidth="1"/>
    <col min="20" max="21" width="14.42578125" customWidth="1"/>
    <col min="26" max="26" width="15" customWidth="1"/>
    <col min="33" max="33" width="13.42578125" bestFit="1" customWidth="1"/>
  </cols>
  <sheetData>
    <row r="1" spans="1:100" x14ac:dyDescent="0.2">
      <c r="A1" s="51" t="s">
        <v>429</v>
      </c>
      <c r="B1" s="49">
        <f>COUNTA(IDX_COMPO!$A$2:$A$1048576)</f>
        <v>122</v>
      </c>
      <c r="D1" s="51" t="s">
        <v>399</v>
      </c>
      <c r="E1" s="3" t="s">
        <v>1</v>
      </c>
      <c r="F1" s="4" t="s">
        <v>2</v>
      </c>
      <c r="G1" s="7" t="s">
        <v>54</v>
      </c>
      <c r="H1" s="3" t="s">
        <v>55</v>
      </c>
      <c r="I1" s="3" t="s">
        <v>56</v>
      </c>
      <c r="J1" s="4" t="s">
        <v>7</v>
      </c>
      <c r="K1" s="4" t="s">
        <v>8</v>
      </c>
      <c r="L1" s="4" t="s">
        <v>9</v>
      </c>
      <c r="M1" s="4" t="s">
        <v>82</v>
      </c>
      <c r="N1" s="3" t="s">
        <v>136</v>
      </c>
      <c r="O1" s="22" t="s">
        <v>127</v>
      </c>
      <c r="P1" s="3" t="s">
        <v>57</v>
      </c>
      <c r="Q1" s="3" t="s">
        <v>10</v>
      </c>
      <c r="R1" s="22" t="s">
        <v>119</v>
      </c>
      <c r="S1" s="7" t="s">
        <v>120</v>
      </c>
      <c r="T1" s="4" t="s">
        <v>121</v>
      </c>
      <c r="U1" s="3" t="s">
        <v>74</v>
      </c>
      <c r="V1" s="2"/>
      <c r="W1" s="51" t="s">
        <v>399</v>
      </c>
      <c r="X1" s="3" t="s">
        <v>1</v>
      </c>
      <c r="Y1" s="3" t="s">
        <v>10</v>
      </c>
      <c r="Z1" s="3" t="s">
        <v>57</v>
      </c>
      <c r="AA1" s="3" t="s">
        <v>420</v>
      </c>
      <c r="AB1" s="3" t="s">
        <v>433</v>
      </c>
      <c r="AC1" s="2"/>
      <c r="AD1" s="51" t="s">
        <v>399</v>
      </c>
      <c r="AE1" s="51"/>
      <c r="AF1" s="3" t="s">
        <v>10</v>
      </c>
      <c r="AG1" s="3" t="s">
        <v>57</v>
      </c>
      <c r="AH1" s="3" t="s">
        <v>419</v>
      </c>
      <c r="AI1" s="3" t="s">
        <v>433</v>
      </c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</row>
    <row r="2" spans="1:100" x14ac:dyDescent="0.2">
      <c r="A2" s="51" t="s">
        <v>431</v>
      </c>
      <c r="B2" s="49">
        <f>COUNTIF($AA$2:$AA$1048576,"YES")</f>
        <v>0</v>
      </c>
      <c r="D2" s="52">
        <f t="shared" ref="D2:D65" si="0">IF(ROW(D2)-ROW($D$1)&lt;=$B$4,ROW(D2)-ROW($D$1),"")</f>
        <v>1</v>
      </c>
      <c r="E2" s="5" t="str">
        <f>IF($D2&lt;=$B$1-$B$2,INDEX($X$2:$X$1048576,MATCH(D2,$AB$2:$AB$1048576,0)),IF(D2&lt;=$B$4,INDEX($AE$2:$AE$1048576,MATCH(D2-$B$1+$B$2,$AI$2:$AI$1048576,0)),""))</f>
        <v>DPM</v>
      </c>
      <c r="F2" s="5" t="str">
        <f>IF($D2&lt;&gt;"",VLOOKUP($E2,STK_REF!$A$2:$J$1048576,2,0),"")</f>
        <v>VNX Fertilizer and Chemicals Corp</v>
      </c>
      <c r="G2" s="68">
        <f>IF($D2&lt;=$B$1-$B$2,IF(INDEX($AA$2:$AA$1048576,MATCH($D2,$AB$2:$AB$1048576,0))="MODIFY",INDEX(IDX_CA!$D$1:$D$1041,SUMPRODUCT(--($E2=IDX_CA!$A$2:$A$1041),--(NXT_COMPO!$P2=IDX_CA!$B$2:$B$1041),--(NXT_COMPO!$Q2=IDX_CA!$C$2:$C$1041),ROW(IDX_CA!$D$2:$D$1041))),INDEX(IDX_COMPO!$C$1:$C$12000,SUMPRODUCT(--($E2=IDX_COMPO!$A$2:$A$1200),--(NXT_COMPO!$P2=IDX_COMPO!$F$2:$F$1200),--(NXT_COMPO!$B$5=IDX_COMPO!$G$2:$G$1200),ROW(IDX_COMPO!$C$2:$C$1200)))),IF($D2&lt;=$B$4,INDEX(IDX_CA!$D$1:$D$1041,SUMPRODUCT(--($E2=IDX_CA!$A$2:$A$1041),--(NXT_COMPO!$P2=IDX_CA!$B$2:$B$1041),--(NXT_COMPO!$Q2=IDX_CA!$C$2:$C$1041),ROW(IDX_CA!$D$2:$D$1041))),""))</f>
        <v>377647740</v>
      </c>
      <c r="H2" s="55">
        <f>IF($D2&lt;=$B$1-$B$2,IF(INDEX($AA$2:$AA$1048576,MATCH($D2,$AB$2:$AB$1048576,0))="MODIFY",INDEX(IDX_CA!$E$1:$E$1041,SUMPRODUCT(--($E2=IDX_CA!$A$2:$A$1041),--(NXT_COMPO!$P2=IDX_CA!$B$2:$B$1041),--(NXT_COMPO!$Q2=IDX_CA!$C$2:$C$1041),ROW(IDX_CA!$E$2:$E$1041))),INDEX(IDX_COMPO!$D$1:$D$1200,SUMPRODUCT(--($E2=IDX_COMPO!$A$2:$A$1200),--(NXT_COMPO!$P2=IDX_COMPO!$F$2:$F$1200),--(NXT_COMPO!$B$5=IDX_COMPO!$G$2:$G$1200),ROW(IDX_COMPO!$D$2:$D$1200)))),IF($D2&lt;=$B$4,INDEX(IDX_CA!$E$1:$E$1041,SUMPRODUCT(--($E2=IDX_CA!$A$2:$A$1041),--(NXT_COMPO!$P2=IDX_CA!$B$2:$B$1041),--(NXT_COMPO!$Q2=IDX_CA!$C$2:$C$1041),ROW(IDX_CA!$E$2:$E$1041))),""))</f>
        <v>95.23</v>
      </c>
      <c r="I2" s="55">
        <f>IF($D2&lt;=$B$1-$B$2,IF(INDEX($AA$2:$AA$1048576,MATCH($D2,$AB$2:$AB$1048576,0))="MODIFY",INDEX(IDX_CA!$F$1:$F$1041,SUMPRODUCT(--($E2=IDX_CA!$A$2:$A$1041),--(NXT_COMPO!$P2=IDX_CA!$B$2:$B$1041),--(NXT_COMPO!$Q2=IDX_CA!$C$2:$C$1041),ROW(IDX_CA!$F$2:$F$1041))),INDEX(IDX_COMPO!$E$1:$E$1200,SUMPRODUCT(--($E2=IDX_COMPO!$A$2:$A$1200),--(NXT_COMPO!$P2=IDX_COMPO!$F$2:$F$1200),--(NXT_COMPO!$B$5=IDX_COMPO!$G$2:$G$1200),ROW(IDX_COMPO!$E$2:$E$1200)))),IF($D2&lt;=$B$4,INDEX(IDX_CA!$F$1:$F$1041,SUMPRODUCT(--($E2=IDX_CA!$A$2:$A$1041),--(NXT_COMPO!$P2=IDX_CA!$B$2:$B$1041),--(NXT_COMPO!$Q2=IDX_CA!$C$2:$C$1041),ROW(IDX_CA!$F$2:$F$1041))),""))</f>
        <v>100</v>
      </c>
      <c r="J2" s="62">
        <f>IF($D2&lt;=$B$1-$B$2,IF(INDEX($AA$2:$AA$1048576,MATCH($D2,$AB$2:$AB$1048576,0))="MODIFY",INDEX(IDX_CA!$G$1:$G$1041,SUMPRODUCT(--($E2=IDX_CA!$A$2:$A$1041),--(NXT_COMPO!$P2=IDX_CA!$B$2:$B$1041),--(NXT_COMPO!$Q2=IDX_CA!$C$2:$C$1041),ROW(IDX_CA!$G$2:$G$1041))),INDEX(IDX_COMPOSITION!$F$1:$F$441,SUMPRODUCT(--($E2=IDX_COMPOSITION!$A$2:$A$441),--(NXT_COMPO!$P2=IDX_COMPOSITION!$R$2:$R$441),--(NXT_COMPO!$B$5=IDX_COMPOSITION!$L$2:$L$441),ROW(IDX_COMPOSITION!$F$2:$F$441)))),IF($D2&lt;=$B$4,INDEX(IDX_CA!$G$1:$G$1041,SUMPRODUCT(--($E2=IDX_CA!$A$2:$A$1041),--(NXT_COMPO!$P2=IDX_CA!$B$2:$B$1041),--(NXT_COMPO!$Q2=IDX_CA!$C$2:$C$1041),ROW(IDX_CA!$G$2:$G$1041))),""))</f>
        <v>39200</v>
      </c>
      <c r="K2" s="63" t="str">
        <f>IF($D2&lt;&gt;"",VLOOKUP($E2,STK_REF!$A$2:$J$1048576,7,0),"")</f>
        <v>VND</v>
      </c>
      <c r="L2" s="5">
        <f>IF($D2&lt;&gt;"",VLOOKUP($E2,STK_REF!$A$2:$J$1048576,8,0),"")</f>
        <v>1</v>
      </c>
      <c r="M2" s="8">
        <f>IF($D2&lt;&gt;"",IF($K2=$U2,1,IF(ISNA(VLOOKUP($K2&amp;$U2,CUR_RATES!$A$2:$F$521,4,0)),"",VLOOKUP($K2&amp;$U2,CUR_RATES!$A$2:$F$521,4,0))),"")</f>
        <v>1</v>
      </c>
      <c r="N2" s="61">
        <f>IF($D2&lt;&gt;"",$J2*$M2,"")</f>
        <v>39200</v>
      </c>
      <c r="O2" s="68">
        <f>IF($D2&lt;&gt;"",$G2*($H2/100)*($I2/100)*$N2*(1/$L2),"")</f>
        <v>14097650557838.4</v>
      </c>
      <c r="P2" s="5" t="str">
        <f t="shared" ref="P2:P33" si="1">IF($D2&lt;=$B$1-$B$2,INDEX($Z$2:$Z$1048576,MATCH($D2,$AB$2:$AB$1048576,0)),IF($D2&lt;=$B$4,INDEX($AG$2:$AG$1048576,MATCH($D2-$B$1+$B$2,$AI$2:$AI$1048576,0)),""))</f>
        <v>VNX10PRVND</v>
      </c>
      <c r="Q2" s="75">
        <f>IF($D2&lt;&gt;"",$B$6,"")</f>
        <v>41166</v>
      </c>
      <c r="R2" s="68" t="str">
        <f>IF(AND($D2&lt;&gt;"",$T2&lt;&gt;""),$G2*($H2/100)*($I2/100)*$S2*(1/$L2),"")</f>
        <v/>
      </c>
      <c r="S2" s="61" t="str">
        <f>IF($T2&lt;&gt;"",$T2*$M2,"")</f>
        <v/>
      </c>
      <c r="T2" s="62" t="str">
        <f>IF(D2&lt;&gt;"",IF(SUMPRODUCT(--($E2=STK_DIV!$A$2:$A$5),--(NXT_COMPO!$Q2=STK_DIV!$E$2:$E$5),ROW(STK_DIV!$D$2:$D$5))=0,"",INDEX(STK_DIV!$D$1:$D$5,SUMPRODUCT(--($E2=STK_DIV!$A$2:$A$5),--(NXT_COMPO!$Q2=STK_DIV!$E$2:$E$5),ROW(STK_DIV!$D$2:$D$5)))),"")</f>
        <v/>
      </c>
      <c r="U2" s="54" t="str">
        <f>IF($D2&lt;&gt;"",VLOOKUP($P2,IDX_REF!$2:$1048576,4,0),"")</f>
        <v>VND</v>
      </c>
      <c r="V2" s="2"/>
      <c r="W2" s="52">
        <f t="shared" ref="W2:W33" si="2">IF(ROW(W2)-ROW($W$1)&lt;=$B$1,ROW(W2)-ROW($W$1),"")</f>
        <v>1</v>
      </c>
      <c r="X2" s="5" t="str">
        <f>IF(ROW(X2)-ROW($X$1)&lt;=$B$1,INDEX(IDX_COMPO!A:A,ROW(IDX_COMPO!A2)),"")</f>
        <v>DPM</v>
      </c>
      <c r="Y2" s="75">
        <f t="shared" ref="Y2:Y33" si="3">IF(ROW(Y2)-ROW($Y$1)&lt;=$B$1,$B$6,"")</f>
        <v>41166</v>
      </c>
      <c r="Z2" s="54" t="str">
        <f>IF(ROW(Z2)-ROW($Y$1)&lt;=$B$1,INDEX(IDX_COMPO!F:F,ROW(IDX_COMPO!R2)),"")</f>
        <v>VNX10PRVND</v>
      </c>
      <c r="AA2" s="2" t="str">
        <f>IF(X2&lt;&gt;"",IF(SUMPRODUCT(--(X2=IDX_CA!$A$2:$A$1041),--(NXT_COMPO!Y2=IDX_CA!$C$2:$C$1041),--(Z2=IDX_CA!$B$2:$B$1041))&gt;0,IF(INDEX(IDX_CA!$I:$I,SUMPRODUCT(--(X2=IDX_CA!$A$2:$A$1041),--(NXT_COMPO!Y2=IDX_CA!$C$2:$C$1041),--(Z2=IDX_CA!$B$2:$B$1041),ROW(IDX_CA!$I$2:$I$1041)))=1,"YES","MODIFY"),""),"")</f>
        <v/>
      </c>
      <c r="AB2" s="5">
        <f>IF(X2&lt;&gt;"",IF(AA2="YES","",COUNTIF($AA$2:AA2,"&lt;&gt;YES")),"")</f>
        <v>1</v>
      </c>
      <c r="AC2" s="2"/>
      <c r="AD2" s="5">
        <f>IF(ROW(AD2)-ROW($AD$1)&lt;=COUNTIF(IDX_CA!$H$2:$H$1048576,1),ROW(AD2)-ROW($AD$1),"")</f>
        <v>1</v>
      </c>
      <c r="AE2" s="5" t="str">
        <f t="array" ref="AE2">IF(ISERROR(SMALL(IF(IDX_CA!$H$1:$H$1041=1,ROW(IDX_CA!$H$1:$H$1041)),ROW(AH2)-ROW($AH$1))),"",INDEX(IDX_CA!$A:$A,SMALL(IF(IDX_CA!$H$1:$H$1041=1,ROW(IDX_CA!$H$1:$H$1041)),ROW(AH2)-ROW($AH$1))))</f>
        <v>PTT</v>
      </c>
      <c r="AF2" s="75">
        <f t="array" ref="AF2">IF(ISERROR(SMALL(IF(IDX_CA!$H$1:$H$1041=1,ROW(IDX_CA!$B$1:$B$1041)),ROW(AG2)-ROW($AG$1))),"",INDEX(IDX_CA!$C:$C,SMALL(IF(IDX_CA!$H$1:$H$1041=1,ROW(IDX_CA!$B$1:$B$1041)),ROW(AG2)-ROW($AG$1))))</f>
        <v>41165</v>
      </c>
      <c r="AG2" s="54" t="str">
        <f t="array" ref="AG2">IF(ISERROR(SMALL(IF(IDX_CA!$H$1:$H$1041=1,ROW(IDX_CA!$B$1:$B$1041)),ROW(AG2)-ROW($AG$1))),"",INDEX(IDX_CA!$B:$B,SMALL(IF(IDX_CA!$H$1:$H$1041=1,ROW(IDX_CA!$B$1:$B$1041)),ROW(AG2)-ROW($AG$1))))</f>
        <v>VNX10PRVND</v>
      </c>
      <c r="AH2" s="2" t="str">
        <f t="array" ref="AH2">IF(ISERROR(SMALL(IF(IDX_CA!$H$1:$H$1041=1,ROW(IDX_CA!$H$1:$H$1041)),ROW(AH2)-ROW($AH$1))),"",IF(INDEX(IDX_CA!$C:$C,SMALL(IF(IDX_CA!$H$1:$H$1041=1,ROW(IDX_CA!$H$1:$H$1041)),ROW(AH2)-ROW($AH$1)))=$B$6,"YES",""))</f>
        <v/>
      </c>
      <c r="AI2" s="5" t="str">
        <f>IF(AD2&lt;&gt;"",IF(AH2="YES",COUNTIF($AH$2:AH2,"YES"),""),"")</f>
        <v/>
      </c>
    </row>
    <row r="3" spans="1:100" x14ac:dyDescent="0.2">
      <c r="A3" s="51" t="s">
        <v>430</v>
      </c>
      <c r="B3" s="49">
        <f>COUNTIF($AH$2:$AH$1048576,"YES")</f>
        <v>2</v>
      </c>
      <c r="D3" s="52">
        <f t="shared" si="0"/>
        <v>2</v>
      </c>
      <c r="E3" s="5" t="str">
        <f t="shared" ref="E3:E66" si="4">IF(D3&lt;=$B$1-$B$2,INDEX($X$2:$X$1048576,MATCH(D3,$AB$2:$AB$1048576,0)),IF(D3&lt;=$B$4,INDEX($AE$2:$AE$1048576,MATCH(D3-$B$1+$B$2,$AI$2:$AI$1048576,0)),""))</f>
        <v>PVX</v>
      </c>
      <c r="F3" s="5" t="str">
        <f>IF($D3&lt;&gt;"",VLOOKUP($E3,STK_REF!$A$2:$J$1048576,2,0),"")</f>
        <v>VNX Construction</v>
      </c>
      <c r="G3" s="68">
        <f>IF($D3&lt;=$B$1-$B$2,IF(INDEX($AA$2:$AA$1048576,MATCH($D3,$AB$2:$AB$1048576,0))="MODIFY",INDEX(IDX_CA!$D$1:$D$1041,SUMPRODUCT(--($E3=IDX_CA!$A$2:$A$1041),--(NXT_COMPO!$P3=IDX_CA!$B$2:$B$1041),--(NXT_COMPO!$Q3=IDX_CA!$C$2:$C$1041),ROW(IDX_CA!$D$2:$D$1041))),INDEX(IDX_COMPO!$C$1:$C$12000,SUMPRODUCT(--($E3=IDX_COMPO!$A$2:$A$1200),--(NXT_COMPO!$P3=IDX_COMPO!$F$2:$F$1200),--(NXT_COMPO!$B$5=IDX_COMPO!$G$2:$G$1200),ROW(IDX_COMPO!$C$2:$C$1200)))),IF($D3&lt;=$B$4,INDEX(IDX_CA!$D$1:$D$1041,SUMPRODUCT(--($E3=IDX_CA!$A$2:$A$1041),--(NXT_COMPO!$P3=IDX_CA!$B$2:$B$1041),--(NXT_COMPO!$Q3=IDX_CA!$C$2:$C$1041),ROW(IDX_CA!$D$2:$D$1041))),""))</f>
        <v>209740215</v>
      </c>
      <c r="H3" s="55">
        <f>IF($D3&lt;=$B$1-$B$2,IF(INDEX($AA$2:$AA$1048576,MATCH($D3,$AB$2:$AB$1048576,0))="MODIFY",INDEX(IDX_CA!$E$1:$E$1041,SUMPRODUCT(--($E3=IDX_CA!$A$2:$A$1041),--(NXT_COMPO!$P3=IDX_CA!$B$2:$B$1041),--(NXT_COMPO!$Q3=IDX_CA!$C$2:$C$1041),ROW(IDX_CA!$E$2:$E$1041))),INDEX(IDX_COMPO!$D$1:$D$1200,SUMPRODUCT(--($E3=IDX_COMPO!$A$2:$A$1200),--(NXT_COMPO!$P3=IDX_COMPO!$F$2:$F$1200),--(NXT_COMPO!$B$5=IDX_COMPO!$G$2:$G$1200),ROW(IDX_COMPO!$D$2:$D$1200)))),IF($D3&lt;=$B$4,INDEX(IDX_CA!$E$1:$E$1041,SUMPRODUCT(--($E3=IDX_CA!$A$2:$A$1041),--(NXT_COMPO!$P3=IDX_CA!$B$2:$B$1041),--(NXT_COMPO!$Q3=IDX_CA!$C$2:$C$1041),ROW(IDX_CA!$E$2:$E$1041))),""))</f>
        <v>100</v>
      </c>
      <c r="I3" s="55">
        <f>IF($D3&lt;=$B$1-$B$2,IF(INDEX($AA$2:$AA$1048576,MATCH($D3,$AB$2:$AB$1048576,0))="MODIFY",INDEX(IDX_CA!$F$1:$F$1041,SUMPRODUCT(--($E3=IDX_CA!$A$2:$A$1041),--(NXT_COMPO!$P3=IDX_CA!$B$2:$B$1041),--(NXT_COMPO!$Q3=IDX_CA!$C$2:$C$1041),ROW(IDX_CA!$F$2:$F$1041))),INDEX(IDX_COMPO!$E$1:$E$1200,SUMPRODUCT(--($E3=IDX_COMPO!$A$2:$A$1200),--(NXT_COMPO!$P3=IDX_COMPO!$F$2:$F$1200),--(NXT_COMPO!$B$5=IDX_COMPO!$G$2:$G$1200),ROW(IDX_COMPO!$E$2:$E$1200)))),IF($D3&lt;=$B$4,INDEX(IDX_CA!$F$1:$F$1041,SUMPRODUCT(--($E3=IDX_CA!$A$2:$A$1041),--(NXT_COMPO!$P3=IDX_CA!$B$2:$B$1041),--(NXT_COMPO!$Q3=IDX_CA!$C$2:$C$1041),ROW(IDX_CA!$F$2:$F$1041))),""))</f>
        <v>92.123456789000002</v>
      </c>
      <c r="J3" s="62">
        <f>IF($D3&lt;=$B$1-$B$2,IF(INDEX($AA$2:$AA$1048576,MATCH($D3,$AB$2:$AB$1048576,0))="MODIFY",INDEX(IDX_CA!$G$1:$G$1041,SUMPRODUCT(--($E3=IDX_CA!$A$2:$A$1041),--(NXT_COMPO!$P3=IDX_CA!$B$2:$B$1041),--(NXT_COMPO!$Q3=IDX_CA!$C$2:$C$1041),ROW(IDX_CA!$G$2:$G$1041))),INDEX(IDX_COMPOSITION!$F$1:$F$441,SUMPRODUCT(--($E3=IDX_COMPOSITION!$A$2:$A$441),--(NXT_COMPO!$P3=IDX_COMPOSITION!$R$2:$R$441),--(NXT_COMPO!$B$5=IDX_COMPOSITION!$L$2:$L$441),ROW(IDX_COMPOSITION!$F$2:$F$441)))),IF($D3&lt;=$B$4,INDEX(IDX_CA!$G$1:$G$1041,SUMPRODUCT(--($E3=IDX_CA!$A$2:$A$1041),--(NXT_COMPO!$P3=IDX_CA!$B$2:$B$1041),--(NXT_COMPO!$Q3=IDX_CA!$C$2:$C$1041),ROW(IDX_CA!$G$2:$G$1041))),""))</f>
        <v>5200</v>
      </c>
      <c r="K3" s="63" t="str">
        <f>IF($D3&lt;&gt;"",VLOOKUP($E3,STK_REF!$A$2:$J$1048576,7,0),"")</f>
        <v>VND</v>
      </c>
      <c r="L3" s="5">
        <f>IF($D3&lt;&gt;"",VLOOKUP($E3,STK_REF!$A$2:$J$1048576,8,0),"")</f>
        <v>1</v>
      </c>
      <c r="M3" s="8">
        <f>IF($D3&lt;&gt;"",IF($K3=$U3,1,IF(ISNA(VLOOKUP($K3&amp;$U3,CUR_RATES!$A$2:$F$521,4,0)),"",VLOOKUP($K3&amp;$U3,CUR_RATES!$A$2:$F$521,4,0))),"")</f>
        <v>1</v>
      </c>
      <c r="N3" s="61">
        <f t="shared" ref="N3:N66" si="5">IF($D3&lt;&gt;"",$J3*$M3,"")</f>
        <v>5200</v>
      </c>
      <c r="O3" s="68">
        <f t="shared" ref="O3:O66" si="6">IF($D3&lt;&gt;"",$G3*($H3/100)*($I3/100)*$N3*(1/$L3),"")</f>
        <v>1004743668940.3397</v>
      </c>
      <c r="P3" s="5" t="str">
        <f t="shared" si="1"/>
        <v>VNX10PRVND</v>
      </c>
      <c r="Q3" s="75">
        <f t="shared" ref="Q3:Q66" si="7">IF($D3&lt;&gt;"",$B$6,"")</f>
        <v>41166</v>
      </c>
      <c r="R3" s="68" t="str">
        <f t="shared" ref="R3:R66" si="8">IF(AND($D3&lt;&gt;"",$T3&lt;&gt;""),$G3*($H3/100)*($I3/100)*$S3*(1/$L3),"")</f>
        <v/>
      </c>
      <c r="S3" s="61" t="str">
        <f t="shared" ref="S3:S66" si="9">IF($T3&lt;&gt;"",$T3*$M3,"")</f>
        <v/>
      </c>
      <c r="T3" s="62" t="str">
        <f>IF(D3&lt;&gt;"",IF(SUMPRODUCT(--($E3=STK_DIV!$A$2:$A$5),--(NXT_COMPO!$Q3=STK_DIV!$E$2:$E$5),ROW(STK_DIV!$D$2:$D$5))=0,"",INDEX(STK_DIV!$D$1:$D$5,SUMPRODUCT(--($E3=STK_DIV!$A$2:$A$5),--(NXT_COMPO!$Q3=STK_DIV!$E$2:$E$5),ROW(STK_DIV!$D$2:$D$5)))),"")</f>
        <v/>
      </c>
      <c r="U3" s="54" t="str">
        <f>IF($D3&lt;&gt;"",VLOOKUP($P3,IDX_REF!$2:$1048576,4,0),"")</f>
        <v>VND</v>
      </c>
      <c r="V3" s="2"/>
      <c r="W3" s="52">
        <f t="shared" si="2"/>
        <v>2</v>
      </c>
      <c r="X3" s="5" t="str">
        <f>IF(ROW(X3)-ROW($X$1)&lt;=$B$1,INDEX(IDX_COMPO!A:A,ROW(IDX_COMPO!A3)),"")</f>
        <v>PVX</v>
      </c>
      <c r="Y3" s="75">
        <f t="shared" si="3"/>
        <v>41166</v>
      </c>
      <c r="Z3" s="54" t="str">
        <f>IF(ROW(Z3)-ROW($Y$1)&lt;=$B$1,INDEX(IDX_COMPO!F:F,ROW(IDX_COMPO!R3)),"")</f>
        <v>VNX10PRVND</v>
      </c>
      <c r="AA3" s="2" t="str">
        <f t="array" ref="AA3">IF(X3&lt;&gt;"",IF(SUMPRODUCT(--(X3=IDX_CA!$A$2:$A$1041),--(NXT_COMPO!Y3=IDX_CA!$C$2:$C$1041),--(Z3=IDX_CA!$B$2:$B$1041))&gt;0,IF(INDEX(IDX_CA!$I:$I,SUMPRODUCT(--(X3=IDX_CA!$A$2:$A$1041),--(NXT_COMPO!Y3=IDX_CA!$C$2:$C$1041),--(Z3=IDX_CA!$B$2:$B$1041),ROW(IDX_CA!$I$2:$I$1041)))=1,"YES","MODIFY"),""),"")</f>
        <v/>
      </c>
      <c r="AB3" s="5">
        <f>IF(X3&lt;&gt;"",IF(AA3="YES","",COUNTIF($AA$2:AA3,"&lt;&gt;YES")),"")</f>
        <v>2</v>
      </c>
      <c r="AC3" s="2"/>
      <c r="AD3" s="5">
        <f>IF(ROW(AD3)-ROW($AD$1)&lt;=COUNTIF(IDX_CA!$H$2:$H$1048576,1),ROW(AD3)-ROW($AD$1),"")</f>
        <v>2</v>
      </c>
      <c r="AE3" s="5" t="str">
        <f t="array" ref="AE3">IF(ISERROR(SMALL(IF(IDX_CA!$H$1:$H$1041=1,ROW(IDX_CA!$H$1:$H$1041)),ROW(AH3)-ROW($AH$1))),"",INDEX(IDX_CA!$A:$A,SMALL(IF(IDX_CA!$H$1:$H$1041=1,ROW(IDX_CA!$H$1:$H$1041)),ROW(AH3)-ROW($AH$1))))</f>
        <v>NT2</v>
      </c>
      <c r="AF3" s="75">
        <f t="array" ref="AF3">IF(ISERROR(SMALL(IF(IDX_CA!$H$1:$H$1041=1,ROW(IDX_CA!$B$1:$B$1041)),ROW(AG3)-ROW($AG$1))),"",INDEX(IDX_CA!$C:$C,SMALL(IF(IDX_CA!$H$1:$H$1041=1,ROW(IDX_CA!$B$1:$B$1041)),ROW(AG3)-ROW($AG$1))))</f>
        <v>41166</v>
      </c>
      <c r="AG3" s="54" t="str">
        <f t="array" ref="AG3">IF(ISERROR(SMALL(IF(IDX_CA!$H$1:$H$1041=1,ROW(IDX_CA!$B$1:$B$1041)),ROW(AG3)-ROW($AG$1))),"",INDEX(IDX_CA!$B:$B,SMALL(IF(IDX_CA!$H$1:$H$1041=1,ROW(IDX_CA!$B$1:$B$1041)),ROW(AG3)-ROW($AG$1))))</f>
        <v>VNX10PRVND</v>
      </c>
      <c r="AH3" s="2" t="str">
        <f t="array" ref="AH3">IF(ISERROR(SMALL(IF(IDX_CA!$H$1:$H$1041=1,ROW(IDX_CA!$H$1:$H$1041)),ROW(AH3)-ROW($AH$1))),"",IF(INDEX(IDX_CA!$C:$C,SMALL(IF(IDX_CA!$H$1:$H$1041=1,ROW(IDX_CA!$H$1:$H$1041)),ROW(AH3)-ROW($AH$1)))=$B$6,"YES",""))</f>
        <v>YES</v>
      </c>
      <c r="AI3" s="5">
        <f>IF(AD3&lt;&gt;"",IF(AH3="YES",COUNTIF($AH$2:AH3,"YES"),""),"")</f>
        <v>1</v>
      </c>
    </row>
    <row r="4" spans="1:100" x14ac:dyDescent="0.2">
      <c r="A4" s="51" t="s">
        <v>432</v>
      </c>
      <c r="B4" s="49">
        <f>B1+B3-B2</f>
        <v>124</v>
      </c>
      <c r="D4" s="52">
        <f t="shared" si="0"/>
        <v>3</v>
      </c>
      <c r="E4" s="5" t="str">
        <f t="shared" si="4"/>
        <v>PVD</v>
      </c>
      <c r="F4" s="5" t="str">
        <f>IF($D4&lt;&gt;"",VLOOKUP($E4,STK_REF!$A$2:$J$1048576,2,0),"")</f>
        <v xml:space="preserve">VNX Drilling &amp; Well Services Joint Stock </v>
      </c>
      <c r="G4" s="68">
        <f>IF($D4&lt;=$B$1-$B$2,IF(INDEX($AA$2:$AA$1048576,MATCH($D4,$AB$2:$AB$1048576,0))="MODIFY",INDEX(IDX_CA!$D$1:$D$1041,SUMPRODUCT(--($E4=IDX_CA!$A$2:$A$1041),--(NXT_COMPO!$P4=IDX_CA!$B$2:$B$1041),--(NXT_COMPO!$Q4=IDX_CA!$C$2:$C$1041),ROW(IDX_CA!$D$2:$D$1041))),INDEX(IDX_COMPO!$C$1:$C$12000,SUMPRODUCT(--($E4=IDX_COMPO!$A$2:$A$1200),--(NXT_COMPO!$P4=IDX_COMPO!$F$2:$F$1200),--(NXT_COMPO!$B$5=IDX_COMPO!$G$2:$G$1200),ROW(IDX_COMPO!$C$2:$C$1200)))),IF($D4&lt;=$B$4,INDEX(IDX_CA!$D$1:$D$1041,SUMPRODUCT(--($E4=IDX_CA!$A$2:$A$1041),--(NXT_COMPO!$P4=IDX_CA!$B$2:$B$1041),--(NXT_COMPO!$Q4=IDX_CA!$C$2:$C$1041),ROW(IDX_CA!$D$2:$D$1041))),""))</f>
        <v>600000000</v>
      </c>
      <c r="H4" s="55">
        <f>IF($D4&lt;=$B$1-$B$2,IF(INDEX($AA$2:$AA$1048576,MATCH($D4,$AB$2:$AB$1048576,0))="MODIFY",INDEX(IDX_CA!$E$1:$E$1041,SUMPRODUCT(--($E4=IDX_CA!$A$2:$A$1041),--(NXT_COMPO!$P4=IDX_CA!$B$2:$B$1041),--(NXT_COMPO!$Q4=IDX_CA!$C$2:$C$1041),ROW(IDX_CA!$E$2:$E$1041))),INDEX(IDX_COMPO!$D$1:$D$1200,SUMPRODUCT(--($E4=IDX_COMPO!$A$2:$A$1200),--(NXT_COMPO!$P4=IDX_COMPO!$F$2:$F$1200),--(NXT_COMPO!$B$5=IDX_COMPO!$G$2:$G$1200),ROW(IDX_COMPO!$D$2:$D$1200)))),IF($D4&lt;=$B$4,INDEX(IDX_CA!$E$1:$E$1041,SUMPRODUCT(--($E4=IDX_CA!$A$2:$A$1041),--(NXT_COMPO!$P4=IDX_CA!$B$2:$B$1041),--(NXT_COMPO!$Q4=IDX_CA!$C$2:$C$1041),ROW(IDX_CA!$E$2:$E$1041))),""))</f>
        <v>20</v>
      </c>
      <c r="I4" s="55">
        <f>IF($D4&lt;=$B$1-$B$2,IF(INDEX($AA$2:$AA$1048576,MATCH($D4,$AB$2:$AB$1048576,0))="MODIFY",INDEX(IDX_CA!$F$1:$F$1041,SUMPRODUCT(--($E4=IDX_CA!$A$2:$A$1041),--(NXT_COMPO!$P4=IDX_CA!$B$2:$B$1041),--(NXT_COMPO!$Q4=IDX_CA!$C$2:$C$1041),ROW(IDX_CA!$F$2:$F$1041))),INDEX(IDX_COMPO!$E$1:$E$1200,SUMPRODUCT(--($E4=IDX_COMPO!$A$2:$A$1200),--(NXT_COMPO!$P4=IDX_COMPO!$F$2:$F$1200),--(NXT_COMPO!$B$5=IDX_COMPO!$G$2:$G$1200),ROW(IDX_COMPO!$E$2:$E$1200)))),IF($D4&lt;=$B$4,INDEX(IDX_CA!$F$1:$F$1041,SUMPRODUCT(--($E4=IDX_CA!$A$2:$A$1041),--(NXT_COMPO!$P4=IDX_CA!$B$2:$B$1041),--(NXT_COMPO!$Q4=IDX_CA!$C$2:$C$1041),ROW(IDX_CA!$F$2:$F$1041))),""))</f>
        <v>100</v>
      </c>
      <c r="J4" s="62">
        <f>IF($D4&lt;=$B$1-$B$2,IF(INDEX($AA$2:$AA$1048576,MATCH($D4,$AB$2:$AB$1048576,0))="MODIFY",INDEX(IDX_CA!$G$1:$G$1041,SUMPRODUCT(--($E4=IDX_CA!$A$2:$A$1041),--(NXT_COMPO!$P4=IDX_CA!$B$2:$B$1041),--(NXT_COMPO!$Q4=IDX_CA!$C$2:$C$1041),ROW(IDX_CA!$G$2:$G$1041))),INDEX(IDX_COMPOSITION!$F$1:$F$441,SUMPRODUCT(--($E4=IDX_COMPOSITION!$A$2:$A$441),--(NXT_COMPO!$P4=IDX_COMPOSITION!$R$2:$R$441),--(NXT_COMPO!$B$5=IDX_COMPOSITION!$L$2:$L$441),ROW(IDX_COMPOSITION!$F$2:$F$441)))),IF($D4&lt;=$B$4,INDEX(IDX_CA!$G$1:$G$1041,SUMPRODUCT(--($E4=IDX_CA!$A$2:$A$1041),--(NXT_COMPO!$P4=IDX_CA!$B$2:$B$1041),--(NXT_COMPO!$Q4=IDX_CA!$C$2:$C$1041),ROW(IDX_CA!$G$2:$G$1041))),""))</f>
        <v>35000</v>
      </c>
      <c r="K4" s="63" t="str">
        <f>IF($D4&lt;&gt;"",VLOOKUP($E4,STK_REF!$A$2:$J$1048576,7,0),"")</f>
        <v>VND</v>
      </c>
      <c r="L4" s="5">
        <f>IF($D4&lt;&gt;"",VLOOKUP($E4,STK_REF!$A$2:$J$1048576,8,0),"")</f>
        <v>1</v>
      </c>
      <c r="M4" s="8">
        <f>IF($D4&lt;&gt;"",IF($K4=$U4,1,IF(ISNA(VLOOKUP($K4&amp;$U4,CUR_RATES!$A$2:$F$521,4,0)),"",VLOOKUP($K4&amp;$U4,CUR_RATES!$A$2:$F$521,4,0))),"")</f>
        <v>1</v>
      </c>
      <c r="N4" s="61">
        <f t="shared" si="5"/>
        <v>35000</v>
      </c>
      <c r="O4" s="68">
        <f t="shared" si="6"/>
        <v>4200000000000</v>
      </c>
      <c r="P4" s="5" t="str">
        <f t="shared" si="1"/>
        <v>VNX10PRVND</v>
      </c>
      <c r="Q4" s="75">
        <f t="shared" si="7"/>
        <v>41166</v>
      </c>
      <c r="R4" s="68" t="str">
        <f t="shared" si="8"/>
        <v/>
      </c>
      <c r="S4" s="61" t="str">
        <f t="shared" si="9"/>
        <v/>
      </c>
      <c r="T4" s="62" t="str">
        <f>IF(D4&lt;&gt;"",IF(SUMPRODUCT(--($E4=STK_DIV!$A$2:$A$5),--(NXT_COMPO!$Q4=STK_DIV!$E$2:$E$5),ROW(STK_DIV!$D$2:$D$5))=0,"",INDEX(STK_DIV!$D$1:$D$5,SUMPRODUCT(--($E4=STK_DIV!$A$2:$A$5),--(NXT_COMPO!$Q4=STK_DIV!$E$2:$E$5),ROW(STK_DIV!$D$2:$D$5)))),"")</f>
        <v/>
      </c>
      <c r="U4" s="54" t="str">
        <f>IF($D4&lt;&gt;"",VLOOKUP($P4,IDX_REF!$2:$1048576,4,0),"")</f>
        <v>VND</v>
      </c>
      <c r="V4" s="2"/>
      <c r="W4" s="52">
        <f t="shared" si="2"/>
        <v>3</v>
      </c>
      <c r="X4" s="5" t="str">
        <f>IF(ROW(X4)-ROW($X$1)&lt;=$B$1,INDEX(IDX_COMPO!A:A,ROW(IDX_COMPO!A4)),"")</f>
        <v>PVD</v>
      </c>
      <c r="Y4" s="75">
        <f t="shared" si="3"/>
        <v>41166</v>
      </c>
      <c r="Z4" s="54" t="str">
        <f>IF(ROW(Z4)-ROW($Y$1)&lt;=$B$1,INDEX(IDX_COMPO!F:F,ROW(IDX_COMPO!R4)),"")</f>
        <v>VNX10PRVND</v>
      </c>
      <c r="AA4" s="2" t="str">
        <f t="array" ref="AA4">IF(X4&lt;&gt;"",IF(SUMPRODUCT(--(X4=IDX_CA!$A$2:$A$1041),--(NXT_COMPO!Y4=IDX_CA!$C$2:$C$1041),--(Z4=IDX_CA!$B$2:$B$1041))&gt;0,IF(INDEX(IDX_CA!$I:$I,SUMPRODUCT(--(X4=IDX_CA!$A$2:$A$1041),--(NXT_COMPO!Y4=IDX_CA!$C$2:$C$1041),--(Z4=IDX_CA!$B$2:$B$1041),ROW(IDX_CA!$I$2:$I$1041)))=1,"YES","MODIFY"),""),"")</f>
        <v/>
      </c>
      <c r="AB4" s="5">
        <f>IF(X4&lt;&gt;"",IF(AA4="YES","",COUNTIF($AA$2:AA4,"&lt;&gt;YES")),"")</f>
        <v>3</v>
      </c>
      <c r="AC4" s="2"/>
      <c r="AD4" s="5">
        <f>IF(ROW(AD4)-ROW($AD$1)&lt;=COUNTIF(IDX_CA!$H$2:$H$1048576,1),ROW(AD4)-ROW($AD$1),"")</f>
        <v>3</v>
      </c>
      <c r="AE4" s="5" t="str">
        <f t="array" ref="AE4">IF(ISERROR(SMALL(IF(IDX_CA!$H$1:$H$1041=1,ROW(IDX_CA!$H$1:$H$1041)),ROW(AH4)-ROW($AH$1))),"",INDEX(IDX_CA!$A:$A,SMALL(IF(IDX_CA!$H$1:$H$1041=1,ROW(IDX_CA!$H$1:$H$1041)),ROW(AH4)-ROW($AH$1))))</f>
        <v>PCT</v>
      </c>
      <c r="AF4" s="75">
        <f t="array" ref="AF4">IF(ISERROR(SMALL(IF(IDX_CA!$H$1:$H$1041=1,ROW(IDX_CA!$B$1:$B$1041)),ROW(AG4)-ROW($AG$1))),"",INDEX(IDX_CA!$C:$C,SMALL(IF(IDX_CA!$H$1:$H$1041=1,ROW(IDX_CA!$B$1:$B$1041)),ROW(AG4)-ROW($AG$1))))</f>
        <v>41165</v>
      </c>
      <c r="AG4" s="54" t="str">
        <f t="array" ref="AG4">IF(ISERROR(SMALL(IF(IDX_CA!$H$1:$H$1041=1,ROW(IDX_CA!$B$1:$B$1041)),ROW(AG4)-ROW($AG$1))),"",INDEX(IDX_CA!$B:$B,SMALL(IF(IDX_CA!$H$1:$H$1041=1,ROW(IDX_CA!$B$1:$B$1041)),ROW(AG4)-ROW($AG$1))))</f>
        <v>VNX10PRVND</v>
      </c>
      <c r="AH4" s="2" t="str">
        <f t="array" ref="AH4">IF(ISERROR(SMALL(IF(IDX_CA!$H$1:$H$1041=1,ROW(IDX_CA!$H$1:$H$1041)),ROW(AH4)-ROW($AH$1))),"",IF(INDEX(IDX_CA!$C:$C,SMALL(IF(IDX_CA!$H$1:$H$1041=1,ROW(IDX_CA!$H$1:$H$1041)),ROW(AH4)-ROW($AH$1)))=$B$6,"YES",""))</f>
        <v/>
      </c>
      <c r="AI4" s="5" t="str">
        <f>IF(AD4&lt;&gt;"",IF(AH4="YES",COUNTIF($AH$2:AH4,"YES"),""),"")</f>
        <v/>
      </c>
    </row>
    <row r="5" spans="1:100" x14ac:dyDescent="0.2">
      <c r="A5" s="51" t="s">
        <v>434</v>
      </c>
      <c r="B5" s="54">
        <f>IDX_COMPOSITION!$L$2</f>
        <v>41165</v>
      </c>
      <c r="D5" s="52">
        <f t="shared" si="0"/>
        <v>4</v>
      </c>
      <c r="E5" s="5" t="str">
        <f t="shared" si="4"/>
        <v>PVF</v>
      </c>
      <c r="F5" s="5" t="str">
        <f>IF($D5&lt;&gt;"",VLOOKUP($E5,STK_REF!$A$2:$J$1048576,2,0),"")</f>
        <v>VNX Finance Joint Stock Corp</v>
      </c>
      <c r="G5" s="68">
        <f>IF($D5&lt;=$B$1-$B$2,IF(INDEX($AA$2:$AA$1048576,MATCH($D5,$AB$2:$AB$1048576,0))="MODIFY",INDEX(IDX_CA!$D$1:$D$1041,SUMPRODUCT(--($E5=IDX_CA!$A$2:$A$1041),--(NXT_COMPO!$P5=IDX_CA!$B$2:$B$1041),--(NXT_COMPO!$Q5=IDX_CA!$C$2:$C$1041),ROW(IDX_CA!$D$2:$D$1041))),INDEX(IDX_COMPO!$C$1:$C$12000,SUMPRODUCT(--($E5=IDX_COMPO!$A$2:$A$1200),--(NXT_COMPO!$P5=IDX_COMPO!$F$2:$F$1200),--(NXT_COMPO!$B$5=IDX_COMPO!$G$2:$G$1200),ROW(IDX_COMPO!$C$2:$C$1200)))),IF($D5&lt;=$B$4,INDEX(IDX_CA!$D$1:$D$1041,SUMPRODUCT(--($E5=IDX_CA!$A$2:$A$1041),--(NXT_COMPO!$P5=IDX_CA!$B$2:$B$1041),--(NXT_COMPO!$Q5=IDX_CA!$C$2:$C$1041),ROW(IDX_CA!$D$2:$D$1041))),""))</f>
        <v>297802094</v>
      </c>
      <c r="H5" s="55">
        <f>IF($D5&lt;=$B$1-$B$2,IF(INDEX($AA$2:$AA$1048576,MATCH($D5,$AB$2:$AB$1048576,0))="MODIFY",INDEX(IDX_CA!$E$1:$E$1041,SUMPRODUCT(--($E5=IDX_CA!$A$2:$A$1041),--(NXT_COMPO!$P5=IDX_CA!$B$2:$B$1041),--(NXT_COMPO!$Q5=IDX_CA!$C$2:$C$1041),ROW(IDX_CA!$E$2:$E$1041))),INDEX(IDX_COMPO!$D$1:$D$1200,SUMPRODUCT(--($E5=IDX_COMPO!$A$2:$A$1200),--(NXT_COMPO!$P5=IDX_COMPO!$F$2:$F$1200),--(NXT_COMPO!$B$5=IDX_COMPO!$G$2:$G$1200),ROW(IDX_COMPO!$D$2:$D$1200)))),IF($D5&lt;=$B$4,INDEX(IDX_CA!$E$1:$E$1041,SUMPRODUCT(--($E5=IDX_CA!$A$2:$A$1041),--(NXT_COMPO!$P5=IDX_CA!$B$2:$B$1041),--(NXT_COMPO!$Q5=IDX_CA!$C$2:$C$1041),ROW(IDX_CA!$E$2:$E$1041))),""))</f>
        <v>15</v>
      </c>
      <c r="I5" s="55">
        <f>IF($D5&lt;=$B$1-$B$2,IF(INDEX($AA$2:$AA$1048576,MATCH($D5,$AB$2:$AB$1048576,0))="MODIFY",INDEX(IDX_CA!$F$1:$F$1041,SUMPRODUCT(--($E5=IDX_CA!$A$2:$A$1041),--(NXT_COMPO!$P5=IDX_CA!$B$2:$B$1041),--(NXT_COMPO!$Q5=IDX_CA!$C$2:$C$1041),ROW(IDX_CA!$F$2:$F$1041))),INDEX(IDX_COMPO!$E$1:$E$1200,SUMPRODUCT(--($E5=IDX_COMPO!$A$2:$A$1200),--(NXT_COMPO!$P5=IDX_COMPO!$F$2:$F$1200),--(NXT_COMPO!$B$5=IDX_COMPO!$G$2:$G$1200),ROW(IDX_COMPO!$E$2:$E$1200)))),IF($D5&lt;=$B$4,INDEX(IDX_CA!$F$1:$F$1041,SUMPRODUCT(--($E5=IDX_CA!$A$2:$A$1041),--(NXT_COMPO!$P5=IDX_CA!$B$2:$B$1041),--(NXT_COMPO!$Q5=IDX_CA!$C$2:$C$1041),ROW(IDX_CA!$F$2:$F$1041))),""))</f>
        <v>84.123000000000005</v>
      </c>
      <c r="J5" s="62">
        <f>IF($D5&lt;=$B$1-$B$2,IF(INDEX($AA$2:$AA$1048576,MATCH($D5,$AB$2:$AB$1048576,0))="MODIFY",INDEX(IDX_CA!$G$1:$G$1041,SUMPRODUCT(--($E5=IDX_CA!$A$2:$A$1041),--(NXT_COMPO!$P5=IDX_CA!$B$2:$B$1041),--(NXT_COMPO!$Q5=IDX_CA!$C$2:$C$1041),ROW(IDX_CA!$G$2:$G$1041))),INDEX(IDX_COMPOSITION!$F$1:$F$441,SUMPRODUCT(--($E5=IDX_COMPOSITION!$A$2:$A$441),--(NXT_COMPO!$P5=IDX_COMPOSITION!$R$2:$R$441),--(NXT_COMPO!$B$5=IDX_COMPOSITION!$L$2:$L$441),ROW(IDX_COMPOSITION!$F$2:$F$441)))),IF($D5&lt;=$B$4,INDEX(IDX_CA!$G$1:$G$1041,SUMPRODUCT(--($E5=IDX_CA!$A$2:$A$1041),--(NXT_COMPO!$P5=IDX_CA!$B$2:$B$1041),--(NXT_COMPO!$Q5=IDX_CA!$C$2:$C$1041),ROW(IDX_CA!$G$2:$G$1041))),""))</f>
        <v>8300</v>
      </c>
      <c r="K5" s="63" t="str">
        <f>IF($D5&lt;&gt;"",VLOOKUP($E5,STK_REF!$A$2:$J$1048576,7,0),"")</f>
        <v>VND</v>
      </c>
      <c r="L5" s="5">
        <f>IF($D5&lt;&gt;"",VLOOKUP($E5,STK_REF!$A$2:$J$1048576,8,0),"")</f>
        <v>1</v>
      </c>
      <c r="M5" s="8">
        <f>IF($D5&lt;&gt;"",IF($K5=$U5,1,IF(ISNA(VLOOKUP($K5&amp;$U5,CUR_RATES!$A$2:$F$521,4,0)),"",VLOOKUP($K5&amp;$U5,CUR_RATES!$A$2:$F$521,4,0))),"")</f>
        <v>1</v>
      </c>
      <c r="N5" s="61">
        <f t="shared" si="5"/>
        <v>8300</v>
      </c>
      <c r="O5" s="68">
        <f t="shared" si="6"/>
        <v>311897469141.84692</v>
      </c>
      <c r="P5" s="5" t="str">
        <f t="shared" si="1"/>
        <v>VNX10PRVND</v>
      </c>
      <c r="Q5" s="75">
        <f t="shared" si="7"/>
        <v>41166</v>
      </c>
      <c r="R5" s="68" t="str">
        <f t="shared" si="8"/>
        <v/>
      </c>
      <c r="S5" s="61" t="str">
        <f t="shared" si="9"/>
        <v/>
      </c>
      <c r="T5" s="62" t="str">
        <f>IF(D5&lt;&gt;"",IF(SUMPRODUCT(--($E5=STK_DIV!$A$2:$A$5),--(NXT_COMPO!$Q5=STK_DIV!$E$2:$E$5),ROW(STK_DIV!$D$2:$D$5))=0,"",INDEX(STK_DIV!$D$1:$D$5,SUMPRODUCT(--($E5=STK_DIV!$A$2:$A$5),--(NXT_COMPO!$Q5=STK_DIV!$E$2:$E$5),ROW(STK_DIV!$D$2:$D$5)))),"")</f>
        <v/>
      </c>
      <c r="U5" s="54" t="str">
        <f>IF($D5&lt;&gt;"",VLOOKUP($P5,IDX_REF!$2:$1048576,4,0),"")</f>
        <v>VND</v>
      </c>
      <c r="W5" s="52">
        <f t="shared" si="2"/>
        <v>4</v>
      </c>
      <c r="X5" s="5" t="str">
        <f>IF(ROW(X5)-ROW($X$1)&lt;=$B$1,INDEX(IDX_COMPO!A:A,ROW(IDX_COMPO!A5)),"")</f>
        <v>PVF</v>
      </c>
      <c r="Y5" s="75">
        <f t="shared" si="3"/>
        <v>41166</v>
      </c>
      <c r="Z5" s="54" t="str">
        <f>IF(ROW(Z5)-ROW($Y$1)&lt;=$B$1,INDEX(IDX_COMPO!F:F,ROW(IDX_COMPO!R5)),"")</f>
        <v>VNX10PRVND</v>
      </c>
      <c r="AA5" s="2" t="str">
        <f t="array" ref="AA5">IF(X5&lt;&gt;"",IF(SUMPRODUCT(--(X5=IDX_CA!$A$2:$A$1041),--(NXT_COMPO!Y5=IDX_CA!$C$2:$C$1041),--(Z5=IDX_CA!$B$2:$B$1041))&gt;0,IF(INDEX(IDX_CA!$I:$I,SUMPRODUCT(--(X5=IDX_CA!$A$2:$A$1041),--(NXT_COMPO!Y5=IDX_CA!$C$2:$C$1041),--(Z5=IDX_CA!$B$2:$B$1041),ROW(IDX_CA!$I$2:$I$1041)))=1,"YES","MODIFY"),""),"")</f>
        <v/>
      </c>
      <c r="AB5" s="5">
        <f>IF(X5&lt;&gt;"",IF(AA5="YES","",COUNTIF($AA$2:AA5,"&lt;&gt;YES")),"")</f>
        <v>4</v>
      </c>
      <c r="AC5" s="2"/>
      <c r="AD5" s="5">
        <f>IF(ROW(AD5)-ROW($AD$1)&lt;=COUNTIF(IDX_CA!$H$2:$H$1048576,1),ROW(AD5)-ROW($AD$1),"")</f>
        <v>4</v>
      </c>
      <c r="AE5" s="5" t="str">
        <f t="array" ref="AE5">IF(ISERROR(SMALL(IF(IDX_CA!$H$1:$H$1041=1,ROW(IDX_CA!$H$1:$H$1041)),ROW(AH5)-ROW($AH$1))),"",INDEX(IDX_CA!$A:$A,SMALL(IF(IDX_CA!$H$1:$H$1041=1,ROW(IDX_CA!$H$1:$H$1041)),ROW(AH5)-ROW($AH$1))))</f>
        <v>PPE</v>
      </c>
      <c r="AF5" s="75">
        <f t="array" ref="AF5">IF(ISERROR(SMALL(IF(IDX_CA!$H$1:$H$1041=1,ROW(IDX_CA!$B$1:$B$1041)),ROW(AG5)-ROW($AG$1))),"",INDEX(IDX_CA!$C:$C,SMALL(IF(IDX_CA!$H$1:$H$1041=1,ROW(IDX_CA!$B$1:$B$1041)),ROW(AG5)-ROW($AG$1))))</f>
        <v>41165</v>
      </c>
      <c r="AG5" s="54" t="str">
        <f t="array" ref="AG5">IF(ISERROR(SMALL(IF(IDX_CA!$H$1:$H$1041=1,ROW(IDX_CA!$B$1:$B$1041)),ROW(AG5)-ROW($AG$1))),"",INDEX(IDX_CA!$B:$B,SMALL(IF(IDX_CA!$H$1:$H$1041=1,ROW(IDX_CA!$B$1:$B$1041)),ROW(AG5)-ROW($AG$1))))</f>
        <v>VNX10PRVND</v>
      </c>
      <c r="AH5" s="2" t="str">
        <f t="array" ref="AH5">IF(ISERROR(SMALL(IF(IDX_CA!$H$1:$H$1041=1,ROW(IDX_CA!$H$1:$H$1041)),ROW(AH5)-ROW($AH$1))),"",IF(INDEX(IDX_CA!$C:$C,SMALL(IF(IDX_CA!$H$1:$H$1041=1,ROW(IDX_CA!$H$1:$H$1041)),ROW(AH5)-ROW($AH$1)))=$B$6,"YES",""))</f>
        <v/>
      </c>
      <c r="AI5" s="5" t="str">
        <f>IF(AD5&lt;&gt;"",IF(AH5="YES",COUNTIF($AH$2:AH5,"YES"),""),"")</f>
        <v/>
      </c>
    </row>
    <row r="6" spans="1:100" x14ac:dyDescent="0.2">
      <c r="A6" s="51" t="s">
        <v>416</v>
      </c>
      <c r="B6" s="54">
        <f>INDEX(IDX_CALENDAR!$A$2:$A$1048576,MATCH(NXT_COMPO!$B$5,IDX_CALENDAR!$A$2:$A$1048576)+1)</f>
        <v>41166</v>
      </c>
      <c r="D6" s="52">
        <f t="shared" si="0"/>
        <v>5</v>
      </c>
      <c r="E6" s="5" t="str">
        <f t="shared" si="4"/>
        <v>PVS</v>
      </c>
      <c r="F6" s="5" t="str">
        <f>IF($D6&lt;&gt;"",VLOOKUP($E6,STK_REF!$A$2:$J$1048576,2,0),"")</f>
        <v>VNX Technical Services Corp</v>
      </c>
      <c r="G6" s="68">
        <f>IF($D6&lt;=$B$1-$B$2,IF(INDEX($AA$2:$AA$1048576,MATCH($D6,$AB$2:$AB$1048576,0))="MODIFY",INDEX(IDX_CA!$D$1:$D$1041,SUMPRODUCT(--($E6=IDX_CA!$A$2:$A$1041),--(NXT_COMPO!$P6=IDX_CA!$B$2:$B$1041),--(NXT_COMPO!$Q6=IDX_CA!$C$2:$C$1041),ROW(IDX_CA!$D$2:$D$1041))),INDEX(IDX_COMPO!$C$1:$C$12000,SUMPRODUCT(--($E6=IDX_COMPO!$A$2:$A$1200),--(NXT_COMPO!$P6=IDX_COMPO!$F$2:$F$1200),--(NXT_COMPO!$B$5=IDX_COMPO!$G$2:$G$1200),ROW(IDX_COMPO!$C$2:$C$1200)))),IF($D6&lt;=$B$4,INDEX(IDX_CA!$D$1:$D$1041,SUMPRODUCT(--($E6=IDX_CA!$A$2:$A$1041),--(NXT_COMPO!$P6=IDX_CA!$B$2:$B$1041),--(NXT_COMPO!$Q6=IDX_CA!$C$2:$C$1041),ROW(IDX_CA!$D$2:$D$1041))),""))</f>
        <v>250000000</v>
      </c>
      <c r="H6" s="55">
        <f>IF($D6&lt;=$B$1-$B$2,IF(INDEX($AA$2:$AA$1048576,MATCH($D6,$AB$2:$AB$1048576,0))="MODIFY",INDEX(IDX_CA!$E$1:$E$1041,SUMPRODUCT(--($E6=IDX_CA!$A$2:$A$1041),--(NXT_COMPO!$P6=IDX_CA!$B$2:$B$1041),--(NXT_COMPO!$Q6=IDX_CA!$C$2:$C$1041),ROW(IDX_CA!$E$2:$E$1041))),INDEX(IDX_COMPO!$D$1:$D$1200,SUMPRODUCT(--($E6=IDX_COMPO!$A$2:$A$1200),--(NXT_COMPO!$P6=IDX_COMPO!$F$2:$F$1200),--(NXT_COMPO!$B$5=IDX_COMPO!$G$2:$G$1200),ROW(IDX_COMPO!$D$2:$D$1200)))),IF($D6&lt;=$B$4,INDEX(IDX_CA!$E$1:$E$1041,SUMPRODUCT(--($E6=IDX_CA!$A$2:$A$1041),--(NXT_COMPO!$P6=IDX_CA!$B$2:$B$1041),--(NXT_COMPO!$Q6=IDX_CA!$C$2:$C$1041),ROW(IDX_CA!$E$2:$E$1041))),""))</f>
        <v>100</v>
      </c>
      <c r="I6" s="55">
        <f>IF($D6&lt;=$B$1-$B$2,IF(INDEX($AA$2:$AA$1048576,MATCH($D6,$AB$2:$AB$1048576,0))="MODIFY",INDEX(IDX_CA!$F$1:$F$1041,SUMPRODUCT(--($E6=IDX_CA!$A$2:$A$1041),--(NXT_COMPO!$P6=IDX_CA!$B$2:$B$1041),--(NXT_COMPO!$Q6=IDX_CA!$C$2:$C$1041),ROW(IDX_CA!$F$2:$F$1041))),INDEX(IDX_COMPO!$E$1:$E$1200,SUMPRODUCT(--($E6=IDX_COMPO!$A$2:$A$1200),--(NXT_COMPO!$P6=IDX_COMPO!$F$2:$F$1200),--(NXT_COMPO!$B$5=IDX_COMPO!$G$2:$G$1200),ROW(IDX_COMPO!$E$2:$E$1200)))),IF($D6&lt;=$B$4,INDEX(IDX_CA!$F$1:$F$1041,SUMPRODUCT(--($E6=IDX_CA!$A$2:$A$1041),--(NXT_COMPO!$P6=IDX_CA!$B$2:$B$1041),--(NXT_COMPO!$Q6=IDX_CA!$C$2:$C$1041),ROW(IDX_CA!$F$2:$F$1041))),""))</f>
        <v>100</v>
      </c>
      <c r="J6" s="62">
        <f>IF($D6&lt;=$B$1-$B$2,IF(INDEX($AA$2:$AA$1048576,MATCH($D6,$AB$2:$AB$1048576,0))="MODIFY",INDEX(IDX_CA!$G$1:$G$1041,SUMPRODUCT(--($E6=IDX_CA!$A$2:$A$1041),--(NXT_COMPO!$P6=IDX_CA!$B$2:$B$1041),--(NXT_COMPO!$Q6=IDX_CA!$C$2:$C$1041),ROW(IDX_CA!$G$2:$G$1041))),INDEX(IDX_COMPOSITION!$F$1:$F$441,SUMPRODUCT(--($E6=IDX_COMPOSITION!$A$2:$A$441),--(NXT_COMPO!$P6=IDX_COMPOSITION!$R$2:$R$441),--(NXT_COMPO!$B$5=IDX_COMPOSITION!$L$2:$L$441),ROW(IDX_COMPOSITION!$F$2:$F$441)))),IF($D6&lt;=$B$4,INDEX(IDX_CA!$G$1:$G$1041,SUMPRODUCT(--($E6=IDX_CA!$A$2:$A$1041),--(NXT_COMPO!$P6=IDX_CA!$B$2:$B$1041),--(NXT_COMPO!$Q6=IDX_CA!$C$2:$C$1041),ROW(IDX_CA!$G$2:$G$1041))),""))</f>
        <v>15200</v>
      </c>
      <c r="K6" s="63" t="str">
        <f>IF($D6&lt;&gt;"",VLOOKUP($E6,STK_REF!$A$2:$J$1048576,7,0),"")</f>
        <v>VND</v>
      </c>
      <c r="L6" s="5">
        <f>IF($D6&lt;&gt;"",VLOOKUP($E6,STK_REF!$A$2:$J$1048576,8,0),"")</f>
        <v>1</v>
      </c>
      <c r="M6" s="8">
        <f>IF($D6&lt;&gt;"",IF($K6=$U6,1,IF(ISNA(VLOOKUP($K6&amp;$U6,CUR_RATES!$A$2:$F$521,4,0)),"",VLOOKUP($K6&amp;$U6,CUR_RATES!$A$2:$F$521,4,0))),"")</f>
        <v>1</v>
      </c>
      <c r="N6" s="61">
        <f t="shared" si="5"/>
        <v>15200</v>
      </c>
      <c r="O6" s="68">
        <f t="shared" si="6"/>
        <v>3800000000000</v>
      </c>
      <c r="P6" s="5" t="str">
        <f t="shared" si="1"/>
        <v>VNX10PRVND</v>
      </c>
      <c r="Q6" s="75">
        <f t="shared" si="7"/>
        <v>41166</v>
      </c>
      <c r="R6" s="68" t="str">
        <f t="shared" si="8"/>
        <v/>
      </c>
      <c r="S6" s="61" t="str">
        <f t="shared" si="9"/>
        <v/>
      </c>
      <c r="T6" s="62" t="str">
        <f>IF(D6&lt;&gt;"",IF(SUMPRODUCT(--($E6=STK_DIV!$A$2:$A$5),--(NXT_COMPO!$Q6=STK_DIV!$E$2:$E$5),ROW(STK_DIV!$D$2:$D$5))=0,"",INDEX(STK_DIV!$D$1:$D$5,SUMPRODUCT(--($E6=STK_DIV!$A$2:$A$5),--(NXT_COMPO!$Q6=STK_DIV!$E$2:$E$5),ROW(STK_DIV!$D$2:$D$5)))),"")</f>
        <v/>
      </c>
      <c r="U6" s="54" t="str">
        <f>IF($D6&lt;&gt;"",VLOOKUP($P6,IDX_REF!$2:$1048576,4,0),"")</f>
        <v>VND</v>
      </c>
      <c r="W6" s="52">
        <f t="shared" si="2"/>
        <v>5</v>
      </c>
      <c r="X6" s="5" t="str">
        <f>IF(ROW(X6)-ROW($X$1)&lt;=$B$1,INDEX(IDX_COMPO!A:A,ROW(IDX_COMPO!A6)),"")</f>
        <v>PVS</v>
      </c>
      <c r="Y6" s="75">
        <f t="shared" si="3"/>
        <v>41166</v>
      </c>
      <c r="Z6" s="54" t="str">
        <f>IF(ROW(Z6)-ROW($Y$1)&lt;=$B$1,INDEX(IDX_COMPO!F:F,ROW(IDX_COMPO!R6)),"")</f>
        <v>VNX10PRVND</v>
      </c>
      <c r="AA6" s="2" t="str">
        <f t="array" ref="AA6">IF(X6&lt;&gt;"",IF(SUMPRODUCT(--(X6=IDX_CA!$A$2:$A$1041),--(NXT_COMPO!Y6=IDX_CA!$C$2:$C$1041),--(Z6=IDX_CA!$B$2:$B$1041))&gt;0,IF(INDEX(IDX_CA!$I:$I,SUMPRODUCT(--(X6=IDX_CA!$A$2:$A$1041),--(NXT_COMPO!Y6=IDX_CA!$C$2:$C$1041),--(Z6=IDX_CA!$B$2:$B$1041),ROW(IDX_CA!$I$2:$I$1041)))=1,"YES","MODIFY"),""),"")</f>
        <v/>
      </c>
      <c r="AB6" s="5">
        <f>IF(X6&lt;&gt;"",IF(AA6="YES","",COUNTIF($AA$2:AA6,"&lt;&gt;YES")),"")</f>
        <v>5</v>
      </c>
      <c r="AC6" s="2"/>
      <c r="AD6" s="5">
        <f>IF(ROW(AD6)-ROW($AD$1)&lt;=COUNTIF(IDX_CA!$H$2:$H$1048576,1),ROW(AD6)-ROW($AD$1),"")</f>
        <v>5</v>
      </c>
      <c r="AE6" s="5" t="str">
        <f t="array" ref="AE6">IF(ISERROR(SMALL(IF(IDX_CA!$H$1:$H$1041=1,ROW(IDX_CA!$H$1:$H$1041)),ROW(AH6)-ROW($AH$1))),"",INDEX(IDX_CA!$A:$A,SMALL(IF(IDX_CA!$H$1:$H$1041=1,ROW(IDX_CA!$H$1:$H$1041)),ROW(AH6)-ROW($AH$1))))</f>
        <v>PVT</v>
      </c>
      <c r="AF6" s="75">
        <f t="array" ref="AF6">IF(ISERROR(SMALL(IF(IDX_CA!$H$1:$H$1041=1,ROW(IDX_CA!$B$1:$B$1041)),ROW(AG6)-ROW($AG$1))),"",INDEX(IDX_CA!$C:$C,SMALL(IF(IDX_CA!$H$1:$H$1041=1,ROW(IDX_CA!$B$1:$B$1041)),ROW(AG6)-ROW($AG$1))))</f>
        <v>41165</v>
      </c>
      <c r="AG6" s="54" t="str">
        <f t="array" ref="AG6">IF(ISERROR(SMALL(IF(IDX_CA!$H$1:$H$1041=1,ROW(IDX_CA!$B$1:$B$1041)),ROW(AG6)-ROW($AG$1))),"",INDEX(IDX_CA!$B:$B,SMALL(IF(IDX_CA!$H$1:$H$1041=1,ROW(IDX_CA!$B$1:$B$1041)),ROW(AG6)-ROW($AG$1))))</f>
        <v>VNX10PRVND</v>
      </c>
      <c r="AH6" s="2" t="str">
        <f t="array" ref="AH6">IF(ISERROR(SMALL(IF(IDX_CA!$H$1:$H$1041=1,ROW(IDX_CA!$H$1:$H$1041)),ROW(AH6)-ROW($AH$1))),"",IF(INDEX(IDX_CA!$C:$C,SMALL(IF(IDX_CA!$H$1:$H$1041=1,ROW(IDX_CA!$H$1:$H$1041)),ROW(AH6)-ROW($AH$1)))=$B$6,"YES",""))</f>
        <v/>
      </c>
      <c r="AI6" s="5" t="str">
        <f>IF(AD6&lt;&gt;"",IF(AH6="YES",COUNTIF($AH$2:AH6,"YES"),""),"")</f>
        <v/>
      </c>
    </row>
    <row r="7" spans="1:100" x14ac:dyDescent="0.2">
      <c r="D7" s="52">
        <f t="shared" si="0"/>
        <v>6</v>
      </c>
      <c r="E7" s="5" t="str">
        <f t="shared" si="4"/>
        <v>PGS</v>
      </c>
      <c r="F7" s="5" t="str">
        <f>IF($D7&lt;&gt;"",VLOOKUP($E7,STK_REF!$A$2:$J$1048576,2,0),"")</f>
        <v>VNX Southern Gas Joint Stock Co</v>
      </c>
      <c r="G7" s="68">
        <f>IF($D7&lt;=$B$1-$B$2,IF(INDEX($AA$2:$AA$1048576,MATCH($D7,$AB$2:$AB$1048576,0))="MODIFY",INDEX(IDX_CA!$D$1:$D$1041,SUMPRODUCT(--($E7=IDX_CA!$A$2:$A$1041),--(NXT_COMPO!$P7=IDX_CA!$B$2:$B$1041),--(NXT_COMPO!$Q7=IDX_CA!$C$2:$C$1041),ROW(IDX_CA!$D$2:$D$1041))),INDEX(IDX_COMPO!$C$1:$C$12000,SUMPRODUCT(--($E7=IDX_COMPO!$A$2:$A$1200),--(NXT_COMPO!$P7=IDX_COMPO!$F$2:$F$1200),--(NXT_COMPO!$B$5=IDX_COMPO!$G$2:$G$1200),ROW(IDX_COMPO!$C$2:$C$1200)))),IF($D7&lt;=$B$4,INDEX(IDX_CA!$D$1:$D$1041,SUMPRODUCT(--($E7=IDX_CA!$A$2:$A$1041),--(NXT_COMPO!$P7=IDX_CA!$B$2:$B$1041),--(NXT_COMPO!$Q7=IDX_CA!$C$2:$C$1041),ROW(IDX_CA!$D$2:$D$1041))),""))</f>
        <v>157531264</v>
      </c>
      <c r="H7" s="55">
        <f>IF($D7&lt;=$B$1-$B$2,IF(INDEX($AA$2:$AA$1048576,MATCH($D7,$AB$2:$AB$1048576,0))="MODIFY",INDEX(IDX_CA!$E$1:$E$1041,SUMPRODUCT(--($E7=IDX_CA!$A$2:$A$1041),--(NXT_COMPO!$P7=IDX_CA!$B$2:$B$1041),--(NXT_COMPO!$Q7=IDX_CA!$C$2:$C$1041),ROW(IDX_CA!$E$2:$E$1041))),INDEX(IDX_COMPO!$D$1:$D$1200,SUMPRODUCT(--($E7=IDX_COMPO!$A$2:$A$1200),--(NXT_COMPO!$P7=IDX_COMPO!$F$2:$F$1200),--(NXT_COMPO!$B$5=IDX_COMPO!$G$2:$G$1200),ROW(IDX_COMPO!$D$2:$D$1200)))),IF($D7&lt;=$B$4,INDEX(IDX_CA!$E$1:$E$1041,SUMPRODUCT(--($E7=IDX_CA!$A$2:$A$1041),--(NXT_COMPO!$P7=IDX_CA!$B$2:$B$1041),--(NXT_COMPO!$Q7=IDX_CA!$C$2:$C$1041),ROW(IDX_CA!$E$2:$E$1041))),""))</f>
        <v>100</v>
      </c>
      <c r="I7" s="55">
        <f>IF($D7&lt;=$B$1-$B$2,IF(INDEX($AA$2:$AA$1048576,MATCH($D7,$AB$2:$AB$1048576,0))="MODIFY",INDEX(IDX_CA!$F$1:$F$1041,SUMPRODUCT(--($E7=IDX_CA!$A$2:$A$1041),--(NXT_COMPO!$P7=IDX_CA!$B$2:$B$1041),--(NXT_COMPO!$Q7=IDX_CA!$C$2:$C$1041),ROW(IDX_CA!$F$2:$F$1041))),INDEX(IDX_COMPO!$E$1:$E$1200,SUMPRODUCT(--($E7=IDX_COMPO!$A$2:$A$1200),--(NXT_COMPO!$P7=IDX_COMPO!$F$2:$F$1200),--(NXT_COMPO!$B$5=IDX_COMPO!$G$2:$G$1200),ROW(IDX_COMPO!$E$2:$E$1200)))),IF($D7&lt;=$B$4,INDEX(IDX_CA!$F$1:$F$1041,SUMPRODUCT(--($E7=IDX_CA!$A$2:$A$1041),--(NXT_COMPO!$P7=IDX_CA!$B$2:$B$1041),--(NXT_COMPO!$Q7=IDX_CA!$C$2:$C$1041),ROW(IDX_CA!$F$2:$F$1041))),""))</f>
        <v>100</v>
      </c>
      <c r="J7" s="62">
        <f>IF($D7&lt;=$B$1-$B$2,IF(INDEX($AA$2:$AA$1048576,MATCH($D7,$AB$2:$AB$1048576,0))="MODIFY",INDEX(IDX_CA!$G$1:$G$1041,SUMPRODUCT(--($E7=IDX_CA!$A$2:$A$1041),--(NXT_COMPO!$P7=IDX_CA!$B$2:$B$1041),--(NXT_COMPO!$Q7=IDX_CA!$C$2:$C$1041),ROW(IDX_CA!$G$2:$G$1041))),INDEX(IDX_COMPOSITION!$F$1:$F$441,SUMPRODUCT(--($E7=IDX_COMPOSITION!$A$2:$A$441),--(NXT_COMPO!$P7=IDX_COMPOSITION!$R$2:$R$441),--(NXT_COMPO!$B$5=IDX_COMPOSITION!$L$2:$L$441),ROW(IDX_COMPOSITION!$F$2:$F$441)))),IF($D7&lt;=$B$4,INDEX(IDX_CA!$G$1:$G$1041,SUMPRODUCT(--($E7=IDX_CA!$A$2:$A$1041),--(NXT_COMPO!$P7=IDX_CA!$B$2:$B$1041),--(NXT_COMPO!$Q7=IDX_CA!$C$2:$C$1041),ROW(IDX_CA!$G$2:$G$1041))),""))</f>
        <v>17100</v>
      </c>
      <c r="K7" s="63" t="str">
        <f>IF($D7&lt;&gt;"",VLOOKUP($E7,STK_REF!$A$2:$J$1048576,7,0),"")</f>
        <v>VND</v>
      </c>
      <c r="L7" s="5">
        <f>IF($D7&lt;&gt;"",VLOOKUP($E7,STK_REF!$A$2:$J$1048576,8,0),"")</f>
        <v>1</v>
      </c>
      <c r="M7" s="8">
        <f>IF($D7&lt;&gt;"",IF($K7=$U7,1,IF(ISNA(VLOOKUP($K7&amp;$U7,CUR_RATES!$A$2:$F$521,4,0)),"",VLOOKUP($K7&amp;$U7,CUR_RATES!$A$2:$F$521,4,0))),"")</f>
        <v>1</v>
      </c>
      <c r="N7" s="61">
        <f t="shared" si="5"/>
        <v>17100</v>
      </c>
      <c r="O7" s="68">
        <f t="shared" si="6"/>
        <v>2693784614400</v>
      </c>
      <c r="P7" s="5" t="str">
        <f t="shared" si="1"/>
        <v>VNX10PRVND</v>
      </c>
      <c r="Q7" s="75">
        <f t="shared" si="7"/>
        <v>41166</v>
      </c>
      <c r="R7" s="68" t="str">
        <f t="shared" si="8"/>
        <v/>
      </c>
      <c r="S7" s="61" t="str">
        <f t="shared" si="9"/>
        <v/>
      </c>
      <c r="T7" s="62" t="str">
        <f>IF(D7&lt;&gt;"",IF(SUMPRODUCT(--($E7=STK_DIV!$A$2:$A$5),--(NXT_COMPO!$Q7=STK_DIV!$E$2:$E$5),ROW(STK_DIV!$D$2:$D$5))=0,"",INDEX(STK_DIV!$D$1:$D$5,SUMPRODUCT(--($E7=STK_DIV!$A$2:$A$5),--(NXT_COMPO!$Q7=STK_DIV!$E$2:$E$5),ROW(STK_DIV!$D$2:$D$5)))),"")</f>
        <v/>
      </c>
      <c r="U7" s="54" t="str">
        <f>IF($D7&lt;&gt;"",VLOOKUP($P7,IDX_REF!$2:$1048576,4,0),"")</f>
        <v>VND</v>
      </c>
      <c r="W7" s="52">
        <f t="shared" si="2"/>
        <v>6</v>
      </c>
      <c r="X7" s="5" t="str">
        <f>IF(ROW(X7)-ROW($X$1)&lt;=$B$1,INDEX(IDX_COMPO!A:A,ROW(IDX_COMPO!A7)),"")</f>
        <v>PGS</v>
      </c>
      <c r="Y7" s="75">
        <f t="shared" si="3"/>
        <v>41166</v>
      </c>
      <c r="Z7" s="54" t="str">
        <f>IF(ROW(Z7)-ROW($Y$1)&lt;=$B$1,INDEX(IDX_COMPO!F:F,ROW(IDX_COMPO!R7)),"")</f>
        <v>VNX10PRVND</v>
      </c>
      <c r="AA7" s="2" t="str">
        <f t="array" ref="AA7">IF(X7&lt;&gt;"",IF(SUMPRODUCT(--(X7=IDX_CA!$A$2:$A$1041),--(NXT_COMPO!Y7=IDX_CA!$C$2:$C$1041),--(Z7=IDX_CA!$B$2:$B$1041))&gt;0,IF(INDEX(IDX_CA!$I:$I,SUMPRODUCT(--(X7=IDX_CA!$A$2:$A$1041),--(NXT_COMPO!Y7=IDX_CA!$C$2:$C$1041),--(Z7=IDX_CA!$B$2:$B$1041),ROW(IDX_CA!$I$2:$I$1041)))=1,"YES","MODIFY"),""),"")</f>
        <v/>
      </c>
      <c r="AB7" s="5">
        <f>IF(X7&lt;&gt;"",IF(AA7="YES","",COUNTIF($AA$2:AA7,"&lt;&gt;YES")),"")</f>
        <v>6</v>
      </c>
      <c r="AC7" s="2"/>
      <c r="AD7" s="5">
        <f>IF(ROW(AD7)-ROW($AD$1)&lt;=COUNTIF(IDX_CA!$H$2:$H$1048576,1),ROW(AD7)-ROW($AD$1),"")</f>
        <v>6</v>
      </c>
      <c r="AE7" s="5" t="str">
        <f t="array" ref="AE7">IF(ISERROR(SMALL(IF(IDX_CA!$H$1:$H$1041=1,ROW(IDX_CA!$H$1:$H$1041)),ROW(AH7)-ROW($AH$1))),"",INDEX(IDX_CA!$A:$A,SMALL(IF(IDX_CA!$H$1:$H$1041=1,ROW(IDX_CA!$H$1:$H$1041)),ROW(AH7)-ROW($AH$1))))</f>
        <v>PTL</v>
      </c>
      <c r="AF7" s="75">
        <f t="array" ref="AF7">IF(ISERROR(SMALL(IF(IDX_CA!$H$1:$H$1041=1,ROW(IDX_CA!$B$1:$B$1041)),ROW(AG7)-ROW($AG$1))),"",INDEX(IDX_CA!$C:$C,SMALL(IF(IDX_CA!$H$1:$H$1041=1,ROW(IDX_CA!$B$1:$B$1041)),ROW(AG7)-ROW($AG$1))))</f>
        <v>41166</v>
      </c>
      <c r="AG7" s="54" t="str">
        <f t="array" ref="AG7">IF(ISERROR(SMALL(IF(IDX_CA!$H$1:$H$1041=1,ROW(IDX_CA!$B$1:$B$1041)),ROW(AG7)-ROW($AG$1))),"",INDEX(IDX_CA!$B:$B,SMALL(IF(IDX_CA!$H$1:$H$1041=1,ROW(IDX_CA!$B$1:$B$1041)),ROW(AG7)-ROW($AG$1))))</f>
        <v>VNX10PRVND</v>
      </c>
      <c r="AH7" s="2" t="str">
        <f t="array" ref="AH7">IF(ISERROR(SMALL(IF(IDX_CA!$H$1:$H$1041=1,ROW(IDX_CA!$H$1:$H$1041)),ROW(AH7)-ROW($AH$1))),"",IF(INDEX(IDX_CA!$C:$C,SMALL(IF(IDX_CA!$H$1:$H$1041=1,ROW(IDX_CA!$H$1:$H$1041)),ROW(AH7)-ROW($AH$1)))=$B$6,"YES",""))</f>
        <v>YES</v>
      </c>
      <c r="AI7" s="5">
        <f>IF(AD7&lt;&gt;"",IF(AH7="YES",COUNTIF($AH$2:AH7,"YES"),""),"")</f>
        <v>2</v>
      </c>
    </row>
    <row r="8" spans="1:100" x14ac:dyDescent="0.2">
      <c r="D8" s="52">
        <f t="shared" si="0"/>
        <v>7</v>
      </c>
      <c r="E8" s="5" t="str">
        <f t="shared" si="4"/>
        <v>PVI</v>
      </c>
      <c r="F8" s="5" t="str">
        <f>IF($D8&lt;&gt;"",VLOOKUP($E8,STK_REF!$A$2:$J$1048576,2,0),"")</f>
        <v>VNX Insurance</v>
      </c>
      <c r="G8" s="68">
        <f>IF($D8&lt;=$B$1-$B$2,IF(INDEX($AA$2:$AA$1048576,MATCH($D8,$AB$2:$AB$1048576,0))="MODIFY",INDEX(IDX_CA!$D$1:$D$1041,SUMPRODUCT(--($E8=IDX_CA!$A$2:$A$1041),--(NXT_COMPO!$P8=IDX_CA!$B$2:$B$1041),--(NXT_COMPO!$Q8=IDX_CA!$C$2:$C$1041),ROW(IDX_CA!$D$2:$D$1041))),INDEX(IDX_COMPO!$C$1:$C$12000,SUMPRODUCT(--($E8=IDX_COMPO!$A$2:$A$1200),--(NXT_COMPO!$P8=IDX_COMPO!$F$2:$F$1200),--(NXT_COMPO!$B$5=IDX_COMPO!$G$2:$G$1200),ROW(IDX_COMPO!$C$2:$C$1200)))),IF($D8&lt;=$B$4,INDEX(IDX_CA!$D$1:$D$1041,SUMPRODUCT(--($E8=IDX_CA!$A$2:$A$1041),--(NXT_COMPO!$P8=IDX_CA!$B$2:$B$1041),--(NXT_COMPO!$Q8=IDX_CA!$C$2:$C$1041),ROW(IDX_CA!$D$2:$D$1041))),""))</f>
        <v>42900000</v>
      </c>
      <c r="H8" s="55">
        <f>IF($D8&lt;=$B$1-$B$2,IF(INDEX($AA$2:$AA$1048576,MATCH($D8,$AB$2:$AB$1048576,0))="MODIFY",INDEX(IDX_CA!$E$1:$E$1041,SUMPRODUCT(--($E8=IDX_CA!$A$2:$A$1041),--(NXT_COMPO!$P8=IDX_CA!$B$2:$B$1041),--(NXT_COMPO!$Q8=IDX_CA!$C$2:$C$1041),ROW(IDX_CA!$E$2:$E$1041))),INDEX(IDX_COMPO!$D$1:$D$1200,SUMPRODUCT(--($E8=IDX_COMPO!$A$2:$A$1200),--(NXT_COMPO!$P8=IDX_COMPO!$F$2:$F$1200),--(NXT_COMPO!$B$5=IDX_COMPO!$G$2:$G$1200),ROW(IDX_COMPO!$D$2:$D$1200)))),IF($D8&lt;=$B$4,INDEX(IDX_CA!$E$1:$E$1041,SUMPRODUCT(--($E8=IDX_CA!$A$2:$A$1041),--(NXT_COMPO!$P8=IDX_CA!$B$2:$B$1041),--(NXT_COMPO!$Q8=IDX_CA!$C$2:$C$1041),ROW(IDX_CA!$E$2:$E$1041))),""))</f>
        <v>100</v>
      </c>
      <c r="I8" s="55">
        <f>IF($D8&lt;=$B$1-$B$2,IF(INDEX($AA$2:$AA$1048576,MATCH($D8,$AB$2:$AB$1048576,0))="MODIFY",INDEX(IDX_CA!$F$1:$F$1041,SUMPRODUCT(--($E8=IDX_CA!$A$2:$A$1041),--(NXT_COMPO!$P8=IDX_CA!$B$2:$B$1041),--(NXT_COMPO!$Q8=IDX_CA!$C$2:$C$1041),ROW(IDX_CA!$F$2:$F$1041))),INDEX(IDX_COMPO!$E$1:$E$1200,SUMPRODUCT(--($E8=IDX_COMPO!$A$2:$A$1200),--(NXT_COMPO!$P8=IDX_COMPO!$F$2:$F$1200),--(NXT_COMPO!$B$5=IDX_COMPO!$G$2:$G$1200),ROW(IDX_COMPO!$E$2:$E$1200)))),IF($D8&lt;=$B$4,INDEX(IDX_CA!$F$1:$F$1041,SUMPRODUCT(--($E8=IDX_CA!$A$2:$A$1041),--(NXT_COMPO!$P8=IDX_CA!$B$2:$B$1041),--(NXT_COMPO!$Q8=IDX_CA!$C$2:$C$1041),ROW(IDX_CA!$F$2:$F$1041))),""))</f>
        <v>100</v>
      </c>
      <c r="J8" s="62">
        <f>IF($D8&lt;=$B$1-$B$2,IF(INDEX($AA$2:$AA$1048576,MATCH($D8,$AB$2:$AB$1048576,0))="MODIFY",INDEX(IDX_CA!$G$1:$G$1041,SUMPRODUCT(--($E8=IDX_CA!$A$2:$A$1041),--(NXT_COMPO!$P8=IDX_CA!$B$2:$B$1041),--(NXT_COMPO!$Q8=IDX_CA!$C$2:$C$1041),ROW(IDX_CA!$G$2:$G$1041))),INDEX(IDX_COMPOSITION!$F$1:$F$441,SUMPRODUCT(--($E8=IDX_COMPOSITION!$A$2:$A$441),--(NXT_COMPO!$P8=IDX_COMPOSITION!$R$2:$R$441),--(NXT_COMPO!$B$5=IDX_COMPOSITION!$L$2:$L$441),ROW(IDX_COMPOSITION!$F$2:$F$441)))),IF($D8&lt;=$B$4,INDEX(IDX_CA!$G$1:$G$1041,SUMPRODUCT(--($E8=IDX_CA!$A$2:$A$1041),--(NXT_COMPO!$P8=IDX_CA!$B$2:$B$1041),--(NXT_COMPO!$Q8=IDX_CA!$C$2:$C$1041),ROW(IDX_CA!$G$2:$G$1041))),""))</f>
        <v>15900</v>
      </c>
      <c r="K8" s="63" t="str">
        <f>IF($D8&lt;&gt;"",VLOOKUP($E8,STK_REF!$A$2:$J$1048576,7,0),"")</f>
        <v>VND</v>
      </c>
      <c r="L8" s="5">
        <f>IF($D8&lt;&gt;"",VLOOKUP($E8,STK_REF!$A$2:$J$1048576,8,0),"")</f>
        <v>1</v>
      </c>
      <c r="M8" s="8">
        <f>IF($D8&lt;&gt;"",IF($K8=$U8,1,IF(ISNA(VLOOKUP($K8&amp;$U8,CUR_RATES!$A$2:$F$521,4,0)),"",VLOOKUP($K8&amp;$U8,CUR_RATES!$A$2:$F$521,4,0))),"")</f>
        <v>1</v>
      </c>
      <c r="N8" s="61">
        <f t="shared" si="5"/>
        <v>15900</v>
      </c>
      <c r="O8" s="68">
        <f t="shared" si="6"/>
        <v>682110000000</v>
      </c>
      <c r="P8" s="5" t="str">
        <f t="shared" si="1"/>
        <v>VNX10PRVND</v>
      </c>
      <c r="Q8" s="75">
        <f t="shared" si="7"/>
        <v>41166</v>
      </c>
      <c r="R8" s="68" t="str">
        <f t="shared" si="8"/>
        <v/>
      </c>
      <c r="S8" s="61" t="str">
        <f t="shared" si="9"/>
        <v/>
      </c>
      <c r="T8" s="62" t="str">
        <f>IF(D8&lt;&gt;"",IF(SUMPRODUCT(--($E8=STK_DIV!$A$2:$A$5),--(NXT_COMPO!$Q8=STK_DIV!$E$2:$E$5),ROW(STK_DIV!$D$2:$D$5))=0,"",INDEX(STK_DIV!$D$1:$D$5,SUMPRODUCT(--($E8=STK_DIV!$A$2:$A$5),--(NXT_COMPO!$Q8=STK_DIV!$E$2:$E$5),ROW(STK_DIV!$D$2:$D$5)))),"")</f>
        <v/>
      </c>
      <c r="U8" s="54" t="str">
        <f>IF($D8&lt;&gt;"",VLOOKUP($P8,IDX_REF!$2:$1048576,4,0),"")</f>
        <v>VND</v>
      </c>
      <c r="W8" s="52">
        <f t="shared" si="2"/>
        <v>7</v>
      </c>
      <c r="X8" s="5" t="str">
        <f>IF(ROW(X8)-ROW($X$1)&lt;=$B$1,INDEX(IDX_COMPO!A:A,ROW(IDX_COMPO!A8)),"")</f>
        <v>PVI</v>
      </c>
      <c r="Y8" s="75">
        <f t="shared" si="3"/>
        <v>41166</v>
      </c>
      <c r="Z8" s="54" t="str">
        <f>IF(ROW(Z8)-ROW($Y$1)&lt;=$B$1,INDEX(IDX_COMPO!F:F,ROW(IDX_COMPO!R8)),"")</f>
        <v>VNX10PRVND</v>
      </c>
      <c r="AA8" s="2" t="str">
        <f t="array" ref="AA8">IF(X8&lt;&gt;"",IF(SUMPRODUCT(--(X8=IDX_CA!$A$2:$A$1041),--(NXT_COMPO!Y8=IDX_CA!$C$2:$C$1041),--(Z8=IDX_CA!$B$2:$B$1041))&gt;0,IF(INDEX(IDX_CA!$I:$I,SUMPRODUCT(--(X8=IDX_CA!$A$2:$A$1041),--(NXT_COMPO!Y8=IDX_CA!$C$2:$C$1041),--(Z8=IDX_CA!$B$2:$B$1041),ROW(IDX_CA!$I$2:$I$1041)))=1,"YES","MODIFY"),""),"")</f>
        <v/>
      </c>
      <c r="AB8" s="5">
        <f>IF(X8&lt;&gt;"",IF(AA8="YES","",COUNTIF($AA$2:AA8,"&lt;&gt;YES")),"")</f>
        <v>7</v>
      </c>
      <c r="AC8" s="2"/>
      <c r="AD8" s="5" t="str">
        <f>IF(ROW(AD8)-ROW($AD$1)&lt;=COUNTIF(IDX_CA!$H$2:$H$1048576,1),ROW(AD8)-ROW($AD$1),"")</f>
        <v/>
      </c>
      <c r="AE8" s="5" t="str">
        <f t="array" ref="AE8">IF(ISERROR(SMALL(IF(IDX_CA!$H$1:$H$1041=1,ROW(IDX_CA!$H$1:$H$1041)),ROW(AH8)-ROW($AH$1))),"",INDEX(IDX_CA!$A:$A,SMALL(IF(IDX_CA!$H$1:$H$1041=1,ROW(IDX_CA!$H$1:$H$1041)),ROW(AH8)-ROW($AH$1))))</f>
        <v/>
      </c>
      <c r="AF8" s="54" t="str">
        <f t="array" ref="AF8">IF(ISERROR(SMALL(IF(IDX_CA!$H$1:$H$1041=1,ROW(IDX_CA!$B$1:$B$1041)),ROW(AG8)-ROW($AG$1))),"",INDEX(IDX_CA!$C:$C,SMALL(IF(IDX_CA!$H$1:$H$1041=1,ROW(IDX_CA!$B$1:$B$1041)),ROW(AG8)-ROW($AG$1))))</f>
        <v/>
      </c>
      <c r="AG8" s="54" t="str">
        <f t="array" ref="AG8">IF(ISERROR(SMALL(IF(IDX_CA!$H$1:$H$1041=1,ROW(IDX_CA!$B$1:$B$1041)),ROW(AG8)-ROW($AG$1))),"",INDEX(IDX_CA!$B:$B,SMALL(IF(IDX_CA!$H$1:$H$1041=1,ROW(IDX_CA!$B$1:$B$1041)),ROW(AG8)-ROW($AG$1))))</f>
        <v/>
      </c>
      <c r="AH8" s="2" t="str">
        <f t="array" ref="AH8">IF(ISERROR(SMALL(IF(IDX_CA!$H$1:$H$1041=1,ROW(IDX_CA!$H$1:$H$1041)),ROW(AH8)-ROW($AH$1))),"",IF(INDEX(IDX_CA!$C:$C,SMALL(IF(IDX_CA!$H$1:$H$1041=1,ROW(IDX_CA!$H$1:$H$1041)),ROW(AH8)-ROW($AH$1)))=$B$6,"YES",""))</f>
        <v/>
      </c>
      <c r="AI8" s="5" t="str">
        <f>IF(AD8&lt;&gt;"",IF(AH8="YES",COUNTIF($AH$2:AH8,"YES"),""),"")</f>
        <v/>
      </c>
    </row>
    <row r="9" spans="1:100" x14ac:dyDescent="0.2">
      <c r="D9" s="52">
        <f t="shared" si="0"/>
        <v>8</v>
      </c>
      <c r="E9" s="5" t="str">
        <f t="shared" si="4"/>
        <v>PVC</v>
      </c>
      <c r="F9" s="5" t="str">
        <f>IF($D9&lt;&gt;"",VLOOKUP($E9,STK_REF!$A$2:$J$1048576,2,0),"")</f>
        <v>Drilling Mud Corp</v>
      </c>
      <c r="G9" s="68">
        <f>IF($D9&lt;=$B$1-$B$2,IF(INDEX($AA$2:$AA$1048576,MATCH($D9,$AB$2:$AB$1048576,0))="MODIFY",INDEX(IDX_CA!$D$1:$D$1041,SUMPRODUCT(--($E9=IDX_CA!$A$2:$A$1041),--(NXT_COMPO!$P9=IDX_CA!$B$2:$B$1041),--(NXT_COMPO!$Q9=IDX_CA!$C$2:$C$1041),ROW(IDX_CA!$D$2:$D$1041))),INDEX(IDX_COMPO!$C$1:$C$12000,SUMPRODUCT(--($E9=IDX_COMPO!$A$2:$A$1200),--(NXT_COMPO!$P9=IDX_COMPO!$F$2:$F$1200),--(NXT_COMPO!$B$5=IDX_COMPO!$G$2:$G$1200),ROW(IDX_COMPO!$C$2:$C$1200)))),IF($D9&lt;=$B$4,INDEX(IDX_CA!$D$1:$D$1041,SUMPRODUCT(--($E9=IDX_CA!$A$2:$A$1041),--(NXT_COMPO!$P9=IDX_CA!$B$2:$B$1041),--(NXT_COMPO!$Q9=IDX_CA!$C$2:$C$1041),ROW(IDX_CA!$D$2:$D$1041))),""))</f>
        <v>256000000</v>
      </c>
      <c r="H9" s="55">
        <f>IF($D9&lt;=$B$1-$B$2,IF(INDEX($AA$2:$AA$1048576,MATCH($D9,$AB$2:$AB$1048576,0))="MODIFY",INDEX(IDX_CA!$E$1:$E$1041,SUMPRODUCT(--($E9=IDX_CA!$A$2:$A$1041),--(NXT_COMPO!$P9=IDX_CA!$B$2:$B$1041),--(NXT_COMPO!$Q9=IDX_CA!$C$2:$C$1041),ROW(IDX_CA!$E$2:$E$1041))),INDEX(IDX_COMPO!$D$1:$D$1200,SUMPRODUCT(--($E9=IDX_COMPO!$A$2:$A$1200),--(NXT_COMPO!$P9=IDX_COMPO!$F$2:$F$1200),--(NXT_COMPO!$B$5=IDX_COMPO!$G$2:$G$1200),ROW(IDX_COMPO!$D$2:$D$1200)))),IF($D9&lt;=$B$4,INDEX(IDX_CA!$E$1:$E$1041,SUMPRODUCT(--($E9=IDX_CA!$A$2:$A$1041),--(NXT_COMPO!$P9=IDX_CA!$B$2:$B$1041),--(NXT_COMPO!$Q9=IDX_CA!$C$2:$C$1041),ROW(IDX_CA!$E$2:$E$1041))),""))</f>
        <v>100</v>
      </c>
      <c r="I9" s="55">
        <f>IF($D9&lt;=$B$1-$B$2,IF(INDEX($AA$2:$AA$1048576,MATCH($D9,$AB$2:$AB$1048576,0))="MODIFY",INDEX(IDX_CA!$F$1:$F$1041,SUMPRODUCT(--($E9=IDX_CA!$A$2:$A$1041),--(NXT_COMPO!$P9=IDX_CA!$B$2:$B$1041),--(NXT_COMPO!$Q9=IDX_CA!$C$2:$C$1041),ROW(IDX_CA!$F$2:$F$1041))),INDEX(IDX_COMPO!$E$1:$E$1200,SUMPRODUCT(--($E9=IDX_COMPO!$A$2:$A$1200),--(NXT_COMPO!$P9=IDX_COMPO!$F$2:$F$1200),--(NXT_COMPO!$B$5=IDX_COMPO!$G$2:$G$1200),ROW(IDX_COMPO!$E$2:$E$1200)))),IF($D9&lt;=$B$4,INDEX(IDX_CA!$F$1:$F$1041,SUMPRODUCT(--($E9=IDX_CA!$A$2:$A$1041),--(NXT_COMPO!$P9=IDX_CA!$B$2:$B$1041),--(NXT_COMPO!$Q9=IDX_CA!$C$2:$C$1041),ROW(IDX_CA!$F$2:$F$1041))),""))</f>
        <v>100</v>
      </c>
      <c r="J9" s="62">
        <f>IF($D9&lt;=$B$1-$B$2,IF(INDEX($AA$2:$AA$1048576,MATCH($D9,$AB$2:$AB$1048576,0))="MODIFY",INDEX(IDX_CA!$G$1:$G$1041,SUMPRODUCT(--($E9=IDX_CA!$A$2:$A$1041),--(NXT_COMPO!$P9=IDX_CA!$B$2:$B$1041),--(NXT_COMPO!$Q9=IDX_CA!$C$2:$C$1041),ROW(IDX_CA!$G$2:$G$1041))),INDEX(IDX_COMPOSITION!$F$1:$F$441,SUMPRODUCT(--($E9=IDX_COMPOSITION!$A$2:$A$441),--(NXT_COMPO!$P9=IDX_COMPOSITION!$R$2:$R$441),--(NXT_COMPO!$B$5=IDX_COMPOSITION!$L$2:$L$441),ROW(IDX_COMPOSITION!$F$2:$F$441)))),IF($D9&lt;=$B$4,INDEX(IDX_CA!$G$1:$G$1041,SUMPRODUCT(--($E9=IDX_CA!$A$2:$A$1041),--(NXT_COMPO!$P9=IDX_CA!$B$2:$B$1041),--(NXT_COMPO!$Q9=IDX_CA!$C$2:$C$1041),ROW(IDX_CA!$G$2:$G$1041))),""))</f>
        <v>12700</v>
      </c>
      <c r="K9" s="63" t="str">
        <f>IF($D9&lt;&gt;"",VLOOKUP($E9,STK_REF!$A$2:$J$1048576,7,0),"")</f>
        <v>VND</v>
      </c>
      <c r="L9" s="5">
        <f>IF($D9&lt;&gt;"",VLOOKUP($E9,STK_REF!$A$2:$J$1048576,8,0),"")</f>
        <v>1</v>
      </c>
      <c r="M9" s="8">
        <f>IF($D9&lt;&gt;"",IF($K9=$U9,1,IF(ISNA(VLOOKUP($K9&amp;$U9,CUR_RATES!$A$2:$F$521,4,0)),"",VLOOKUP($K9&amp;$U9,CUR_RATES!$A$2:$F$521,4,0))),"")</f>
        <v>1</v>
      </c>
      <c r="N9" s="61">
        <f t="shared" si="5"/>
        <v>12700</v>
      </c>
      <c r="O9" s="68">
        <f t="shared" si="6"/>
        <v>3251200000000</v>
      </c>
      <c r="P9" s="5" t="str">
        <f t="shared" si="1"/>
        <v>VNX10PRVND</v>
      </c>
      <c r="Q9" s="75">
        <f t="shared" si="7"/>
        <v>41166</v>
      </c>
      <c r="R9" s="68" t="str">
        <f t="shared" si="8"/>
        <v/>
      </c>
      <c r="S9" s="61" t="str">
        <f t="shared" si="9"/>
        <v/>
      </c>
      <c r="T9" s="62" t="str">
        <f>IF(D9&lt;&gt;"",IF(SUMPRODUCT(--($E9=STK_DIV!$A$2:$A$5),--(NXT_COMPO!$Q9=STK_DIV!$E$2:$E$5),ROW(STK_DIV!$D$2:$D$5))=0,"",INDEX(STK_DIV!$D$1:$D$5,SUMPRODUCT(--($E9=STK_DIV!$A$2:$A$5),--(NXT_COMPO!$Q9=STK_DIV!$E$2:$E$5),ROW(STK_DIV!$D$2:$D$5)))),"")</f>
        <v/>
      </c>
      <c r="U9" s="54" t="str">
        <f>IF($D9&lt;&gt;"",VLOOKUP($P9,IDX_REF!$2:$1048576,4,0),"")</f>
        <v>VND</v>
      </c>
      <c r="W9" s="52">
        <f t="shared" si="2"/>
        <v>8</v>
      </c>
      <c r="X9" s="5" t="str">
        <f>IF(ROW(X9)-ROW($X$1)&lt;=$B$1,INDEX(IDX_COMPO!A:A,ROW(IDX_COMPO!A9)),"")</f>
        <v>PVC</v>
      </c>
      <c r="Y9" s="75">
        <f t="shared" si="3"/>
        <v>41166</v>
      </c>
      <c r="Z9" s="54" t="str">
        <f>IF(ROW(Z9)-ROW($Y$1)&lt;=$B$1,INDEX(IDX_COMPO!F:F,ROW(IDX_COMPO!R9)),"")</f>
        <v>VNX10PRVND</v>
      </c>
      <c r="AA9" s="2" t="str">
        <f t="array" ref="AA9">IF(X9&lt;&gt;"",IF(SUMPRODUCT(--(X9=IDX_CA!$A$2:$A$1041),--(NXT_COMPO!Y9=IDX_CA!$C$2:$C$1041),--(Z9=IDX_CA!$B$2:$B$1041))&gt;0,IF(INDEX(IDX_CA!$I:$I,SUMPRODUCT(--(X9=IDX_CA!$A$2:$A$1041),--(NXT_COMPO!Y9=IDX_CA!$C$2:$C$1041),--(Z9=IDX_CA!$B$2:$B$1041),ROW(IDX_CA!$I$2:$I$1041)))=1,"YES","MODIFY"),""),"")</f>
        <v/>
      </c>
      <c r="AB9" s="5">
        <f>IF(X9&lt;&gt;"",IF(AA9="YES","",COUNTIF($AA$2:AA9,"&lt;&gt;YES")),"")</f>
        <v>8</v>
      </c>
      <c r="AC9" s="2"/>
      <c r="AD9" s="5" t="str">
        <f>IF(ROW(AD9)-ROW($AD$1)&lt;=COUNTIF(IDX_CA!$H$2:$H$1048576,1),ROW(AD9)-ROW($AD$1),"")</f>
        <v/>
      </c>
      <c r="AE9" s="5" t="str">
        <f t="array" ref="AE9">IF(ISERROR(SMALL(IF(IDX_CA!$H$1:$H$1041=1,ROW(IDX_CA!$H$1:$H$1041)),ROW(AH9)-ROW($AH$1))),"",INDEX(IDX_CA!$A:$A,SMALL(IF(IDX_CA!$H$1:$H$1041=1,ROW(IDX_CA!$H$1:$H$1041)),ROW(AH9)-ROW($AH$1))))</f>
        <v/>
      </c>
      <c r="AF9" s="54" t="str">
        <f t="array" ref="AF9">IF(ISERROR(SMALL(IF(IDX_CA!$H$1:$H$1041=1,ROW(IDX_CA!$B$1:$B$1041)),ROW(AG9)-ROW($AG$1))),"",INDEX(IDX_CA!$C:$C,SMALL(IF(IDX_CA!$H$1:$H$1041=1,ROW(IDX_CA!$B$1:$B$1041)),ROW(AG9)-ROW($AG$1))))</f>
        <v/>
      </c>
      <c r="AG9" s="54" t="str">
        <f t="array" ref="AG9">IF(ISERROR(SMALL(IF(IDX_CA!$H$1:$H$1041=1,ROW(IDX_CA!$B$1:$B$1041)),ROW(AG9)-ROW($AG$1))),"",INDEX(IDX_CA!$B:$B,SMALL(IF(IDX_CA!$H$1:$H$1041=1,ROW(IDX_CA!$B$1:$B$1041)),ROW(AG9)-ROW($AG$1))))</f>
        <v/>
      </c>
      <c r="AH9" s="2" t="str">
        <f t="array" ref="AH9">IF(ISERROR(SMALL(IF(IDX_CA!$H$1:$H$1041=1,ROW(IDX_CA!$H$1:$H$1041)),ROW(AH9)-ROW($AH$1))),"",IF(INDEX(IDX_CA!$C:$C,SMALL(IF(IDX_CA!$H$1:$H$1041=1,ROW(IDX_CA!$H$1:$H$1041)),ROW(AH9)-ROW($AH$1)))=$B$6,"YES",""))</f>
        <v/>
      </c>
      <c r="AI9" s="5" t="str">
        <f>IF(AD9&lt;&gt;"",IF(AH9="YES",COUNTIF($AH$2:AH9,"YES"),""),"")</f>
        <v/>
      </c>
    </row>
    <row r="10" spans="1:100" x14ac:dyDescent="0.2">
      <c r="D10" s="52">
        <f t="shared" si="0"/>
        <v>9</v>
      </c>
      <c r="E10" s="5" t="str">
        <f t="shared" si="4"/>
        <v>PGD</v>
      </c>
      <c r="F10" s="5" t="str">
        <f>IF($D10&lt;&gt;"",VLOOKUP($E10,STK_REF!$A$2:$J$1048576,2,0),"")</f>
        <v>VNX Low Pressure Gas Distribution Joint S</v>
      </c>
      <c r="G10" s="68">
        <f>IF($D10&lt;=$B$1-$B$2,IF(INDEX($AA$2:$AA$1048576,MATCH($D10,$AB$2:$AB$1048576,0))="MODIFY",INDEX(IDX_CA!$D$1:$D$1041,SUMPRODUCT(--($E10=IDX_CA!$A$2:$A$1041),--(NXT_COMPO!$P10=IDX_CA!$B$2:$B$1041),--(NXT_COMPO!$Q10=IDX_CA!$C$2:$C$1041),ROW(IDX_CA!$D$2:$D$1041))),INDEX(IDX_COMPO!$C$1:$C$12000,SUMPRODUCT(--($E10=IDX_COMPO!$A$2:$A$1200),--(NXT_COMPO!$P10=IDX_COMPO!$F$2:$F$1200),--(NXT_COMPO!$B$5=IDX_COMPO!$G$2:$G$1200),ROW(IDX_COMPO!$C$2:$C$1200)))),IF($D10&lt;=$B$4,INDEX(IDX_CA!$D$1:$D$1041,SUMPRODUCT(--($E10=IDX_CA!$A$2:$A$1041),--(NXT_COMPO!$P10=IDX_CA!$B$2:$B$1041),--(NXT_COMPO!$Q10=IDX_CA!$C$2:$C$1041),ROW(IDX_CA!$D$2:$D$1041))),""))</f>
        <v>232600000</v>
      </c>
      <c r="H10" s="55">
        <f>IF($D10&lt;=$B$1-$B$2,IF(INDEX($AA$2:$AA$1048576,MATCH($D10,$AB$2:$AB$1048576,0))="MODIFY",INDEX(IDX_CA!$E$1:$E$1041,SUMPRODUCT(--($E10=IDX_CA!$A$2:$A$1041),--(NXT_COMPO!$P10=IDX_CA!$B$2:$B$1041),--(NXT_COMPO!$Q10=IDX_CA!$C$2:$C$1041),ROW(IDX_CA!$E$2:$E$1041))),INDEX(IDX_COMPO!$D$1:$D$1200,SUMPRODUCT(--($E10=IDX_COMPO!$A$2:$A$1200),--(NXT_COMPO!$P10=IDX_COMPO!$F$2:$F$1200),--(NXT_COMPO!$B$5=IDX_COMPO!$G$2:$G$1200),ROW(IDX_COMPO!$D$2:$D$1200)))),IF($D10&lt;=$B$4,INDEX(IDX_CA!$E$1:$E$1041,SUMPRODUCT(--($E10=IDX_CA!$A$2:$A$1041),--(NXT_COMPO!$P10=IDX_CA!$B$2:$B$1041),--(NXT_COMPO!$Q10=IDX_CA!$C$2:$C$1041),ROW(IDX_CA!$E$2:$E$1041))),""))</f>
        <v>100</v>
      </c>
      <c r="I10" s="55">
        <f>IF($D10&lt;=$B$1-$B$2,IF(INDEX($AA$2:$AA$1048576,MATCH($D10,$AB$2:$AB$1048576,0))="MODIFY",INDEX(IDX_CA!$F$1:$F$1041,SUMPRODUCT(--($E10=IDX_CA!$A$2:$A$1041),--(NXT_COMPO!$P10=IDX_CA!$B$2:$B$1041),--(NXT_COMPO!$Q10=IDX_CA!$C$2:$C$1041),ROW(IDX_CA!$F$2:$F$1041))),INDEX(IDX_COMPO!$E$1:$E$1200,SUMPRODUCT(--($E10=IDX_COMPO!$A$2:$A$1200),--(NXT_COMPO!$P10=IDX_COMPO!$F$2:$F$1200),--(NXT_COMPO!$B$5=IDX_COMPO!$G$2:$G$1200),ROW(IDX_COMPO!$E$2:$E$1200)))),IF($D10&lt;=$B$4,INDEX(IDX_CA!$F$1:$F$1041,SUMPRODUCT(--($E10=IDX_CA!$A$2:$A$1041),--(NXT_COMPO!$P10=IDX_CA!$B$2:$B$1041),--(NXT_COMPO!$Q10=IDX_CA!$C$2:$C$1041),ROW(IDX_CA!$F$2:$F$1041))),""))</f>
        <v>100</v>
      </c>
      <c r="J10" s="62">
        <f>IF($D10&lt;=$B$1-$B$2,IF(INDEX($AA$2:$AA$1048576,MATCH($D10,$AB$2:$AB$1048576,0))="MODIFY",INDEX(IDX_CA!$G$1:$G$1041,SUMPRODUCT(--($E10=IDX_CA!$A$2:$A$1041),--(NXT_COMPO!$P10=IDX_CA!$B$2:$B$1041),--(NXT_COMPO!$Q10=IDX_CA!$C$2:$C$1041),ROW(IDX_CA!$G$2:$G$1041))),INDEX(IDX_COMPOSITION!$F$1:$F$441,SUMPRODUCT(--($E10=IDX_COMPOSITION!$A$2:$A$441),--(NXT_COMPO!$P10=IDX_COMPOSITION!$R$2:$R$441),--(NXT_COMPO!$B$5=IDX_COMPOSITION!$L$2:$L$441),ROW(IDX_COMPOSITION!$F$2:$F$441)))),IF($D10&lt;=$B$4,INDEX(IDX_CA!$G$1:$G$1041,SUMPRODUCT(--($E10=IDX_CA!$A$2:$A$1041),--(NXT_COMPO!$P10=IDX_CA!$B$2:$B$1041),--(NXT_COMPO!$Q10=IDX_CA!$C$2:$C$1041),ROW(IDX_CA!$G$2:$G$1041))),""))</f>
        <v>38800</v>
      </c>
      <c r="K10" s="63" t="str">
        <f>IF($D10&lt;&gt;"",VLOOKUP($E10,STK_REF!$A$2:$J$1048576,7,0),"")</f>
        <v>VND</v>
      </c>
      <c r="L10" s="5">
        <f>IF($D10&lt;&gt;"",VLOOKUP($E10,STK_REF!$A$2:$J$1048576,8,0),"")</f>
        <v>1</v>
      </c>
      <c r="M10" s="8">
        <f>IF($D10&lt;&gt;"",IF($K10=$U10,1,IF(ISNA(VLOOKUP($K10&amp;$U10,CUR_RATES!$A$2:$F$521,4,0)),"",VLOOKUP($K10&amp;$U10,CUR_RATES!$A$2:$F$521,4,0))),"")</f>
        <v>1</v>
      </c>
      <c r="N10" s="61">
        <f t="shared" si="5"/>
        <v>38800</v>
      </c>
      <c r="O10" s="68">
        <f t="shared" si="6"/>
        <v>9024880000000</v>
      </c>
      <c r="P10" s="5" t="str">
        <f t="shared" si="1"/>
        <v>VNX10PRVND</v>
      </c>
      <c r="Q10" s="75">
        <f t="shared" si="7"/>
        <v>41166</v>
      </c>
      <c r="R10" s="68" t="str">
        <f t="shared" si="8"/>
        <v/>
      </c>
      <c r="S10" s="61" t="str">
        <f t="shared" si="9"/>
        <v/>
      </c>
      <c r="T10" s="62" t="str">
        <f>IF(D10&lt;&gt;"",IF(SUMPRODUCT(--($E10=STK_DIV!$A$2:$A$5),--(NXT_COMPO!$Q10=STK_DIV!$E$2:$E$5),ROW(STK_DIV!$D$2:$D$5))=0,"",INDEX(STK_DIV!$D$1:$D$5,SUMPRODUCT(--($E10=STK_DIV!$A$2:$A$5),--(NXT_COMPO!$Q10=STK_DIV!$E$2:$E$5),ROW(STK_DIV!$D$2:$D$5)))),"")</f>
        <v/>
      </c>
      <c r="U10" s="54" t="str">
        <f>IF($D10&lt;&gt;"",VLOOKUP($P10,IDX_REF!$2:$1048576,4,0),"")</f>
        <v>VND</v>
      </c>
      <c r="W10" s="52">
        <f t="shared" si="2"/>
        <v>9</v>
      </c>
      <c r="X10" s="5" t="str">
        <f>IF(ROW(X10)-ROW($X$1)&lt;=$B$1,INDEX(IDX_COMPO!A:A,ROW(IDX_COMPO!A10)),"")</f>
        <v>PGD</v>
      </c>
      <c r="Y10" s="75">
        <f t="shared" si="3"/>
        <v>41166</v>
      </c>
      <c r="Z10" s="54" t="str">
        <f>IF(ROW(Z10)-ROW($Y$1)&lt;=$B$1,INDEX(IDX_COMPO!F:F,ROW(IDX_COMPO!R10)),"")</f>
        <v>VNX10PRVND</v>
      </c>
      <c r="AA10" s="2" t="str">
        <f t="array" ref="AA10">IF(X10&lt;&gt;"",IF(SUMPRODUCT(--(X10=IDX_CA!$A$2:$A$1041),--(NXT_COMPO!Y10=IDX_CA!$C$2:$C$1041),--(Z10=IDX_CA!$B$2:$B$1041))&gt;0,IF(INDEX(IDX_CA!$I:$I,SUMPRODUCT(--(X10=IDX_CA!$A$2:$A$1041),--(NXT_COMPO!Y10=IDX_CA!$C$2:$C$1041),--(Z10=IDX_CA!$B$2:$B$1041),ROW(IDX_CA!$I$2:$I$1041)))=1,"YES","MODIFY"),""),"")</f>
        <v/>
      </c>
      <c r="AB10" s="5">
        <f>IF(X10&lt;&gt;"",IF(AA10="YES","",COUNTIF($AA$2:AA10,"&lt;&gt;YES")),"")</f>
        <v>9</v>
      </c>
      <c r="AC10" s="2"/>
      <c r="AD10" s="5" t="str">
        <f>IF(ROW(AD10)-ROW($AD$1)&lt;=COUNTIF(IDX_CA!$H$2:$H$1048576,1),ROW(AD10)-ROW($AD$1),"")</f>
        <v/>
      </c>
      <c r="AE10" s="5" t="str">
        <f t="array" ref="AE10">IF(ISERROR(SMALL(IF(IDX_CA!$H$1:$H$1041=1,ROW(IDX_CA!$H$1:$H$1041)),ROW(AH10)-ROW($AH$1))),"",INDEX(IDX_CA!$A:$A,SMALL(IF(IDX_CA!$H$1:$H$1041=1,ROW(IDX_CA!$H$1:$H$1041)),ROW(AH10)-ROW($AH$1))))</f>
        <v/>
      </c>
      <c r="AG10" s="54" t="str">
        <f t="array" ref="AG10">IF(ISERROR(SMALL(IF(IDX_CA!$H$1:$H$1041=1,ROW(IDX_CA!$B$1:$B$1041)),ROW(AG10)-ROW($AG$1))),"",INDEX(IDX_CA!$B:$B,SMALL(IF(IDX_CA!$H$1:$H$1041=1,ROW(IDX_CA!$B$1:$B$1041)),ROW(AG10)-ROW($AG$1))))</f>
        <v/>
      </c>
      <c r="AH10" s="2" t="str">
        <f t="array" ref="AH10">IF(ISERROR(SMALL(IF(IDX_CA!$H$1:$H$1041=1,ROW(IDX_CA!$H$1:$H$1041)),ROW(AH10)-ROW($AH$1))),"",IF(INDEX(IDX_CA!$C:$C,SMALL(IF(IDX_CA!$H$1:$H$1041=1,ROW(IDX_CA!$H$1:$H$1041)),ROW(AH10)-ROW($AH$1)))=$B$6,"YES",""))</f>
        <v/>
      </c>
      <c r="AI10" s="5" t="str">
        <f>IF(AD10&lt;&gt;"",IF(AH10="YES",COUNTIF($AH$2:AH10,"YES"),""),"")</f>
        <v/>
      </c>
    </row>
    <row r="11" spans="1:100" x14ac:dyDescent="0.2">
      <c r="D11" s="52">
        <f t="shared" si="0"/>
        <v>10</v>
      </c>
      <c r="E11" s="5" t="str">
        <f t="shared" si="4"/>
        <v>PET</v>
      </c>
      <c r="F11" s="5" t="str">
        <f>IF($D11&lt;&gt;"",VLOOKUP($E11,STK_REF!$A$2:$J$1048576,2,0),"")</f>
        <v>VNX General Services Joint Stock Corp</v>
      </c>
      <c r="G11" s="68">
        <f>IF($D11&lt;=$B$1-$B$2,IF(INDEX($AA$2:$AA$1048576,MATCH($D11,$AB$2:$AB$1048576,0))="MODIFY",INDEX(IDX_CA!$D$1:$D$1041,SUMPRODUCT(--($E11=IDX_CA!$A$2:$A$1041),--(NXT_COMPO!$P11=IDX_CA!$B$2:$B$1041),--(NXT_COMPO!$Q11=IDX_CA!$C$2:$C$1041),ROW(IDX_CA!$D$2:$D$1041))),INDEX(IDX_COMPO!$C$1:$C$12000,SUMPRODUCT(--($E11=IDX_COMPO!$A$2:$A$1200),--(NXT_COMPO!$P11=IDX_COMPO!$F$2:$F$1200),--(NXT_COMPO!$B$5=IDX_COMPO!$G$2:$G$1200),ROW(IDX_COMPO!$C$2:$C$1200)))),IF($D11&lt;=$B$4,INDEX(IDX_CA!$D$1:$D$1041,SUMPRODUCT(--($E11=IDX_CA!$A$2:$A$1041),--(NXT_COMPO!$P11=IDX_CA!$B$2:$B$1041),--(NXT_COMPO!$Q11=IDX_CA!$C$2:$C$1041),ROW(IDX_CA!$D$2:$D$1041))),""))</f>
        <v>38000000</v>
      </c>
      <c r="H11" s="55">
        <f>IF($D11&lt;=$B$1-$B$2,IF(INDEX($AA$2:$AA$1048576,MATCH($D11,$AB$2:$AB$1048576,0))="MODIFY",INDEX(IDX_CA!$E$1:$E$1041,SUMPRODUCT(--($E11=IDX_CA!$A$2:$A$1041),--(NXT_COMPO!$P11=IDX_CA!$B$2:$B$1041),--(NXT_COMPO!$Q11=IDX_CA!$C$2:$C$1041),ROW(IDX_CA!$E$2:$E$1041))),INDEX(IDX_COMPO!$D$1:$D$1200,SUMPRODUCT(--($E11=IDX_COMPO!$A$2:$A$1200),--(NXT_COMPO!$P11=IDX_COMPO!$F$2:$F$1200),--(NXT_COMPO!$B$5=IDX_COMPO!$G$2:$G$1200),ROW(IDX_COMPO!$D$2:$D$1200)))),IF($D11&lt;=$B$4,INDEX(IDX_CA!$E$1:$E$1041,SUMPRODUCT(--($E11=IDX_CA!$A$2:$A$1041),--(NXT_COMPO!$P11=IDX_CA!$B$2:$B$1041),--(NXT_COMPO!$Q11=IDX_CA!$C$2:$C$1041),ROW(IDX_CA!$E$2:$E$1041))),""))</f>
        <v>100</v>
      </c>
      <c r="I11" s="55">
        <f>IF($D11&lt;=$B$1-$B$2,IF(INDEX($AA$2:$AA$1048576,MATCH($D11,$AB$2:$AB$1048576,0))="MODIFY",INDEX(IDX_CA!$F$1:$F$1041,SUMPRODUCT(--($E11=IDX_CA!$A$2:$A$1041),--(NXT_COMPO!$P11=IDX_CA!$B$2:$B$1041),--(NXT_COMPO!$Q11=IDX_CA!$C$2:$C$1041),ROW(IDX_CA!$F$2:$F$1041))),INDEX(IDX_COMPO!$E$1:$E$1200,SUMPRODUCT(--($E11=IDX_COMPO!$A$2:$A$1200),--(NXT_COMPO!$P11=IDX_COMPO!$F$2:$F$1200),--(NXT_COMPO!$B$5=IDX_COMPO!$G$2:$G$1200),ROW(IDX_COMPO!$E$2:$E$1200)))),IF($D11&lt;=$B$4,INDEX(IDX_CA!$F$1:$F$1041,SUMPRODUCT(--($E11=IDX_CA!$A$2:$A$1041),--(NXT_COMPO!$P11=IDX_CA!$B$2:$B$1041),--(NXT_COMPO!$Q11=IDX_CA!$C$2:$C$1041),ROW(IDX_CA!$F$2:$F$1041))),""))</f>
        <v>100</v>
      </c>
      <c r="J11" s="62">
        <f>IF($D11&lt;=$B$1-$B$2,IF(INDEX($AA$2:$AA$1048576,MATCH($D11,$AB$2:$AB$1048576,0))="MODIFY",INDEX(IDX_CA!$G$1:$G$1041,SUMPRODUCT(--($E11=IDX_CA!$A$2:$A$1041),--(NXT_COMPO!$P11=IDX_CA!$B$2:$B$1041),--(NXT_COMPO!$Q11=IDX_CA!$C$2:$C$1041),ROW(IDX_CA!$G$2:$G$1041))),INDEX(IDX_COMPOSITION!$F$1:$F$441,SUMPRODUCT(--($E11=IDX_COMPOSITION!$A$2:$A$441),--(NXT_COMPO!$P11=IDX_COMPOSITION!$R$2:$R$441),--(NXT_COMPO!$B$5=IDX_COMPOSITION!$L$2:$L$441),ROW(IDX_COMPOSITION!$F$2:$F$441)))),IF($D11&lt;=$B$4,INDEX(IDX_CA!$G$1:$G$1041,SUMPRODUCT(--($E11=IDX_CA!$A$2:$A$1041),--(NXT_COMPO!$P11=IDX_CA!$B$2:$B$1041),--(NXT_COMPO!$Q11=IDX_CA!$C$2:$C$1041),ROW(IDX_CA!$G$2:$G$1041))),""))</f>
        <v>11200</v>
      </c>
      <c r="K11" s="63" t="str">
        <f>IF($D11&lt;&gt;"",VLOOKUP($E11,STK_REF!$A$2:$J$1048576,7,0),"")</f>
        <v>VND</v>
      </c>
      <c r="L11" s="5">
        <f>IF($D11&lt;&gt;"",VLOOKUP($E11,STK_REF!$A$2:$J$1048576,8,0),"")</f>
        <v>1</v>
      </c>
      <c r="M11" s="8">
        <f>IF($D11&lt;&gt;"",IF($K11=$U11,1,IF(ISNA(VLOOKUP($K11&amp;$U11,CUR_RATES!$A$2:$F$521,4,0)),"",VLOOKUP($K11&amp;$U11,CUR_RATES!$A$2:$F$521,4,0))),"")</f>
        <v>1</v>
      </c>
      <c r="N11" s="61">
        <f t="shared" si="5"/>
        <v>11200</v>
      </c>
      <c r="O11" s="68">
        <f t="shared" si="6"/>
        <v>425600000000</v>
      </c>
      <c r="P11" s="5" t="str">
        <f t="shared" si="1"/>
        <v>VNX10PRVND</v>
      </c>
      <c r="Q11" s="75">
        <f t="shared" si="7"/>
        <v>41166</v>
      </c>
      <c r="R11" s="68" t="str">
        <f t="shared" si="8"/>
        <v/>
      </c>
      <c r="S11" s="61" t="str">
        <f t="shared" si="9"/>
        <v/>
      </c>
      <c r="T11" s="62" t="str">
        <f>IF(D11&lt;&gt;"",IF(SUMPRODUCT(--($E11=STK_DIV!$A$2:$A$5),--(NXT_COMPO!$Q11=STK_DIV!$E$2:$E$5),ROW(STK_DIV!$D$2:$D$5))=0,"",INDEX(STK_DIV!$D$1:$D$5,SUMPRODUCT(--($E11=STK_DIV!$A$2:$A$5),--(NXT_COMPO!$Q11=STK_DIV!$E$2:$E$5),ROW(STK_DIV!$D$2:$D$5)))),"")</f>
        <v/>
      </c>
      <c r="U11" s="54" t="str">
        <f>IF($D11&lt;&gt;"",VLOOKUP($P11,IDX_REF!$2:$1048576,4,0),"")</f>
        <v>VND</v>
      </c>
      <c r="W11" s="52">
        <f t="shared" si="2"/>
        <v>10</v>
      </c>
      <c r="X11" s="5" t="str">
        <f>IF(ROW(X11)-ROW($X$1)&lt;=$B$1,INDEX(IDX_COMPO!A:A,ROW(IDX_COMPO!A11)),"")</f>
        <v>PET</v>
      </c>
      <c r="Y11" s="75">
        <f t="shared" si="3"/>
        <v>41166</v>
      </c>
      <c r="Z11" s="54" t="str">
        <f>IF(ROW(Z11)-ROW($Y$1)&lt;=$B$1,INDEX(IDX_COMPO!F:F,ROW(IDX_COMPO!R11)),"")</f>
        <v>VNX10PRVND</v>
      </c>
      <c r="AA11" s="2" t="str">
        <f t="array" ref="AA11">IF(X11&lt;&gt;"",IF(SUMPRODUCT(--(X11=IDX_CA!$A$2:$A$1041),--(NXT_COMPO!Y11=IDX_CA!$C$2:$C$1041),--(Z11=IDX_CA!$B$2:$B$1041))&gt;0,IF(INDEX(IDX_CA!$I:$I,SUMPRODUCT(--(X11=IDX_CA!$A$2:$A$1041),--(NXT_COMPO!Y11=IDX_CA!$C$2:$C$1041),--(Z11=IDX_CA!$B$2:$B$1041),ROW(IDX_CA!$I$2:$I$1041)))=1,"YES","MODIFY"),""),"")</f>
        <v/>
      </c>
      <c r="AB11" s="5">
        <f>IF(X11&lt;&gt;"",IF(AA11="YES","",COUNTIF($AA$2:AA11,"&lt;&gt;YES")),"")</f>
        <v>10</v>
      </c>
      <c r="AC11" s="2"/>
      <c r="AD11" s="5" t="str">
        <f>IF(ROW(AD11)-ROW($AD$1)&lt;=COUNTIF(IDX_CA!$H$2:$H$1048576,1),ROW(AD11)-ROW($AD$1),"")</f>
        <v/>
      </c>
      <c r="AE11" s="5" t="str">
        <f t="array" ref="AE11">IF(ISERROR(SMALL(IF(IDX_CA!$H$1:$H$1041=1,ROW(IDX_CA!$H$1:$H$1041)),ROW(AH11)-ROW($AH$1))),"",INDEX(IDX_CA!$A:$A,SMALL(IF(IDX_CA!$H$1:$H$1041=1,ROW(IDX_CA!$H$1:$H$1041)),ROW(AH11)-ROW($AH$1))))</f>
        <v/>
      </c>
      <c r="AG11" s="54" t="str">
        <f t="array" ref="AG11">IF(ISERROR(SMALL(IF(IDX_CA!$H$1:$H$1041=1,ROW(IDX_CA!$B$1:$B$1041)),ROW(AG11)-ROW($AG$1))),"",INDEX(IDX_CA!$B:$B,SMALL(IF(IDX_CA!$H$1:$H$1041=1,ROW(IDX_CA!$B$1:$B$1041)),ROW(AG11)-ROW($AG$1))))</f>
        <v/>
      </c>
      <c r="AH11" s="2" t="str">
        <f t="array" ref="AH11">IF(ISERROR(SMALL(IF(IDX_CA!$H$1:$H$1041=1,ROW(IDX_CA!$H$1:$H$1041)),ROW(AH11)-ROW($AH$1))),"",IF(INDEX(IDX_CA!$C:$C,SMALL(IF(IDX_CA!$H$1:$H$1041=1,ROW(IDX_CA!$H$1:$H$1041)),ROW(AH11)-ROW($AH$1)))=$B$6,"YES",""))</f>
        <v/>
      </c>
      <c r="AI11" s="5" t="str">
        <f>IF(AD11&lt;&gt;"",IF(AH11="YES",COUNTIF($AH$2:AH11,"YES"),""),"")</f>
        <v/>
      </c>
    </row>
    <row r="12" spans="1:100" x14ac:dyDescent="0.2">
      <c r="D12" s="52">
        <f t="shared" si="0"/>
        <v>11</v>
      </c>
      <c r="E12" s="5" t="str">
        <f t="shared" si="4"/>
        <v>PVD</v>
      </c>
      <c r="F12" s="5" t="str">
        <f>IF($D12&lt;&gt;"",VLOOKUP($E12,STK_REF!$A$2:$J$1048576,2,0),"")</f>
        <v xml:space="preserve">VNX Drilling &amp; Well Services Joint Stock </v>
      </c>
      <c r="G12" s="68">
        <f>IF($D12&lt;=$B$1-$B$2,IF(INDEX($AA$2:$AA$1048576,MATCH($D12,$AB$2:$AB$1048576,0))="MODIFY",INDEX(IDX_CA!$D$1:$D$1041,SUMPRODUCT(--($E12=IDX_CA!$A$2:$A$1041),--(NXT_COMPO!$P12=IDX_CA!$B$2:$B$1041),--(NXT_COMPO!$Q12=IDX_CA!$C$2:$C$1041),ROW(IDX_CA!$D$2:$D$1041))),INDEX(IDX_COMPO!$C$1:$C$12000,SUMPRODUCT(--($E12=IDX_COMPO!$A$2:$A$1200),--(NXT_COMPO!$P12=IDX_COMPO!$F$2:$F$1200),--(NXT_COMPO!$B$5=IDX_COMPO!$G$2:$G$1200),ROW(IDX_COMPO!$C$2:$C$1200)))),IF($D12&lt;=$B$4,INDEX(IDX_CA!$D$1:$D$1041,SUMPRODUCT(--($E12=IDX_CA!$A$2:$A$1041),--(NXT_COMPO!$P12=IDX_CA!$B$2:$B$1041),--(NXT_COMPO!$Q12=IDX_CA!$C$2:$C$1041),ROW(IDX_CA!$D$2:$D$1041))),""))</f>
        <v>377647740</v>
      </c>
      <c r="H12" s="55">
        <f>IF($D12&lt;=$B$1-$B$2,IF(INDEX($AA$2:$AA$1048576,MATCH($D12,$AB$2:$AB$1048576,0))="MODIFY",INDEX(IDX_CA!$E$1:$E$1041,SUMPRODUCT(--($E12=IDX_CA!$A$2:$A$1041),--(NXT_COMPO!$P12=IDX_CA!$B$2:$B$1041),--(NXT_COMPO!$Q12=IDX_CA!$C$2:$C$1041),ROW(IDX_CA!$E$2:$E$1041))),INDEX(IDX_COMPO!$D$1:$D$1200,SUMPRODUCT(--($E12=IDX_COMPO!$A$2:$A$1200),--(NXT_COMPO!$P12=IDX_COMPO!$F$2:$F$1200),--(NXT_COMPO!$B$5=IDX_COMPO!$G$2:$G$1200),ROW(IDX_COMPO!$D$2:$D$1200)))),IF($D12&lt;=$B$4,INDEX(IDX_CA!$E$1:$E$1041,SUMPRODUCT(--($E12=IDX_CA!$A$2:$A$1041),--(NXT_COMPO!$P12=IDX_CA!$B$2:$B$1041),--(NXT_COMPO!$Q12=IDX_CA!$C$2:$C$1041),ROW(IDX_CA!$E$2:$E$1041))),""))</f>
        <v>100</v>
      </c>
      <c r="I12" s="55">
        <f>IF($D12&lt;=$B$1-$B$2,IF(INDEX($AA$2:$AA$1048576,MATCH($D12,$AB$2:$AB$1048576,0))="MODIFY",INDEX(IDX_CA!$F$1:$F$1041,SUMPRODUCT(--($E12=IDX_CA!$A$2:$A$1041),--(NXT_COMPO!$P12=IDX_CA!$B$2:$B$1041),--(NXT_COMPO!$Q12=IDX_CA!$C$2:$C$1041),ROW(IDX_CA!$F$2:$F$1041))),INDEX(IDX_COMPO!$E$1:$E$1200,SUMPRODUCT(--($E12=IDX_COMPO!$A$2:$A$1200),--(NXT_COMPO!$P12=IDX_COMPO!$F$2:$F$1200),--(NXT_COMPO!$B$5=IDX_COMPO!$G$2:$G$1200),ROW(IDX_COMPO!$E$2:$E$1200)))),IF($D12&lt;=$B$4,INDEX(IDX_CA!$F$1:$F$1041,SUMPRODUCT(--($E12=IDX_CA!$A$2:$A$1041),--(NXT_COMPO!$P12=IDX_CA!$B$2:$B$1041),--(NXT_COMPO!$Q12=IDX_CA!$C$2:$C$1041),ROW(IDX_CA!$F$2:$F$1041))),""))</f>
        <v>100</v>
      </c>
      <c r="J12" s="62">
        <f>IF($D12&lt;=$B$1-$B$2,IF(INDEX($AA$2:$AA$1048576,MATCH($D12,$AB$2:$AB$1048576,0))="MODIFY",INDEX(IDX_CA!$G$1:$G$1041,SUMPRODUCT(--($E12=IDX_CA!$A$2:$A$1041),--(NXT_COMPO!$P12=IDX_CA!$B$2:$B$1041),--(NXT_COMPO!$Q12=IDX_CA!$C$2:$C$1041),ROW(IDX_CA!$G$2:$G$1041))),INDEX(IDX_COMPOSITION!$F$1:$F$441,SUMPRODUCT(--($E12=IDX_COMPOSITION!$A$2:$A$441),--(NXT_COMPO!$P12=IDX_COMPOSITION!$R$2:$R$441),--(NXT_COMPO!$B$5=IDX_COMPOSITION!$L$2:$L$441),ROW(IDX_COMPOSITION!$F$2:$F$441)))),IF($D12&lt;=$B$4,INDEX(IDX_CA!$G$1:$G$1041,SUMPRODUCT(--($E12=IDX_CA!$A$2:$A$1041),--(NXT_COMPO!$P12=IDX_CA!$B$2:$B$1041),--(NXT_COMPO!$Q12=IDX_CA!$C$2:$C$1041),ROW(IDX_CA!$G$2:$G$1041))),""))</f>
        <v>35000</v>
      </c>
      <c r="K12" s="63" t="str">
        <f>IF($D12&lt;&gt;"",VLOOKUP($E12,STK_REF!$A$2:$J$1048576,7,0),"")</f>
        <v>VND</v>
      </c>
      <c r="L12" s="5">
        <f>IF($D12&lt;&gt;"",VLOOKUP($E12,STK_REF!$A$2:$J$1048576,8,0),"")</f>
        <v>1</v>
      </c>
      <c r="M12" s="8">
        <f>IF($D12&lt;&gt;"",IF($K12=$U12,1,IF(ISNA(VLOOKUP($K12&amp;$U12,CUR_RATES!$A$2:$F$521,4,0)),"",VLOOKUP($K12&amp;$U12,CUR_RATES!$A$2:$F$521,4,0))),"")</f>
        <v>1</v>
      </c>
      <c r="N12" s="61">
        <f t="shared" si="5"/>
        <v>35000</v>
      </c>
      <c r="O12" s="68">
        <f t="shared" si="6"/>
        <v>13217670900000</v>
      </c>
      <c r="P12" s="5" t="str">
        <f t="shared" si="1"/>
        <v>VNXASPRVND</v>
      </c>
      <c r="Q12" s="75">
        <f t="shared" si="7"/>
        <v>41166</v>
      </c>
      <c r="R12" s="68" t="str">
        <f t="shared" si="8"/>
        <v/>
      </c>
      <c r="S12" s="61" t="str">
        <f t="shared" si="9"/>
        <v/>
      </c>
      <c r="T12" s="62" t="str">
        <f>IF(D12&lt;&gt;"",IF(SUMPRODUCT(--($E12=STK_DIV!$A$2:$A$5),--(NXT_COMPO!$Q12=STK_DIV!$E$2:$E$5),ROW(STK_DIV!$D$2:$D$5))=0,"",INDEX(STK_DIV!$D$1:$D$5,SUMPRODUCT(--($E12=STK_DIV!$A$2:$A$5),--(NXT_COMPO!$Q12=STK_DIV!$E$2:$E$5),ROW(STK_DIV!$D$2:$D$5)))),"")</f>
        <v/>
      </c>
      <c r="U12" s="54" t="str">
        <f>IF($D12&lt;&gt;"",VLOOKUP($P12,IDX_REF!$2:$1048576,4,0),"")</f>
        <v>VND</v>
      </c>
      <c r="W12" s="52">
        <f t="shared" si="2"/>
        <v>11</v>
      </c>
      <c r="X12" s="5" t="str">
        <f>IF(ROW(X12)-ROW($X$1)&lt;=$B$1,INDEX(IDX_COMPO!A:A,ROW(IDX_COMPO!A12)),"")</f>
        <v>PVD</v>
      </c>
      <c r="Y12" s="75">
        <f t="shared" si="3"/>
        <v>41166</v>
      </c>
      <c r="Z12" s="54" t="str">
        <f>IF(ROW(Z12)-ROW($Y$1)&lt;=$B$1,INDEX(IDX_COMPO!F:F,ROW(IDX_COMPO!R12)),"")</f>
        <v>VNXASPRVND</v>
      </c>
      <c r="AA12" s="2" t="str">
        <f t="array" ref="AA12">IF(X12&lt;&gt;"",IF(SUMPRODUCT(--(X12=IDX_CA!$A$2:$A$1041),--(NXT_COMPO!Y12=IDX_CA!$C$2:$C$1041),--(Z12=IDX_CA!$B$2:$B$1041))&gt;0,IF(INDEX(IDX_CA!$I:$I,SUMPRODUCT(--(X12=IDX_CA!$A$2:$A$1041),--(NXT_COMPO!Y12=IDX_CA!$C$2:$C$1041),--(Z12=IDX_CA!$B$2:$B$1041),ROW(IDX_CA!$I$2:$I$1041)))=1,"YES","MODIFY"),""),"")</f>
        <v/>
      </c>
      <c r="AB12" s="5">
        <f>IF(X12&lt;&gt;"",IF(AA12="YES","",COUNTIF($AA$2:AA12,"&lt;&gt;YES")),"")</f>
        <v>11</v>
      </c>
      <c r="AC12" s="2"/>
      <c r="AD12" s="5" t="str">
        <f>IF(ROW(AD12)-ROW($AD$1)&lt;=COUNTIF(IDX_CA!$H$2:$H$1048576,1),ROW(AD12)-ROW($AD$1),"")</f>
        <v/>
      </c>
      <c r="AE12" s="5" t="str">
        <f t="array" ref="AE12">IF(ISERROR(SMALL(IF(IDX_CA!$H$1:$H$1041=1,ROW(IDX_CA!$H$1:$H$1041)),ROW(AH12)-ROW($AH$1))),"",INDEX(IDX_CA!$A:$A,SMALL(IF(IDX_CA!$H$1:$H$1041=1,ROW(IDX_CA!$H$1:$H$1041)),ROW(AH12)-ROW($AH$1))))</f>
        <v/>
      </c>
      <c r="AG12" s="54" t="str">
        <f t="array" ref="AG12">IF(ISERROR(SMALL(IF(IDX_CA!$H$1:$H$1041=1,ROW(IDX_CA!$B$1:$B$1041)),ROW(AG12)-ROW($AG$1))),"",INDEX(IDX_CA!$B:$B,SMALL(IF(IDX_CA!$H$1:$H$1041=1,ROW(IDX_CA!$B$1:$B$1041)),ROW(AG12)-ROW($AG$1))))</f>
        <v/>
      </c>
      <c r="AH12" s="2" t="str">
        <f t="array" ref="AH12">IF(ISERROR(SMALL(IF(IDX_CA!$H$1:$H$1041=1,ROW(IDX_CA!$H$1:$H$1041)),ROW(AH12)-ROW($AH$1))),"",IF(INDEX(IDX_CA!$C:$C,SMALL(IF(IDX_CA!$H$1:$H$1041=1,ROW(IDX_CA!$H$1:$H$1041)),ROW(AH12)-ROW($AH$1)))=$B$6,"YES",""))</f>
        <v/>
      </c>
      <c r="AI12" s="5" t="str">
        <f>IF(AD12&lt;&gt;"",IF(AH12="YES",COUNTIF($AH$2:AH12,"YES"),""),"")</f>
        <v/>
      </c>
    </row>
    <row r="13" spans="1:100" x14ac:dyDescent="0.2">
      <c r="D13" s="52">
        <f t="shared" si="0"/>
        <v>12</v>
      </c>
      <c r="E13" s="5" t="str">
        <f t="shared" si="4"/>
        <v>PVI</v>
      </c>
      <c r="F13" s="5" t="str">
        <f>IF($D13&lt;&gt;"",VLOOKUP($E13,STK_REF!$A$2:$J$1048576,2,0),"")</f>
        <v>VNX Insurance</v>
      </c>
      <c r="G13" s="68">
        <f>IF($D13&lt;=$B$1-$B$2,IF(INDEX($AA$2:$AA$1048576,MATCH($D13,$AB$2:$AB$1048576,0))="MODIFY",INDEX(IDX_CA!$D$1:$D$1041,SUMPRODUCT(--($E13=IDX_CA!$A$2:$A$1041),--(NXT_COMPO!$P13=IDX_CA!$B$2:$B$1041),--(NXT_COMPO!$Q13=IDX_CA!$C$2:$C$1041),ROW(IDX_CA!$D$2:$D$1041))),INDEX(IDX_COMPO!$C$1:$C$12000,SUMPRODUCT(--($E13=IDX_COMPO!$A$2:$A$1200),--(NXT_COMPO!$P13=IDX_COMPO!$F$2:$F$1200),--(NXT_COMPO!$B$5=IDX_COMPO!$G$2:$G$1200),ROW(IDX_COMPO!$C$2:$C$1200)))),IF($D13&lt;=$B$4,INDEX(IDX_CA!$D$1:$D$1041,SUMPRODUCT(--($E13=IDX_CA!$A$2:$A$1041),--(NXT_COMPO!$P13=IDX_CA!$B$2:$B$1041),--(NXT_COMPO!$Q13=IDX_CA!$C$2:$C$1041),ROW(IDX_CA!$D$2:$D$1041))),""))</f>
        <v>209740215</v>
      </c>
      <c r="H13" s="55">
        <f>IF($D13&lt;=$B$1-$B$2,IF(INDEX($AA$2:$AA$1048576,MATCH($D13,$AB$2:$AB$1048576,0))="MODIFY",INDEX(IDX_CA!$E$1:$E$1041,SUMPRODUCT(--($E13=IDX_CA!$A$2:$A$1041),--(NXT_COMPO!$P13=IDX_CA!$B$2:$B$1041),--(NXT_COMPO!$Q13=IDX_CA!$C$2:$C$1041),ROW(IDX_CA!$E$2:$E$1041))),INDEX(IDX_COMPO!$D$1:$D$1200,SUMPRODUCT(--($E13=IDX_COMPO!$A$2:$A$1200),--(NXT_COMPO!$P13=IDX_COMPO!$F$2:$F$1200),--(NXT_COMPO!$B$5=IDX_COMPO!$G$2:$G$1200),ROW(IDX_COMPO!$D$2:$D$1200)))),IF($D13&lt;=$B$4,INDEX(IDX_CA!$E$1:$E$1041,SUMPRODUCT(--($E13=IDX_CA!$A$2:$A$1041),--(NXT_COMPO!$P13=IDX_CA!$B$2:$B$1041),--(NXT_COMPO!$Q13=IDX_CA!$C$2:$C$1041),ROW(IDX_CA!$E$2:$E$1041))),""))</f>
        <v>100</v>
      </c>
      <c r="I13" s="55">
        <f>IF($D13&lt;=$B$1-$B$2,IF(INDEX($AA$2:$AA$1048576,MATCH($D13,$AB$2:$AB$1048576,0))="MODIFY",INDEX(IDX_CA!$F$1:$F$1041,SUMPRODUCT(--($E13=IDX_CA!$A$2:$A$1041),--(NXT_COMPO!$P13=IDX_CA!$B$2:$B$1041),--(NXT_COMPO!$Q13=IDX_CA!$C$2:$C$1041),ROW(IDX_CA!$F$2:$F$1041))),INDEX(IDX_COMPO!$E$1:$E$1200,SUMPRODUCT(--($E13=IDX_COMPO!$A$2:$A$1200),--(NXT_COMPO!$P13=IDX_COMPO!$F$2:$F$1200),--(NXT_COMPO!$B$5=IDX_COMPO!$G$2:$G$1200),ROW(IDX_COMPO!$E$2:$E$1200)))),IF($D13&lt;=$B$4,INDEX(IDX_CA!$F$1:$F$1041,SUMPRODUCT(--($E13=IDX_CA!$A$2:$A$1041),--(NXT_COMPO!$P13=IDX_CA!$B$2:$B$1041),--(NXT_COMPO!$Q13=IDX_CA!$C$2:$C$1041),ROW(IDX_CA!$F$2:$F$1041))),""))</f>
        <v>100</v>
      </c>
      <c r="J13" s="62">
        <f>IF($D13&lt;=$B$1-$B$2,IF(INDEX($AA$2:$AA$1048576,MATCH($D13,$AB$2:$AB$1048576,0))="MODIFY",INDEX(IDX_CA!$G$1:$G$1041,SUMPRODUCT(--($E13=IDX_CA!$A$2:$A$1041),--(NXT_COMPO!$P13=IDX_CA!$B$2:$B$1041),--(NXT_COMPO!$Q13=IDX_CA!$C$2:$C$1041),ROW(IDX_CA!$G$2:$G$1041))),INDEX(IDX_COMPOSITION!$F$1:$F$441,SUMPRODUCT(--($E13=IDX_COMPOSITION!$A$2:$A$441),--(NXT_COMPO!$P13=IDX_COMPOSITION!$R$2:$R$441),--(NXT_COMPO!$B$5=IDX_COMPOSITION!$L$2:$L$441),ROW(IDX_COMPOSITION!$F$2:$F$441)))),IF($D13&lt;=$B$4,INDEX(IDX_CA!$G$1:$G$1041,SUMPRODUCT(--($E13=IDX_CA!$A$2:$A$1041),--(NXT_COMPO!$P13=IDX_CA!$B$2:$B$1041),--(NXT_COMPO!$Q13=IDX_CA!$C$2:$C$1041),ROW(IDX_CA!$G$2:$G$1041))),""))</f>
        <v>15900</v>
      </c>
      <c r="K13" s="63" t="str">
        <f>IF($D13&lt;&gt;"",VLOOKUP($E13,STK_REF!$A$2:$J$1048576,7,0),"")</f>
        <v>VND</v>
      </c>
      <c r="L13" s="5">
        <f>IF($D13&lt;&gt;"",VLOOKUP($E13,STK_REF!$A$2:$J$1048576,8,0),"")</f>
        <v>1</v>
      </c>
      <c r="M13" s="8">
        <f>IF($D13&lt;&gt;"",IF($K13=$U13,1,IF(ISNA(VLOOKUP($K13&amp;$U13,CUR_RATES!$A$2:$F$521,4,0)),"",VLOOKUP($K13&amp;$U13,CUR_RATES!$A$2:$F$521,4,0))),"")</f>
        <v>1</v>
      </c>
      <c r="N13" s="61">
        <f t="shared" si="5"/>
        <v>15900</v>
      </c>
      <c r="O13" s="68">
        <f t="shared" si="6"/>
        <v>3334869418500</v>
      </c>
      <c r="P13" s="5" t="str">
        <f t="shared" si="1"/>
        <v>VNXASPRVND</v>
      </c>
      <c r="Q13" s="75">
        <f t="shared" si="7"/>
        <v>41166</v>
      </c>
      <c r="R13" s="68" t="str">
        <f t="shared" si="8"/>
        <v/>
      </c>
      <c r="S13" s="61" t="str">
        <f t="shared" si="9"/>
        <v/>
      </c>
      <c r="T13" s="62" t="str">
        <f>IF(D13&lt;&gt;"",IF(SUMPRODUCT(--($E13=STK_DIV!$A$2:$A$5),--(NXT_COMPO!$Q13=STK_DIV!$E$2:$E$5),ROW(STK_DIV!$D$2:$D$5))=0,"",INDEX(STK_DIV!$D$1:$D$5,SUMPRODUCT(--($E13=STK_DIV!$A$2:$A$5),--(NXT_COMPO!$Q13=STK_DIV!$E$2:$E$5),ROW(STK_DIV!$D$2:$D$5)))),"")</f>
        <v/>
      </c>
      <c r="U13" s="54" t="str">
        <f>IF($D13&lt;&gt;"",VLOOKUP($P13,IDX_REF!$2:$1048576,4,0),"")</f>
        <v>VND</v>
      </c>
      <c r="W13" s="52">
        <f t="shared" si="2"/>
        <v>12</v>
      </c>
      <c r="X13" s="5" t="str">
        <f>IF(ROW(X13)-ROW($X$1)&lt;=$B$1,INDEX(IDX_COMPO!A:A,ROW(IDX_COMPO!A13)),"")</f>
        <v>PVI</v>
      </c>
      <c r="Y13" s="75">
        <f t="shared" si="3"/>
        <v>41166</v>
      </c>
      <c r="Z13" s="54" t="str">
        <f>IF(ROW(Z13)-ROW($Y$1)&lt;=$B$1,INDEX(IDX_COMPO!F:F,ROW(IDX_COMPO!R13)),"")</f>
        <v>VNXASPRVND</v>
      </c>
      <c r="AA13" s="2" t="str">
        <f t="array" ref="AA13">IF(X13&lt;&gt;"",IF(SUMPRODUCT(--(X13=IDX_CA!$A$2:$A$1041),--(NXT_COMPO!Y13=IDX_CA!$C$2:$C$1041),--(Z13=IDX_CA!$B$2:$B$1041))&gt;0,IF(INDEX(IDX_CA!$I:$I,SUMPRODUCT(--(X13=IDX_CA!$A$2:$A$1041),--(NXT_COMPO!Y13=IDX_CA!$C$2:$C$1041),--(Z13=IDX_CA!$B$2:$B$1041),ROW(IDX_CA!$I$2:$I$1041)))=1,"YES","MODIFY"),""),"")</f>
        <v/>
      </c>
      <c r="AB13" s="5">
        <f>IF(X13&lt;&gt;"",IF(AA13="YES","",COUNTIF($AA$2:AA13,"&lt;&gt;YES")),"")</f>
        <v>12</v>
      </c>
      <c r="AC13" s="2"/>
      <c r="AD13" s="5" t="str">
        <f>IF(ROW(AD13)-ROW($AD$1)&lt;=COUNTIF(IDX_CA!$H$2:$H$1048576,1),ROW(AD13)-ROW($AD$1),"")</f>
        <v/>
      </c>
      <c r="AE13" s="5" t="str">
        <f t="array" ref="AE13">IF(ISERROR(SMALL(IF(IDX_CA!$H$1:$H$1041=1,ROW(IDX_CA!$H$1:$H$1041)),ROW(AH13)-ROW($AH$1))),"",INDEX(IDX_CA!$A:$A,SMALL(IF(IDX_CA!$H$1:$H$1041=1,ROW(IDX_CA!$H$1:$H$1041)),ROW(AH13)-ROW($AH$1))))</f>
        <v/>
      </c>
      <c r="AG13" s="54" t="str">
        <f t="array" ref="AG13">IF(ISERROR(SMALL(IF(IDX_CA!$H$1:$H$1041=1,ROW(IDX_CA!$B$1:$B$1041)),ROW(AG13)-ROW($AG$1))),"",INDEX(IDX_CA!$B:$B,SMALL(IF(IDX_CA!$H$1:$H$1041=1,ROW(IDX_CA!$B$1:$B$1041)),ROW(AG13)-ROW($AG$1))))</f>
        <v/>
      </c>
      <c r="AH13" s="2" t="str">
        <f t="array" ref="AH13">IF(ISERROR(SMALL(IF(IDX_CA!$H$1:$H$1041=1,ROW(IDX_CA!$H$1:$H$1041)),ROW(AH13)-ROW($AH$1))),"",IF(INDEX(IDX_CA!$C:$C,SMALL(IF(IDX_CA!$H$1:$H$1041=1,ROW(IDX_CA!$H$1:$H$1041)),ROW(AH13)-ROW($AH$1)))=$B$6,"YES",""))</f>
        <v/>
      </c>
      <c r="AI13" s="5" t="str">
        <f>IF(AD13&lt;&gt;"",IF(AH13="YES",COUNTIF($AH$2:AH13,"YES"),""),"")</f>
        <v/>
      </c>
    </row>
    <row r="14" spans="1:100" x14ac:dyDescent="0.2">
      <c r="D14" s="52">
        <f t="shared" si="0"/>
        <v>13</v>
      </c>
      <c r="E14" s="5" t="str">
        <f t="shared" si="4"/>
        <v>PET</v>
      </c>
      <c r="F14" s="5" t="str">
        <f>IF($D14&lt;&gt;"",VLOOKUP($E14,STK_REF!$A$2:$J$1048576,2,0),"")</f>
        <v>VNX General Services Joint Stock Corp</v>
      </c>
      <c r="G14" s="68">
        <f>IF($D14&lt;=$B$1-$B$2,IF(INDEX($AA$2:$AA$1048576,MATCH($D14,$AB$2:$AB$1048576,0))="MODIFY",INDEX(IDX_CA!$D$1:$D$1041,SUMPRODUCT(--($E14=IDX_CA!$A$2:$A$1041),--(NXT_COMPO!$P14=IDX_CA!$B$2:$B$1041),--(NXT_COMPO!$Q14=IDX_CA!$C$2:$C$1041),ROW(IDX_CA!$D$2:$D$1041))),INDEX(IDX_COMPO!$C$1:$C$12000,SUMPRODUCT(--($E14=IDX_COMPO!$A$2:$A$1200),--(NXT_COMPO!$P14=IDX_COMPO!$F$2:$F$1200),--(NXT_COMPO!$B$5=IDX_COMPO!$G$2:$G$1200),ROW(IDX_COMPO!$C$2:$C$1200)))),IF($D14&lt;=$B$4,INDEX(IDX_CA!$D$1:$D$1041,SUMPRODUCT(--($E14=IDX_CA!$A$2:$A$1041),--(NXT_COMPO!$P14=IDX_CA!$B$2:$B$1041),--(NXT_COMPO!$Q14=IDX_CA!$C$2:$C$1041),ROW(IDX_CA!$D$2:$D$1041))),""))</f>
        <v>600000000</v>
      </c>
      <c r="H14" s="55">
        <f>IF($D14&lt;=$B$1-$B$2,IF(INDEX($AA$2:$AA$1048576,MATCH($D14,$AB$2:$AB$1048576,0))="MODIFY",INDEX(IDX_CA!$E$1:$E$1041,SUMPRODUCT(--($E14=IDX_CA!$A$2:$A$1041),--(NXT_COMPO!$P14=IDX_CA!$B$2:$B$1041),--(NXT_COMPO!$Q14=IDX_CA!$C$2:$C$1041),ROW(IDX_CA!$E$2:$E$1041))),INDEX(IDX_COMPO!$D$1:$D$1200,SUMPRODUCT(--($E14=IDX_COMPO!$A$2:$A$1200),--(NXT_COMPO!$P14=IDX_COMPO!$F$2:$F$1200),--(NXT_COMPO!$B$5=IDX_COMPO!$G$2:$G$1200),ROW(IDX_COMPO!$D$2:$D$1200)))),IF($D14&lt;=$B$4,INDEX(IDX_CA!$E$1:$E$1041,SUMPRODUCT(--($E14=IDX_CA!$A$2:$A$1041),--(NXT_COMPO!$P14=IDX_CA!$B$2:$B$1041),--(NXT_COMPO!$Q14=IDX_CA!$C$2:$C$1041),ROW(IDX_CA!$E$2:$E$1041))),""))</f>
        <v>100</v>
      </c>
      <c r="I14" s="55">
        <f>IF($D14&lt;=$B$1-$B$2,IF(INDEX($AA$2:$AA$1048576,MATCH($D14,$AB$2:$AB$1048576,0))="MODIFY",INDEX(IDX_CA!$F$1:$F$1041,SUMPRODUCT(--($E14=IDX_CA!$A$2:$A$1041),--(NXT_COMPO!$P14=IDX_CA!$B$2:$B$1041),--(NXT_COMPO!$Q14=IDX_CA!$C$2:$C$1041),ROW(IDX_CA!$F$2:$F$1041))),INDEX(IDX_COMPO!$E$1:$E$1200,SUMPRODUCT(--($E14=IDX_COMPO!$A$2:$A$1200),--(NXT_COMPO!$P14=IDX_COMPO!$F$2:$F$1200),--(NXT_COMPO!$B$5=IDX_COMPO!$G$2:$G$1200),ROW(IDX_COMPO!$E$2:$E$1200)))),IF($D14&lt;=$B$4,INDEX(IDX_CA!$F$1:$F$1041,SUMPRODUCT(--($E14=IDX_CA!$A$2:$A$1041),--(NXT_COMPO!$P14=IDX_CA!$B$2:$B$1041),--(NXT_COMPO!$Q14=IDX_CA!$C$2:$C$1041),ROW(IDX_CA!$F$2:$F$1041))),""))</f>
        <v>100</v>
      </c>
      <c r="J14" s="62">
        <f>IF($D14&lt;=$B$1-$B$2,IF(INDEX($AA$2:$AA$1048576,MATCH($D14,$AB$2:$AB$1048576,0))="MODIFY",INDEX(IDX_CA!$G$1:$G$1041,SUMPRODUCT(--($E14=IDX_CA!$A$2:$A$1041),--(NXT_COMPO!$P14=IDX_CA!$B$2:$B$1041),--(NXT_COMPO!$Q14=IDX_CA!$C$2:$C$1041),ROW(IDX_CA!$G$2:$G$1041))),INDEX(IDX_COMPOSITION!$F$1:$F$441,SUMPRODUCT(--($E14=IDX_COMPOSITION!$A$2:$A$441),--(NXT_COMPO!$P14=IDX_COMPOSITION!$R$2:$R$441),--(NXT_COMPO!$B$5=IDX_COMPOSITION!$L$2:$L$441),ROW(IDX_COMPOSITION!$F$2:$F$441)))),IF($D14&lt;=$B$4,INDEX(IDX_CA!$G$1:$G$1041,SUMPRODUCT(--($E14=IDX_CA!$A$2:$A$1041),--(NXT_COMPO!$P14=IDX_CA!$B$2:$B$1041),--(NXT_COMPO!$Q14=IDX_CA!$C$2:$C$1041),ROW(IDX_CA!$G$2:$G$1041))),""))</f>
        <v>11200</v>
      </c>
      <c r="K14" s="63" t="str">
        <f>IF($D14&lt;&gt;"",VLOOKUP($E14,STK_REF!$A$2:$J$1048576,7,0),"")</f>
        <v>VND</v>
      </c>
      <c r="L14" s="5">
        <f>IF($D14&lt;&gt;"",VLOOKUP($E14,STK_REF!$A$2:$J$1048576,8,0),"")</f>
        <v>1</v>
      </c>
      <c r="M14" s="8">
        <f>IF($D14&lt;&gt;"",IF($K14=$U14,1,IF(ISNA(VLOOKUP($K14&amp;$U14,CUR_RATES!$A$2:$F$521,4,0)),"",VLOOKUP($K14&amp;$U14,CUR_RATES!$A$2:$F$521,4,0))),"")</f>
        <v>1</v>
      </c>
      <c r="N14" s="61">
        <f t="shared" si="5"/>
        <v>11200</v>
      </c>
      <c r="O14" s="68">
        <f t="shared" si="6"/>
        <v>6720000000000</v>
      </c>
      <c r="P14" s="5" t="str">
        <f t="shared" si="1"/>
        <v>VNXASPRVND</v>
      </c>
      <c r="Q14" s="75">
        <f t="shared" si="7"/>
        <v>41166</v>
      </c>
      <c r="R14" s="68" t="str">
        <f t="shared" si="8"/>
        <v/>
      </c>
      <c r="S14" s="61" t="str">
        <f t="shared" si="9"/>
        <v/>
      </c>
      <c r="T14" s="62" t="str">
        <f>IF(D14&lt;&gt;"",IF(SUMPRODUCT(--($E14=STK_DIV!$A$2:$A$5),--(NXT_COMPO!$Q14=STK_DIV!$E$2:$E$5),ROW(STK_DIV!$D$2:$D$5))=0,"",INDEX(STK_DIV!$D$1:$D$5,SUMPRODUCT(--($E14=STK_DIV!$A$2:$A$5),--(NXT_COMPO!$Q14=STK_DIV!$E$2:$E$5),ROW(STK_DIV!$D$2:$D$5)))),"")</f>
        <v/>
      </c>
      <c r="U14" s="54" t="str">
        <f>IF($D14&lt;&gt;"",VLOOKUP($P14,IDX_REF!$2:$1048576,4,0),"")</f>
        <v>VND</v>
      </c>
      <c r="W14" s="52">
        <f t="shared" si="2"/>
        <v>13</v>
      </c>
      <c r="X14" s="5" t="str">
        <f>IF(ROW(X14)-ROW($X$1)&lt;=$B$1,INDEX(IDX_COMPO!A:A,ROW(IDX_COMPO!A14)),"")</f>
        <v>PET</v>
      </c>
      <c r="Y14" s="75">
        <f t="shared" si="3"/>
        <v>41166</v>
      </c>
      <c r="Z14" s="54" t="str">
        <f>IF(ROW(Z14)-ROW($Y$1)&lt;=$B$1,INDEX(IDX_COMPO!F:F,ROW(IDX_COMPO!R14)),"")</f>
        <v>VNXASPRVND</v>
      </c>
      <c r="AA14" s="2" t="str">
        <f t="array" ref="AA14">IF(X14&lt;&gt;"",IF(SUMPRODUCT(--(X14=IDX_CA!$A$2:$A$1041),--(NXT_COMPO!Y14=IDX_CA!$C$2:$C$1041),--(Z14=IDX_CA!$B$2:$B$1041))&gt;0,IF(INDEX(IDX_CA!$I:$I,SUMPRODUCT(--(X14=IDX_CA!$A$2:$A$1041),--(NXT_COMPO!Y14=IDX_CA!$C$2:$C$1041),--(Z14=IDX_CA!$B$2:$B$1041),ROW(IDX_CA!$I$2:$I$1041)))=1,"YES","MODIFY"),""),"")</f>
        <v/>
      </c>
      <c r="AB14" s="5">
        <f>IF(X14&lt;&gt;"",IF(AA14="YES","",COUNTIF($AA$2:AA14,"&lt;&gt;YES")),"")</f>
        <v>13</v>
      </c>
      <c r="AC14" s="2"/>
      <c r="AD14" s="5" t="str">
        <f>IF(ROW(AD14)-ROW($AD$1)&lt;=COUNTIF(IDX_CA!$H$2:$H$1048576,1),ROW(AD14)-ROW($AD$1),"")</f>
        <v/>
      </c>
      <c r="AE14" s="5" t="str">
        <f t="array" ref="AE14">IF(ISERROR(SMALL(IF(IDX_CA!$H$1:$H$1041=1,ROW(IDX_CA!$H$1:$H$1041)),ROW(AH14)-ROW($AH$1))),"",INDEX(IDX_CA!$A:$A,SMALL(IF(IDX_CA!$H$1:$H$1041=1,ROW(IDX_CA!$H$1:$H$1041)),ROW(AH14)-ROW($AH$1))))</f>
        <v/>
      </c>
      <c r="AH14" s="2" t="str">
        <f t="array" ref="AH14">IF(ISERROR(SMALL(IF(IDX_CA!$H$1:$H$1041=1,ROW(IDX_CA!$H$1:$H$1041)),ROW(AH14)-ROW($AH$1))),"",IF(INDEX(IDX_CA!$C:$C,SMALL(IF(IDX_CA!$H$1:$H$1041=1,ROW(IDX_CA!$H$1:$H$1041)),ROW(AH14)-ROW($AH$1)))=$B$6,"YES",""))</f>
        <v/>
      </c>
      <c r="AI14" s="5" t="str">
        <f>IF(AD14&lt;&gt;"",IF(AH14="YES",COUNTIF($AH$2:AH14,"YES"),""),"")</f>
        <v/>
      </c>
    </row>
    <row r="15" spans="1:100" x14ac:dyDescent="0.2">
      <c r="D15" s="52">
        <f t="shared" si="0"/>
        <v>14</v>
      </c>
      <c r="E15" s="5" t="str">
        <f t="shared" si="4"/>
        <v>PVS</v>
      </c>
      <c r="F15" s="5" t="str">
        <f>IF($D15&lt;&gt;"",VLOOKUP($E15,STK_REF!$A$2:$J$1048576,2,0),"")</f>
        <v>VNX Technical Services Corp</v>
      </c>
      <c r="G15" s="68">
        <f>IF($D15&lt;=$B$1-$B$2,IF(INDEX($AA$2:$AA$1048576,MATCH($D15,$AB$2:$AB$1048576,0))="MODIFY",INDEX(IDX_CA!$D$1:$D$1041,SUMPRODUCT(--($E15=IDX_CA!$A$2:$A$1041),--(NXT_COMPO!$P15=IDX_CA!$B$2:$B$1041),--(NXT_COMPO!$Q15=IDX_CA!$C$2:$C$1041),ROW(IDX_CA!$D$2:$D$1041))),INDEX(IDX_COMPO!$C$1:$C$12000,SUMPRODUCT(--($E15=IDX_COMPO!$A$2:$A$1200),--(NXT_COMPO!$P15=IDX_COMPO!$F$2:$F$1200),--(NXT_COMPO!$B$5=IDX_COMPO!$G$2:$G$1200),ROW(IDX_COMPO!$C$2:$C$1200)))),IF($D15&lt;=$B$4,INDEX(IDX_CA!$D$1:$D$1041,SUMPRODUCT(--($E15=IDX_CA!$A$2:$A$1041),--(NXT_COMPO!$P15=IDX_CA!$B$2:$B$1041),--(NXT_COMPO!$Q15=IDX_CA!$C$2:$C$1041),ROW(IDX_CA!$D$2:$D$1041))),""))</f>
        <v>297802094</v>
      </c>
      <c r="H15" s="55">
        <f>IF($D15&lt;=$B$1-$B$2,IF(INDEX($AA$2:$AA$1048576,MATCH($D15,$AB$2:$AB$1048576,0))="MODIFY",INDEX(IDX_CA!$E$1:$E$1041,SUMPRODUCT(--($E15=IDX_CA!$A$2:$A$1041),--(NXT_COMPO!$P15=IDX_CA!$B$2:$B$1041),--(NXT_COMPO!$Q15=IDX_CA!$C$2:$C$1041),ROW(IDX_CA!$E$2:$E$1041))),INDEX(IDX_COMPO!$D$1:$D$1200,SUMPRODUCT(--($E15=IDX_COMPO!$A$2:$A$1200),--(NXT_COMPO!$P15=IDX_COMPO!$F$2:$F$1200),--(NXT_COMPO!$B$5=IDX_COMPO!$G$2:$G$1200),ROW(IDX_COMPO!$D$2:$D$1200)))),IF($D15&lt;=$B$4,INDEX(IDX_CA!$E$1:$E$1041,SUMPRODUCT(--($E15=IDX_CA!$A$2:$A$1041),--(NXT_COMPO!$P15=IDX_CA!$B$2:$B$1041),--(NXT_COMPO!$Q15=IDX_CA!$C$2:$C$1041),ROW(IDX_CA!$E$2:$E$1041))),""))</f>
        <v>100</v>
      </c>
      <c r="I15" s="55">
        <f>IF($D15&lt;=$B$1-$B$2,IF(INDEX($AA$2:$AA$1048576,MATCH($D15,$AB$2:$AB$1048576,0))="MODIFY",INDEX(IDX_CA!$F$1:$F$1041,SUMPRODUCT(--($E15=IDX_CA!$A$2:$A$1041),--(NXT_COMPO!$P15=IDX_CA!$B$2:$B$1041),--(NXT_COMPO!$Q15=IDX_CA!$C$2:$C$1041),ROW(IDX_CA!$F$2:$F$1041))),INDEX(IDX_COMPO!$E$1:$E$1200,SUMPRODUCT(--($E15=IDX_COMPO!$A$2:$A$1200),--(NXT_COMPO!$P15=IDX_COMPO!$F$2:$F$1200),--(NXT_COMPO!$B$5=IDX_COMPO!$G$2:$G$1200),ROW(IDX_COMPO!$E$2:$E$1200)))),IF($D15&lt;=$B$4,INDEX(IDX_CA!$F$1:$F$1041,SUMPRODUCT(--($E15=IDX_CA!$A$2:$A$1041),--(NXT_COMPO!$P15=IDX_CA!$B$2:$B$1041),--(NXT_COMPO!$Q15=IDX_CA!$C$2:$C$1041),ROW(IDX_CA!$F$2:$F$1041))),""))</f>
        <v>100</v>
      </c>
      <c r="J15" s="62">
        <f>IF($D15&lt;=$B$1-$B$2,IF(INDEX($AA$2:$AA$1048576,MATCH($D15,$AB$2:$AB$1048576,0))="MODIFY",INDEX(IDX_CA!$G$1:$G$1041,SUMPRODUCT(--($E15=IDX_CA!$A$2:$A$1041),--(NXT_COMPO!$P15=IDX_CA!$B$2:$B$1041),--(NXT_COMPO!$Q15=IDX_CA!$C$2:$C$1041),ROW(IDX_CA!$G$2:$G$1041))),INDEX(IDX_COMPOSITION!$F$1:$F$441,SUMPRODUCT(--($E15=IDX_COMPOSITION!$A$2:$A$441),--(NXT_COMPO!$P15=IDX_COMPOSITION!$R$2:$R$441),--(NXT_COMPO!$B$5=IDX_COMPOSITION!$L$2:$L$441),ROW(IDX_COMPOSITION!$F$2:$F$441)))),IF($D15&lt;=$B$4,INDEX(IDX_CA!$G$1:$G$1041,SUMPRODUCT(--($E15=IDX_CA!$A$2:$A$1041),--(NXT_COMPO!$P15=IDX_CA!$B$2:$B$1041),--(NXT_COMPO!$Q15=IDX_CA!$C$2:$C$1041),ROW(IDX_CA!$G$2:$G$1041))),""))</f>
        <v>15200</v>
      </c>
      <c r="K15" s="63" t="str">
        <f>IF($D15&lt;&gt;"",VLOOKUP($E15,STK_REF!$A$2:$J$1048576,7,0),"")</f>
        <v>VND</v>
      </c>
      <c r="L15" s="5">
        <f>IF($D15&lt;&gt;"",VLOOKUP($E15,STK_REF!$A$2:$J$1048576,8,0),"")</f>
        <v>1</v>
      </c>
      <c r="M15" s="8">
        <f>IF($D15&lt;&gt;"",IF($K15=$U15,1,IF(ISNA(VLOOKUP($K15&amp;$U15,CUR_RATES!$A$2:$F$521,4,0)),"",VLOOKUP($K15&amp;$U15,CUR_RATES!$A$2:$F$521,4,0))),"")</f>
        <v>1</v>
      </c>
      <c r="N15" s="61">
        <f t="shared" si="5"/>
        <v>15200</v>
      </c>
      <c r="O15" s="68">
        <f t="shared" si="6"/>
        <v>4526591828800</v>
      </c>
      <c r="P15" s="5" t="str">
        <f t="shared" si="1"/>
        <v>VNXASPRVND</v>
      </c>
      <c r="Q15" s="75">
        <f t="shared" si="7"/>
        <v>41166</v>
      </c>
      <c r="R15" s="68" t="str">
        <f t="shared" si="8"/>
        <v/>
      </c>
      <c r="S15" s="61" t="str">
        <f t="shared" si="9"/>
        <v/>
      </c>
      <c r="T15" s="62" t="str">
        <f>IF(D15&lt;&gt;"",IF(SUMPRODUCT(--($E15=STK_DIV!$A$2:$A$5),--(NXT_COMPO!$Q15=STK_DIV!$E$2:$E$5),ROW(STK_DIV!$D$2:$D$5))=0,"",INDEX(STK_DIV!$D$1:$D$5,SUMPRODUCT(--($E15=STK_DIV!$A$2:$A$5),--(NXT_COMPO!$Q15=STK_DIV!$E$2:$E$5),ROW(STK_DIV!$D$2:$D$5)))),"")</f>
        <v/>
      </c>
      <c r="U15" s="54" t="str">
        <f>IF($D15&lt;&gt;"",VLOOKUP($P15,IDX_REF!$2:$1048576,4,0),"")</f>
        <v>VND</v>
      </c>
      <c r="W15" s="52">
        <f t="shared" si="2"/>
        <v>14</v>
      </c>
      <c r="X15" s="5" t="str">
        <f>IF(ROW(X15)-ROW($X$1)&lt;=$B$1,INDEX(IDX_COMPO!A:A,ROW(IDX_COMPO!A15)),"")</f>
        <v>PVS</v>
      </c>
      <c r="Y15" s="75">
        <f t="shared" si="3"/>
        <v>41166</v>
      </c>
      <c r="Z15" s="54" t="str">
        <f>IF(ROW(Z15)-ROW($Y$1)&lt;=$B$1,INDEX(IDX_COMPO!F:F,ROW(IDX_COMPO!R15)),"")</f>
        <v>VNXASPRVND</v>
      </c>
      <c r="AA15" s="2" t="str">
        <f t="array" ref="AA15">IF(X15&lt;&gt;"",IF(SUMPRODUCT(--(X15=IDX_CA!$A$2:$A$1041),--(NXT_COMPO!Y15=IDX_CA!$C$2:$C$1041),--(Z15=IDX_CA!$B$2:$B$1041))&gt;0,IF(INDEX(IDX_CA!$I:$I,SUMPRODUCT(--(X15=IDX_CA!$A$2:$A$1041),--(NXT_COMPO!Y15=IDX_CA!$C$2:$C$1041),--(Z15=IDX_CA!$B$2:$B$1041),ROW(IDX_CA!$I$2:$I$1041)))=1,"YES","MODIFY"),""),"")</f>
        <v/>
      </c>
      <c r="AB15" s="5">
        <f>IF(X15&lt;&gt;"",IF(AA15="YES","",COUNTIF($AA$2:AA15,"&lt;&gt;YES")),"")</f>
        <v>14</v>
      </c>
      <c r="AC15" s="2"/>
      <c r="AD15" s="5" t="str">
        <f>IF(ROW(AD15)-ROW($AD$1)&lt;=COUNTIF(IDX_CA!$H$2:$H$1048576,1),ROW(AD15)-ROW($AD$1),"")</f>
        <v/>
      </c>
      <c r="AE15" s="5" t="str">
        <f t="array" ref="AE15">IF(ISERROR(SMALL(IF(IDX_CA!$H$1:$H$1041=1,ROW(IDX_CA!$H$1:$H$1041)),ROW(AH15)-ROW($AH$1))),"",INDEX(IDX_CA!$A:$A,SMALL(IF(IDX_CA!$H$1:$H$1041=1,ROW(IDX_CA!$H$1:$H$1041)),ROW(AH15)-ROW($AH$1))))</f>
        <v/>
      </c>
      <c r="AH15" s="2" t="str">
        <f t="array" ref="AH15">IF(ISERROR(SMALL(IF(IDX_CA!$H$1:$H$1041=1,ROW(IDX_CA!$H$1:$H$1041)),ROW(AH15)-ROW($AH$1))),"",IF(INDEX(IDX_CA!$C:$C,SMALL(IF(IDX_CA!$H$1:$H$1041=1,ROW(IDX_CA!$H$1:$H$1041)),ROW(AH15)-ROW($AH$1)))=$B$6,"YES",""))</f>
        <v/>
      </c>
      <c r="AI15" s="5" t="str">
        <f>IF(AD15&lt;&gt;"",IF(AH15="YES",COUNTIF($AH$2:AH15,"YES"),""),"")</f>
        <v/>
      </c>
    </row>
    <row r="16" spans="1:100" x14ac:dyDescent="0.2">
      <c r="D16" s="52">
        <f t="shared" si="0"/>
        <v>15</v>
      </c>
      <c r="E16" s="5" t="str">
        <f t="shared" si="4"/>
        <v>DPM</v>
      </c>
      <c r="F16" s="5" t="str">
        <f>IF($D16&lt;&gt;"",VLOOKUP($E16,STK_REF!$A$2:$J$1048576,2,0),"")</f>
        <v>VNX Fertilizer and Chemicals Corp</v>
      </c>
      <c r="G16" s="68">
        <f>IF($D16&lt;=$B$1-$B$2,IF(INDEX($AA$2:$AA$1048576,MATCH($D16,$AB$2:$AB$1048576,0))="MODIFY",INDEX(IDX_CA!$D$1:$D$1041,SUMPRODUCT(--($E16=IDX_CA!$A$2:$A$1041),--(NXT_COMPO!$P16=IDX_CA!$B$2:$B$1041),--(NXT_COMPO!$Q16=IDX_CA!$C$2:$C$1041),ROW(IDX_CA!$D$2:$D$1041))),INDEX(IDX_COMPO!$C$1:$C$12000,SUMPRODUCT(--($E16=IDX_COMPO!$A$2:$A$1200),--(NXT_COMPO!$P16=IDX_COMPO!$F$2:$F$1200),--(NXT_COMPO!$B$5=IDX_COMPO!$G$2:$G$1200),ROW(IDX_COMPO!$C$2:$C$1200)))),IF($D16&lt;=$B$4,INDEX(IDX_CA!$D$1:$D$1041,SUMPRODUCT(--($E16=IDX_CA!$A$2:$A$1041),--(NXT_COMPO!$P16=IDX_CA!$B$2:$B$1041),--(NXT_COMPO!$Q16=IDX_CA!$C$2:$C$1041),ROW(IDX_CA!$D$2:$D$1041))),""))</f>
        <v>250000000</v>
      </c>
      <c r="H16" s="55">
        <f>IF($D16&lt;=$B$1-$B$2,IF(INDEX($AA$2:$AA$1048576,MATCH($D16,$AB$2:$AB$1048576,0))="MODIFY",INDEX(IDX_CA!$E$1:$E$1041,SUMPRODUCT(--($E16=IDX_CA!$A$2:$A$1041),--(NXT_COMPO!$P16=IDX_CA!$B$2:$B$1041),--(NXT_COMPO!$Q16=IDX_CA!$C$2:$C$1041),ROW(IDX_CA!$E$2:$E$1041))),INDEX(IDX_COMPO!$D$1:$D$1200,SUMPRODUCT(--($E16=IDX_COMPO!$A$2:$A$1200),--(NXT_COMPO!$P16=IDX_COMPO!$F$2:$F$1200),--(NXT_COMPO!$B$5=IDX_COMPO!$G$2:$G$1200),ROW(IDX_COMPO!$D$2:$D$1200)))),IF($D16&lt;=$B$4,INDEX(IDX_CA!$E$1:$E$1041,SUMPRODUCT(--($E16=IDX_CA!$A$2:$A$1041),--(NXT_COMPO!$P16=IDX_CA!$B$2:$B$1041),--(NXT_COMPO!$Q16=IDX_CA!$C$2:$C$1041),ROW(IDX_CA!$E$2:$E$1041))),""))</f>
        <v>100</v>
      </c>
      <c r="I16" s="55">
        <f>IF($D16&lt;=$B$1-$B$2,IF(INDEX($AA$2:$AA$1048576,MATCH($D16,$AB$2:$AB$1048576,0))="MODIFY",INDEX(IDX_CA!$F$1:$F$1041,SUMPRODUCT(--($E16=IDX_CA!$A$2:$A$1041),--(NXT_COMPO!$P16=IDX_CA!$B$2:$B$1041),--(NXT_COMPO!$Q16=IDX_CA!$C$2:$C$1041),ROW(IDX_CA!$F$2:$F$1041))),INDEX(IDX_COMPO!$E$1:$E$1200,SUMPRODUCT(--($E16=IDX_COMPO!$A$2:$A$1200),--(NXT_COMPO!$P16=IDX_COMPO!$F$2:$F$1200),--(NXT_COMPO!$B$5=IDX_COMPO!$G$2:$G$1200),ROW(IDX_COMPO!$E$2:$E$1200)))),IF($D16&lt;=$B$4,INDEX(IDX_CA!$F$1:$F$1041,SUMPRODUCT(--($E16=IDX_CA!$A$2:$A$1041),--(NXT_COMPO!$P16=IDX_CA!$B$2:$B$1041),--(NXT_COMPO!$Q16=IDX_CA!$C$2:$C$1041),ROW(IDX_CA!$F$2:$F$1041))),""))</f>
        <v>100</v>
      </c>
      <c r="J16" s="62">
        <f>IF($D16&lt;=$B$1-$B$2,IF(INDEX($AA$2:$AA$1048576,MATCH($D16,$AB$2:$AB$1048576,0))="MODIFY",INDEX(IDX_CA!$G$1:$G$1041,SUMPRODUCT(--($E16=IDX_CA!$A$2:$A$1041),--(NXT_COMPO!$P16=IDX_CA!$B$2:$B$1041),--(NXT_COMPO!$Q16=IDX_CA!$C$2:$C$1041),ROW(IDX_CA!$G$2:$G$1041))),INDEX(IDX_COMPOSITION!$F$1:$F$441,SUMPRODUCT(--($E16=IDX_COMPOSITION!$A$2:$A$441),--(NXT_COMPO!$P16=IDX_COMPOSITION!$R$2:$R$441),--(NXT_COMPO!$B$5=IDX_COMPOSITION!$L$2:$L$441),ROW(IDX_COMPOSITION!$F$2:$F$441)))),IF($D16&lt;=$B$4,INDEX(IDX_CA!$G$1:$G$1041,SUMPRODUCT(--($E16=IDX_CA!$A$2:$A$1041),--(NXT_COMPO!$P16=IDX_CA!$B$2:$B$1041),--(NXT_COMPO!$Q16=IDX_CA!$C$2:$C$1041),ROW(IDX_CA!$G$2:$G$1041))),""))</f>
        <v>39200</v>
      </c>
      <c r="K16" s="63" t="str">
        <f>IF($D16&lt;&gt;"",VLOOKUP($E16,STK_REF!$A$2:$J$1048576,7,0),"")</f>
        <v>VND</v>
      </c>
      <c r="L16" s="5">
        <f>IF($D16&lt;&gt;"",VLOOKUP($E16,STK_REF!$A$2:$J$1048576,8,0),"")</f>
        <v>1</v>
      </c>
      <c r="M16" s="8">
        <f>IF($D16&lt;&gt;"",IF($K16=$U16,1,IF(ISNA(VLOOKUP($K16&amp;$U16,CUR_RATES!$A$2:$F$521,4,0)),"",VLOOKUP($K16&amp;$U16,CUR_RATES!$A$2:$F$521,4,0))),"")</f>
        <v>1</v>
      </c>
      <c r="N16" s="61">
        <f t="shared" si="5"/>
        <v>39200</v>
      </c>
      <c r="O16" s="68">
        <f t="shared" si="6"/>
        <v>9800000000000</v>
      </c>
      <c r="P16" s="5" t="str">
        <f t="shared" si="1"/>
        <v>VNXASPRVND</v>
      </c>
      <c r="Q16" s="75">
        <f t="shared" si="7"/>
        <v>41166</v>
      </c>
      <c r="R16" s="68" t="str">
        <f t="shared" si="8"/>
        <v/>
      </c>
      <c r="S16" s="61" t="str">
        <f t="shared" si="9"/>
        <v/>
      </c>
      <c r="T16" s="62" t="str">
        <f>IF(D16&lt;&gt;"",IF(SUMPRODUCT(--($E16=STK_DIV!$A$2:$A$5),--(NXT_COMPO!$Q16=STK_DIV!$E$2:$E$5),ROW(STK_DIV!$D$2:$D$5))=0,"",INDEX(STK_DIV!$D$1:$D$5,SUMPRODUCT(--($E16=STK_DIV!$A$2:$A$5),--(NXT_COMPO!$Q16=STK_DIV!$E$2:$E$5),ROW(STK_DIV!$D$2:$D$5)))),"")</f>
        <v/>
      </c>
      <c r="U16" s="54" t="str">
        <f>IF($D16&lt;&gt;"",VLOOKUP($P16,IDX_REF!$2:$1048576,4,0),"")</f>
        <v>VND</v>
      </c>
      <c r="W16" s="52">
        <f t="shared" si="2"/>
        <v>15</v>
      </c>
      <c r="X16" s="5" t="str">
        <f>IF(ROW(X16)-ROW($X$1)&lt;=$B$1,INDEX(IDX_COMPO!A:A,ROW(IDX_COMPO!A16)),"")</f>
        <v>DPM</v>
      </c>
      <c r="Y16" s="75">
        <f t="shared" si="3"/>
        <v>41166</v>
      </c>
      <c r="Z16" s="54" t="str">
        <f>IF(ROW(Z16)-ROW($Y$1)&lt;=$B$1,INDEX(IDX_COMPO!F:F,ROW(IDX_COMPO!R16)),"")</f>
        <v>VNXASPRVND</v>
      </c>
      <c r="AA16" s="2" t="str">
        <f t="array" ref="AA16">IF(X16&lt;&gt;"",IF(SUMPRODUCT(--(X16=IDX_CA!$A$2:$A$1041),--(NXT_COMPO!Y16=IDX_CA!$C$2:$C$1041),--(Z16=IDX_CA!$B$2:$B$1041))&gt;0,IF(INDEX(IDX_CA!$I:$I,SUMPRODUCT(--(X16=IDX_CA!$A$2:$A$1041),--(NXT_COMPO!Y16=IDX_CA!$C$2:$C$1041),--(Z16=IDX_CA!$B$2:$B$1041),ROW(IDX_CA!$I$2:$I$1041)))=1,"YES","MODIFY"),""),"")</f>
        <v/>
      </c>
      <c r="AB16" s="5">
        <f>IF(X16&lt;&gt;"",IF(AA16="YES","",COUNTIF($AA$2:AA16,"&lt;&gt;YES")),"")</f>
        <v>15</v>
      </c>
      <c r="AC16" s="2"/>
      <c r="AD16" s="5" t="str">
        <f>IF(ROW(AD16)-ROW($AD$1)&lt;=COUNTIF(IDX_CA!$H$2:$H$1048576,1),ROW(AD16)-ROW($AD$1),"")</f>
        <v/>
      </c>
      <c r="AE16" s="5" t="str">
        <f t="array" ref="AE16">IF(ISERROR(SMALL(IF(IDX_CA!$H$1:$H$1041=1,ROW(IDX_CA!$H$1:$H$1041)),ROW(AH16)-ROW($AH$1))),"",INDEX(IDX_CA!$A:$A,SMALL(IF(IDX_CA!$H$1:$H$1041=1,ROW(IDX_CA!$H$1:$H$1041)),ROW(AH16)-ROW($AH$1))))</f>
        <v/>
      </c>
      <c r="AH16" s="2" t="str">
        <f t="array" ref="AH16">IF(ISERROR(SMALL(IF(IDX_CA!$H$1:$H$1041=1,ROW(IDX_CA!$H$1:$H$1041)),ROW(AH16)-ROW($AH$1))),"",IF(INDEX(IDX_CA!$C:$C,SMALL(IF(IDX_CA!$H$1:$H$1041=1,ROW(IDX_CA!$H$1:$H$1041)),ROW(AH16)-ROW($AH$1)))=$B$6,"YES",""))</f>
        <v/>
      </c>
      <c r="AI16" s="5" t="str">
        <f>IF(AD16&lt;&gt;"",IF(AH16="YES",COUNTIF($AH$2:AH16,"YES"),""),"")</f>
        <v/>
      </c>
    </row>
    <row r="17" spans="4:35" x14ac:dyDescent="0.2">
      <c r="D17" s="52">
        <f t="shared" si="0"/>
        <v>16</v>
      </c>
      <c r="E17" s="5" t="str">
        <f t="shared" si="4"/>
        <v>PGS</v>
      </c>
      <c r="F17" s="5" t="str">
        <f>IF($D17&lt;&gt;"",VLOOKUP($E17,STK_REF!$A$2:$J$1048576,2,0),"")</f>
        <v>VNX Southern Gas Joint Stock Co</v>
      </c>
      <c r="G17" s="68">
        <f>IF($D17&lt;=$B$1-$B$2,IF(INDEX($AA$2:$AA$1048576,MATCH($D17,$AB$2:$AB$1048576,0))="MODIFY",INDEX(IDX_CA!$D$1:$D$1041,SUMPRODUCT(--($E17=IDX_CA!$A$2:$A$1041),--(NXT_COMPO!$P17=IDX_CA!$B$2:$B$1041),--(NXT_COMPO!$Q17=IDX_CA!$C$2:$C$1041),ROW(IDX_CA!$D$2:$D$1041))),INDEX(IDX_COMPO!$C$1:$C$12000,SUMPRODUCT(--($E17=IDX_COMPO!$A$2:$A$1200),--(NXT_COMPO!$P17=IDX_COMPO!$F$2:$F$1200),--(NXT_COMPO!$B$5=IDX_COMPO!$G$2:$G$1200),ROW(IDX_COMPO!$C$2:$C$1200)))),IF($D17&lt;=$B$4,INDEX(IDX_CA!$D$1:$D$1041,SUMPRODUCT(--($E17=IDX_CA!$A$2:$A$1041),--(NXT_COMPO!$P17=IDX_CA!$B$2:$B$1041),--(NXT_COMPO!$Q17=IDX_CA!$C$2:$C$1041),ROW(IDX_CA!$D$2:$D$1041))),""))</f>
        <v>157531264</v>
      </c>
      <c r="H17" s="55">
        <f>IF($D17&lt;=$B$1-$B$2,IF(INDEX($AA$2:$AA$1048576,MATCH($D17,$AB$2:$AB$1048576,0))="MODIFY",INDEX(IDX_CA!$E$1:$E$1041,SUMPRODUCT(--($E17=IDX_CA!$A$2:$A$1041),--(NXT_COMPO!$P17=IDX_CA!$B$2:$B$1041),--(NXT_COMPO!$Q17=IDX_CA!$C$2:$C$1041),ROW(IDX_CA!$E$2:$E$1041))),INDEX(IDX_COMPO!$D$1:$D$1200,SUMPRODUCT(--($E17=IDX_COMPO!$A$2:$A$1200),--(NXT_COMPO!$P17=IDX_COMPO!$F$2:$F$1200),--(NXT_COMPO!$B$5=IDX_COMPO!$G$2:$G$1200),ROW(IDX_COMPO!$D$2:$D$1200)))),IF($D17&lt;=$B$4,INDEX(IDX_CA!$E$1:$E$1041,SUMPRODUCT(--($E17=IDX_CA!$A$2:$A$1041),--(NXT_COMPO!$P17=IDX_CA!$B$2:$B$1041),--(NXT_COMPO!$Q17=IDX_CA!$C$2:$C$1041),ROW(IDX_CA!$E$2:$E$1041))),""))</f>
        <v>100</v>
      </c>
      <c r="I17" s="55">
        <f>IF($D17&lt;=$B$1-$B$2,IF(INDEX($AA$2:$AA$1048576,MATCH($D17,$AB$2:$AB$1048576,0))="MODIFY",INDEX(IDX_CA!$F$1:$F$1041,SUMPRODUCT(--($E17=IDX_CA!$A$2:$A$1041),--(NXT_COMPO!$P17=IDX_CA!$B$2:$B$1041),--(NXT_COMPO!$Q17=IDX_CA!$C$2:$C$1041),ROW(IDX_CA!$F$2:$F$1041))),INDEX(IDX_COMPO!$E$1:$E$1200,SUMPRODUCT(--($E17=IDX_COMPO!$A$2:$A$1200),--(NXT_COMPO!$P17=IDX_COMPO!$F$2:$F$1200),--(NXT_COMPO!$B$5=IDX_COMPO!$G$2:$G$1200),ROW(IDX_COMPO!$E$2:$E$1200)))),IF($D17&lt;=$B$4,INDEX(IDX_CA!$F$1:$F$1041,SUMPRODUCT(--($E17=IDX_CA!$A$2:$A$1041),--(NXT_COMPO!$P17=IDX_CA!$B$2:$B$1041),--(NXT_COMPO!$Q17=IDX_CA!$C$2:$C$1041),ROW(IDX_CA!$F$2:$F$1041))),""))</f>
        <v>100</v>
      </c>
      <c r="J17" s="62">
        <f>IF($D17&lt;=$B$1-$B$2,IF(INDEX($AA$2:$AA$1048576,MATCH($D17,$AB$2:$AB$1048576,0))="MODIFY",INDEX(IDX_CA!$G$1:$G$1041,SUMPRODUCT(--($E17=IDX_CA!$A$2:$A$1041),--(NXT_COMPO!$P17=IDX_CA!$B$2:$B$1041),--(NXT_COMPO!$Q17=IDX_CA!$C$2:$C$1041),ROW(IDX_CA!$G$2:$G$1041))),INDEX(IDX_COMPOSITION!$F$1:$F$441,SUMPRODUCT(--($E17=IDX_COMPOSITION!$A$2:$A$441),--(NXT_COMPO!$P17=IDX_COMPOSITION!$R$2:$R$441),--(NXT_COMPO!$B$5=IDX_COMPOSITION!$L$2:$L$441),ROW(IDX_COMPOSITION!$F$2:$F$441)))),IF($D17&lt;=$B$4,INDEX(IDX_CA!$G$1:$G$1041,SUMPRODUCT(--($E17=IDX_CA!$A$2:$A$1041),--(NXT_COMPO!$P17=IDX_CA!$B$2:$B$1041),--(NXT_COMPO!$Q17=IDX_CA!$C$2:$C$1041),ROW(IDX_CA!$G$2:$G$1041))),""))</f>
        <v>17100</v>
      </c>
      <c r="K17" s="63" t="str">
        <f>IF($D17&lt;&gt;"",VLOOKUP($E17,STK_REF!$A$2:$J$1048576,7,0),"")</f>
        <v>VND</v>
      </c>
      <c r="L17" s="5">
        <f>IF($D17&lt;&gt;"",VLOOKUP($E17,STK_REF!$A$2:$J$1048576,8,0),"")</f>
        <v>1</v>
      </c>
      <c r="M17" s="8">
        <f>IF($D17&lt;&gt;"",IF($K17=$U17,1,IF(ISNA(VLOOKUP($K17&amp;$U17,CUR_RATES!$A$2:$F$521,4,0)),"",VLOOKUP($K17&amp;$U17,CUR_RATES!$A$2:$F$521,4,0))),"")</f>
        <v>1</v>
      </c>
      <c r="N17" s="61">
        <f t="shared" si="5"/>
        <v>17100</v>
      </c>
      <c r="O17" s="68">
        <f t="shared" si="6"/>
        <v>2693784614400</v>
      </c>
      <c r="P17" s="5" t="str">
        <f t="shared" si="1"/>
        <v>VNXASPRVND</v>
      </c>
      <c r="Q17" s="75">
        <f t="shared" si="7"/>
        <v>41166</v>
      </c>
      <c r="R17" s="68" t="str">
        <f t="shared" si="8"/>
        <v/>
      </c>
      <c r="S17" s="61" t="str">
        <f t="shared" si="9"/>
        <v/>
      </c>
      <c r="T17" s="62" t="str">
        <f>IF(D17&lt;&gt;"",IF(SUMPRODUCT(--($E17=STK_DIV!$A$2:$A$5),--(NXT_COMPO!$Q17=STK_DIV!$E$2:$E$5),ROW(STK_DIV!$D$2:$D$5))=0,"",INDEX(STK_DIV!$D$1:$D$5,SUMPRODUCT(--($E17=STK_DIV!$A$2:$A$5),--(NXT_COMPO!$Q17=STK_DIV!$E$2:$E$5),ROW(STK_DIV!$D$2:$D$5)))),"")</f>
        <v/>
      </c>
      <c r="U17" s="54" t="str">
        <f>IF($D17&lt;&gt;"",VLOOKUP($P17,IDX_REF!$2:$1048576,4,0),"")</f>
        <v>VND</v>
      </c>
      <c r="W17" s="52">
        <f t="shared" si="2"/>
        <v>16</v>
      </c>
      <c r="X17" s="5" t="str">
        <f>IF(ROW(X17)-ROW($X$1)&lt;=$B$1,INDEX(IDX_COMPO!A:A,ROW(IDX_COMPO!A17)),"")</f>
        <v>PGS</v>
      </c>
      <c r="Y17" s="75">
        <f t="shared" si="3"/>
        <v>41166</v>
      </c>
      <c r="Z17" s="54" t="str">
        <f>IF(ROW(Z17)-ROW($Y$1)&lt;=$B$1,INDEX(IDX_COMPO!F:F,ROW(IDX_COMPO!R17)),"")</f>
        <v>VNXASPRVND</v>
      </c>
      <c r="AA17" s="2" t="str">
        <f t="array" ref="AA17">IF(X17&lt;&gt;"",IF(SUMPRODUCT(--(X17=IDX_CA!$A$2:$A$1041),--(NXT_COMPO!Y17=IDX_CA!$C$2:$C$1041),--(Z17=IDX_CA!$B$2:$B$1041))&gt;0,IF(INDEX(IDX_CA!$I:$I,SUMPRODUCT(--(X17=IDX_CA!$A$2:$A$1041),--(NXT_COMPO!Y17=IDX_CA!$C$2:$C$1041),--(Z17=IDX_CA!$B$2:$B$1041),ROW(IDX_CA!$I$2:$I$1041)))=1,"YES","MODIFY"),""),"")</f>
        <v/>
      </c>
      <c r="AB17" s="5">
        <f>IF(X17&lt;&gt;"",IF(AA17="YES","",COUNTIF($AA$2:AA17,"&lt;&gt;YES")),"")</f>
        <v>16</v>
      </c>
      <c r="AC17" s="2"/>
      <c r="AD17" s="5" t="str">
        <f>IF(ROW(AD17)-ROW($AD$1)&lt;=COUNTIF(IDX_CA!$H$2:$H$1048576,1),ROW(AD17)-ROW($AD$1),"")</f>
        <v/>
      </c>
      <c r="AE17" s="5" t="str">
        <f t="array" ref="AE17">IF(ISERROR(SMALL(IF(IDX_CA!$H$1:$H$1041=1,ROW(IDX_CA!$H$1:$H$1041)),ROW(AH17)-ROW($AH$1))),"",INDEX(IDX_CA!$A:$A,SMALL(IF(IDX_CA!$H$1:$H$1041=1,ROW(IDX_CA!$H$1:$H$1041)),ROW(AH17)-ROW($AH$1))))</f>
        <v/>
      </c>
      <c r="AH17" s="2" t="str">
        <f t="array" ref="AH17">IF(ISERROR(SMALL(IF(IDX_CA!$H$1:$H$1041=1,ROW(IDX_CA!$H$1:$H$1041)),ROW(AH17)-ROW($AH$1))),"",IF(INDEX(IDX_CA!$C:$C,SMALL(IF(IDX_CA!$H$1:$H$1041=1,ROW(IDX_CA!$H$1:$H$1041)),ROW(AH17)-ROW($AH$1)))=$B$6,"YES",""))</f>
        <v/>
      </c>
      <c r="AI17" s="5" t="str">
        <f>IF(AD17&lt;&gt;"",IF(AH17="YES",COUNTIF($AH$2:AH17,"YES"),""),"")</f>
        <v/>
      </c>
    </row>
    <row r="18" spans="4:35" x14ac:dyDescent="0.2">
      <c r="D18" s="52">
        <f t="shared" si="0"/>
        <v>17</v>
      </c>
      <c r="E18" s="5" t="str">
        <f t="shared" si="4"/>
        <v>PVC</v>
      </c>
      <c r="F18" s="5" t="str">
        <f>IF($D18&lt;&gt;"",VLOOKUP($E18,STK_REF!$A$2:$J$1048576,2,0),"")</f>
        <v>Drilling Mud Corp</v>
      </c>
      <c r="G18" s="68">
        <f>IF($D18&lt;=$B$1-$B$2,IF(INDEX($AA$2:$AA$1048576,MATCH($D18,$AB$2:$AB$1048576,0))="MODIFY",INDEX(IDX_CA!$D$1:$D$1041,SUMPRODUCT(--($E18=IDX_CA!$A$2:$A$1041),--(NXT_COMPO!$P18=IDX_CA!$B$2:$B$1041),--(NXT_COMPO!$Q18=IDX_CA!$C$2:$C$1041),ROW(IDX_CA!$D$2:$D$1041))),INDEX(IDX_COMPO!$C$1:$C$12000,SUMPRODUCT(--($E18=IDX_COMPO!$A$2:$A$1200),--(NXT_COMPO!$P18=IDX_COMPO!$F$2:$F$1200),--(NXT_COMPO!$B$5=IDX_COMPO!$G$2:$G$1200),ROW(IDX_COMPO!$C$2:$C$1200)))),IF($D18&lt;=$B$4,INDEX(IDX_CA!$D$1:$D$1041,SUMPRODUCT(--($E18=IDX_CA!$A$2:$A$1041),--(NXT_COMPO!$P18=IDX_CA!$B$2:$B$1041),--(NXT_COMPO!$Q18=IDX_CA!$C$2:$C$1041),ROW(IDX_CA!$D$2:$D$1041))),""))</f>
        <v>42900000</v>
      </c>
      <c r="H18" s="55">
        <f>IF($D18&lt;=$B$1-$B$2,IF(INDEX($AA$2:$AA$1048576,MATCH($D18,$AB$2:$AB$1048576,0))="MODIFY",INDEX(IDX_CA!$E$1:$E$1041,SUMPRODUCT(--($E18=IDX_CA!$A$2:$A$1041),--(NXT_COMPO!$P18=IDX_CA!$B$2:$B$1041),--(NXT_COMPO!$Q18=IDX_CA!$C$2:$C$1041),ROW(IDX_CA!$E$2:$E$1041))),INDEX(IDX_COMPO!$D$1:$D$1200,SUMPRODUCT(--($E18=IDX_COMPO!$A$2:$A$1200),--(NXT_COMPO!$P18=IDX_COMPO!$F$2:$F$1200),--(NXT_COMPO!$B$5=IDX_COMPO!$G$2:$G$1200),ROW(IDX_COMPO!$D$2:$D$1200)))),IF($D18&lt;=$B$4,INDEX(IDX_CA!$E$1:$E$1041,SUMPRODUCT(--($E18=IDX_CA!$A$2:$A$1041),--(NXT_COMPO!$P18=IDX_CA!$B$2:$B$1041),--(NXT_COMPO!$Q18=IDX_CA!$C$2:$C$1041),ROW(IDX_CA!$E$2:$E$1041))),""))</f>
        <v>100</v>
      </c>
      <c r="I18" s="55">
        <f>IF($D18&lt;=$B$1-$B$2,IF(INDEX($AA$2:$AA$1048576,MATCH($D18,$AB$2:$AB$1048576,0))="MODIFY",INDEX(IDX_CA!$F$1:$F$1041,SUMPRODUCT(--($E18=IDX_CA!$A$2:$A$1041),--(NXT_COMPO!$P18=IDX_CA!$B$2:$B$1041),--(NXT_COMPO!$Q18=IDX_CA!$C$2:$C$1041),ROW(IDX_CA!$F$2:$F$1041))),INDEX(IDX_COMPO!$E$1:$E$1200,SUMPRODUCT(--($E18=IDX_COMPO!$A$2:$A$1200),--(NXT_COMPO!$P18=IDX_COMPO!$F$2:$F$1200),--(NXT_COMPO!$B$5=IDX_COMPO!$G$2:$G$1200),ROW(IDX_COMPO!$E$2:$E$1200)))),IF($D18&lt;=$B$4,INDEX(IDX_CA!$F$1:$F$1041,SUMPRODUCT(--($E18=IDX_CA!$A$2:$A$1041),--(NXT_COMPO!$P18=IDX_CA!$B$2:$B$1041),--(NXT_COMPO!$Q18=IDX_CA!$C$2:$C$1041),ROW(IDX_CA!$F$2:$F$1041))),""))</f>
        <v>100</v>
      </c>
      <c r="J18" s="62">
        <f>IF($D18&lt;=$B$1-$B$2,IF(INDEX($AA$2:$AA$1048576,MATCH($D18,$AB$2:$AB$1048576,0))="MODIFY",INDEX(IDX_CA!$G$1:$G$1041,SUMPRODUCT(--($E18=IDX_CA!$A$2:$A$1041),--(NXT_COMPO!$P18=IDX_CA!$B$2:$B$1041),--(NXT_COMPO!$Q18=IDX_CA!$C$2:$C$1041),ROW(IDX_CA!$G$2:$G$1041))),INDEX(IDX_COMPOSITION!$F$1:$F$441,SUMPRODUCT(--($E18=IDX_COMPOSITION!$A$2:$A$441),--(NXT_COMPO!$P18=IDX_COMPOSITION!$R$2:$R$441),--(NXT_COMPO!$B$5=IDX_COMPOSITION!$L$2:$L$441),ROW(IDX_COMPOSITION!$F$2:$F$441)))),IF($D18&lt;=$B$4,INDEX(IDX_CA!$G$1:$G$1041,SUMPRODUCT(--($E18=IDX_CA!$A$2:$A$1041),--(NXT_COMPO!$P18=IDX_CA!$B$2:$B$1041),--(NXT_COMPO!$Q18=IDX_CA!$C$2:$C$1041),ROW(IDX_CA!$G$2:$G$1041))),""))</f>
        <v>12700</v>
      </c>
      <c r="K18" s="63" t="str">
        <f>IF($D18&lt;&gt;"",VLOOKUP($E18,STK_REF!$A$2:$J$1048576,7,0),"")</f>
        <v>VND</v>
      </c>
      <c r="L18" s="5">
        <f>IF($D18&lt;&gt;"",VLOOKUP($E18,STK_REF!$A$2:$J$1048576,8,0),"")</f>
        <v>1</v>
      </c>
      <c r="M18" s="8">
        <f>IF($D18&lt;&gt;"",IF($K18=$U18,1,IF(ISNA(VLOOKUP($K18&amp;$U18,CUR_RATES!$A$2:$F$521,4,0)),"",VLOOKUP($K18&amp;$U18,CUR_RATES!$A$2:$F$521,4,0))),"")</f>
        <v>1</v>
      </c>
      <c r="N18" s="61">
        <f t="shared" si="5"/>
        <v>12700</v>
      </c>
      <c r="O18" s="68">
        <f t="shared" si="6"/>
        <v>544830000000</v>
      </c>
      <c r="P18" s="5" t="str">
        <f t="shared" si="1"/>
        <v>VNXASPRVND</v>
      </c>
      <c r="Q18" s="75">
        <f t="shared" si="7"/>
        <v>41166</v>
      </c>
      <c r="R18" s="68" t="str">
        <f t="shared" si="8"/>
        <v/>
      </c>
      <c r="S18" s="61" t="str">
        <f t="shared" si="9"/>
        <v/>
      </c>
      <c r="T18" s="62" t="str">
        <f>IF(D18&lt;&gt;"",IF(SUMPRODUCT(--($E18=STK_DIV!$A$2:$A$5),--(NXT_COMPO!$Q18=STK_DIV!$E$2:$E$5),ROW(STK_DIV!$D$2:$D$5))=0,"",INDEX(STK_DIV!$D$1:$D$5,SUMPRODUCT(--($E18=STK_DIV!$A$2:$A$5),--(NXT_COMPO!$Q18=STK_DIV!$E$2:$E$5),ROW(STK_DIV!$D$2:$D$5)))),"")</f>
        <v/>
      </c>
      <c r="U18" s="54" t="str">
        <f>IF($D18&lt;&gt;"",VLOOKUP($P18,IDX_REF!$2:$1048576,4,0),"")</f>
        <v>VND</v>
      </c>
      <c r="W18" s="52">
        <f t="shared" si="2"/>
        <v>17</v>
      </c>
      <c r="X18" s="5" t="str">
        <f>IF(ROW(X18)-ROW($X$1)&lt;=$B$1,INDEX(IDX_COMPO!A:A,ROW(IDX_COMPO!A18)),"")</f>
        <v>PVC</v>
      </c>
      <c r="Y18" s="75">
        <f t="shared" si="3"/>
        <v>41166</v>
      </c>
      <c r="Z18" s="54" t="str">
        <f>IF(ROW(Z18)-ROW($Y$1)&lt;=$B$1,INDEX(IDX_COMPO!F:F,ROW(IDX_COMPO!R18)),"")</f>
        <v>VNXASPRVND</v>
      </c>
      <c r="AA18" s="2" t="str">
        <f t="array" ref="AA18">IF(X18&lt;&gt;"",IF(SUMPRODUCT(--(X18=IDX_CA!$A$2:$A$1041),--(NXT_COMPO!Y18=IDX_CA!$C$2:$C$1041),--(Z18=IDX_CA!$B$2:$B$1041))&gt;0,IF(INDEX(IDX_CA!$I:$I,SUMPRODUCT(--(X18=IDX_CA!$A$2:$A$1041),--(NXT_COMPO!Y18=IDX_CA!$C$2:$C$1041),--(Z18=IDX_CA!$B$2:$B$1041),ROW(IDX_CA!$I$2:$I$1041)))=1,"YES","MODIFY"),""),"")</f>
        <v/>
      </c>
      <c r="AB18" s="5">
        <f>IF(X18&lt;&gt;"",IF(AA18="YES","",COUNTIF($AA$2:AA18,"&lt;&gt;YES")),"")</f>
        <v>17</v>
      </c>
      <c r="AC18" s="2"/>
      <c r="AD18" s="5" t="str">
        <f>IF(ROW(AD18)-ROW($AD$1)&lt;=COUNTIF(IDX_CA!$H$2:$H$1048576,1),ROW(AD18)-ROW($AD$1),"")</f>
        <v/>
      </c>
      <c r="AE18" s="5" t="str">
        <f t="array" ref="AE18">IF(ISERROR(SMALL(IF(IDX_CA!$H$1:$H$1041=1,ROW(IDX_CA!$H$1:$H$1041)),ROW(AH18)-ROW($AH$1))),"",INDEX(IDX_CA!$A:$A,SMALL(IF(IDX_CA!$H$1:$H$1041=1,ROW(IDX_CA!$H$1:$H$1041)),ROW(AH18)-ROW($AH$1))))</f>
        <v/>
      </c>
      <c r="AH18" s="2" t="str">
        <f t="array" ref="AH18">IF(ISERROR(SMALL(IF(IDX_CA!$H$1:$H$1041=1,ROW(IDX_CA!$H$1:$H$1041)),ROW(AH18)-ROW($AH$1))),"",IF(INDEX(IDX_CA!$C:$C,SMALL(IF(IDX_CA!$H$1:$H$1041=1,ROW(IDX_CA!$H$1:$H$1041)),ROW(AH18)-ROW($AH$1)))=$B$6,"YES",""))</f>
        <v/>
      </c>
      <c r="AI18" s="5" t="str">
        <f>IF(AD18&lt;&gt;"",IF(AH18="YES",COUNTIF($AH$2:AH18,"YES"),""),"")</f>
        <v/>
      </c>
    </row>
    <row r="19" spans="4:35" x14ac:dyDescent="0.2">
      <c r="D19" s="52">
        <f t="shared" si="0"/>
        <v>18</v>
      </c>
      <c r="E19" s="5" t="str">
        <f t="shared" si="4"/>
        <v>PVT</v>
      </c>
      <c r="F19" s="5" t="str">
        <f>IF($D19&lt;&gt;"",VLOOKUP($E19,STK_REF!$A$2:$J$1048576,2,0),"")</f>
        <v>VNX Transportation Corp</v>
      </c>
      <c r="G19" s="68">
        <f>IF($D19&lt;=$B$1-$B$2,IF(INDEX($AA$2:$AA$1048576,MATCH($D19,$AB$2:$AB$1048576,0))="MODIFY",INDEX(IDX_CA!$D$1:$D$1041,SUMPRODUCT(--($E19=IDX_CA!$A$2:$A$1041),--(NXT_COMPO!$P19=IDX_CA!$B$2:$B$1041),--(NXT_COMPO!$Q19=IDX_CA!$C$2:$C$1041),ROW(IDX_CA!$D$2:$D$1041))),INDEX(IDX_COMPO!$C$1:$C$12000,SUMPRODUCT(--($E19=IDX_COMPO!$A$2:$A$1200),--(NXT_COMPO!$P19=IDX_COMPO!$F$2:$F$1200),--(NXT_COMPO!$B$5=IDX_COMPO!$G$2:$G$1200),ROW(IDX_COMPO!$C$2:$C$1200)))),IF($D19&lt;=$B$4,INDEX(IDX_CA!$D$1:$D$1041,SUMPRODUCT(--($E19=IDX_CA!$A$2:$A$1041),--(NXT_COMPO!$P19=IDX_CA!$B$2:$B$1041),--(NXT_COMPO!$Q19=IDX_CA!$C$2:$C$1041),ROW(IDX_CA!$D$2:$D$1041))),""))</f>
        <v>256000000</v>
      </c>
      <c r="H19" s="55">
        <f>IF($D19&lt;=$B$1-$B$2,IF(INDEX($AA$2:$AA$1048576,MATCH($D19,$AB$2:$AB$1048576,0))="MODIFY",INDEX(IDX_CA!$E$1:$E$1041,SUMPRODUCT(--($E19=IDX_CA!$A$2:$A$1041),--(NXT_COMPO!$P19=IDX_CA!$B$2:$B$1041),--(NXT_COMPO!$Q19=IDX_CA!$C$2:$C$1041),ROW(IDX_CA!$E$2:$E$1041))),INDEX(IDX_COMPO!$D$1:$D$1200,SUMPRODUCT(--($E19=IDX_COMPO!$A$2:$A$1200),--(NXT_COMPO!$P19=IDX_COMPO!$F$2:$F$1200),--(NXT_COMPO!$B$5=IDX_COMPO!$G$2:$G$1200),ROW(IDX_COMPO!$D$2:$D$1200)))),IF($D19&lt;=$B$4,INDEX(IDX_CA!$E$1:$E$1041,SUMPRODUCT(--($E19=IDX_CA!$A$2:$A$1041),--(NXT_COMPO!$P19=IDX_CA!$B$2:$B$1041),--(NXT_COMPO!$Q19=IDX_CA!$C$2:$C$1041),ROW(IDX_CA!$E$2:$E$1041))),""))</f>
        <v>100</v>
      </c>
      <c r="I19" s="55">
        <f>IF($D19&lt;=$B$1-$B$2,IF(INDEX($AA$2:$AA$1048576,MATCH($D19,$AB$2:$AB$1048576,0))="MODIFY",INDEX(IDX_CA!$F$1:$F$1041,SUMPRODUCT(--($E19=IDX_CA!$A$2:$A$1041),--(NXT_COMPO!$P19=IDX_CA!$B$2:$B$1041),--(NXT_COMPO!$Q19=IDX_CA!$C$2:$C$1041),ROW(IDX_CA!$F$2:$F$1041))),INDEX(IDX_COMPO!$E$1:$E$1200,SUMPRODUCT(--($E19=IDX_COMPO!$A$2:$A$1200),--(NXT_COMPO!$P19=IDX_COMPO!$F$2:$F$1200),--(NXT_COMPO!$B$5=IDX_COMPO!$G$2:$G$1200),ROW(IDX_COMPO!$E$2:$E$1200)))),IF($D19&lt;=$B$4,INDEX(IDX_CA!$F$1:$F$1041,SUMPRODUCT(--($E19=IDX_CA!$A$2:$A$1041),--(NXT_COMPO!$P19=IDX_CA!$B$2:$B$1041),--(NXT_COMPO!$Q19=IDX_CA!$C$2:$C$1041),ROW(IDX_CA!$F$2:$F$1041))),""))</f>
        <v>100</v>
      </c>
      <c r="J19" s="62">
        <f>IF($D19&lt;=$B$1-$B$2,IF(INDEX($AA$2:$AA$1048576,MATCH($D19,$AB$2:$AB$1048576,0))="MODIFY",INDEX(IDX_CA!$G$1:$G$1041,SUMPRODUCT(--($E19=IDX_CA!$A$2:$A$1041),--(NXT_COMPO!$P19=IDX_CA!$B$2:$B$1041),--(NXT_COMPO!$Q19=IDX_CA!$C$2:$C$1041),ROW(IDX_CA!$G$2:$G$1041))),INDEX(IDX_COMPOSITION!$F$1:$F$441,SUMPRODUCT(--($E19=IDX_COMPOSITION!$A$2:$A$441),--(NXT_COMPO!$P19=IDX_COMPOSITION!$R$2:$R$441),--(NXT_COMPO!$B$5=IDX_COMPOSITION!$L$2:$L$441),ROW(IDX_COMPOSITION!$F$2:$F$441)))),IF($D19&lt;=$B$4,INDEX(IDX_CA!$G$1:$G$1041,SUMPRODUCT(--($E19=IDX_CA!$A$2:$A$1041),--(NXT_COMPO!$P19=IDX_CA!$B$2:$B$1041),--(NXT_COMPO!$Q19=IDX_CA!$C$2:$C$1041),ROW(IDX_CA!$G$2:$G$1041))),""))</f>
        <v>4300</v>
      </c>
      <c r="K19" s="63" t="str">
        <f>IF($D19&lt;&gt;"",VLOOKUP($E19,STK_REF!$A$2:$J$1048576,7,0),"")</f>
        <v>VND</v>
      </c>
      <c r="L19" s="5">
        <f>IF($D19&lt;&gt;"",VLOOKUP($E19,STK_REF!$A$2:$J$1048576,8,0),"")</f>
        <v>1</v>
      </c>
      <c r="M19" s="8">
        <f>IF($D19&lt;&gt;"",IF($K19=$U19,1,IF(ISNA(VLOOKUP($K19&amp;$U19,CUR_RATES!$A$2:$F$521,4,0)),"",VLOOKUP($K19&amp;$U19,CUR_RATES!$A$2:$F$521,4,0))),"")</f>
        <v>1</v>
      </c>
      <c r="N19" s="61">
        <f t="shared" si="5"/>
        <v>4300</v>
      </c>
      <c r="O19" s="68">
        <f t="shared" si="6"/>
        <v>1100800000000</v>
      </c>
      <c r="P19" s="5" t="str">
        <f t="shared" si="1"/>
        <v>VNXASPRVND</v>
      </c>
      <c r="Q19" s="75">
        <f t="shared" si="7"/>
        <v>41166</v>
      </c>
      <c r="R19" s="68" t="str">
        <f t="shared" si="8"/>
        <v/>
      </c>
      <c r="S19" s="61" t="str">
        <f t="shared" si="9"/>
        <v/>
      </c>
      <c r="T19" s="62" t="str">
        <f>IF(D19&lt;&gt;"",IF(SUMPRODUCT(--($E19=STK_DIV!$A$2:$A$5),--(NXT_COMPO!$Q19=STK_DIV!$E$2:$E$5),ROW(STK_DIV!$D$2:$D$5))=0,"",INDEX(STK_DIV!$D$1:$D$5,SUMPRODUCT(--($E19=STK_DIV!$A$2:$A$5),--(NXT_COMPO!$Q19=STK_DIV!$E$2:$E$5),ROW(STK_DIV!$D$2:$D$5)))),"")</f>
        <v/>
      </c>
      <c r="U19" s="54" t="str">
        <f>IF($D19&lt;&gt;"",VLOOKUP($P19,IDX_REF!$2:$1048576,4,0),"")</f>
        <v>VND</v>
      </c>
      <c r="W19" s="52">
        <f t="shared" si="2"/>
        <v>18</v>
      </c>
      <c r="X19" s="5" t="str">
        <f>IF(ROW(X19)-ROW($X$1)&lt;=$B$1,INDEX(IDX_COMPO!A:A,ROW(IDX_COMPO!A19)),"")</f>
        <v>PVT</v>
      </c>
      <c r="Y19" s="75">
        <f t="shared" si="3"/>
        <v>41166</v>
      </c>
      <c r="Z19" s="54" t="str">
        <f>IF(ROW(Z19)-ROW($Y$1)&lt;=$B$1,INDEX(IDX_COMPO!F:F,ROW(IDX_COMPO!R19)),"")</f>
        <v>VNXASPRVND</v>
      </c>
      <c r="AA19" s="2" t="str">
        <f t="array" ref="AA19">IF(X19&lt;&gt;"",IF(SUMPRODUCT(--(X19=IDX_CA!$A$2:$A$1041),--(NXT_COMPO!Y19=IDX_CA!$C$2:$C$1041),--(Z19=IDX_CA!$B$2:$B$1041))&gt;0,IF(INDEX(IDX_CA!$I:$I,SUMPRODUCT(--(X19=IDX_CA!$A$2:$A$1041),--(NXT_COMPO!Y19=IDX_CA!$C$2:$C$1041),--(Z19=IDX_CA!$B$2:$B$1041),ROW(IDX_CA!$I$2:$I$1041)))=1,"YES","MODIFY"),""),"")</f>
        <v/>
      </c>
      <c r="AB19" s="5">
        <f>IF(X19&lt;&gt;"",IF(AA19="YES","",COUNTIF($AA$2:AA19,"&lt;&gt;YES")),"")</f>
        <v>18</v>
      </c>
      <c r="AC19" s="2"/>
      <c r="AD19" s="5" t="str">
        <f>IF(ROW(AD19)-ROW($AD$1)&lt;=COUNTIF(IDX_CA!$H$2:$H$1048576,1),ROW(AD19)-ROW($AD$1),"")</f>
        <v/>
      </c>
      <c r="AE19" s="5" t="str">
        <f t="array" ref="AE19">IF(ISERROR(SMALL(IF(IDX_CA!$H$1:$H$1041=1,ROW(IDX_CA!$H$1:$H$1041)),ROW(AH19)-ROW($AH$1))),"",INDEX(IDX_CA!$A:$A,SMALL(IF(IDX_CA!$H$1:$H$1041=1,ROW(IDX_CA!$H$1:$H$1041)),ROW(AH19)-ROW($AH$1))))</f>
        <v/>
      </c>
      <c r="AH19" s="2" t="str">
        <f t="array" ref="AH19">IF(ISERROR(SMALL(IF(IDX_CA!$H$1:$H$1041=1,ROW(IDX_CA!$H$1:$H$1041)),ROW(AH19)-ROW($AH$1))),"",IF(INDEX(IDX_CA!$C:$C,SMALL(IF(IDX_CA!$H$1:$H$1041=1,ROW(IDX_CA!$H$1:$H$1041)),ROW(AH19)-ROW($AH$1)))=$B$6,"YES",""))</f>
        <v/>
      </c>
      <c r="AI19" s="5" t="str">
        <f>IF(AD19&lt;&gt;"",IF(AH19="YES",COUNTIF($AH$2:AH19,"YES"),""),"")</f>
        <v/>
      </c>
    </row>
    <row r="20" spans="4:35" x14ac:dyDescent="0.2">
      <c r="D20" s="52">
        <f t="shared" si="0"/>
        <v>19</v>
      </c>
      <c r="E20" s="5" t="str">
        <f t="shared" si="4"/>
        <v>PVE</v>
      </c>
      <c r="F20" s="5" t="str">
        <f>IF($D20&lt;&gt;"",VLOOKUP($E20,STK_REF!$A$2:$J$1048576,2,0),"")</f>
        <v>VNX Investment Consultancy and Engineerin</v>
      </c>
      <c r="G20" s="68">
        <f>IF($D20&lt;=$B$1-$B$2,IF(INDEX($AA$2:$AA$1048576,MATCH($D20,$AB$2:$AB$1048576,0))="MODIFY",INDEX(IDX_CA!$D$1:$D$1041,SUMPRODUCT(--($E20=IDX_CA!$A$2:$A$1041),--(NXT_COMPO!$P20=IDX_CA!$B$2:$B$1041),--(NXT_COMPO!$Q20=IDX_CA!$C$2:$C$1041),ROW(IDX_CA!$D$2:$D$1041))),INDEX(IDX_COMPO!$C$1:$C$12000,SUMPRODUCT(--($E20=IDX_COMPO!$A$2:$A$1200),--(NXT_COMPO!$P20=IDX_COMPO!$F$2:$F$1200),--(NXT_COMPO!$B$5=IDX_COMPO!$G$2:$G$1200),ROW(IDX_COMPO!$C$2:$C$1200)))),IF($D20&lt;=$B$4,INDEX(IDX_CA!$D$1:$D$1041,SUMPRODUCT(--($E20=IDX_CA!$A$2:$A$1041),--(NXT_COMPO!$P20=IDX_CA!$B$2:$B$1041),--(NXT_COMPO!$Q20=IDX_CA!$C$2:$C$1041),ROW(IDX_CA!$D$2:$D$1041))),""))</f>
        <v>232600000</v>
      </c>
      <c r="H20" s="55">
        <f>IF($D20&lt;=$B$1-$B$2,IF(INDEX($AA$2:$AA$1048576,MATCH($D20,$AB$2:$AB$1048576,0))="MODIFY",INDEX(IDX_CA!$E$1:$E$1041,SUMPRODUCT(--($E20=IDX_CA!$A$2:$A$1041),--(NXT_COMPO!$P20=IDX_CA!$B$2:$B$1041),--(NXT_COMPO!$Q20=IDX_CA!$C$2:$C$1041),ROW(IDX_CA!$E$2:$E$1041))),INDEX(IDX_COMPO!$D$1:$D$1200,SUMPRODUCT(--($E20=IDX_COMPO!$A$2:$A$1200),--(NXT_COMPO!$P20=IDX_COMPO!$F$2:$F$1200),--(NXT_COMPO!$B$5=IDX_COMPO!$G$2:$G$1200),ROW(IDX_COMPO!$D$2:$D$1200)))),IF($D20&lt;=$B$4,INDEX(IDX_CA!$E$1:$E$1041,SUMPRODUCT(--($E20=IDX_CA!$A$2:$A$1041),--(NXT_COMPO!$P20=IDX_CA!$B$2:$B$1041),--(NXT_COMPO!$Q20=IDX_CA!$C$2:$C$1041),ROW(IDX_CA!$E$2:$E$1041))),""))</f>
        <v>100</v>
      </c>
      <c r="I20" s="55">
        <f>IF($D20&lt;=$B$1-$B$2,IF(INDEX($AA$2:$AA$1048576,MATCH($D20,$AB$2:$AB$1048576,0))="MODIFY",INDEX(IDX_CA!$F$1:$F$1041,SUMPRODUCT(--($E20=IDX_CA!$A$2:$A$1041),--(NXT_COMPO!$P20=IDX_CA!$B$2:$B$1041),--(NXT_COMPO!$Q20=IDX_CA!$C$2:$C$1041),ROW(IDX_CA!$F$2:$F$1041))),INDEX(IDX_COMPO!$E$1:$E$1200,SUMPRODUCT(--($E20=IDX_COMPO!$A$2:$A$1200),--(NXT_COMPO!$P20=IDX_COMPO!$F$2:$F$1200),--(NXT_COMPO!$B$5=IDX_COMPO!$G$2:$G$1200),ROW(IDX_COMPO!$E$2:$E$1200)))),IF($D20&lt;=$B$4,INDEX(IDX_CA!$F$1:$F$1041,SUMPRODUCT(--($E20=IDX_CA!$A$2:$A$1041),--(NXT_COMPO!$P20=IDX_CA!$B$2:$B$1041),--(NXT_COMPO!$Q20=IDX_CA!$C$2:$C$1041),ROW(IDX_CA!$F$2:$F$1041))),""))</f>
        <v>100</v>
      </c>
      <c r="J20" s="62">
        <f>IF($D20&lt;=$B$1-$B$2,IF(INDEX($AA$2:$AA$1048576,MATCH($D20,$AB$2:$AB$1048576,0))="MODIFY",INDEX(IDX_CA!$G$1:$G$1041,SUMPRODUCT(--($E20=IDX_CA!$A$2:$A$1041),--(NXT_COMPO!$P20=IDX_CA!$B$2:$B$1041),--(NXT_COMPO!$Q20=IDX_CA!$C$2:$C$1041),ROW(IDX_CA!$G$2:$G$1041))),INDEX(IDX_COMPOSITION!$F$1:$F$441,SUMPRODUCT(--($E20=IDX_COMPOSITION!$A$2:$A$441),--(NXT_COMPO!$P20=IDX_COMPOSITION!$R$2:$R$441),--(NXT_COMPO!$B$5=IDX_COMPOSITION!$L$2:$L$441),ROW(IDX_COMPOSITION!$F$2:$F$441)))),IF($D20&lt;=$B$4,INDEX(IDX_CA!$G$1:$G$1041,SUMPRODUCT(--($E20=IDX_CA!$A$2:$A$1041),--(NXT_COMPO!$P20=IDX_CA!$B$2:$B$1041),--(NXT_COMPO!$Q20=IDX_CA!$C$2:$C$1041),ROW(IDX_CA!$G$2:$G$1041))),""))</f>
        <v>9600</v>
      </c>
      <c r="K20" s="63" t="str">
        <f>IF($D20&lt;&gt;"",VLOOKUP($E20,STK_REF!$A$2:$J$1048576,7,0),"")</f>
        <v>VND</v>
      </c>
      <c r="L20" s="5">
        <f>IF($D20&lt;&gt;"",VLOOKUP($E20,STK_REF!$A$2:$J$1048576,8,0),"")</f>
        <v>1</v>
      </c>
      <c r="M20" s="8">
        <f>IF($D20&lt;&gt;"",IF($K20=$U20,1,IF(ISNA(VLOOKUP($K20&amp;$U20,CUR_RATES!$A$2:$F$521,4,0)),"",VLOOKUP($K20&amp;$U20,CUR_RATES!$A$2:$F$521,4,0))),"")</f>
        <v>1</v>
      </c>
      <c r="N20" s="61">
        <f t="shared" si="5"/>
        <v>9600</v>
      </c>
      <c r="O20" s="68">
        <f t="shared" si="6"/>
        <v>2232960000000</v>
      </c>
      <c r="P20" s="5" t="str">
        <f t="shared" si="1"/>
        <v>VNXASPRVND</v>
      </c>
      <c r="Q20" s="75">
        <f t="shared" si="7"/>
        <v>41166</v>
      </c>
      <c r="R20" s="68" t="str">
        <f t="shared" si="8"/>
        <v/>
      </c>
      <c r="S20" s="61" t="str">
        <f t="shared" si="9"/>
        <v/>
      </c>
      <c r="T20" s="62" t="str">
        <f>IF(D20&lt;&gt;"",IF(SUMPRODUCT(--($E20=STK_DIV!$A$2:$A$5),--(NXT_COMPO!$Q20=STK_DIV!$E$2:$E$5),ROW(STK_DIV!$D$2:$D$5))=0,"",INDEX(STK_DIV!$D$1:$D$5,SUMPRODUCT(--($E20=STK_DIV!$A$2:$A$5),--(NXT_COMPO!$Q20=STK_DIV!$E$2:$E$5),ROW(STK_DIV!$D$2:$D$5)))),"")</f>
        <v/>
      </c>
      <c r="U20" s="54" t="str">
        <f>IF($D20&lt;&gt;"",VLOOKUP($P20,IDX_REF!$2:$1048576,4,0),"")</f>
        <v>VND</v>
      </c>
      <c r="W20" s="52">
        <f t="shared" si="2"/>
        <v>19</v>
      </c>
      <c r="X20" s="5" t="str">
        <f>IF(ROW(X20)-ROW($X$1)&lt;=$B$1,INDEX(IDX_COMPO!A:A,ROW(IDX_COMPO!A20)),"")</f>
        <v>PVE</v>
      </c>
      <c r="Y20" s="75">
        <f t="shared" si="3"/>
        <v>41166</v>
      </c>
      <c r="Z20" s="54" t="str">
        <f>IF(ROW(Z20)-ROW($Y$1)&lt;=$B$1,INDEX(IDX_COMPO!F:F,ROW(IDX_COMPO!R20)),"")</f>
        <v>VNXASPRVND</v>
      </c>
      <c r="AA20" s="2" t="str">
        <f t="array" ref="AA20">IF(X20&lt;&gt;"",IF(SUMPRODUCT(--(X20=IDX_CA!$A$2:$A$1041),--(NXT_COMPO!Y20=IDX_CA!$C$2:$C$1041),--(Z20=IDX_CA!$B$2:$B$1041))&gt;0,IF(INDEX(IDX_CA!$I:$I,SUMPRODUCT(--(X20=IDX_CA!$A$2:$A$1041),--(NXT_COMPO!Y20=IDX_CA!$C$2:$C$1041),--(Z20=IDX_CA!$B$2:$B$1041),ROW(IDX_CA!$I$2:$I$1041)))=1,"YES","MODIFY"),""),"")</f>
        <v/>
      </c>
      <c r="AB20" s="5">
        <f>IF(X20&lt;&gt;"",IF(AA20="YES","",COUNTIF($AA$2:AA20,"&lt;&gt;YES")),"")</f>
        <v>19</v>
      </c>
      <c r="AC20" s="2"/>
      <c r="AD20" s="5" t="str">
        <f>IF(ROW(AD20)-ROW($AD$1)&lt;=COUNTIF(IDX_CA!$H$2:$H$1048576,1),ROW(AD20)-ROW($AD$1),"")</f>
        <v/>
      </c>
      <c r="AE20" s="5" t="str">
        <f t="array" ref="AE20">IF(ISERROR(SMALL(IF(IDX_CA!$H$1:$H$1041=1,ROW(IDX_CA!$H$1:$H$1041)),ROW(AH20)-ROW($AH$1))),"",INDEX(IDX_CA!$A:$A,SMALL(IF(IDX_CA!$H$1:$H$1041=1,ROW(IDX_CA!$H$1:$H$1041)),ROW(AH20)-ROW($AH$1))))</f>
        <v/>
      </c>
      <c r="AH20" s="2" t="str">
        <f t="array" ref="AH20">IF(ISERROR(SMALL(IF(IDX_CA!$H$1:$H$1041=1,ROW(IDX_CA!$H$1:$H$1041)),ROW(AH20)-ROW($AH$1))),"",IF(INDEX(IDX_CA!$C:$C,SMALL(IF(IDX_CA!$H$1:$H$1041=1,ROW(IDX_CA!$H$1:$H$1041)),ROW(AH20)-ROW($AH$1)))=$B$6,"YES",""))</f>
        <v/>
      </c>
      <c r="AI20" s="5" t="str">
        <f>IF(AD20&lt;&gt;"",IF(AH20="YES",COUNTIF($AH$2:AH20,"YES"),""),"")</f>
        <v/>
      </c>
    </row>
    <row r="21" spans="4:35" x14ac:dyDescent="0.2">
      <c r="D21" s="52">
        <f t="shared" si="0"/>
        <v>20</v>
      </c>
      <c r="E21" s="5" t="str">
        <f t="shared" si="4"/>
        <v>PVF</v>
      </c>
      <c r="F21" s="5" t="str">
        <f>IF($D21&lt;&gt;"",VLOOKUP($E21,STK_REF!$A$2:$J$1048576,2,0),"")</f>
        <v>VNX Finance Joint Stock Corp</v>
      </c>
      <c r="G21" s="68">
        <f>IF($D21&lt;=$B$1-$B$2,IF(INDEX($AA$2:$AA$1048576,MATCH($D21,$AB$2:$AB$1048576,0))="MODIFY",INDEX(IDX_CA!$D$1:$D$1041,SUMPRODUCT(--($E21=IDX_CA!$A$2:$A$1041),--(NXT_COMPO!$P21=IDX_CA!$B$2:$B$1041),--(NXT_COMPO!$Q21=IDX_CA!$C$2:$C$1041),ROW(IDX_CA!$D$2:$D$1041))),INDEX(IDX_COMPO!$C$1:$C$12000,SUMPRODUCT(--($E21=IDX_COMPO!$A$2:$A$1200),--(NXT_COMPO!$P21=IDX_COMPO!$F$2:$F$1200),--(NXT_COMPO!$B$5=IDX_COMPO!$G$2:$G$1200),ROW(IDX_COMPO!$C$2:$C$1200)))),IF($D21&lt;=$B$4,INDEX(IDX_CA!$D$1:$D$1041,SUMPRODUCT(--($E21=IDX_CA!$A$2:$A$1041),--(NXT_COMPO!$P21=IDX_CA!$B$2:$B$1041),--(NXT_COMPO!$Q21=IDX_CA!$C$2:$C$1041),ROW(IDX_CA!$D$2:$D$1041))),""))</f>
        <v>38000000</v>
      </c>
      <c r="H21" s="55">
        <f>IF($D21&lt;=$B$1-$B$2,IF(INDEX($AA$2:$AA$1048576,MATCH($D21,$AB$2:$AB$1048576,0))="MODIFY",INDEX(IDX_CA!$E$1:$E$1041,SUMPRODUCT(--($E21=IDX_CA!$A$2:$A$1041),--(NXT_COMPO!$P21=IDX_CA!$B$2:$B$1041),--(NXT_COMPO!$Q21=IDX_CA!$C$2:$C$1041),ROW(IDX_CA!$E$2:$E$1041))),INDEX(IDX_COMPO!$D$1:$D$1200,SUMPRODUCT(--($E21=IDX_COMPO!$A$2:$A$1200),--(NXT_COMPO!$P21=IDX_COMPO!$F$2:$F$1200),--(NXT_COMPO!$B$5=IDX_COMPO!$G$2:$G$1200),ROW(IDX_COMPO!$D$2:$D$1200)))),IF($D21&lt;=$B$4,INDEX(IDX_CA!$E$1:$E$1041,SUMPRODUCT(--($E21=IDX_CA!$A$2:$A$1041),--(NXT_COMPO!$P21=IDX_CA!$B$2:$B$1041),--(NXT_COMPO!$Q21=IDX_CA!$C$2:$C$1041),ROW(IDX_CA!$E$2:$E$1041))),""))</f>
        <v>100</v>
      </c>
      <c r="I21" s="55">
        <f>IF($D21&lt;=$B$1-$B$2,IF(INDEX($AA$2:$AA$1048576,MATCH($D21,$AB$2:$AB$1048576,0))="MODIFY",INDEX(IDX_CA!$F$1:$F$1041,SUMPRODUCT(--($E21=IDX_CA!$A$2:$A$1041),--(NXT_COMPO!$P21=IDX_CA!$B$2:$B$1041),--(NXT_COMPO!$Q21=IDX_CA!$C$2:$C$1041),ROW(IDX_CA!$F$2:$F$1041))),INDEX(IDX_COMPO!$E$1:$E$1200,SUMPRODUCT(--($E21=IDX_COMPO!$A$2:$A$1200),--(NXT_COMPO!$P21=IDX_COMPO!$F$2:$F$1200),--(NXT_COMPO!$B$5=IDX_COMPO!$G$2:$G$1200),ROW(IDX_COMPO!$E$2:$E$1200)))),IF($D21&lt;=$B$4,INDEX(IDX_CA!$F$1:$F$1041,SUMPRODUCT(--($E21=IDX_CA!$A$2:$A$1041),--(NXT_COMPO!$P21=IDX_CA!$B$2:$B$1041),--(NXT_COMPO!$Q21=IDX_CA!$C$2:$C$1041),ROW(IDX_CA!$F$2:$F$1041))),""))</f>
        <v>100</v>
      </c>
      <c r="J21" s="62">
        <f>IF($D21&lt;=$B$1-$B$2,IF(INDEX($AA$2:$AA$1048576,MATCH($D21,$AB$2:$AB$1048576,0))="MODIFY",INDEX(IDX_CA!$G$1:$G$1041,SUMPRODUCT(--($E21=IDX_CA!$A$2:$A$1041),--(NXT_COMPO!$P21=IDX_CA!$B$2:$B$1041),--(NXT_COMPO!$Q21=IDX_CA!$C$2:$C$1041),ROW(IDX_CA!$G$2:$G$1041))),INDEX(IDX_COMPOSITION!$F$1:$F$441,SUMPRODUCT(--($E21=IDX_COMPOSITION!$A$2:$A$441),--(NXT_COMPO!$P21=IDX_COMPOSITION!$R$2:$R$441),--(NXT_COMPO!$B$5=IDX_COMPOSITION!$L$2:$L$441),ROW(IDX_COMPOSITION!$F$2:$F$441)))),IF($D21&lt;=$B$4,INDEX(IDX_CA!$G$1:$G$1041,SUMPRODUCT(--($E21=IDX_CA!$A$2:$A$1041),--(NXT_COMPO!$P21=IDX_CA!$B$2:$B$1041),--(NXT_COMPO!$Q21=IDX_CA!$C$2:$C$1041),ROW(IDX_CA!$G$2:$G$1041))),""))</f>
        <v>8300</v>
      </c>
      <c r="K21" s="63" t="str">
        <f>IF($D21&lt;&gt;"",VLOOKUP($E21,STK_REF!$A$2:$J$1048576,7,0),"")</f>
        <v>VND</v>
      </c>
      <c r="L21" s="5">
        <f>IF($D21&lt;&gt;"",VLOOKUP($E21,STK_REF!$A$2:$J$1048576,8,0),"")</f>
        <v>1</v>
      </c>
      <c r="M21" s="8">
        <f>IF($D21&lt;&gt;"",IF($K21=$U21,1,IF(ISNA(VLOOKUP($K21&amp;$U21,CUR_RATES!$A$2:$F$521,4,0)),"",VLOOKUP($K21&amp;$U21,CUR_RATES!$A$2:$F$521,4,0))),"")</f>
        <v>1</v>
      </c>
      <c r="N21" s="61">
        <f t="shared" si="5"/>
        <v>8300</v>
      </c>
      <c r="O21" s="68">
        <f t="shared" si="6"/>
        <v>315400000000</v>
      </c>
      <c r="P21" s="5" t="str">
        <f t="shared" si="1"/>
        <v>VNXASPRVND</v>
      </c>
      <c r="Q21" s="75">
        <f t="shared" si="7"/>
        <v>41166</v>
      </c>
      <c r="R21" s="68" t="str">
        <f t="shared" si="8"/>
        <v/>
      </c>
      <c r="S21" s="61" t="str">
        <f t="shared" si="9"/>
        <v/>
      </c>
      <c r="T21" s="62" t="str">
        <f>IF(D21&lt;&gt;"",IF(SUMPRODUCT(--($E21=STK_DIV!$A$2:$A$5),--(NXT_COMPO!$Q21=STK_DIV!$E$2:$E$5),ROW(STK_DIV!$D$2:$D$5))=0,"",INDEX(STK_DIV!$D$1:$D$5,SUMPRODUCT(--($E21=STK_DIV!$A$2:$A$5),--(NXT_COMPO!$Q21=STK_DIV!$E$2:$E$5),ROW(STK_DIV!$D$2:$D$5)))),"")</f>
        <v/>
      </c>
      <c r="U21" s="54" t="str">
        <f>IF($D21&lt;&gt;"",VLOOKUP($P21,IDX_REF!$2:$1048576,4,0),"")</f>
        <v>VND</v>
      </c>
      <c r="W21" s="52">
        <f t="shared" si="2"/>
        <v>20</v>
      </c>
      <c r="X21" s="5" t="str">
        <f>IF(ROW(X21)-ROW($X$1)&lt;=$B$1,INDEX(IDX_COMPO!A:A,ROW(IDX_COMPO!A21)),"")</f>
        <v>PVF</v>
      </c>
      <c r="Y21" s="75">
        <f t="shared" si="3"/>
        <v>41166</v>
      </c>
      <c r="Z21" s="54" t="str">
        <f>IF(ROW(Z21)-ROW($Y$1)&lt;=$B$1,INDEX(IDX_COMPO!F:F,ROW(IDX_COMPO!R21)),"")</f>
        <v>VNXASPRVND</v>
      </c>
      <c r="AA21" s="2" t="str">
        <f t="array" ref="AA21">IF(X21&lt;&gt;"",IF(SUMPRODUCT(--(X21=IDX_CA!$A$2:$A$1041),--(NXT_COMPO!Y21=IDX_CA!$C$2:$C$1041),--(Z21=IDX_CA!$B$2:$B$1041))&gt;0,IF(INDEX(IDX_CA!$I:$I,SUMPRODUCT(--(X21=IDX_CA!$A$2:$A$1041),--(NXT_COMPO!Y21=IDX_CA!$C$2:$C$1041),--(Z21=IDX_CA!$B$2:$B$1041),ROW(IDX_CA!$I$2:$I$1041)))=1,"YES","MODIFY"),""),"")</f>
        <v/>
      </c>
      <c r="AB21" s="5">
        <f>IF(X21&lt;&gt;"",IF(AA21="YES","",COUNTIF($AA$2:AA21,"&lt;&gt;YES")),"")</f>
        <v>20</v>
      </c>
      <c r="AC21" s="2"/>
      <c r="AD21" s="5" t="str">
        <f>IF(ROW(AD21)-ROW($AD$1)&lt;=COUNTIF(IDX_CA!$H$2:$H$1048576,1),ROW(AD21)-ROW($AD$1),"")</f>
        <v/>
      </c>
      <c r="AE21" s="5" t="str">
        <f t="array" ref="AE21">IF(ISERROR(SMALL(IF(IDX_CA!$H$1:$H$1041=1,ROW(IDX_CA!$H$1:$H$1041)),ROW(AH21)-ROW($AH$1))),"",INDEX(IDX_CA!$A:$A,SMALL(IF(IDX_CA!$H$1:$H$1041=1,ROW(IDX_CA!$H$1:$H$1041)),ROW(AH21)-ROW($AH$1))))</f>
        <v/>
      </c>
      <c r="AH21" s="2" t="str">
        <f t="array" ref="AH21">IF(ISERROR(SMALL(IF(IDX_CA!$H$1:$H$1041=1,ROW(IDX_CA!$H$1:$H$1041)),ROW(AH21)-ROW($AH$1))),"",IF(INDEX(IDX_CA!$C:$C,SMALL(IF(IDX_CA!$H$1:$H$1041=1,ROW(IDX_CA!$H$1:$H$1041)),ROW(AH21)-ROW($AH$1)))=$B$6,"YES",""))</f>
        <v/>
      </c>
      <c r="AI21" s="5" t="str">
        <f>IF(AD21&lt;&gt;"",IF(AH21="YES",COUNTIF($AH$2:AH21,"YES"),""),"")</f>
        <v/>
      </c>
    </row>
    <row r="22" spans="4:35" x14ac:dyDescent="0.2">
      <c r="D22" s="52">
        <f t="shared" si="0"/>
        <v>21</v>
      </c>
      <c r="E22" s="5" t="str">
        <f t="shared" si="4"/>
        <v>PVG</v>
      </c>
      <c r="F22" s="5" t="str">
        <f>IF($D22&lt;&gt;"",VLOOKUP($E22,STK_REF!$A$2:$J$1048576,2,0),"")</f>
        <v>VNX Northern Gas Joint Stock Co</v>
      </c>
      <c r="G22" s="68">
        <f>IF($D22&lt;=$B$1-$B$2,IF(INDEX($AA$2:$AA$1048576,MATCH($D22,$AB$2:$AB$1048576,0))="MODIFY",INDEX(IDX_CA!$D$1:$D$1041,SUMPRODUCT(--($E22=IDX_CA!$A$2:$A$1041),--(NXT_COMPO!$P22=IDX_CA!$B$2:$B$1041),--(NXT_COMPO!$Q22=IDX_CA!$C$2:$C$1041),ROW(IDX_CA!$D$2:$D$1041))),INDEX(IDX_COMPO!$C$1:$C$12000,SUMPRODUCT(--($E22=IDX_COMPO!$A$2:$A$1200),--(NXT_COMPO!$P22=IDX_COMPO!$F$2:$F$1200),--(NXT_COMPO!$B$5=IDX_COMPO!$G$2:$G$1200),ROW(IDX_COMPO!$C$2:$C$1200)))),IF($D22&lt;=$B$4,INDEX(IDX_CA!$D$1:$D$1041,SUMPRODUCT(--($E22=IDX_CA!$A$2:$A$1041),--(NXT_COMPO!$P22=IDX_CA!$B$2:$B$1041),--(NXT_COMPO!$Q22=IDX_CA!$C$2:$C$1041),ROW(IDX_CA!$D$2:$D$1041))),""))</f>
        <v>70371300</v>
      </c>
      <c r="H22" s="55">
        <f>IF($D22&lt;=$B$1-$B$2,IF(INDEX($AA$2:$AA$1048576,MATCH($D22,$AB$2:$AB$1048576,0))="MODIFY",INDEX(IDX_CA!$E$1:$E$1041,SUMPRODUCT(--($E22=IDX_CA!$A$2:$A$1041),--(NXT_COMPO!$P22=IDX_CA!$B$2:$B$1041),--(NXT_COMPO!$Q22=IDX_CA!$C$2:$C$1041),ROW(IDX_CA!$E$2:$E$1041))),INDEX(IDX_COMPO!$D$1:$D$1200,SUMPRODUCT(--($E22=IDX_COMPO!$A$2:$A$1200),--(NXT_COMPO!$P22=IDX_COMPO!$F$2:$F$1200),--(NXT_COMPO!$B$5=IDX_COMPO!$G$2:$G$1200),ROW(IDX_COMPO!$D$2:$D$1200)))),IF($D22&lt;=$B$4,INDEX(IDX_CA!$E$1:$E$1041,SUMPRODUCT(--($E22=IDX_CA!$A$2:$A$1041),--(NXT_COMPO!$P22=IDX_CA!$B$2:$B$1041),--(NXT_COMPO!$Q22=IDX_CA!$C$2:$C$1041),ROW(IDX_CA!$E$2:$E$1041))),""))</f>
        <v>100</v>
      </c>
      <c r="I22" s="55">
        <f>IF($D22&lt;=$B$1-$B$2,IF(INDEX($AA$2:$AA$1048576,MATCH($D22,$AB$2:$AB$1048576,0))="MODIFY",INDEX(IDX_CA!$F$1:$F$1041,SUMPRODUCT(--($E22=IDX_CA!$A$2:$A$1041),--(NXT_COMPO!$P22=IDX_CA!$B$2:$B$1041),--(NXT_COMPO!$Q22=IDX_CA!$C$2:$C$1041),ROW(IDX_CA!$F$2:$F$1041))),INDEX(IDX_COMPO!$E$1:$E$1200,SUMPRODUCT(--($E22=IDX_COMPO!$A$2:$A$1200),--(NXT_COMPO!$P22=IDX_COMPO!$F$2:$F$1200),--(NXT_COMPO!$B$5=IDX_COMPO!$G$2:$G$1200),ROW(IDX_COMPO!$E$2:$E$1200)))),IF($D22&lt;=$B$4,INDEX(IDX_CA!$F$1:$F$1041,SUMPRODUCT(--($E22=IDX_CA!$A$2:$A$1041),--(NXT_COMPO!$P22=IDX_CA!$B$2:$B$1041),--(NXT_COMPO!$Q22=IDX_CA!$C$2:$C$1041),ROW(IDX_CA!$F$2:$F$1041))),""))</f>
        <v>100</v>
      </c>
      <c r="J22" s="62">
        <f>IF($D22&lt;=$B$1-$B$2,IF(INDEX($AA$2:$AA$1048576,MATCH($D22,$AB$2:$AB$1048576,0))="MODIFY",INDEX(IDX_CA!$G$1:$G$1041,SUMPRODUCT(--($E22=IDX_CA!$A$2:$A$1041),--(NXT_COMPO!$P22=IDX_CA!$B$2:$B$1041),--(NXT_COMPO!$Q22=IDX_CA!$C$2:$C$1041),ROW(IDX_CA!$G$2:$G$1041))),INDEX(IDX_COMPOSITION!$F$1:$F$441,SUMPRODUCT(--($E22=IDX_COMPOSITION!$A$2:$A$441),--(NXT_COMPO!$P22=IDX_COMPOSITION!$R$2:$R$441),--(NXT_COMPO!$B$5=IDX_COMPOSITION!$L$2:$L$441),ROW(IDX_COMPOSITION!$F$2:$F$441)))),IF($D22&lt;=$B$4,INDEX(IDX_CA!$G$1:$G$1041,SUMPRODUCT(--($E22=IDX_CA!$A$2:$A$1041),--(NXT_COMPO!$P22=IDX_CA!$B$2:$B$1041),--(NXT_COMPO!$Q22=IDX_CA!$C$2:$C$1041),ROW(IDX_CA!$G$2:$G$1041))),""))</f>
        <v>9300</v>
      </c>
      <c r="K22" s="63" t="str">
        <f>IF($D22&lt;&gt;"",VLOOKUP($E22,STK_REF!$A$2:$J$1048576,7,0),"")</f>
        <v>VND</v>
      </c>
      <c r="L22" s="5">
        <f>IF($D22&lt;&gt;"",VLOOKUP($E22,STK_REF!$A$2:$J$1048576,8,0),"")</f>
        <v>1</v>
      </c>
      <c r="M22" s="8">
        <f>IF($D22&lt;&gt;"",IF($K22=$U22,1,IF(ISNA(VLOOKUP($K22&amp;$U22,CUR_RATES!$A$2:$F$521,4,0)),"",VLOOKUP($K22&amp;$U22,CUR_RATES!$A$2:$F$521,4,0))),"")</f>
        <v>1</v>
      </c>
      <c r="N22" s="61">
        <f t="shared" si="5"/>
        <v>9300</v>
      </c>
      <c r="O22" s="68">
        <f t="shared" si="6"/>
        <v>654453090000</v>
      </c>
      <c r="P22" s="5" t="str">
        <f t="shared" si="1"/>
        <v>VNXASPRVND</v>
      </c>
      <c r="Q22" s="75">
        <f t="shared" si="7"/>
        <v>41166</v>
      </c>
      <c r="R22" s="68" t="str">
        <f t="shared" si="8"/>
        <v/>
      </c>
      <c r="S22" s="61" t="str">
        <f t="shared" si="9"/>
        <v/>
      </c>
      <c r="T22" s="62" t="str">
        <f>IF(D22&lt;&gt;"",IF(SUMPRODUCT(--($E22=STK_DIV!$A$2:$A$5),--(NXT_COMPO!$Q22=STK_DIV!$E$2:$E$5),ROW(STK_DIV!$D$2:$D$5))=0,"",INDEX(STK_DIV!$D$1:$D$5,SUMPRODUCT(--($E22=STK_DIV!$A$2:$A$5),--(NXT_COMPO!$Q22=STK_DIV!$E$2:$E$5),ROW(STK_DIV!$D$2:$D$5)))),"")</f>
        <v/>
      </c>
      <c r="U22" s="54" t="str">
        <f>IF($D22&lt;&gt;"",VLOOKUP($P22,IDX_REF!$2:$1048576,4,0),"")</f>
        <v>VND</v>
      </c>
      <c r="W22" s="52">
        <f t="shared" si="2"/>
        <v>21</v>
      </c>
      <c r="X22" s="5" t="str">
        <f>IF(ROW(X22)-ROW($X$1)&lt;=$B$1,INDEX(IDX_COMPO!A:A,ROW(IDX_COMPO!A22)),"")</f>
        <v>PVG</v>
      </c>
      <c r="Y22" s="75">
        <f t="shared" si="3"/>
        <v>41166</v>
      </c>
      <c r="Z22" s="54" t="str">
        <f>IF(ROW(Z22)-ROW($Y$1)&lt;=$B$1,INDEX(IDX_COMPO!F:F,ROW(IDX_COMPO!R22)),"")</f>
        <v>VNXASPRVND</v>
      </c>
      <c r="AA22" s="2" t="str">
        <f t="array" ref="AA22">IF(X22&lt;&gt;"",IF(SUMPRODUCT(--(X22=IDX_CA!$A$2:$A$1041),--(NXT_COMPO!Y22=IDX_CA!$C$2:$C$1041),--(Z22=IDX_CA!$B$2:$B$1041))&gt;0,IF(INDEX(IDX_CA!$I:$I,SUMPRODUCT(--(X22=IDX_CA!$A$2:$A$1041),--(NXT_COMPO!Y22=IDX_CA!$C$2:$C$1041),--(Z22=IDX_CA!$B$2:$B$1041),ROW(IDX_CA!$I$2:$I$1041)))=1,"YES","MODIFY"),""),"")</f>
        <v/>
      </c>
      <c r="AB22" s="5">
        <f>IF(X22&lt;&gt;"",IF(AA22="YES","",COUNTIF($AA$2:AA22,"&lt;&gt;YES")),"")</f>
        <v>21</v>
      </c>
      <c r="AC22" s="2"/>
      <c r="AD22" s="5" t="str">
        <f>IF(ROW(AD22)-ROW($AD$1)&lt;=COUNTIF(IDX_CA!$H$2:$H$1048576,1),ROW(AD22)-ROW($AD$1),"")</f>
        <v/>
      </c>
      <c r="AE22" s="5" t="str">
        <f t="array" ref="AE22">IF(ISERROR(SMALL(IF(IDX_CA!$H$1:$H$1041=1,ROW(IDX_CA!$H$1:$H$1041)),ROW(AH22)-ROW($AH$1))),"",INDEX(IDX_CA!$A:$A,SMALL(IF(IDX_CA!$H$1:$H$1041=1,ROW(IDX_CA!$H$1:$H$1041)),ROW(AH22)-ROW($AH$1))))</f>
        <v/>
      </c>
      <c r="AH22" s="2" t="str">
        <f t="array" ref="AH22">IF(ISERROR(SMALL(IF(IDX_CA!$H$1:$H$1041=1,ROW(IDX_CA!$H$1:$H$1041)),ROW(AH22)-ROW($AH$1))),"",IF(INDEX(IDX_CA!$C:$C,SMALL(IF(IDX_CA!$H$1:$H$1041=1,ROW(IDX_CA!$H$1:$H$1041)),ROW(AH22)-ROW($AH$1)))=$B$6,"YES",""))</f>
        <v/>
      </c>
      <c r="AI22" s="5" t="str">
        <f>IF(AD22&lt;&gt;"",IF(AH22="YES",COUNTIF($AH$2:AH22,"YES"),""),"")</f>
        <v/>
      </c>
    </row>
    <row r="23" spans="4:35" x14ac:dyDescent="0.2">
      <c r="D23" s="52">
        <f t="shared" si="0"/>
        <v>22</v>
      </c>
      <c r="E23" s="5" t="str">
        <f t="shared" si="4"/>
        <v>PVX</v>
      </c>
      <c r="F23" s="5" t="str">
        <f>IF($D23&lt;&gt;"",VLOOKUP($E23,STK_REF!$A$2:$J$1048576,2,0),"")</f>
        <v>VNX Construction</v>
      </c>
      <c r="G23" s="68">
        <f>IF($D23&lt;=$B$1-$B$2,IF(INDEX($AA$2:$AA$1048576,MATCH($D23,$AB$2:$AB$1048576,0))="MODIFY",INDEX(IDX_CA!$D$1:$D$1041,SUMPRODUCT(--($E23=IDX_CA!$A$2:$A$1041),--(NXT_COMPO!$P23=IDX_CA!$B$2:$B$1041),--(NXT_COMPO!$Q23=IDX_CA!$C$2:$C$1041),ROW(IDX_CA!$D$2:$D$1041))),INDEX(IDX_COMPO!$C$1:$C$12000,SUMPRODUCT(--($E23=IDX_COMPO!$A$2:$A$1200),--(NXT_COMPO!$P23=IDX_COMPO!$F$2:$F$1200),--(NXT_COMPO!$B$5=IDX_COMPO!$G$2:$G$1200),ROW(IDX_COMPO!$C$2:$C$1200)))),IF($D23&lt;=$B$4,INDEX(IDX_CA!$D$1:$D$1041,SUMPRODUCT(--($E23=IDX_CA!$A$2:$A$1041),--(NXT_COMPO!$P23=IDX_CA!$B$2:$B$1041),--(NXT_COMPO!$Q23=IDX_CA!$C$2:$C$1041),ROW(IDX_CA!$D$2:$D$1041))),""))</f>
        <v>100000000</v>
      </c>
      <c r="H23" s="55">
        <f>IF($D23&lt;=$B$1-$B$2,IF(INDEX($AA$2:$AA$1048576,MATCH($D23,$AB$2:$AB$1048576,0))="MODIFY",INDEX(IDX_CA!$E$1:$E$1041,SUMPRODUCT(--($E23=IDX_CA!$A$2:$A$1041),--(NXT_COMPO!$P23=IDX_CA!$B$2:$B$1041),--(NXT_COMPO!$Q23=IDX_CA!$C$2:$C$1041),ROW(IDX_CA!$E$2:$E$1041))),INDEX(IDX_COMPO!$D$1:$D$1200,SUMPRODUCT(--($E23=IDX_COMPO!$A$2:$A$1200),--(NXT_COMPO!$P23=IDX_COMPO!$F$2:$F$1200),--(NXT_COMPO!$B$5=IDX_COMPO!$G$2:$G$1200),ROW(IDX_COMPO!$D$2:$D$1200)))),IF($D23&lt;=$B$4,INDEX(IDX_CA!$E$1:$E$1041,SUMPRODUCT(--($E23=IDX_CA!$A$2:$A$1041),--(NXT_COMPO!$P23=IDX_CA!$B$2:$B$1041),--(NXT_COMPO!$Q23=IDX_CA!$C$2:$C$1041),ROW(IDX_CA!$E$2:$E$1041))),""))</f>
        <v>100</v>
      </c>
      <c r="I23" s="55">
        <f>IF($D23&lt;=$B$1-$B$2,IF(INDEX($AA$2:$AA$1048576,MATCH($D23,$AB$2:$AB$1048576,0))="MODIFY",INDEX(IDX_CA!$F$1:$F$1041,SUMPRODUCT(--($E23=IDX_CA!$A$2:$A$1041),--(NXT_COMPO!$P23=IDX_CA!$B$2:$B$1041),--(NXT_COMPO!$Q23=IDX_CA!$C$2:$C$1041),ROW(IDX_CA!$F$2:$F$1041))),INDEX(IDX_COMPO!$E$1:$E$1200,SUMPRODUCT(--($E23=IDX_COMPO!$A$2:$A$1200),--(NXT_COMPO!$P23=IDX_COMPO!$F$2:$F$1200),--(NXT_COMPO!$B$5=IDX_COMPO!$G$2:$G$1200),ROW(IDX_COMPO!$E$2:$E$1200)))),IF($D23&lt;=$B$4,INDEX(IDX_CA!$F$1:$F$1041,SUMPRODUCT(--($E23=IDX_CA!$A$2:$A$1041),--(NXT_COMPO!$P23=IDX_CA!$B$2:$B$1041),--(NXT_COMPO!$Q23=IDX_CA!$C$2:$C$1041),ROW(IDX_CA!$F$2:$F$1041))),""))</f>
        <v>100</v>
      </c>
      <c r="J23" s="62">
        <f>IF($D23&lt;=$B$1-$B$2,IF(INDEX($AA$2:$AA$1048576,MATCH($D23,$AB$2:$AB$1048576,0))="MODIFY",INDEX(IDX_CA!$G$1:$G$1041,SUMPRODUCT(--($E23=IDX_CA!$A$2:$A$1041),--(NXT_COMPO!$P23=IDX_CA!$B$2:$B$1041),--(NXT_COMPO!$Q23=IDX_CA!$C$2:$C$1041),ROW(IDX_CA!$G$2:$G$1041))),INDEX(IDX_COMPOSITION!$F$1:$F$441,SUMPRODUCT(--($E23=IDX_COMPOSITION!$A$2:$A$441),--(NXT_COMPO!$P23=IDX_COMPOSITION!$R$2:$R$441),--(NXT_COMPO!$B$5=IDX_COMPOSITION!$L$2:$L$441),ROW(IDX_COMPOSITION!$F$2:$F$441)))),IF($D23&lt;=$B$4,INDEX(IDX_CA!$G$1:$G$1041,SUMPRODUCT(--($E23=IDX_CA!$A$2:$A$1041),--(NXT_COMPO!$P23=IDX_CA!$B$2:$B$1041),--(NXT_COMPO!$Q23=IDX_CA!$C$2:$C$1041),ROW(IDX_CA!$G$2:$G$1041))),""))</f>
        <v>5200</v>
      </c>
      <c r="K23" s="63" t="str">
        <f>IF($D23&lt;&gt;"",VLOOKUP($E23,STK_REF!$A$2:$J$1048576,7,0),"")</f>
        <v>VND</v>
      </c>
      <c r="L23" s="5">
        <f>IF($D23&lt;&gt;"",VLOOKUP($E23,STK_REF!$A$2:$J$1048576,8,0),"")</f>
        <v>1</v>
      </c>
      <c r="M23" s="8">
        <f>IF($D23&lt;&gt;"",IF($K23=$U23,1,IF(ISNA(VLOOKUP($K23&amp;$U23,CUR_RATES!$A$2:$F$521,4,0)),"",VLOOKUP($K23&amp;$U23,CUR_RATES!$A$2:$F$521,4,0))),"")</f>
        <v>1</v>
      </c>
      <c r="N23" s="61">
        <f t="shared" si="5"/>
        <v>5200</v>
      </c>
      <c r="O23" s="68">
        <f t="shared" si="6"/>
        <v>520000000000</v>
      </c>
      <c r="P23" s="5" t="str">
        <f t="shared" si="1"/>
        <v>VNXASPRVND</v>
      </c>
      <c r="Q23" s="75">
        <f t="shared" si="7"/>
        <v>41166</v>
      </c>
      <c r="R23" s="68" t="str">
        <f t="shared" si="8"/>
        <v/>
      </c>
      <c r="S23" s="61" t="str">
        <f t="shared" si="9"/>
        <v/>
      </c>
      <c r="T23" s="62" t="str">
        <f>IF(D23&lt;&gt;"",IF(SUMPRODUCT(--($E23=STK_DIV!$A$2:$A$5),--(NXT_COMPO!$Q23=STK_DIV!$E$2:$E$5),ROW(STK_DIV!$D$2:$D$5))=0,"",INDEX(STK_DIV!$D$1:$D$5,SUMPRODUCT(--($E23=STK_DIV!$A$2:$A$5),--(NXT_COMPO!$Q23=STK_DIV!$E$2:$E$5),ROW(STK_DIV!$D$2:$D$5)))),"")</f>
        <v/>
      </c>
      <c r="U23" s="54" t="str">
        <f>IF($D23&lt;&gt;"",VLOOKUP($P23,IDX_REF!$2:$1048576,4,0),"")</f>
        <v>VND</v>
      </c>
      <c r="W23" s="52">
        <f t="shared" si="2"/>
        <v>22</v>
      </c>
      <c r="X23" s="5" t="str">
        <f>IF(ROW(X23)-ROW($X$1)&lt;=$B$1,INDEX(IDX_COMPO!A:A,ROW(IDX_COMPO!A23)),"")</f>
        <v>PVX</v>
      </c>
      <c r="Y23" s="75">
        <f t="shared" si="3"/>
        <v>41166</v>
      </c>
      <c r="Z23" s="54" t="str">
        <f>IF(ROW(Z23)-ROW($Y$1)&lt;=$B$1,INDEX(IDX_COMPO!F:F,ROW(IDX_COMPO!R23)),"")</f>
        <v>VNXASPRVND</v>
      </c>
      <c r="AA23" s="2" t="str">
        <f t="array" ref="AA23">IF(X23&lt;&gt;"",IF(SUMPRODUCT(--(X23=IDX_CA!$A$2:$A$1041),--(NXT_COMPO!Y23=IDX_CA!$C$2:$C$1041),--(Z23=IDX_CA!$B$2:$B$1041))&gt;0,IF(INDEX(IDX_CA!$I:$I,SUMPRODUCT(--(X23=IDX_CA!$A$2:$A$1041),--(NXT_COMPO!Y23=IDX_CA!$C$2:$C$1041),--(Z23=IDX_CA!$B$2:$B$1041),ROW(IDX_CA!$I$2:$I$1041)))=1,"YES","MODIFY"),""),"")</f>
        <v/>
      </c>
      <c r="AB23" s="5">
        <f>IF(X23&lt;&gt;"",IF(AA23="YES","",COUNTIF($AA$2:AA23,"&lt;&gt;YES")),"")</f>
        <v>22</v>
      </c>
      <c r="AC23" s="2"/>
      <c r="AD23" s="5"/>
      <c r="AE23" s="5" t="str">
        <f t="array" ref="AE23">IF(ISERROR(SMALL(IF(IDX_CA!$H$1:$H$1041=1,ROW(IDX_CA!$H$1:$H$1041)),ROW(AH23)-ROW($AH$1))),"",INDEX(IDX_CA!$A:$A,SMALL(IF(IDX_CA!$H$1:$H$1041=1,ROW(IDX_CA!$H$1:$H$1041)),ROW(AH23)-ROW($AH$1))))</f>
        <v/>
      </c>
      <c r="AH23" s="2" t="str">
        <f t="array" ref="AH23">IF(ISERROR(SMALL(IF(IDX_CA!$H$1:$H$1041=1,ROW(IDX_CA!$H$1:$H$1041)),ROW(AH23)-ROW($AH$1))),"",IF(INDEX(IDX_CA!$C:$C,SMALL(IF(IDX_CA!$H$1:$H$1041=1,ROW(IDX_CA!$H$1:$H$1041)),ROW(AH23)-ROW($AH$1)))=$B$6,"YES",""))</f>
        <v/>
      </c>
      <c r="AI23" s="5" t="str">
        <f>IF(AD23&lt;&gt;"",IF(AH23="YES",COUNTIF($AH$2:AH23,"YES"),""),"")</f>
        <v/>
      </c>
    </row>
    <row r="24" spans="4:35" x14ac:dyDescent="0.2">
      <c r="D24" s="52">
        <f t="shared" si="0"/>
        <v>23</v>
      </c>
      <c r="E24" s="5" t="str">
        <f t="shared" si="4"/>
        <v>PSP</v>
      </c>
      <c r="F24" s="5" t="str">
        <f>IF($D24&lt;&gt;"",VLOOKUP($E24,STK_REF!$A$2:$J$1048576,2,0),"")</f>
        <v>Dinh Vu Petroleum Service Port Joint Stock Co</v>
      </c>
      <c r="G24" s="68">
        <f>IF($D24&lt;=$B$1-$B$2,IF(INDEX($AA$2:$AA$1048576,MATCH($D24,$AB$2:$AB$1048576,0))="MODIFY",INDEX(IDX_CA!$D$1:$D$1041,SUMPRODUCT(--($E24=IDX_CA!$A$2:$A$1041),--(NXT_COMPO!$P24=IDX_CA!$B$2:$B$1041),--(NXT_COMPO!$Q24=IDX_CA!$C$2:$C$1041),ROW(IDX_CA!$D$2:$D$1041))),INDEX(IDX_COMPO!$C$1:$C$12000,SUMPRODUCT(--($E24=IDX_COMPO!$A$2:$A$1200),--(NXT_COMPO!$P24=IDX_COMPO!$F$2:$F$1200),--(NXT_COMPO!$B$5=IDX_COMPO!$G$2:$G$1200),ROW(IDX_COMPO!$C$2:$C$1200)))),IF($D24&lt;=$B$4,INDEX(IDX_CA!$D$1:$D$1041,SUMPRODUCT(--($E24=IDX_CA!$A$2:$A$1041),--(NXT_COMPO!$P24=IDX_CA!$B$2:$B$1041),--(NXT_COMPO!$Q24=IDX_CA!$C$2:$C$1041),ROW(IDX_CA!$D$2:$D$1041))),""))</f>
        <v>35000000</v>
      </c>
      <c r="H24" s="55">
        <f>IF($D24&lt;=$B$1-$B$2,IF(INDEX($AA$2:$AA$1048576,MATCH($D24,$AB$2:$AB$1048576,0))="MODIFY",INDEX(IDX_CA!$E$1:$E$1041,SUMPRODUCT(--($E24=IDX_CA!$A$2:$A$1041),--(NXT_COMPO!$P24=IDX_CA!$B$2:$B$1041),--(NXT_COMPO!$Q24=IDX_CA!$C$2:$C$1041),ROW(IDX_CA!$E$2:$E$1041))),INDEX(IDX_COMPO!$D$1:$D$1200,SUMPRODUCT(--($E24=IDX_COMPO!$A$2:$A$1200),--(NXT_COMPO!$P24=IDX_COMPO!$F$2:$F$1200),--(NXT_COMPO!$B$5=IDX_COMPO!$G$2:$G$1200),ROW(IDX_COMPO!$D$2:$D$1200)))),IF($D24&lt;=$B$4,INDEX(IDX_CA!$E$1:$E$1041,SUMPRODUCT(--($E24=IDX_CA!$A$2:$A$1041),--(NXT_COMPO!$P24=IDX_CA!$B$2:$B$1041),--(NXT_COMPO!$Q24=IDX_CA!$C$2:$C$1041),ROW(IDX_CA!$E$2:$E$1041))),""))</f>
        <v>100</v>
      </c>
      <c r="I24" s="55">
        <f>IF($D24&lt;=$B$1-$B$2,IF(INDEX($AA$2:$AA$1048576,MATCH($D24,$AB$2:$AB$1048576,0))="MODIFY",INDEX(IDX_CA!$F$1:$F$1041,SUMPRODUCT(--($E24=IDX_CA!$A$2:$A$1041),--(NXT_COMPO!$P24=IDX_CA!$B$2:$B$1041),--(NXT_COMPO!$Q24=IDX_CA!$C$2:$C$1041),ROW(IDX_CA!$F$2:$F$1041))),INDEX(IDX_COMPO!$E$1:$E$1200,SUMPRODUCT(--($E24=IDX_COMPO!$A$2:$A$1200),--(NXT_COMPO!$P24=IDX_COMPO!$F$2:$F$1200),--(NXT_COMPO!$B$5=IDX_COMPO!$G$2:$G$1200),ROW(IDX_COMPO!$E$2:$E$1200)))),IF($D24&lt;=$B$4,INDEX(IDX_CA!$F$1:$F$1041,SUMPRODUCT(--($E24=IDX_CA!$A$2:$A$1041),--(NXT_COMPO!$P24=IDX_CA!$B$2:$B$1041),--(NXT_COMPO!$Q24=IDX_CA!$C$2:$C$1041),ROW(IDX_CA!$F$2:$F$1041))),""))</f>
        <v>100</v>
      </c>
      <c r="J24" s="62">
        <f>IF($D24&lt;=$B$1-$B$2,IF(INDEX($AA$2:$AA$1048576,MATCH($D24,$AB$2:$AB$1048576,0))="MODIFY",INDEX(IDX_CA!$G$1:$G$1041,SUMPRODUCT(--($E24=IDX_CA!$A$2:$A$1041),--(NXT_COMPO!$P24=IDX_CA!$B$2:$B$1041),--(NXT_COMPO!$Q24=IDX_CA!$C$2:$C$1041),ROW(IDX_CA!$G$2:$G$1041))),INDEX(IDX_COMPOSITION!$F$1:$F$441,SUMPRODUCT(--($E24=IDX_COMPOSITION!$A$2:$A$441),--(NXT_COMPO!$P24=IDX_COMPOSITION!$R$2:$R$441),--(NXT_COMPO!$B$5=IDX_COMPOSITION!$L$2:$L$441),ROW(IDX_COMPOSITION!$F$2:$F$441)))),IF($D24&lt;=$B$4,INDEX(IDX_CA!$G$1:$G$1041,SUMPRODUCT(--($E24=IDX_CA!$A$2:$A$1041),--(NXT_COMPO!$P24=IDX_CA!$B$2:$B$1041),--(NXT_COMPO!$Q24=IDX_CA!$C$2:$C$1041),ROW(IDX_CA!$G$2:$G$1041))),""))</f>
        <v>5300</v>
      </c>
      <c r="K24" s="63" t="str">
        <f>IF($D24&lt;&gt;"",VLOOKUP($E24,STK_REF!$A$2:$J$1048576,7,0),"")</f>
        <v>VND</v>
      </c>
      <c r="L24" s="5">
        <f>IF($D24&lt;&gt;"",VLOOKUP($E24,STK_REF!$A$2:$J$1048576,8,0),"")</f>
        <v>1</v>
      </c>
      <c r="M24" s="8">
        <f>IF($D24&lt;&gt;"",IF($K24=$U24,1,IF(ISNA(VLOOKUP($K24&amp;$U24,CUR_RATES!$A$2:$F$521,4,0)),"",VLOOKUP($K24&amp;$U24,CUR_RATES!$A$2:$F$521,4,0))),"")</f>
        <v>1</v>
      </c>
      <c r="N24" s="61">
        <f t="shared" si="5"/>
        <v>5300</v>
      </c>
      <c r="O24" s="68">
        <f t="shared" si="6"/>
        <v>185500000000</v>
      </c>
      <c r="P24" s="5" t="str">
        <f t="shared" si="1"/>
        <v>VNXASPRVND</v>
      </c>
      <c r="Q24" s="75">
        <f t="shared" si="7"/>
        <v>41166</v>
      </c>
      <c r="R24" s="68" t="str">
        <f t="shared" si="8"/>
        <v/>
      </c>
      <c r="S24" s="61" t="str">
        <f t="shared" si="9"/>
        <v/>
      </c>
      <c r="T24" s="62" t="str">
        <f>IF(D24&lt;&gt;"",IF(SUMPRODUCT(--($E24=STK_DIV!$A$2:$A$5),--(NXT_COMPO!$Q24=STK_DIV!$E$2:$E$5),ROW(STK_DIV!$D$2:$D$5))=0,"",INDEX(STK_DIV!$D$1:$D$5,SUMPRODUCT(--($E24=STK_DIV!$A$2:$A$5),--(NXT_COMPO!$Q24=STK_DIV!$E$2:$E$5),ROW(STK_DIV!$D$2:$D$5)))),"")</f>
        <v/>
      </c>
      <c r="U24" s="54" t="str">
        <f>IF($D24&lt;&gt;"",VLOOKUP($P24,IDX_REF!$2:$1048576,4,0),"")</f>
        <v>VND</v>
      </c>
      <c r="W24" s="52">
        <f t="shared" si="2"/>
        <v>23</v>
      </c>
      <c r="X24" s="5" t="str">
        <f>IF(ROW(X24)-ROW($X$1)&lt;=$B$1,INDEX(IDX_COMPO!A:A,ROW(IDX_COMPO!A24)),"")</f>
        <v>PSP</v>
      </c>
      <c r="Y24" s="75">
        <f t="shared" si="3"/>
        <v>41166</v>
      </c>
      <c r="Z24" s="54" t="str">
        <f>IF(ROW(Z24)-ROW($Y$1)&lt;=$B$1,INDEX(IDX_COMPO!F:F,ROW(IDX_COMPO!R24)),"")</f>
        <v>VNXASPRVND</v>
      </c>
      <c r="AA24" s="2" t="str">
        <f t="array" ref="AA24">IF(X24&lt;&gt;"",IF(SUMPRODUCT(--(X24=IDX_CA!$A$2:$A$1041),--(NXT_COMPO!Y24=IDX_CA!$C$2:$C$1041),--(Z24=IDX_CA!$B$2:$B$1041))&gt;0,IF(INDEX(IDX_CA!$I:$I,SUMPRODUCT(--(X24=IDX_CA!$A$2:$A$1041),--(NXT_COMPO!Y24=IDX_CA!$C$2:$C$1041),--(Z24=IDX_CA!$B$2:$B$1041),ROW(IDX_CA!$I$2:$I$1041)))=1,"YES","MODIFY"),""),"")</f>
        <v/>
      </c>
      <c r="AB24" s="5">
        <f>IF(X24&lt;&gt;"",IF(AA24="YES","",COUNTIF($AA$2:AA24,"&lt;&gt;YES")),"")</f>
        <v>23</v>
      </c>
      <c r="AC24" s="2"/>
      <c r="AD24" s="5"/>
      <c r="AE24" s="5" t="str">
        <f t="array" ref="AE24">IF(ISERROR(SMALL(IF(IDX_CA!$H$1:$H$1041=1,ROW(IDX_CA!$H$1:$H$1041)),ROW(AH24)-ROW($AH$1))),"",INDEX(IDX_CA!$A:$A,SMALL(IF(IDX_CA!$H$1:$H$1041=1,ROW(IDX_CA!$H$1:$H$1041)),ROW(AH24)-ROW($AH$1))))</f>
        <v/>
      </c>
      <c r="AH24" s="2" t="str">
        <f t="array" ref="AH24">IF(ISERROR(SMALL(IF(IDX_CA!$H$1:$H$1041=1,ROW(IDX_CA!$H$1:$H$1041)),ROW(AH24)-ROW($AH$1))),"",IF(INDEX(IDX_CA!$C:$C,SMALL(IF(IDX_CA!$H$1:$H$1041=1,ROW(IDX_CA!$H$1:$H$1041)),ROW(AH24)-ROW($AH$1)))=$B$6,"YES",""))</f>
        <v/>
      </c>
      <c r="AI24" s="5" t="str">
        <f>IF(AD24&lt;&gt;"",IF(AH24="YES",COUNTIF($AH$2:AH24,"YES"),""),"")</f>
        <v/>
      </c>
    </row>
    <row r="25" spans="4:35" x14ac:dyDescent="0.2">
      <c r="D25" s="52">
        <f t="shared" si="0"/>
        <v>24</v>
      </c>
      <c r="E25" s="5" t="str">
        <f t="shared" si="4"/>
        <v>PGD</v>
      </c>
      <c r="F25" s="5" t="str">
        <f>IF($D25&lt;&gt;"",VLOOKUP($E25,STK_REF!$A$2:$J$1048576,2,0),"")</f>
        <v>VNX Low Pressure Gas Distribution Joint S</v>
      </c>
      <c r="G25" s="68">
        <f>IF($D25&lt;=$B$1-$B$2,IF(INDEX($AA$2:$AA$1048576,MATCH($D25,$AB$2:$AB$1048576,0))="MODIFY",INDEX(IDX_CA!$D$1:$D$1041,SUMPRODUCT(--($E25=IDX_CA!$A$2:$A$1041),--(NXT_COMPO!$P25=IDX_CA!$B$2:$B$1041),--(NXT_COMPO!$Q25=IDX_CA!$C$2:$C$1041),ROW(IDX_CA!$D$2:$D$1041))),INDEX(IDX_COMPO!$C$1:$C$12000,SUMPRODUCT(--($E25=IDX_COMPO!$A$2:$A$1200),--(NXT_COMPO!$P25=IDX_COMPO!$F$2:$F$1200),--(NXT_COMPO!$B$5=IDX_COMPO!$G$2:$G$1200),ROW(IDX_COMPO!$C$2:$C$1200)))),IF($D25&lt;=$B$4,INDEX(IDX_CA!$D$1:$D$1041,SUMPRODUCT(--($E25=IDX_CA!$A$2:$A$1041),--(NXT_COMPO!$P25=IDX_CA!$B$2:$B$1041),--(NXT_COMPO!$Q25=IDX_CA!$C$2:$C$1041),ROW(IDX_CA!$D$2:$D$1041))),""))</f>
        <v>52356713</v>
      </c>
      <c r="H25" s="55">
        <f>IF($D25&lt;=$B$1-$B$2,IF(INDEX($AA$2:$AA$1048576,MATCH($D25,$AB$2:$AB$1048576,0))="MODIFY",INDEX(IDX_CA!$E$1:$E$1041,SUMPRODUCT(--($E25=IDX_CA!$A$2:$A$1041),--(NXT_COMPO!$P25=IDX_CA!$B$2:$B$1041),--(NXT_COMPO!$Q25=IDX_CA!$C$2:$C$1041),ROW(IDX_CA!$E$2:$E$1041))),INDEX(IDX_COMPO!$D$1:$D$1200,SUMPRODUCT(--($E25=IDX_COMPO!$A$2:$A$1200),--(NXT_COMPO!$P25=IDX_COMPO!$F$2:$F$1200),--(NXT_COMPO!$B$5=IDX_COMPO!$G$2:$G$1200),ROW(IDX_COMPO!$D$2:$D$1200)))),IF($D25&lt;=$B$4,INDEX(IDX_CA!$E$1:$E$1041,SUMPRODUCT(--($E25=IDX_CA!$A$2:$A$1041),--(NXT_COMPO!$P25=IDX_CA!$B$2:$B$1041),--(NXT_COMPO!$Q25=IDX_CA!$C$2:$C$1041),ROW(IDX_CA!$E$2:$E$1041))),""))</f>
        <v>100</v>
      </c>
      <c r="I25" s="55">
        <f>IF($D25&lt;=$B$1-$B$2,IF(INDEX($AA$2:$AA$1048576,MATCH($D25,$AB$2:$AB$1048576,0))="MODIFY",INDEX(IDX_CA!$F$1:$F$1041,SUMPRODUCT(--($E25=IDX_CA!$A$2:$A$1041),--(NXT_COMPO!$P25=IDX_CA!$B$2:$B$1041),--(NXT_COMPO!$Q25=IDX_CA!$C$2:$C$1041),ROW(IDX_CA!$F$2:$F$1041))),INDEX(IDX_COMPO!$E$1:$E$1200,SUMPRODUCT(--($E25=IDX_COMPO!$A$2:$A$1200),--(NXT_COMPO!$P25=IDX_COMPO!$F$2:$F$1200),--(NXT_COMPO!$B$5=IDX_COMPO!$G$2:$G$1200),ROW(IDX_COMPO!$E$2:$E$1200)))),IF($D25&lt;=$B$4,INDEX(IDX_CA!$F$1:$F$1041,SUMPRODUCT(--($E25=IDX_CA!$A$2:$A$1041),--(NXT_COMPO!$P25=IDX_CA!$B$2:$B$1041),--(NXT_COMPO!$Q25=IDX_CA!$C$2:$C$1041),ROW(IDX_CA!$F$2:$F$1041))),""))</f>
        <v>100</v>
      </c>
      <c r="J25" s="62">
        <f>IF($D25&lt;=$B$1-$B$2,IF(INDEX($AA$2:$AA$1048576,MATCH($D25,$AB$2:$AB$1048576,0))="MODIFY",INDEX(IDX_CA!$G$1:$G$1041,SUMPRODUCT(--($E25=IDX_CA!$A$2:$A$1041),--(NXT_COMPO!$P25=IDX_CA!$B$2:$B$1041),--(NXT_COMPO!$Q25=IDX_CA!$C$2:$C$1041),ROW(IDX_CA!$G$2:$G$1041))),INDEX(IDX_COMPOSITION!$F$1:$F$441,SUMPRODUCT(--($E25=IDX_COMPOSITION!$A$2:$A$441),--(NXT_COMPO!$P25=IDX_COMPOSITION!$R$2:$R$441),--(NXT_COMPO!$B$5=IDX_COMPOSITION!$L$2:$L$441),ROW(IDX_COMPOSITION!$F$2:$F$441)))),IF($D25&lt;=$B$4,INDEX(IDX_CA!$G$1:$G$1041,SUMPRODUCT(--($E25=IDX_CA!$A$2:$A$1041),--(NXT_COMPO!$P25=IDX_CA!$B$2:$B$1041),--(NXT_COMPO!$Q25=IDX_CA!$C$2:$C$1041),ROW(IDX_CA!$G$2:$G$1041))),""))</f>
        <v>38800</v>
      </c>
      <c r="K25" s="63" t="str">
        <f>IF($D25&lt;&gt;"",VLOOKUP($E25,STK_REF!$A$2:$J$1048576,7,0),"")</f>
        <v>VND</v>
      </c>
      <c r="L25" s="5">
        <f>IF($D25&lt;&gt;"",VLOOKUP($E25,STK_REF!$A$2:$J$1048576,8,0),"")</f>
        <v>1</v>
      </c>
      <c r="M25" s="8">
        <f>IF($D25&lt;&gt;"",IF($K25=$U25,1,IF(ISNA(VLOOKUP($K25&amp;$U25,CUR_RATES!$A$2:$F$521,4,0)),"",VLOOKUP($K25&amp;$U25,CUR_RATES!$A$2:$F$521,4,0))),"")</f>
        <v>1</v>
      </c>
      <c r="N25" s="61">
        <f t="shared" si="5"/>
        <v>38800</v>
      </c>
      <c r="O25" s="68">
        <f t="shared" si="6"/>
        <v>2031440464400</v>
      </c>
      <c r="P25" s="5" t="str">
        <f t="shared" si="1"/>
        <v>VNXASPRVND</v>
      </c>
      <c r="Q25" s="75">
        <f t="shared" si="7"/>
        <v>41166</v>
      </c>
      <c r="R25" s="68" t="str">
        <f t="shared" si="8"/>
        <v/>
      </c>
      <c r="S25" s="61" t="str">
        <f t="shared" si="9"/>
        <v/>
      </c>
      <c r="T25" s="62" t="str">
        <f>IF(D25&lt;&gt;"",IF(SUMPRODUCT(--($E25=STK_DIV!$A$2:$A$5),--(NXT_COMPO!$Q25=STK_DIV!$E$2:$E$5),ROW(STK_DIV!$D$2:$D$5))=0,"",INDEX(STK_DIV!$D$1:$D$5,SUMPRODUCT(--($E25=STK_DIV!$A$2:$A$5),--(NXT_COMPO!$Q25=STK_DIV!$E$2:$E$5),ROW(STK_DIV!$D$2:$D$5)))),"")</f>
        <v/>
      </c>
      <c r="U25" s="54" t="str">
        <f>IF($D25&lt;&gt;"",VLOOKUP($P25,IDX_REF!$2:$1048576,4,0),"")</f>
        <v>VND</v>
      </c>
      <c r="W25" s="52">
        <f t="shared" si="2"/>
        <v>24</v>
      </c>
      <c r="X25" s="5" t="str">
        <f>IF(ROW(X25)-ROW($X$1)&lt;=$B$1,INDEX(IDX_COMPO!A:A,ROW(IDX_COMPO!A25)),"")</f>
        <v>PGD</v>
      </c>
      <c r="Y25" s="75">
        <f t="shared" si="3"/>
        <v>41166</v>
      </c>
      <c r="Z25" s="54" t="str">
        <f>IF(ROW(Z25)-ROW($Y$1)&lt;=$B$1,INDEX(IDX_COMPO!F:F,ROW(IDX_COMPO!R25)),"")</f>
        <v>VNXASPRVND</v>
      </c>
      <c r="AA25" s="2" t="str">
        <f t="array" ref="AA25">IF(X25&lt;&gt;"",IF(SUMPRODUCT(--(X25=IDX_CA!$A$2:$A$1041),--(NXT_COMPO!Y25=IDX_CA!$C$2:$C$1041),--(Z25=IDX_CA!$B$2:$B$1041))&gt;0,IF(INDEX(IDX_CA!$I:$I,SUMPRODUCT(--(X25=IDX_CA!$A$2:$A$1041),--(NXT_COMPO!Y25=IDX_CA!$C$2:$C$1041),--(Z25=IDX_CA!$B$2:$B$1041),ROW(IDX_CA!$I$2:$I$1041)))=1,"YES","MODIFY"),""),"")</f>
        <v/>
      </c>
      <c r="AB25" s="5">
        <f>IF(X25&lt;&gt;"",IF(AA25="YES","",COUNTIF($AA$2:AA25,"&lt;&gt;YES")),"")</f>
        <v>24</v>
      </c>
      <c r="AC25" s="2"/>
      <c r="AD25" s="5"/>
      <c r="AE25" s="5"/>
      <c r="AH25" s="2" t="str">
        <f t="array" ref="AH25">IF(ISERROR(SMALL(IF(IDX_CA!$H$1:$H$1041=1,ROW(IDX_CA!$H$1:$H$1041)),ROW(AH25)-ROW($AH$1))),"",IF(INDEX(IDX_CA!$C:$C,SMALL(IF(IDX_CA!$H$1:$H$1041=1,ROW(IDX_CA!$H$1:$H$1041)),ROW(AH25)-ROW($AH$1)))=$B$6,"YES",""))</f>
        <v/>
      </c>
      <c r="AI25" s="5" t="str">
        <f>IF(AD25&lt;&gt;"",IF(AH25="YES",COUNTIF($AH$2:AH25,"YES"),""),"")</f>
        <v/>
      </c>
    </row>
    <row r="26" spans="4:35" x14ac:dyDescent="0.2">
      <c r="D26" s="52">
        <f t="shared" si="0"/>
        <v>25</v>
      </c>
      <c r="E26" s="5" t="str">
        <f t="shared" si="4"/>
        <v>NT2</v>
      </c>
      <c r="F26" s="5" t="str">
        <f>IF($D26&lt;&gt;"",VLOOKUP($E26,STK_REF!$A$2:$J$1048576,2,0),"")</f>
        <v>VNX Power NhonTrach 2 Joint Stock Co</v>
      </c>
      <c r="G26" s="68">
        <f>IF($D26&lt;=$B$1-$B$2,IF(INDEX($AA$2:$AA$1048576,MATCH($D26,$AB$2:$AB$1048576,0))="MODIFY",INDEX(IDX_CA!$D$1:$D$1041,SUMPRODUCT(--($E26=IDX_CA!$A$2:$A$1041),--(NXT_COMPO!$P26=IDX_CA!$B$2:$B$1041),--(NXT_COMPO!$Q26=IDX_CA!$C$2:$C$1041),ROW(IDX_CA!$D$2:$D$1041))),INDEX(IDX_COMPO!$C$1:$C$12000,SUMPRODUCT(--($E26=IDX_COMPO!$A$2:$A$1200),--(NXT_COMPO!$P26=IDX_COMPO!$F$2:$F$1200),--(NXT_COMPO!$B$5=IDX_COMPO!$G$2:$G$1200),ROW(IDX_COMPO!$C$2:$C$1200)))),IF($D26&lt;=$B$4,INDEX(IDX_CA!$D$1:$D$1041,SUMPRODUCT(--($E26=IDX_CA!$A$2:$A$1041),--(NXT_COMPO!$P26=IDX_CA!$B$2:$B$1041),--(NXT_COMPO!$Q26=IDX_CA!$C$2:$C$1041),ROW(IDX_CA!$D$2:$D$1041))),""))</f>
        <v>37518001</v>
      </c>
      <c r="H26" s="55">
        <f>IF($D26&lt;=$B$1-$B$2,IF(INDEX($AA$2:$AA$1048576,MATCH($D26,$AB$2:$AB$1048576,0))="MODIFY",INDEX(IDX_CA!$E$1:$E$1041,SUMPRODUCT(--($E26=IDX_CA!$A$2:$A$1041),--(NXT_COMPO!$P26=IDX_CA!$B$2:$B$1041),--(NXT_COMPO!$Q26=IDX_CA!$C$2:$C$1041),ROW(IDX_CA!$E$2:$E$1041))),INDEX(IDX_COMPO!$D$1:$D$1200,SUMPRODUCT(--($E26=IDX_COMPO!$A$2:$A$1200),--(NXT_COMPO!$P26=IDX_COMPO!$F$2:$F$1200),--(NXT_COMPO!$B$5=IDX_COMPO!$G$2:$G$1200),ROW(IDX_COMPO!$D$2:$D$1200)))),IF($D26&lt;=$B$4,INDEX(IDX_CA!$E$1:$E$1041,SUMPRODUCT(--($E26=IDX_CA!$A$2:$A$1041),--(NXT_COMPO!$P26=IDX_CA!$B$2:$B$1041),--(NXT_COMPO!$Q26=IDX_CA!$C$2:$C$1041),ROW(IDX_CA!$E$2:$E$1041))),""))</f>
        <v>100</v>
      </c>
      <c r="I26" s="55">
        <f>IF($D26&lt;=$B$1-$B$2,IF(INDEX($AA$2:$AA$1048576,MATCH($D26,$AB$2:$AB$1048576,0))="MODIFY",INDEX(IDX_CA!$F$1:$F$1041,SUMPRODUCT(--($E26=IDX_CA!$A$2:$A$1041),--(NXT_COMPO!$P26=IDX_CA!$B$2:$B$1041),--(NXT_COMPO!$Q26=IDX_CA!$C$2:$C$1041),ROW(IDX_CA!$F$2:$F$1041))),INDEX(IDX_COMPO!$E$1:$E$1200,SUMPRODUCT(--($E26=IDX_COMPO!$A$2:$A$1200),--(NXT_COMPO!$P26=IDX_COMPO!$F$2:$F$1200),--(NXT_COMPO!$B$5=IDX_COMPO!$G$2:$G$1200),ROW(IDX_COMPO!$E$2:$E$1200)))),IF($D26&lt;=$B$4,INDEX(IDX_CA!$F$1:$F$1041,SUMPRODUCT(--($E26=IDX_CA!$A$2:$A$1041),--(NXT_COMPO!$P26=IDX_CA!$B$2:$B$1041),--(NXT_COMPO!$Q26=IDX_CA!$C$2:$C$1041),ROW(IDX_CA!$F$2:$F$1041))),""))</f>
        <v>100</v>
      </c>
      <c r="J26" s="62">
        <f>IF($D26&lt;=$B$1-$B$2,IF(INDEX($AA$2:$AA$1048576,MATCH($D26,$AB$2:$AB$1048576,0))="MODIFY",INDEX(IDX_CA!$G$1:$G$1041,SUMPRODUCT(--($E26=IDX_CA!$A$2:$A$1041),--(NXT_COMPO!$P26=IDX_CA!$B$2:$B$1041),--(NXT_COMPO!$Q26=IDX_CA!$C$2:$C$1041),ROW(IDX_CA!$G$2:$G$1041))),INDEX(IDX_COMPOSITION!$F$1:$F$441,SUMPRODUCT(--($E26=IDX_COMPOSITION!$A$2:$A$441),--(NXT_COMPO!$P26=IDX_COMPOSITION!$R$2:$R$441),--(NXT_COMPO!$B$5=IDX_COMPOSITION!$L$2:$L$441),ROW(IDX_COMPOSITION!$F$2:$F$441)))),IF($D26&lt;=$B$4,INDEX(IDX_CA!$G$1:$G$1041,SUMPRODUCT(--($E26=IDX_CA!$A$2:$A$1041),--(NXT_COMPO!$P26=IDX_CA!$B$2:$B$1041),--(NXT_COMPO!$Q26=IDX_CA!$C$2:$C$1041),ROW(IDX_CA!$G$2:$G$1041))),""))</f>
        <v>4600</v>
      </c>
      <c r="K26" s="63" t="str">
        <f>IF($D26&lt;&gt;"",VLOOKUP($E26,STK_REF!$A$2:$J$1048576,7,0),"")</f>
        <v>VND</v>
      </c>
      <c r="L26" s="5">
        <f>IF($D26&lt;&gt;"",VLOOKUP($E26,STK_REF!$A$2:$J$1048576,8,0),"")</f>
        <v>1</v>
      </c>
      <c r="M26" s="8">
        <f>IF($D26&lt;&gt;"",IF($K26=$U26,1,IF(ISNA(VLOOKUP($K26&amp;$U26,CUR_RATES!$A$2:$F$521,4,0)),"",VLOOKUP($K26&amp;$U26,CUR_RATES!$A$2:$F$521,4,0))),"")</f>
        <v>1</v>
      </c>
      <c r="N26" s="61">
        <f t="shared" si="5"/>
        <v>4600</v>
      </c>
      <c r="O26" s="68">
        <f t="shared" si="6"/>
        <v>172582804600</v>
      </c>
      <c r="P26" s="5" t="str">
        <f t="shared" si="1"/>
        <v>VNXASPRVND</v>
      </c>
      <c r="Q26" s="75">
        <f t="shared" si="7"/>
        <v>41166</v>
      </c>
      <c r="R26" s="68" t="str">
        <f t="shared" si="8"/>
        <v/>
      </c>
      <c r="S26" s="61" t="str">
        <f t="shared" si="9"/>
        <v/>
      </c>
      <c r="T26" s="62" t="str">
        <f>IF(D26&lt;&gt;"",IF(SUMPRODUCT(--($E26=STK_DIV!$A$2:$A$5),--(NXT_COMPO!$Q26=STK_DIV!$E$2:$E$5),ROW(STK_DIV!$D$2:$D$5))=0,"",INDEX(STK_DIV!$D$1:$D$5,SUMPRODUCT(--($E26=STK_DIV!$A$2:$A$5),--(NXT_COMPO!$Q26=STK_DIV!$E$2:$E$5),ROW(STK_DIV!$D$2:$D$5)))),"")</f>
        <v/>
      </c>
      <c r="U26" s="54" t="str">
        <f>IF($D26&lt;&gt;"",VLOOKUP($P26,IDX_REF!$2:$1048576,4,0),"")</f>
        <v>VND</v>
      </c>
      <c r="W26" s="52">
        <f t="shared" si="2"/>
        <v>25</v>
      </c>
      <c r="X26" s="5" t="str">
        <f>IF(ROW(X26)-ROW($X$1)&lt;=$B$1,INDEX(IDX_COMPO!A:A,ROW(IDX_COMPO!A26)),"")</f>
        <v>NT2</v>
      </c>
      <c r="Y26" s="75">
        <f t="shared" si="3"/>
        <v>41166</v>
      </c>
      <c r="Z26" s="54" t="str">
        <f>IF(ROW(Z26)-ROW($Y$1)&lt;=$B$1,INDEX(IDX_COMPO!F:F,ROW(IDX_COMPO!R26)),"")</f>
        <v>VNXASPRVND</v>
      </c>
      <c r="AA26" s="2" t="str">
        <f t="array" ref="AA26">IF(X26&lt;&gt;"",IF(SUMPRODUCT(--(X26=IDX_CA!$A$2:$A$1041),--(NXT_COMPO!Y26=IDX_CA!$C$2:$C$1041),--(Z26=IDX_CA!$B$2:$B$1041))&gt;0,IF(INDEX(IDX_CA!$I:$I,SUMPRODUCT(--(X26=IDX_CA!$A$2:$A$1041),--(NXT_COMPO!Y26=IDX_CA!$C$2:$C$1041),--(Z26=IDX_CA!$B$2:$B$1041),ROW(IDX_CA!$I$2:$I$1041)))=1,"YES","MODIFY"),""),"")</f>
        <v/>
      </c>
      <c r="AB26" s="5">
        <f>IF(X26&lt;&gt;"",IF(AA26="YES","",COUNTIF($AA$2:AA26,"&lt;&gt;YES")),"")</f>
        <v>25</v>
      </c>
      <c r="AC26" s="2"/>
      <c r="AD26" s="5"/>
      <c r="AE26" s="5"/>
      <c r="AH26" s="2" t="str">
        <f t="array" ref="AH26">IF(ISERROR(SMALL(IF(IDX_CA!$H$1:$H$1041=1,ROW(IDX_CA!$H$1:$H$1041)),ROW(AH26)-ROW($AH$1))),"",IF(INDEX(IDX_CA!$C:$C,SMALL(IF(IDX_CA!$H$1:$H$1041=1,ROW(IDX_CA!$H$1:$H$1041)),ROW(AH26)-ROW($AH$1)))=$B$6,"YES",""))</f>
        <v/>
      </c>
      <c r="AI26" s="5" t="str">
        <f>IF(AD26&lt;&gt;"",IF(AH26="YES",COUNTIF($AH$2:AH26,"YES"),""),"")</f>
        <v/>
      </c>
    </row>
    <row r="27" spans="4:35" x14ac:dyDescent="0.2">
      <c r="D27" s="52">
        <f t="shared" si="0"/>
        <v>26</v>
      </c>
      <c r="E27" s="5" t="str">
        <f t="shared" si="4"/>
        <v>PTT</v>
      </c>
      <c r="F27" s="5" t="str">
        <f>IF($D27&lt;&gt;"",VLOOKUP($E27,STK_REF!$A$2:$J$1048576,2,0),"")</f>
        <v>Indochina Petroleum Transportation Joint Stock Com</v>
      </c>
      <c r="G27" s="68">
        <f>IF($D27&lt;=$B$1-$B$2,IF(INDEX($AA$2:$AA$1048576,MATCH($D27,$AB$2:$AB$1048576,0))="MODIFY",INDEX(IDX_CA!$D$1:$D$1041,SUMPRODUCT(--($E27=IDX_CA!$A$2:$A$1041),--(NXT_COMPO!$P27=IDX_CA!$B$2:$B$1041),--(NXT_COMPO!$Q27=IDX_CA!$C$2:$C$1041),ROW(IDX_CA!$D$2:$D$1041))),INDEX(IDX_COMPO!$C$1:$C$12000,SUMPRODUCT(--($E27=IDX_COMPO!$A$2:$A$1200),--(NXT_COMPO!$P27=IDX_COMPO!$F$2:$F$1200),--(NXT_COMPO!$B$5=IDX_COMPO!$G$2:$G$1200),ROW(IDX_COMPO!$C$2:$C$1200)))),IF($D27&lt;=$B$4,INDEX(IDX_CA!$D$1:$D$1041,SUMPRODUCT(--($E27=IDX_CA!$A$2:$A$1041),--(NXT_COMPO!$P27=IDX_CA!$B$2:$B$1041),--(NXT_COMPO!$Q27=IDX_CA!$C$2:$C$1041),ROW(IDX_CA!$D$2:$D$1041))),""))</f>
        <v>59841300</v>
      </c>
      <c r="H27" s="55">
        <f>IF($D27&lt;=$B$1-$B$2,IF(INDEX($AA$2:$AA$1048576,MATCH($D27,$AB$2:$AB$1048576,0))="MODIFY",INDEX(IDX_CA!$E$1:$E$1041,SUMPRODUCT(--($E27=IDX_CA!$A$2:$A$1041),--(NXT_COMPO!$P27=IDX_CA!$B$2:$B$1041),--(NXT_COMPO!$Q27=IDX_CA!$C$2:$C$1041),ROW(IDX_CA!$E$2:$E$1041))),INDEX(IDX_COMPO!$D$1:$D$1200,SUMPRODUCT(--($E27=IDX_COMPO!$A$2:$A$1200),--(NXT_COMPO!$P27=IDX_COMPO!$F$2:$F$1200),--(NXT_COMPO!$B$5=IDX_COMPO!$G$2:$G$1200),ROW(IDX_COMPO!$D$2:$D$1200)))),IF($D27&lt;=$B$4,INDEX(IDX_CA!$E$1:$E$1041,SUMPRODUCT(--($E27=IDX_CA!$A$2:$A$1041),--(NXT_COMPO!$P27=IDX_CA!$B$2:$B$1041),--(NXT_COMPO!$Q27=IDX_CA!$C$2:$C$1041),ROW(IDX_CA!$E$2:$E$1041))),""))</f>
        <v>100</v>
      </c>
      <c r="I27" s="55">
        <f>IF($D27&lt;=$B$1-$B$2,IF(INDEX($AA$2:$AA$1048576,MATCH($D27,$AB$2:$AB$1048576,0))="MODIFY",INDEX(IDX_CA!$F$1:$F$1041,SUMPRODUCT(--($E27=IDX_CA!$A$2:$A$1041),--(NXT_COMPO!$P27=IDX_CA!$B$2:$B$1041),--(NXT_COMPO!$Q27=IDX_CA!$C$2:$C$1041),ROW(IDX_CA!$F$2:$F$1041))),INDEX(IDX_COMPO!$E$1:$E$1200,SUMPRODUCT(--($E27=IDX_COMPO!$A$2:$A$1200),--(NXT_COMPO!$P27=IDX_COMPO!$F$2:$F$1200),--(NXT_COMPO!$B$5=IDX_COMPO!$G$2:$G$1200),ROW(IDX_COMPO!$E$2:$E$1200)))),IF($D27&lt;=$B$4,INDEX(IDX_CA!$F$1:$F$1041,SUMPRODUCT(--($E27=IDX_CA!$A$2:$A$1041),--(NXT_COMPO!$P27=IDX_CA!$B$2:$B$1041),--(NXT_COMPO!$Q27=IDX_CA!$C$2:$C$1041),ROW(IDX_CA!$F$2:$F$1041))),""))</f>
        <v>100</v>
      </c>
      <c r="J27" s="62">
        <f>IF($D27&lt;=$B$1-$B$2,IF(INDEX($AA$2:$AA$1048576,MATCH($D27,$AB$2:$AB$1048576,0))="MODIFY",INDEX(IDX_CA!$G$1:$G$1041,SUMPRODUCT(--($E27=IDX_CA!$A$2:$A$1041),--(NXT_COMPO!$P27=IDX_CA!$B$2:$B$1041),--(NXT_COMPO!$Q27=IDX_CA!$C$2:$C$1041),ROW(IDX_CA!$G$2:$G$1041))),INDEX(IDX_COMPOSITION!$F$1:$F$441,SUMPRODUCT(--($E27=IDX_COMPOSITION!$A$2:$A$441),--(NXT_COMPO!$P27=IDX_COMPOSITION!$R$2:$R$441),--(NXT_COMPO!$B$5=IDX_COMPOSITION!$L$2:$L$441),ROW(IDX_COMPOSITION!$F$2:$F$441)))),IF($D27&lt;=$B$4,INDEX(IDX_CA!$G$1:$G$1041,SUMPRODUCT(--($E27=IDX_CA!$A$2:$A$1041),--(NXT_COMPO!$P27=IDX_CA!$B$2:$B$1041),--(NXT_COMPO!$Q27=IDX_CA!$C$2:$C$1041),ROW(IDX_CA!$G$2:$G$1041))),""))</f>
        <v>1800</v>
      </c>
      <c r="K27" s="63" t="str">
        <f>IF($D27&lt;&gt;"",VLOOKUP($E27,STK_REF!$A$2:$J$1048576,7,0),"")</f>
        <v>VND</v>
      </c>
      <c r="L27" s="5">
        <f>IF($D27&lt;&gt;"",VLOOKUP($E27,STK_REF!$A$2:$J$1048576,8,0),"")</f>
        <v>1</v>
      </c>
      <c r="M27" s="8">
        <f>IF($D27&lt;&gt;"",IF($K27=$U27,1,IF(ISNA(VLOOKUP($K27&amp;$U27,CUR_RATES!$A$2:$F$521,4,0)),"",VLOOKUP($K27&amp;$U27,CUR_RATES!$A$2:$F$521,4,0))),"")</f>
        <v>1</v>
      </c>
      <c r="N27" s="61">
        <f t="shared" si="5"/>
        <v>1800</v>
      </c>
      <c r="O27" s="68">
        <f t="shared" si="6"/>
        <v>107714340000</v>
      </c>
      <c r="P27" s="5" t="str">
        <f t="shared" si="1"/>
        <v>VNXASPRVND</v>
      </c>
      <c r="Q27" s="75">
        <f t="shared" si="7"/>
        <v>41166</v>
      </c>
      <c r="R27" s="68" t="str">
        <f t="shared" si="8"/>
        <v/>
      </c>
      <c r="S27" s="61" t="str">
        <f t="shared" si="9"/>
        <v/>
      </c>
      <c r="T27" s="62" t="str">
        <f>IF(D27&lt;&gt;"",IF(SUMPRODUCT(--($E27=STK_DIV!$A$2:$A$5),--(NXT_COMPO!$Q27=STK_DIV!$E$2:$E$5),ROW(STK_DIV!$D$2:$D$5))=0,"",INDEX(STK_DIV!$D$1:$D$5,SUMPRODUCT(--($E27=STK_DIV!$A$2:$A$5),--(NXT_COMPO!$Q27=STK_DIV!$E$2:$E$5),ROW(STK_DIV!$D$2:$D$5)))),"")</f>
        <v/>
      </c>
      <c r="U27" s="54" t="str">
        <f>IF($D27&lt;&gt;"",VLOOKUP($P27,IDX_REF!$2:$1048576,4,0),"")</f>
        <v>VND</v>
      </c>
      <c r="W27" s="52">
        <f t="shared" si="2"/>
        <v>26</v>
      </c>
      <c r="X27" s="5" t="str">
        <f>IF(ROW(X27)-ROW($X$1)&lt;=$B$1,INDEX(IDX_COMPO!A:A,ROW(IDX_COMPO!A27)),"")</f>
        <v>PTT</v>
      </c>
      <c r="Y27" s="75">
        <f t="shared" si="3"/>
        <v>41166</v>
      </c>
      <c r="Z27" s="54" t="str">
        <f>IF(ROW(Z27)-ROW($Y$1)&lt;=$B$1,INDEX(IDX_COMPO!F:F,ROW(IDX_COMPO!R27)),"")</f>
        <v>VNXASPRVND</v>
      </c>
      <c r="AA27" s="2" t="str">
        <f t="array" ref="AA27">IF(X27&lt;&gt;"",IF(SUMPRODUCT(--(X27=IDX_CA!$A$2:$A$1041),--(NXT_COMPO!Y27=IDX_CA!$C$2:$C$1041),--(Z27=IDX_CA!$B$2:$B$1041))&gt;0,IF(INDEX(IDX_CA!$I:$I,SUMPRODUCT(--(X27=IDX_CA!$A$2:$A$1041),--(NXT_COMPO!Y27=IDX_CA!$C$2:$C$1041),--(Z27=IDX_CA!$B$2:$B$1041),ROW(IDX_CA!$I$2:$I$1041)))=1,"YES","MODIFY"),""),"")</f>
        <v/>
      </c>
      <c r="AB27" s="5">
        <f>IF(X27&lt;&gt;"",IF(AA27="YES","",COUNTIF($AA$2:AA27,"&lt;&gt;YES")),"")</f>
        <v>26</v>
      </c>
      <c r="AC27" s="2"/>
      <c r="AD27" s="5"/>
      <c r="AE27" s="5"/>
      <c r="AH27" s="2" t="str">
        <f t="array" ref="AH27">IF(ISERROR(SMALL(IF(IDX_CA!$H$1:$H$1041=1,ROW(IDX_CA!$H$1:$H$1041)),ROW(AH27)-ROW($AH$1))),"",IF(INDEX(IDX_CA!$C:$C,SMALL(IF(IDX_CA!$H$1:$H$1041=1,ROW(IDX_CA!$H$1:$H$1041)),ROW(AH27)-ROW($AH$1)))=$B$6,"YES",""))</f>
        <v/>
      </c>
      <c r="AI27" s="5" t="str">
        <f>IF(AD27&lt;&gt;"",IF(AH27="YES",COUNTIF($AH$2:AH27,"YES"),""),"")</f>
        <v/>
      </c>
    </row>
    <row r="28" spans="4:35" x14ac:dyDescent="0.2">
      <c r="D28" s="52">
        <f t="shared" si="0"/>
        <v>27</v>
      </c>
      <c r="E28" s="5" t="str">
        <f t="shared" si="4"/>
        <v>PXT</v>
      </c>
      <c r="F28" s="5" t="str">
        <f>IF($D28&lt;&gt;"",VLOOKUP($E28,STK_REF!$A$2:$J$1048576,2,0),"")</f>
        <v>Petroleum Pipeline and Tank Construction Joint Sto</v>
      </c>
      <c r="G28" s="68">
        <f>IF($D28&lt;=$B$1-$B$2,IF(INDEX($AA$2:$AA$1048576,MATCH($D28,$AB$2:$AB$1048576,0))="MODIFY",INDEX(IDX_CA!$D$1:$D$1041,SUMPRODUCT(--($E28=IDX_CA!$A$2:$A$1041),--(NXT_COMPO!$P28=IDX_CA!$B$2:$B$1041),--(NXT_COMPO!$Q28=IDX_CA!$C$2:$C$1041),ROW(IDX_CA!$D$2:$D$1041))),INDEX(IDX_COMPO!$C$1:$C$12000,SUMPRODUCT(--($E28=IDX_COMPO!$A$2:$A$1200),--(NXT_COMPO!$P28=IDX_COMPO!$F$2:$F$1200),--(NXT_COMPO!$B$5=IDX_COMPO!$G$2:$G$1200),ROW(IDX_COMPO!$C$2:$C$1200)))),IF($D28&lt;=$B$4,INDEX(IDX_CA!$D$1:$D$1041,SUMPRODUCT(--($E28=IDX_CA!$A$2:$A$1041),--(NXT_COMPO!$P28=IDX_CA!$B$2:$B$1041),--(NXT_COMPO!$Q28=IDX_CA!$C$2:$C$1041),ROW(IDX_CA!$D$2:$D$1041))),""))</f>
        <v>27719850</v>
      </c>
      <c r="H28" s="55">
        <f>IF($D28&lt;=$B$1-$B$2,IF(INDEX($AA$2:$AA$1048576,MATCH($D28,$AB$2:$AB$1048576,0))="MODIFY",INDEX(IDX_CA!$E$1:$E$1041,SUMPRODUCT(--($E28=IDX_CA!$A$2:$A$1041),--(NXT_COMPO!$P28=IDX_CA!$B$2:$B$1041),--(NXT_COMPO!$Q28=IDX_CA!$C$2:$C$1041),ROW(IDX_CA!$E$2:$E$1041))),INDEX(IDX_COMPO!$D$1:$D$1200,SUMPRODUCT(--($E28=IDX_COMPO!$A$2:$A$1200),--(NXT_COMPO!$P28=IDX_COMPO!$F$2:$F$1200),--(NXT_COMPO!$B$5=IDX_COMPO!$G$2:$G$1200),ROW(IDX_COMPO!$D$2:$D$1200)))),IF($D28&lt;=$B$4,INDEX(IDX_CA!$E$1:$E$1041,SUMPRODUCT(--($E28=IDX_CA!$A$2:$A$1041),--(NXT_COMPO!$P28=IDX_CA!$B$2:$B$1041),--(NXT_COMPO!$Q28=IDX_CA!$C$2:$C$1041),ROW(IDX_CA!$E$2:$E$1041))),""))</f>
        <v>100</v>
      </c>
      <c r="I28" s="55">
        <f>IF($D28&lt;=$B$1-$B$2,IF(INDEX($AA$2:$AA$1048576,MATCH($D28,$AB$2:$AB$1048576,0))="MODIFY",INDEX(IDX_CA!$F$1:$F$1041,SUMPRODUCT(--($E28=IDX_CA!$A$2:$A$1041),--(NXT_COMPO!$P28=IDX_CA!$B$2:$B$1041),--(NXT_COMPO!$Q28=IDX_CA!$C$2:$C$1041),ROW(IDX_CA!$F$2:$F$1041))),INDEX(IDX_COMPO!$E$1:$E$1200,SUMPRODUCT(--($E28=IDX_COMPO!$A$2:$A$1200),--(NXT_COMPO!$P28=IDX_COMPO!$F$2:$F$1200),--(NXT_COMPO!$B$5=IDX_COMPO!$G$2:$G$1200),ROW(IDX_COMPO!$E$2:$E$1200)))),IF($D28&lt;=$B$4,INDEX(IDX_CA!$F$1:$F$1041,SUMPRODUCT(--($E28=IDX_CA!$A$2:$A$1041),--(NXT_COMPO!$P28=IDX_CA!$B$2:$B$1041),--(NXT_COMPO!$Q28=IDX_CA!$C$2:$C$1041),ROW(IDX_CA!$F$2:$F$1041))),""))</f>
        <v>100</v>
      </c>
      <c r="J28" s="62">
        <f>IF($D28&lt;=$B$1-$B$2,IF(INDEX($AA$2:$AA$1048576,MATCH($D28,$AB$2:$AB$1048576,0))="MODIFY",INDEX(IDX_CA!$G$1:$G$1041,SUMPRODUCT(--($E28=IDX_CA!$A$2:$A$1041),--(NXT_COMPO!$P28=IDX_CA!$B$2:$B$1041),--(NXT_COMPO!$Q28=IDX_CA!$C$2:$C$1041),ROW(IDX_CA!$G$2:$G$1041))),INDEX(IDX_COMPOSITION!$F$1:$F$441,SUMPRODUCT(--($E28=IDX_COMPOSITION!$A$2:$A$441),--(NXT_COMPO!$P28=IDX_COMPOSITION!$R$2:$R$441),--(NXT_COMPO!$B$5=IDX_COMPOSITION!$L$2:$L$441),ROW(IDX_COMPOSITION!$F$2:$F$441)))),IF($D28&lt;=$B$4,INDEX(IDX_CA!$G$1:$G$1041,SUMPRODUCT(--($E28=IDX_CA!$A$2:$A$1041),--(NXT_COMPO!$P28=IDX_CA!$B$2:$B$1041),--(NXT_COMPO!$Q28=IDX_CA!$C$2:$C$1041),ROW(IDX_CA!$G$2:$G$1041))),""))</f>
        <v>4200</v>
      </c>
      <c r="K28" s="63" t="str">
        <f>IF($D28&lt;&gt;"",VLOOKUP($E28,STK_REF!$A$2:$J$1048576,7,0),"")</f>
        <v>VND</v>
      </c>
      <c r="L28" s="5">
        <f>IF($D28&lt;&gt;"",VLOOKUP($E28,STK_REF!$A$2:$J$1048576,8,0),"")</f>
        <v>1</v>
      </c>
      <c r="M28" s="8">
        <f>IF($D28&lt;&gt;"",IF($K28=$U28,1,IF(ISNA(VLOOKUP($K28&amp;$U28,CUR_RATES!$A$2:$F$521,4,0)),"",VLOOKUP($K28&amp;$U28,CUR_RATES!$A$2:$F$521,4,0))),"")</f>
        <v>1</v>
      </c>
      <c r="N28" s="61">
        <f t="shared" si="5"/>
        <v>4200</v>
      </c>
      <c r="O28" s="68">
        <f t="shared" si="6"/>
        <v>116423370000</v>
      </c>
      <c r="P28" s="5" t="str">
        <f t="shared" si="1"/>
        <v>VNXASPRVND</v>
      </c>
      <c r="Q28" s="75">
        <f t="shared" si="7"/>
        <v>41166</v>
      </c>
      <c r="R28" s="68" t="str">
        <f t="shared" si="8"/>
        <v/>
      </c>
      <c r="S28" s="61" t="str">
        <f t="shared" si="9"/>
        <v/>
      </c>
      <c r="T28" s="62" t="str">
        <f>IF(D28&lt;&gt;"",IF(SUMPRODUCT(--($E28=STK_DIV!$A$2:$A$5),--(NXT_COMPO!$Q28=STK_DIV!$E$2:$E$5),ROW(STK_DIV!$D$2:$D$5))=0,"",INDEX(STK_DIV!$D$1:$D$5,SUMPRODUCT(--($E28=STK_DIV!$A$2:$A$5),--(NXT_COMPO!$Q28=STK_DIV!$E$2:$E$5),ROW(STK_DIV!$D$2:$D$5)))),"")</f>
        <v/>
      </c>
      <c r="U28" s="54" t="str">
        <f>IF($D28&lt;&gt;"",VLOOKUP($P28,IDX_REF!$2:$1048576,4,0),"")</f>
        <v>VND</v>
      </c>
      <c r="W28" s="52">
        <f t="shared" si="2"/>
        <v>27</v>
      </c>
      <c r="X28" s="5" t="str">
        <f>IF(ROW(X28)-ROW($X$1)&lt;=$B$1,INDEX(IDX_COMPO!A:A,ROW(IDX_COMPO!A28)),"")</f>
        <v>PXT</v>
      </c>
      <c r="Y28" s="75">
        <f t="shared" si="3"/>
        <v>41166</v>
      </c>
      <c r="Z28" s="54" t="str">
        <f>IF(ROW(Z28)-ROW($Y$1)&lt;=$B$1,INDEX(IDX_COMPO!F:F,ROW(IDX_COMPO!R28)),"")</f>
        <v>VNXASPRVND</v>
      </c>
      <c r="AA28" s="2" t="str">
        <f t="array" ref="AA28">IF(X28&lt;&gt;"",IF(SUMPRODUCT(--(X28=IDX_CA!$A$2:$A$1041),--(NXT_COMPO!Y28=IDX_CA!$C$2:$C$1041),--(Z28=IDX_CA!$B$2:$B$1041))&gt;0,IF(INDEX(IDX_CA!$I:$I,SUMPRODUCT(--(X28=IDX_CA!$A$2:$A$1041),--(NXT_COMPO!Y28=IDX_CA!$C$2:$C$1041),--(Z28=IDX_CA!$B$2:$B$1041),ROW(IDX_CA!$I$2:$I$1041)))=1,"YES","MODIFY"),""),"")</f>
        <v/>
      </c>
      <c r="AB28" s="5">
        <f>IF(X28&lt;&gt;"",IF(AA28="YES","",COUNTIF($AA$2:AA28,"&lt;&gt;YES")),"")</f>
        <v>27</v>
      </c>
      <c r="AC28" s="2"/>
      <c r="AD28" s="5"/>
      <c r="AE28" s="5"/>
      <c r="AH28" s="2" t="str">
        <f t="array" ref="AH28">IF(ISERROR(SMALL(IF(IDX_CA!$H$1:$H$1041=1,ROW(IDX_CA!$H$1:$H$1041)),ROW(AH28)-ROW($AH$1))),"",IF(INDEX(IDX_CA!$C:$C,SMALL(IF(IDX_CA!$H$1:$H$1041=1,ROW(IDX_CA!$H$1:$H$1041)),ROW(AH28)-ROW($AH$1)))=$B$6,"YES",""))</f>
        <v/>
      </c>
      <c r="AI28" s="5" t="str">
        <f>IF(AD28&lt;&gt;"",IF(AH28="YES",COUNTIF($AH$2:AH28,"YES"),""),"")</f>
        <v/>
      </c>
    </row>
    <row r="29" spans="4:35" x14ac:dyDescent="0.2">
      <c r="D29" s="52">
        <f t="shared" si="0"/>
        <v>28</v>
      </c>
      <c r="E29" s="5" t="str">
        <f t="shared" si="4"/>
        <v>PXS</v>
      </c>
      <c r="F29" s="5" t="str">
        <f>IF($D29&lt;&gt;"",VLOOKUP($E29,STK_REF!$A$2:$J$1048576,2,0),"")</f>
        <v>Petroleum Equipment Assembly and Metal Structure J</v>
      </c>
      <c r="G29" s="68">
        <f>IF($D29&lt;=$B$1-$B$2,IF(INDEX($AA$2:$AA$1048576,MATCH($D29,$AB$2:$AB$1048576,0))="MODIFY",INDEX(IDX_CA!$D$1:$D$1041,SUMPRODUCT(--($E29=IDX_CA!$A$2:$A$1041),--(NXT_COMPO!$P29=IDX_CA!$B$2:$B$1041),--(NXT_COMPO!$Q29=IDX_CA!$C$2:$C$1041),ROW(IDX_CA!$D$2:$D$1041))),INDEX(IDX_COMPO!$C$1:$C$12000,SUMPRODUCT(--($E29=IDX_COMPO!$A$2:$A$1200),--(NXT_COMPO!$P29=IDX_COMPO!$F$2:$F$1200),--(NXT_COMPO!$B$5=IDX_COMPO!$G$2:$G$1200),ROW(IDX_COMPO!$C$2:$C$1200)))),IF($D29&lt;=$B$4,INDEX(IDX_CA!$D$1:$D$1041,SUMPRODUCT(--($E29=IDX_CA!$A$2:$A$1041),--(NXT_COMPO!$P29=IDX_CA!$B$2:$B$1041),--(NXT_COMPO!$Q29=IDX_CA!$C$2:$C$1041),ROW(IDX_CA!$D$2:$D$1041))),""))</f>
        <v>50000000</v>
      </c>
      <c r="H29" s="55">
        <f>IF($D29&lt;=$B$1-$B$2,IF(INDEX($AA$2:$AA$1048576,MATCH($D29,$AB$2:$AB$1048576,0))="MODIFY",INDEX(IDX_CA!$E$1:$E$1041,SUMPRODUCT(--($E29=IDX_CA!$A$2:$A$1041),--(NXT_COMPO!$P29=IDX_CA!$B$2:$B$1041),--(NXT_COMPO!$Q29=IDX_CA!$C$2:$C$1041),ROW(IDX_CA!$E$2:$E$1041))),INDEX(IDX_COMPO!$D$1:$D$1200,SUMPRODUCT(--($E29=IDX_COMPO!$A$2:$A$1200),--(NXT_COMPO!$P29=IDX_COMPO!$F$2:$F$1200),--(NXT_COMPO!$B$5=IDX_COMPO!$G$2:$G$1200),ROW(IDX_COMPO!$D$2:$D$1200)))),IF($D29&lt;=$B$4,INDEX(IDX_CA!$E$1:$E$1041,SUMPRODUCT(--($E29=IDX_CA!$A$2:$A$1041),--(NXT_COMPO!$P29=IDX_CA!$B$2:$B$1041),--(NXT_COMPO!$Q29=IDX_CA!$C$2:$C$1041),ROW(IDX_CA!$E$2:$E$1041))),""))</f>
        <v>100</v>
      </c>
      <c r="I29" s="55">
        <f>IF($D29&lt;=$B$1-$B$2,IF(INDEX($AA$2:$AA$1048576,MATCH($D29,$AB$2:$AB$1048576,0))="MODIFY",INDEX(IDX_CA!$F$1:$F$1041,SUMPRODUCT(--($E29=IDX_CA!$A$2:$A$1041),--(NXT_COMPO!$P29=IDX_CA!$B$2:$B$1041),--(NXT_COMPO!$Q29=IDX_CA!$C$2:$C$1041),ROW(IDX_CA!$F$2:$F$1041))),INDEX(IDX_COMPO!$E$1:$E$1200,SUMPRODUCT(--($E29=IDX_COMPO!$A$2:$A$1200),--(NXT_COMPO!$P29=IDX_COMPO!$F$2:$F$1200),--(NXT_COMPO!$B$5=IDX_COMPO!$G$2:$G$1200),ROW(IDX_COMPO!$E$2:$E$1200)))),IF($D29&lt;=$B$4,INDEX(IDX_CA!$F$1:$F$1041,SUMPRODUCT(--($E29=IDX_CA!$A$2:$A$1041),--(NXT_COMPO!$P29=IDX_CA!$B$2:$B$1041),--(NXT_COMPO!$Q29=IDX_CA!$C$2:$C$1041),ROW(IDX_CA!$F$2:$F$1041))),""))</f>
        <v>100</v>
      </c>
      <c r="J29" s="62">
        <f>IF($D29&lt;=$B$1-$B$2,IF(INDEX($AA$2:$AA$1048576,MATCH($D29,$AB$2:$AB$1048576,0))="MODIFY",INDEX(IDX_CA!$G$1:$G$1041,SUMPRODUCT(--($E29=IDX_CA!$A$2:$A$1041),--(NXT_COMPO!$P29=IDX_CA!$B$2:$B$1041),--(NXT_COMPO!$Q29=IDX_CA!$C$2:$C$1041),ROW(IDX_CA!$G$2:$G$1041))),INDEX(IDX_COMPOSITION!$F$1:$F$441,SUMPRODUCT(--($E29=IDX_COMPOSITION!$A$2:$A$441),--(NXT_COMPO!$P29=IDX_COMPOSITION!$R$2:$R$441),--(NXT_COMPO!$B$5=IDX_COMPOSITION!$L$2:$L$441),ROW(IDX_COMPOSITION!$F$2:$F$441)))),IF($D29&lt;=$B$4,INDEX(IDX_CA!$G$1:$G$1041,SUMPRODUCT(--($E29=IDX_CA!$A$2:$A$1041),--(NXT_COMPO!$P29=IDX_CA!$B$2:$B$1041),--(NXT_COMPO!$Q29=IDX_CA!$C$2:$C$1041),ROW(IDX_CA!$G$2:$G$1041))),""))</f>
        <v>9400</v>
      </c>
      <c r="K29" s="63" t="str">
        <f>IF($D29&lt;&gt;"",VLOOKUP($E29,STK_REF!$A$2:$J$1048576,7,0),"")</f>
        <v>VND</v>
      </c>
      <c r="L29" s="5">
        <f>IF($D29&lt;&gt;"",VLOOKUP($E29,STK_REF!$A$2:$J$1048576,8,0),"")</f>
        <v>1</v>
      </c>
      <c r="M29" s="8">
        <f>IF($D29&lt;&gt;"",IF($K29=$U29,1,IF(ISNA(VLOOKUP($K29&amp;$U29,CUR_RATES!$A$2:$F$521,4,0)),"",VLOOKUP($K29&amp;$U29,CUR_RATES!$A$2:$F$521,4,0))),"")</f>
        <v>1</v>
      </c>
      <c r="N29" s="61">
        <f t="shared" si="5"/>
        <v>9400</v>
      </c>
      <c r="O29" s="68">
        <f t="shared" si="6"/>
        <v>470000000000</v>
      </c>
      <c r="P29" s="5" t="str">
        <f t="shared" si="1"/>
        <v>VNXASPRVND</v>
      </c>
      <c r="Q29" s="75">
        <f t="shared" si="7"/>
        <v>41166</v>
      </c>
      <c r="R29" s="68" t="str">
        <f t="shared" si="8"/>
        <v/>
      </c>
      <c r="S29" s="61" t="str">
        <f t="shared" si="9"/>
        <v/>
      </c>
      <c r="T29" s="62" t="str">
        <f>IF(D29&lt;&gt;"",IF(SUMPRODUCT(--($E29=STK_DIV!$A$2:$A$5),--(NXT_COMPO!$Q29=STK_DIV!$E$2:$E$5),ROW(STK_DIV!$D$2:$D$5))=0,"",INDEX(STK_DIV!$D$1:$D$5,SUMPRODUCT(--($E29=STK_DIV!$A$2:$A$5),--(NXT_COMPO!$Q29=STK_DIV!$E$2:$E$5),ROW(STK_DIV!$D$2:$D$5)))),"")</f>
        <v/>
      </c>
      <c r="U29" s="54" t="str">
        <f>IF($D29&lt;&gt;"",VLOOKUP($P29,IDX_REF!$2:$1048576,4,0),"")</f>
        <v>VND</v>
      </c>
      <c r="W29" s="52">
        <f t="shared" si="2"/>
        <v>28</v>
      </c>
      <c r="X29" s="5" t="str">
        <f>IF(ROW(X29)-ROW($X$1)&lt;=$B$1,INDEX(IDX_COMPO!A:A,ROW(IDX_COMPO!A29)),"")</f>
        <v>PXS</v>
      </c>
      <c r="Y29" s="75">
        <f t="shared" si="3"/>
        <v>41166</v>
      </c>
      <c r="Z29" s="54" t="str">
        <f>IF(ROW(Z29)-ROW($Y$1)&lt;=$B$1,INDEX(IDX_COMPO!F:F,ROW(IDX_COMPO!R29)),"")</f>
        <v>VNXASPRVND</v>
      </c>
      <c r="AA29" s="2" t="str">
        <f t="array" ref="AA29">IF(X29&lt;&gt;"",IF(SUMPRODUCT(--(X29=IDX_CA!$A$2:$A$1041),--(NXT_COMPO!Y29=IDX_CA!$C$2:$C$1041),--(Z29=IDX_CA!$B$2:$B$1041))&gt;0,IF(INDEX(IDX_CA!$I:$I,SUMPRODUCT(--(X29=IDX_CA!$A$2:$A$1041),--(NXT_COMPO!Y29=IDX_CA!$C$2:$C$1041),--(Z29=IDX_CA!$B$2:$B$1041),ROW(IDX_CA!$I$2:$I$1041)))=1,"YES","MODIFY"),""),"")</f>
        <v/>
      </c>
      <c r="AB29" s="5">
        <f>IF(X29&lt;&gt;"",IF(AA29="YES","",COUNTIF($AA$2:AA29,"&lt;&gt;YES")),"")</f>
        <v>28</v>
      </c>
      <c r="AC29" s="2"/>
      <c r="AD29" s="5"/>
      <c r="AE29" s="5"/>
      <c r="AH29" s="2" t="str">
        <f t="array" ref="AH29">IF(ISERROR(SMALL(IF(IDX_CA!$H$1:$H$1041=1,ROW(IDX_CA!$H$1:$H$1041)),ROW(AH29)-ROW($AH$1))),"",IF(INDEX(IDX_CA!$C:$C,SMALL(IF(IDX_CA!$H$1:$H$1041=1,ROW(IDX_CA!$H$1:$H$1041)),ROW(AH29)-ROW($AH$1)))=$B$6,"YES",""))</f>
        <v/>
      </c>
      <c r="AI29" s="5" t="str">
        <f>IF(AD29&lt;&gt;"",IF(AH29="YES",COUNTIF($AH$2:AH29,"YES"),""),"")</f>
        <v/>
      </c>
    </row>
    <row r="30" spans="4:35" x14ac:dyDescent="0.2">
      <c r="D30" s="52">
        <f t="shared" si="0"/>
        <v>29</v>
      </c>
      <c r="E30" s="5" t="str">
        <f t="shared" si="4"/>
        <v>PVR</v>
      </c>
      <c r="F30" s="5" t="str">
        <f>IF($D30&lt;&gt;"",VLOOKUP($E30,STK_REF!$A$2:$J$1048576,2,0),"")</f>
        <v>VNX Premier Recreation</v>
      </c>
      <c r="G30" s="68">
        <f>IF($D30&lt;=$B$1-$B$2,IF(INDEX($AA$2:$AA$1048576,MATCH($D30,$AB$2:$AB$1048576,0))="MODIFY",INDEX(IDX_CA!$D$1:$D$1041,SUMPRODUCT(--($E30=IDX_CA!$A$2:$A$1041),--(NXT_COMPO!$P30=IDX_CA!$B$2:$B$1041),--(NXT_COMPO!$Q30=IDX_CA!$C$2:$C$1041),ROW(IDX_CA!$D$2:$D$1041))),INDEX(IDX_COMPO!$C$1:$C$12000,SUMPRODUCT(--($E30=IDX_COMPO!$A$2:$A$1200),--(NXT_COMPO!$P30=IDX_COMPO!$F$2:$F$1200),--(NXT_COMPO!$B$5=IDX_COMPO!$G$2:$G$1200),ROW(IDX_COMPO!$C$2:$C$1200)))),IF($D30&lt;=$B$4,INDEX(IDX_CA!$D$1:$D$1041,SUMPRODUCT(--($E30=IDX_CA!$A$2:$A$1041),--(NXT_COMPO!$P30=IDX_CA!$B$2:$B$1041),--(NXT_COMPO!$Q30=IDX_CA!$C$2:$C$1041),ROW(IDX_CA!$D$2:$D$1041))),""))</f>
        <v>35000000</v>
      </c>
      <c r="H30" s="55">
        <f>IF($D30&lt;=$B$1-$B$2,IF(INDEX($AA$2:$AA$1048576,MATCH($D30,$AB$2:$AB$1048576,0))="MODIFY",INDEX(IDX_CA!$E$1:$E$1041,SUMPRODUCT(--($E30=IDX_CA!$A$2:$A$1041),--(NXT_COMPO!$P30=IDX_CA!$B$2:$B$1041),--(NXT_COMPO!$Q30=IDX_CA!$C$2:$C$1041),ROW(IDX_CA!$E$2:$E$1041))),INDEX(IDX_COMPO!$D$1:$D$1200,SUMPRODUCT(--($E30=IDX_COMPO!$A$2:$A$1200),--(NXT_COMPO!$P30=IDX_COMPO!$F$2:$F$1200),--(NXT_COMPO!$B$5=IDX_COMPO!$G$2:$G$1200),ROW(IDX_COMPO!$D$2:$D$1200)))),IF($D30&lt;=$B$4,INDEX(IDX_CA!$E$1:$E$1041,SUMPRODUCT(--($E30=IDX_CA!$A$2:$A$1041),--(NXT_COMPO!$P30=IDX_CA!$B$2:$B$1041),--(NXT_COMPO!$Q30=IDX_CA!$C$2:$C$1041),ROW(IDX_CA!$E$2:$E$1041))),""))</f>
        <v>100</v>
      </c>
      <c r="I30" s="55">
        <f>IF($D30&lt;=$B$1-$B$2,IF(INDEX($AA$2:$AA$1048576,MATCH($D30,$AB$2:$AB$1048576,0))="MODIFY",INDEX(IDX_CA!$F$1:$F$1041,SUMPRODUCT(--($E30=IDX_CA!$A$2:$A$1041),--(NXT_COMPO!$P30=IDX_CA!$B$2:$B$1041),--(NXT_COMPO!$Q30=IDX_CA!$C$2:$C$1041),ROW(IDX_CA!$F$2:$F$1041))),INDEX(IDX_COMPO!$E$1:$E$1200,SUMPRODUCT(--($E30=IDX_COMPO!$A$2:$A$1200),--(NXT_COMPO!$P30=IDX_COMPO!$F$2:$F$1200),--(NXT_COMPO!$B$5=IDX_COMPO!$G$2:$G$1200),ROW(IDX_COMPO!$E$2:$E$1200)))),IF($D30&lt;=$B$4,INDEX(IDX_CA!$F$1:$F$1041,SUMPRODUCT(--($E30=IDX_CA!$A$2:$A$1041),--(NXT_COMPO!$P30=IDX_CA!$B$2:$B$1041),--(NXT_COMPO!$Q30=IDX_CA!$C$2:$C$1041),ROW(IDX_CA!$F$2:$F$1041))),""))</f>
        <v>100</v>
      </c>
      <c r="J30" s="62">
        <f>IF($D30&lt;=$B$1-$B$2,IF(INDEX($AA$2:$AA$1048576,MATCH($D30,$AB$2:$AB$1048576,0))="MODIFY",INDEX(IDX_CA!$G$1:$G$1041,SUMPRODUCT(--($E30=IDX_CA!$A$2:$A$1041),--(NXT_COMPO!$P30=IDX_CA!$B$2:$B$1041),--(NXT_COMPO!$Q30=IDX_CA!$C$2:$C$1041),ROW(IDX_CA!$G$2:$G$1041))),INDEX(IDX_COMPOSITION!$F$1:$F$441,SUMPRODUCT(--($E30=IDX_COMPOSITION!$A$2:$A$441),--(NXT_COMPO!$P30=IDX_COMPOSITION!$R$2:$R$441),--(NXT_COMPO!$B$5=IDX_COMPOSITION!$L$2:$L$441),ROW(IDX_COMPOSITION!$F$2:$F$441)))),IF($D30&lt;=$B$4,INDEX(IDX_CA!$G$1:$G$1041,SUMPRODUCT(--($E30=IDX_CA!$A$2:$A$1041),--(NXT_COMPO!$P30=IDX_CA!$B$2:$B$1041),--(NXT_COMPO!$Q30=IDX_CA!$C$2:$C$1041),ROW(IDX_CA!$G$2:$G$1041))),""))</f>
        <v>3600</v>
      </c>
      <c r="K30" s="63" t="str">
        <f>IF($D30&lt;&gt;"",VLOOKUP($E30,STK_REF!$A$2:$J$1048576,7,0),"")</f>
        <v>VND</v>
      </c>
      <c r="L30" s="5">
        <f>IF($D30&lt;&gt;"",VLOOKUP($E30,STK_REF!$A$2:$J$1048576,8,0),"")</f>
        <v>1</v>
      </c>
      <c r="M30" s="8">
        <f>IF($D30&lt;&gt;"",IF($K30=$U30,1,IF(ISNA(VLOOKUP($K30&amp;$U30,CUR_RATES!$A$2:$F$521,4,0)),"",VLOOKUP($K30&amp;$U30,CUR_RATES!$A$2:$F$521,4,0))),"")</f>
        <v>1</v>
      </c>
      <c r="N30" s="61">
        <f t="shared" si="5"/>
        <v>3600</v>
      </c>
      <c r="O30" s="68">
        <f t="shared" si="6"/>
        <v>126000000000</v>
      </c>
      <c r="P30" s="5" t="str">
        <f t="shared" si="1"/>
        <v>VNXASPRVND</v>
      </c>
      <c r="Q30" s="75">
        <f t="shared" si="7"/>
        <v>41166</v>
      </c>
      <c r="R30" s="68" t="str">
        <f t="shared" si="8"/>
        <v/>
      </c>
      <c r="S30" s="61" t="str">
        <f t="shared" si="9"/>
        <v/>
      </c>
      <c r="T30" s="62" t="str">
        <f>IF(D30&lt;&gt;"",IF(SUMPRODUCT(--($E30=STK_DIV!$A$2:$A$5),--(NXT_COMPO!$Q30=STK_DIV!$E$2:$E$5),ROW(STK_DIV!$D$2:$D$5))=0,"",INDEX(STK_DIV!$D$1:$D$5,SUMPRODUCT(--($E30=STK_DIV!$A$2:$A$5),--(NXT_COMPO!$Q30=STK_DIV!$E$2:$E$5),ROW(STK_DIV!$D$2:$D$5)))),"")</f>
        <v/>
      </c>
      <c r="U30" s="54" t="str">
        <f>IF($D30&lt;&gt;"",VLOOKUP($P30,IDX_REF!$2:$1048576,4,0),"")</f>
        <v>VND</v>
      </c>
      <c r="W30" s="52">
        <f t="shared" si="2"/>
        <v>29</v>
      </c>
      <c r="X30" s="5" t="str">
        <f>IF(ROW(X30)-ROW($X$1)&lt;=$B$1,INDEX(IDX_COMPO!A:A,ROW(IDX_COMPO!A30)),"")</f>
        <v>PVR</v>
      </c>
      <c r="Y30" s="75">
        <f t="shared" si="3"/>
        <v>41166</v>
      </c>
      <c r="Z30" s="54" t="str">
        <f>IF(ROW(Z30)-ROW($Y$1)&lt;=$B$1,INDEX(IDX_COMPO!F:F,ROW(IDX_COMPO!R30)),"")</f>
        <v>VNXASPRVND</v>
      </c>
      <c r="AA30" s="2" t="str">
        <f t="array" ref="AA30">IF(X30&lt;&gt;"",IF(SUMPRODUCT(--(X30=IDX_CA!$A$2:$A$1041),--(NXT_COMPO!Y30=IDX_CA!$C$2:$C$1041),--(Z30=IDX_CA!$B$2:$B$1041))&gt;0,IF(INDEX(IDX_CA!$I:$I,SUMPRODUCT(--(X30=IDX_CA!$A$2:$A$1041),--(NXT_COMPO!Y30=IDX_CA!$C$2:$C$1041),--(Z30=IDX_CA!$B$2:$B$1041),ROW(IDX_CA!$I$2:$I$1041)))=1,"YES","MODIFY"),""),"")</f>
        <v/>
      </c>
      <c r="AB30" s="5">
        <f>IF(X30&lt;&gt;"",IF(AA30="YES","",COUNTIF($AA$2:AA30,"&lt;&gt;YES")),"")</f>
        <v>29</v>
      </c>
      <c r="AC30" s="2"/>
      <c r="AD30" s="5"/>
      <c r="AE30" s="5"/>
      <c r="AH30" s="2" t="str">
        <f t="array" ref="AH30">IF(ISERROR(SMALL(IF(IDX_CA!$H$1:$H$1041=1,ROW(IDX_CA!$H$1:$H$1041)),ROW(AH30)-ROW($AH$1))),"",IF(INDEX(IDX_CA!$C:$C,SMALL(IF(IDX_CA!$H$1:$H$1041=1,ROW(IDX_CA!$H$1:$H$1041)),ROW(AH30)-ROW($AH$1)))=$B$6,"YES",""))</f>
        <v/>
      </c>
      <c r="AI30" s="5" t="str">
        <f>IF(AD30&lt;&gt;"",IF(AH30="YES",COUNTIF($AH$2:AH30,"YES"),""),"")</f>
        <v/>
      </c>
    </row>
    <row r="31" spans="4:35" x14ac:dyDescent="0.2">
      <c r="D31" s="52">
        <f t="shared" si="0"/>
        <v>30</v>
      </c>
      <c r="E31" s="5" t="str">
        <f t="shared" si="4"/>
        <v>PXI</v>
      </c>
      <c r="F31" s="5" t="str">
        <f>IF($D31&lt;&gt;"",VLOOKUP($E31,STK_REF!$A$2:$J$1048576,2,0),"")</f>
        <v xml:space="preserve">Petroleum Industrial and Civil Construction Joint </v>
      </c>
      <c r="G31" s="68">
        <f>IF($D31&lt;=$B$1-$B$2,IF(INDEX($AA$2:$AA$1048576,MATCH($D31,$AB$2:$AB$1048576,0))="MODIFY",INDEX(IDX_CA!$D$1:$D$1041,SUMPRODUCT(--($E31=IDX_CA!$A$2:$A$1041),--(NXT_COMPO!$P31=IDX_CA!$B$2:$B$1041),--(NXT_COMPO!$Q31=IDX_CA!$C$2:$C$1041),ROW(IDX_CA!$D$2:$D$1041))),INDEX(IDX_COMPO!$C$1:$C$12000,SUMPRODUCT(--($E31=IDX_COMPO!$A$2:$A$1200),--(NXT_COMPO!$P31=IDX_COMPO!$F$2:$F$1200),--(NXT_COMPO!$B$5=IDX_COMPO!$G$2:$G$1200),ROW(IDX_COMPO!$C$2:$C$1200)))),IF($D31&lt;=$B$4,INDEX(IDX_CA!$D$1:$D$1041,SUMPRODUCT(--($E31=IDX_CA!$A$2:$A$1041),--(NXT_COMPO!$P31=IDX_CA!$B$2:$B$1041),--(NXT_COMPO!$Q31=IDX_CA!$C$2:$C$1041),ROW(IDX_CA!$D$2:$D$1041))),""))</f>
        <v>30000000</v>
      </c>
      <c r="H31" s="55">
        <f>IF($D31&lt;=$B$1-$B$2,IF(INDEX($AA$2:$AA$1048576,MATCH($D31,$AB$2:$AB$1048576,0))="MODIFY",INDEX(IDX_CA!$E$1:$E$1041,SUMPRODUCT(--($E31=IDX_CA!$A$2:$A$1041),--(NXT_COMPO!$P31=IDX_CA!$B$2:$B$1041),--(NXT_COMPO!$Q31=IDX_CA!$C$2:$C$1041),ROW(IDX_CA!$E$2:$E$1041))),INDEX(IDX_COMPO!$D$1:$D$1200,SUMPRODUCT(--($E31=IDX_COMPO!$A$2:$A$1200),--(NXT_COMPO!$P31=IDX_COMPO!$F$2:$F$1200),--(NXT_COMPO!$B$5=IDX_COMPO!$G$2:$G$1200),ROW(IDX_COMPO!$D$2:$D$1200)))),IF($D31&lt;=$B$4,INDEX(IDX_CA!$E$1:$E$1041,SUMPRODUCT(--($E31=IDX_CA!$A$2:$A$1041),--(NXT_COMPO!$P31=IDX_CA!$B$2:$B$1041),--(NXT_COMPO!$Q31=IDX_CA!$C$2:$C$1041),ROW(IDX_CA!$E$2:$E$1041))),""))</f>
        <v>100</v>
      </c>
      <c r="I31" s="55">
        <f>IF($D31&lt;=$B$1-$B$2,IF(INDEX($AA$2:$AA$1048576,MATCH($D31,$AB$2:$AB$1048576,0))="MODIFY",INDEX(IDX_CA!$F$1:$F$1041,SUMPRODUCT(--($E31=IDX_CA!$A$2:$A$1041),--(NXT_COMPO!$P31=IDX_CA!$B$2:$B$1041),--(NXT_COMPO!$Q31=IDX_CA!$C$2:$C$1041),ROW(IDX_CA!$F$2:$F$1041))),INDEX(IDX_COMPO!$E$1:$E$1200,SUMPRODUCT(--($E31=IDX_COMPO!$A$2:$A$1200),--(NXT_COMPO!$P31=IDX_COMPO!$F$2:$F$1200),--(NXT_COMPO!$B$5=IDX_COMPO!$G$2:$G$1200),ROW(IDX_COMPO!$E$2:$E$1200)))),IF($D31&lt;=$B$4,INDEX(IDX_CA!$F$1:$F$1041,SUMPRODUCT(--($E31=IDX_CA!$A$2:$A$1041),--(NXT_COMPO!$P31=IDX_CA!$B$2:$B$1041),--(NXT_COMPO!$Q31=IDX_CA!$C$2:$C$1041),ROW(IDX_CA!$F$2:$F$1041))),""))</f>
        <v>100</v>
      </c>
      <c r="J31" s="62">
        <f>IF($D31&lt;=$B$1-$B$2,IF(INDEX($AA$2:$AA$1048576,MATCH($D31,$AB$2:$AB$1048576,0))="MODIFY",INDEX(IDX_CA!$G$1:$G$1041,SUMPRODUCT(--($E31=IDX_CA!$A$2:$A$1041),--(NXT_COMPO!$P31=IDX_CA!$B$2:$B$1041),--(NXT_COMPO!$Q31=IDX_CA!$C$2:$C$1041),ROW(IDX_CA!$G$2:$G$1041))),INDEX(IDX_COMPOSITION!$F$1:$F$441,SUMPRODUCT(--($E31=IDX_COMPOSITION!$A$2:$A$441),--(NXT_COMPO!$P31=IDX_COMPOSITION!$R$2:$R$441),--(NXT_COMPO!$B$5=IDX_COMPOSITION!$L$2:$L$441),ROW(IDX_COMPOSITION!$F$2:$F$441)))),IF($D31&lt;=$B$4,INDEX(IDX_CA!$G$1:$G$1041,SUMPRODUCT(--($E31=IDX_CA!$A$2:$A$1041),--(NXT_COMPO!$P31=IDX_CA!$B$2:$B$1041),--(NXT_COMPO!$Q31=IDX_CA!$C$2:$C$1041),ROW(IDX_CA!$G$2:$G$1041))),""))</f>
        <v>4000</v>
      </c>
      <c r="K31" s="63" t="str">
        <f>IF($D31&lt;&gt;"",VLOOKUP($E31,STK_REF!$A$2:$J$1048576,7,0),"")</f>
        <v>VND</v>
      </c>
      <c r="L31" s="5">
        <f>IF($D31&lt;&gt;"",VLOOKUP($E31,STK_REF!$A$2:$J$1048576,8,0),"")</f>
        <v>1</v>
      </c>
      <c r="M31" s="8">
        <f>IF($D31&lt;&gt;"",IF($K31=$U31,1,IF(ISNA(VLOOKUP($K31&amp;$U31,CUR_RATES!$A$2:$F$521,4,0)),"",VLOOKUP($K31&amp;$U31,CUR_RATES!$A$2:$F$521,4,0))),"")</f>
        <v>1</v>
      </c>
      <c r="N31" s="61">
        <f t="shared" si="5"/>
        <v>4000</v>
      </c>
      <c r="O31" s="68">
        <f t="shared" si="6"/>
        <v>120000000000</v>
      </c>
      <c r="P31" s="5" t="str">
        <f t="shared" si="1"/>
        <v>VNXASPRVND</v>
      </c>
      <c r="Q31" s="75">
        <f t="shared" si="7"/>
        <v>41166</v>
      </c>
      <c r="R31" s="68" t="str">
        <f t="shared" si="8"/>
        <v/>
      </c>
      <c r="S31" s="61" t="str">
        <f t="shared" si="9"/>
        <v/>
      </c>
      <c r="T31" s="62" t="str">
        <f>IF(D31&lt;&gt;"",IF(SUMPRODUCT(--($E31=STK_DIV!$A$2:$A$5),--(NXT_COMPO!$Q31=STK_DIV!$E$2:$E$5),ROW(STK_DIV!$D$2:$D$5))=0,"",INDEX(STK_DIV!$D$1:$D$5,SUMPRODUCT(--($E31=STK_DIV!$A$2:$A$5),--(NXT_COMPO!$Q31=STK_DIV!$E$2:$E$5),ROW(STK_DIV!$D$2:$D$5)))),"")</f>
        <v/>
      </c>
      <c r="U31" s="54" t="str">
        <f>IF($D31&lt;&gt;"",VLOOKUP($P31,IDX_REF!$2:$1048576,4,0),"")</f>
        <v>VND</v>
      </c>
      <c r="W31" s="52">
        <f t="shared" si="2"/>
        <v>30</v>
      </c>
      <c r="X31" s="5" t="str">
        <f>IF(ROW(X31)-ROW($X$1)&lt;=$B$1,INDEX(IDX_COMPO!A:A,ROW(IDX_COMPO!A31)),"")</f>
        <v>PXI</v>
      </c>
      <c r="Y31" s="75">
        <f t="shared" si="3"/>
        <v>41166</v>
      </c>
      <c r="Z31" s="54" t="str">
        <f>IF(ROW(Z31)-ROW($Y$1)&lt;=$B$1,INDEX(IDX_COMPO!F:F,ROW(IDX_COMPO!R31)),"")</f>
        <v>VNXASPRVND</v>
      </c>
      <c r="AA31" s="2" t="str">
        <f t="array" ref="AA31">IF(X31&lt;&gt;"",IF(SUMPRODUCT(--(X31=IDX_CA!$A$2:$A$1041),--(NXT_COMPO!Y31=IDX_CA!$C$2:$C$1041),--(Z31=IDX_CA!$B$2:$B$1041))&gt;0,IF(INDEX(IDX_CA!$I:$I,SUMPRODUCT(--(X31=IDX_CA!$A$2:$A$1041),--(NXT_COMPO!Y31=IDX_CA!$C$2:$C$1041),--(Z31=IDX_CA!$B$2:$B$1041),ROW(IDX_CA!$I$2:$I$1041)))=1,"YES","MODIFY"),""),"")</f>
        <v/>
      </c>
      <c r="AB31" s="5">
        <f>IF(X31&lt;&gt;"",IF(AA31="YES","",COUNTIF($AA$2:AA31,"&lt;&gt;YES")),"")</f>
        <v>30</v>
      </c>
      <c r="AC31" s="2"/>
      <c r="AD31" s="5"/>
      <c r="AE31" s="5"/>
      <c r="AH31" s="2" t="str">
        <f t="array" ref="AH31">IF(ISERROR(SMALL(IF(IDX_CA!$H$1:$H$1041=1,ROW(IDX_CA!$H$1:$H$1041)),ROW(AH31)-ROW($AH$1))),"",IF(INDEX(IDX_CA!$C:$C,SMALL(IF(IDX_CA!$H$1:$H$1041=1,ROW(IDX_CA!$H$1:$H$1041)),ROW(AH31)-ROW($AH$1)))=$B$6,"YES",""))</f>
        <v/>
      </c>
      <c r="AI31" s="5" t="str">
        <f>IF(AD31&lt;&gt;"",IF(AH31="YES",COUNTIF($AH$2:AH31,"YES"),""),"")</f>
        <v/>
      </c>
    </row>
    <row r="32" spans="4:35" x14ac:dyDescent="0.2">
      <c r="D32" s="52">
        <f t="shared" si="0"/>
        <v>31</v>
      </c>
      <c r="E32" s="5" t="str">
        <f t="shared" si="4"/>
        <v>PXM</v>
      </c>
      <c r="F32" s="5" t="str">
        <f>IF($D32&lt;&gt;"",VLOOKUP($E32,STK_REF!$A$2:$J$1048576,2,0),"")</f>
        <v>Mientrung Petroleum Construction Joint Stock Compa</v>
      </c>
      <c r="G32" s="68">
        <f>IF($D32&lt;=$B$1-$B$2,IF(INDEX($AA$2:$AA$1048576,MATCH($D32,$AB$2:$AB$1048576,0))="MODIFY",INDEX(IDX_CA!$D$1:$D$1041,SUMPRODUCT(--($E32=IDX_CA!$A$2:$A$1041),--(NXT_COMPO!$P32=IDX_CA!$B$2:$B$1041),--(NXT_COMPO!$Q32=IDX_CA!$C$2:$C$1041),ROW(IDX_CA!$D$2:$D$1041))),INDEX(IDX_COMPO!$C$1:$C$12000,SUMPRODUCT(--($E32=IDX_COMPO!$A$2:$A$1200),--(NXT_COMPO!$P32=IDX_COMPO!$F$2:$F$1200),--(NXT_COMPO!$B$5=IDX_COMPO!$G$2:$G$1200),ROW(IDX_COMPO!$C$2:$C$1200)))),IF($D32&lt;=$B$4,INDEX(IDX_CA!$D$1:$D$1041,SUMPRODUCT(--($E32=IDX_CA!$A$2:$A$1041),--(NXT_COMPO!$P32=IDX_CA!$B$2:$B$1041),--(NXT_COMPO!$Q32=IDX_CA!$C$2:$C$1041),ROW(IDX_CA!$D$2:$D$1041))),""))</f>
        <v>18000000</v>
      </c>
      <c r="H32" s="55">
        <f>IF($D32&lt;=$B$1-$B$2,IF(INDEX($AA$2:$AA$1048576,MATCH($D32,$AB$2:$AB$1048576,0))="MODIFY",INDEX(IDX_CA!$E$1:$E$1041,SUMPRODUCT(--($E32=IDX_CA!$A$2:$A$1041),--(NXT_COMPO!$P32=IDX_CA!$B$2:$B$1041),--(NXT_COMPO!$Q32=IDX_CA!$C$2:$C$1041),ROW(IDX_CA!$E$2:$E$1041))),INDEX(IDX_COMPO!$D$1:$D$1200,SUMPRODUCT(--($E32=IDX_COMPO!$A$2:$A$1200),--(NXT_COMPO!$P32=IDX_COMPO!$F$2:$F$1200),--(NXT_COMPO!$B$5=IDX_COMPO!$G$2:$G$1200),ROW(IDX_COMPO!$D$2:$D$1200)))),IF($D32&lt;=$B$4,INDEX(IDX_CA!$E$1:$E$1041,SUMPRODUCT(--($E32=IDX_CA!$A$2:$A$1041),--(NXT_COMPO!$P32=IDX_CA!$B$2:$B$1041),--(NXT_COMPO!$Q32=IDX_CA!$C$2:$C$1041),ROW(IDX_CA!$E$2:$E$1041))),""))</f>
        <v>100</v>
      </c>
      <c r="I32" s="55">
        <f>IF($D32&lt;=$B$1-$B$2,IF(INDEX($AA$2:$AA$1048576,MATCH($D32,$AB$2:$AB$1048576,0))="MODIFY",INDEX(IDX_CA!$F$1:$F$1041,SUMPRODUCT(--($E32=IDX_CA!$A$2:$A$1041),--(NXT_COMPO!$P32=IDX_CA!$B$2:$B$1041),--(NXT_COMPO!$Q32=IDX_CA!$C$2:$C$1041),ROW(IDX_CA!$F$2:$F$1041))),INDEX(IDX_COMPO!$E$1:$E$1200,SUMPRODUCT(--($E32=IDX_COMPO!$A$2:$A$1200),--(NXT_COMPO!$P32=IDX_COMPO!$F$2:$F$1200),--(NXT_COMPO!$B$5=IDX_COMPO!$G$2:$G$1200),ROW(IDX_COMPO!$E$2:$E$1200)))),IF($D32&lt;=$B$4,INDEX(IDX_CA!$F$1:$F$1041,SUMPRODUCT(--($E32=IDX_CA!$A$2:$A$1041),--(NXT_COMPO!$P32=IDX_CA!$B$2:$B$1041),--(NXT_COMPO!$Q32=IDX_CA!$C$2:$C$1041),ROW(IDX_CA!$F$2:$F$1041))),""))</f>
        <v>100</v>
      </c>
      <c r="J32" s="62">
        <f>IF($D32&lt;=$B$1-$B$2,IF(INDEX($AA$2:$AA$1048576,MATCH($D32,$AB$2:$AB$1048576,0))="MODIFY",INDEX(IDX_CA!$G$1:$G$1041,SUMPRODUCT(--($E32=IDX_CA!$A$2:$A$1041),--(NXT_COMPO!$P32=IDX_CA!$B$2:$B$1041),--(NXT_COMPO!$Q32=IDX_CA!$C$2:$C$1041),ROW(IDX_CA!$G$2:$G$1041))),INDEX(IDX_COMPOSITION!$F$1:$F$441,SUMPRODUCT(--($E32=IDX_COMPOSITION!$A$2:$A$441),--(NXT_COMPO!$P32=IDX_COMPOSITION!$R$2:$R$441),--(NXT_COMPO!$B$5=IDX_COMPOSITION!$L$2:$L$441),ROW(IDX_COMPOSITION!$F$2:$F$441)))),IF($D32&lt;=$B$4,INDEX(IDX_CA!$G$1:$G$1041,SUMPRODUCT(--($E32=IDX_CA!$A$2:$A$1041),--(NXT_COMPO!$P32=IDX_CA!$B$2:$B$1041),--(NXT_COMPO!$Q32=IDX_CA!$C$2:$C$1041),ROW(IDX_CA!$G$2:$G$1041))),""))</f>
        <v>3200</v>
      </c>
      <c r="K32" s="63" t="str">
        <f>IF($D32&lt;&gt;"",VLOOKUP($E32,STK_REF!$A$2:$J$1048576,7,0),"")</f>
        <v>VND</v>
      </c>
      <c r="L32" s="5">
        <f>IF($D32&lt;&gt;"",VLOOKUP($E32,STK_REF!$A$2:$J$1048576,8,0),"")</f>
        <v>1</v>
      </c>
      <c r="M32" s="8">
        <f>IF($D32&lt;&gt;"",IF($K32=$U32,1,IF(ISNA(VLOOKUP($K32&amp;$U32,CUR_RATES!$A$2:$F$521,4,0)),"",VLOOKUP($K32&amp;$U32,CUR_RATES!$A$2:$F$521,4,0))),"")</f>
        <v>1</v>
      </c>
      <c r="N32" s="61">
        <f t="shared" si="5"/>
        <v>3200</v>
      </c>
      <c r="O32" s="68">
        <f t="shared" si="6"/>
        <v>57600000000</v>
      </c>
      <c r="P32" s="5" t="str">
        <f t="shared" si="1"/>
        <v>VNXASPRVND</v>
      </c>
      <c r="Q32" s="75">
        <f t="shared" si="7"/>
        <v>41166</v>
      </c>
      <c r="R32" s="68" t="str">
        <f t="shared" si="8"/>
        <v/>
      </c>
      <c r="S32" s="61" t="str">
        <f t="shared" si="9"/>
        <v/>
      </c>
      <c r="T32" s="62" t="str">
        <f>IF(D32&lt;&gt;"",IF(SUMPRODUCT(--($E32=STK_DIV!$A$2:$A$5),--(NXT_COMPO!$Q32=STK_DIV!$E$2:$E$5),ROW(STK_DIV!$D$2:$D$5))=0,"",INDEX(STK_DIV!$D$1:$D$5,SUMPRODUCT(--($E32=STK_DIV!$A$2:$A$5),--(NXT_COMPO!$Q32=STK_DIV!$E$2:$E$5),ROW(STK_DIV!$D$2:$D$5)))),"")</f>
        <v/>
      </c>
      <c r="U32" s="54" t="str">
        <f>IF($D32&lt;&gt;"",VLOOKUP($P32,IDX_REF!$2:$1048576,4,0),"")</f>
        <v>VND</v>
      </c>
      <c r="W32" s="52">
        <f t="shared" si="2"/>
        <v>31</v>
      </c>
      <c r="X32" s="5" t="str">
        <f>IF(ROW(X32)-ROW($X$1)&lt;=$B$1,INDEX(IDX_COMPO!A:A,ROW(IDX_COMPO!A32)),"")</f>
        <v>PXM</v>
      </c>
      <c r="Y32" s="75">
        <f t="shared" si="3"/>
        <v>41166</v>
      </c>
      <c r="Z32" s="54" t="str">
        <f>IF(ROW(Z32)-ROW($Y$1)&lt;=$B$1,INDEX(IDX_COMPO!F:F,ROW(IDX_COMPO!R32)),"")</f>
        <v>VNXASPRVND</v>
      </c>
      <c r="AA32" s="2" t="str">
        <f t="array" ref="AA32">IF(X32&lt;&gt;"",IF(SUMPRODUCT(--(X32=IDX_CA!$A$2:$A$1041),--(NXT_COMPO!Y32=IDX_CA!$C$2:$C$1041),--(Z32=IDX_CA!$B$2:$B$1041))&gt;0,IF(INDEX(IDX_CA!$I:$I,SUMPRODUCT(--(X32=IDX_CA!$A$2:$A$1041),--(NXT_COMPO!Y32=IDX_CA!$C$2:$C$1041),--(Z32=IDX_CA!$B$2:$B$1041),ROW(IDX_CA!$I$2:$I$1041)))=1,"YES","MODIFY"),""),"")</f>
        <v/>
      </c>
      <c r="AB32" s="5">
        <f>IF(X32&lt;&gt;"",IF(AA32="YES","",COUNTIF($AA$2:AA32,"&lt;&gt;YES")),"")</f>
        <v>31</v>
      </c>
      <c r="AC32" s="2"/>
      <c r="AD32" s="5"/>
      <c r="AE32" s="5"/>
      <c r="AH32" s="2" t="str">
        <f t="array" ref="AH32">IF(ISERROR(SMALL(IF(IDX_CA!$H$1:$H$1041=1,ROW(IDX_CA!$H$1:$H$1041)),ROW(AH32)-ROW($AH$1))),"",IF(INDEX(IDX_CA!$C:$C,SMALL(IF(IDX_CA!$H$1:$H$1041=1,ROW(IDX_CA!$H$1:$H$1041)),ROW(AH32)-ROW($AH$1)))=$B$6,"YES",""))</f>
        <v/>
      </c>
      <c r="AI32" s="5" t="str">
        <f>IF(AD32&lt;&gt;"",IF(AH32="YES",COUNTIF($AH$2:AH32,"YES"),""),"")</f>
        <v/>
      </c>
    </row>
    <row r="33" spans="4:35" x14ac:dyDescent="0.2">
      <c r="D33" s="52">
        <f t="shared" si="0"/>
        <v>32</v>
      </c>
      <c r="E33" s="5" t="str">
        <f t="shared" si="4"/>
        <v>PSI</v>
      </c>
      <c r="F33" s="5" t="str">
        <f>IF($D33&lt;&gt;"",VLOOKUP($E33,STK_REF!$A$2:$J$1048576,2,0),"")</f>
        <v>VNX Securities Incorporated</v>
      </c>
      <c r="G33" s="68">
        <f>IF($D33&lt;=$B$1-$B$2,IF(INDEX($AA$2:$AA$1048576,MATCH($D33,$AB$2:$AB$1048576,0))="MODIFY",INDEX(IDX_CA!$D$1:$D$1041,SUMPRODUCT(--($E33=IDX_CA!$A$2:$A$1041),--(NXT_COMPO!$P33=IDX_CA!$B$2:$B$1041),--(NXT_COMPO!$Q33=IDX_CA!$C$2:$C$1041),ROW(IDX_CA!$D$2:$D$1041))),INDEX(IDX_COMPO!$C$1:$C$12000,SUMPRODUCT(--($E33=IDX_COMPO!$A$2:$A$1200),--(NXT_COMPO!$P33=IDX_COMPO!$F$2:$F$1200),--(NXT_COMPO!$B$5=IDX_COMPO!$G$2:$G$1200),ROW(IDX_COMPO!$C$2:$C$1200)))),IF($D33&lt;=$B$4,INDEX(IDX_CA!$D$1:$D$1041,SUMPRODUCT(--($E33=IDX_CA!$A$2:$A$1041),--(NXT_COMPO!$P33=IDX_CA!$B$2:$B$1041),--(NXT_COMPO!$Q33=IDX_CA!$C$2:$C$1041),ROW(IDX_CA!$D$2:$D$1041))),""))</f>
        <v>15000000</v>
      </c>
      <c r="H33" s="55">
        <f>IF($D33&lt;=$B$1-$B$2,IF(INDEX($AA$2:$AA$1048576,MATCH($D33,$AB$2:$AB$1048576,0))="MODIFY",INDEX(IDX_CA!$E$1:$E$1041,SUMPRODUCT(--($E33=IDX_CA!$A$2:$A$1041),--(NXT_COMPO!$P33=IDX_CA!$B$2:$B$1041),--(NXT_COMPO!$Q33=IDX_CA!$C$2:$C$1041),ROW(IDX_CA!$E$2:$E$1041))),INDEX(IDX_COMPO!$D$1:$D$1200,SUMPRODUCT(--($E33=IDX_COMPO!$A$2:$A$1200),--(NXT_COMPO!$P33=IDX_COMPO!$F$2:$F$1200),--(NXT_COMPO!$B$5=IDX_COMPO!$G$2:$G$1200),ROW(IDX_COMPO!$D$2:$D$1200)))),IF($D33&lt;=$B$4,INDEX(IDX_CA!$E$1:$E$1041,SUMPRODUCT(--($E33=IDX_CA!$A$2:$A$1041),--(NXT_COMPO!$P33=IDX_CA!$B$2:$B$1041),--(NXT_COMPO!$Q33=IDX_CA!$C$2:$C$1041),ROW(IDX_CA!$E$2:$E$1041))),""))</f>
        <v>100</v>
      </c>
      <c r="I33" s="55">
        <f>IF($D33&lt;=$B$1-$B$2,IF(INDEX($AA$2:$AA$1048576,MATCH($D33,$AB$2:$AB$1048576,0))="MODIFY",INDEX(IDX_CA!$F$1:$F$1041,SUMPRODUCT(--($E33=IDX_CA!$A$2:$A$1041),--(NXT_COMPO!$P33=IDX_CA!$B$2:$B$1041),--(NXT_COMPO!$Q33=IDX_CA!$C$2:$C$1041),ROW(IDX_CA!$F$2:$F$1041))),INDEX(IDX_COMPO!$E$1:$E$1200,SUMPRODUCT(--($E33=IDX_COMPO!$A$2:$A$1200),--(NXT_COMPO!$P33=IDX_COMPO!$F$2:$F$1200),--(NXT_COMPO!$B$5=IDX_COMPO!$G$2:$G$1200),ROW(IDX_COMPO!$E$2:$E$1200)))),IF($D33&lt;=$B$4,INDEX(IDX_CA!$F$1:$F$1041,SUMPRODUCT(--($E33=IDX_CA!$A$2:$A$1041),--(NXT_COMPO!$P33=IDX_CA!$B$2:$B$1041),--(NXT_COMPO!$Q33=IDX_CA!$C$2:$C$1041),ROW(IDX_CA!$F$2:$F$1041))),""))</f>
        <v>100</v>
      </c>
      <c r="J33" s="62">
        <f>IF($D33&lt;=$B$1-$B$2,IF(INDEX($AA$2:$AA$1048576,MATCH($D33,$AB$2:$AB$1048576,0))="MODIFY",INDEX(IDX_CA!$G$1:$G$1041,SUMPRODUCT(--($E33=IDX_CA!$A$2:$A$1041),--(NXT_COMPO!$P33=IDX_CA!$B$2:$B$1041),--(NXT_COMPO!$Q33=IDX_CA!$C$2:$C$1041),ROW(IDX_CA!$G$2:$G$1041))),INDEX(IDX_COMPOSITION!$F$1:$F$441,SUMPRODUCT(--($E33=IDX_COMPOSITION!$A$2:$A$441),--(NXT_COMPO!$P33=IDX_COMPOSITION!$R$2:$R$441),--(NXT_COMPO!$B$5=IDX_COMPOSITION!$L$2:$L$441),ROW(IDX_COMPOSITION!$F$2:$F$441)))),IF($D33&lt;=$B$4,INDEX(IDX_CA!$G$1:$G$1041,SUMPRODUCT(--($E33=IDX_CA!$A$2:$A$1041),--(NXT_COMPO!$P33=IDX_CA!$B$2:$B$1041),--(NXT_COMPO!$Q33=IDX_CA!$C$2:$C$1041),ROW(IDX_CA!$G$2:$G$1041))),""))</f>
        <v>3600</v>
      </c>
      <c r="K33" s="63" t="str">
        <f>IF($D33&lt;&gt;"",VLOOKUP($E33,STK_REF!$A$2:$J$1048576,7,0),"")</f>
        <v>VND</v>
      </c>
      <c r="L33" s="5">
        <f>IF($D33&lt;&gt;"",VLOOKUP($E33,STK_REF!$A$2:$J$1048576,8,0),"")</f>
        <v>1</v>
      </c>
      <c r="M33" s="8">
        <f>IF($D33&lt;&gt;"",IF($K33=$U33,1,IF(ISNA(VLOOKUP($K33&amp;$U33,CUR_RATES!$A$2:$F$521,4,0)),"",VLOOKUP($K33&amp;$U33,CUR_RATES!$A$2:$F$521,4,0))),"")</f>
        <v>1</v>
      </c>
      <c r="N33" s="61">
        <f t="shared" si="5"/>
        <v>3600</v>
      </c>
      <c r="O33" s="68">
        <f t="shared" si="6"/>
        <v>54000000000</v>
      </c>
      <c r="P33" s="5" t="str">
        <f t="shared" si="1"/>
        <v>VNXASPRVND</v>
      </c>
      <c r="Q33" s="75">
        <f t="shared" si="7"/>
        <v>41166</v>
      </c>
      <c r="R33" s="68" t="str">
        <f t="shared" si="8"/>
        <v/>
      </c>
      <c r="S33" s="61" t="str">
        <f t="shared" si="9"/>
        <v/>
      </c>
      <c r="T33" s="62" t="str">
        <f>IF(D33&lt;&gt;"",IF(SUMPRODUCT(--($E33=STK_DIV!$A$2:$A$5),--(NXT_COMPO!$Q33=STK_DIV!$E$2:$E$5),ROW(STK_DIV!$D$2:$D$5))=0,"",INDEX(STK_DIV!$D$1:$D$5,SUMPRODUCT(--($E33=STK_DIV!$A$2:$A$5),--(NXT_COMPO!$Q33=STK_DIV!$E$2:$E$5),ROW(STK_DIV!$D$2:$D$5)))),"")</f>
        <v/>
      </c>
      <c r="U33" s="54" t="str">
        <f>IF($D33&lt;&gt;"",VLOOKUP($P33,IDX_REF!$2:$1048576,4,0),"")</f>
        <v>VND</v>
      </c>
      <c r="W33" s="52">
        <f t="shared" si="2"/>
        <v>32</v>
      </c>
      <c r="X33" s="5" t="str">
        <f>IF(ROW(X33)-ROW($X$1)&lt;=$B$1,INDEX(IDX_COMPO!A:A,ROW(IDX_COMPO!A33)),"")</f>
        <v>PSI</v>
      </c>
      <c r="Y33" s="75">
        <f t="shared" si="3"/>
        <v>41166</v>
      </c>
      <c r="Z33" s="54" t="str">
        <f>IF(ROW(Z33)-ROW($Y$1)&lt;=$B$1,INDEX(IDX_COMPO!F:F,ROW(IDX_COMPO!R33)),"")</f>
        <v>VNXASPRVND</v>
      </c>
      <c r="AA33" s="2" t="str">
        <f t="array" ref="AA33">IF(X33&lt;&gt;"",IF(SUMPRODUCT(--(X33=IDX_CA!$A$2:$A$1041),--(NXT_COMPO!Y33=IDX_CA!$C$2:$C$1041),--(Z33=IDX_CA!$B$2:$B$1041))&gt;0,IF(INDEX(IDX_CA!$I:$I,SUMPRODUCT(--(X33=IDX_CA!$A$2:$A$1041),--(NXT_COMPO!Y33=IDX_CA!$C$2:$C$1041),--(Z33=IDX_CA!$B$2:$B$1041),ROW(IDX_CA!$I$2:$I$1041)))=1,"YES","MODIFY"),""),"")</f>
        <v/>
      </c>
      <c r="AB33" s="5">
        <f>IF(X33&lt;&gt;"",IF(AA33="YES","",COUNTIF($AA$2:AA33,"&lt;&gt;YES")),"")</f>
        <v>32</v>
      </c>
      <c r="AC33" s="2"/>
      <c r="AD33" s="5"/>
      <c r="AE33" s="5"/>
      <c r="AH33" s="2" t="str">
        <f t="array" ref="AH33">IF(ISERROR(SMALL(IF(IDX_CA!$H$1:$H$1041=1,ROW(IDX_CA!$H$1:$H$1041)),ROW(AH33)-ROW($AH$1))),"",IF(INDEX(IDX_CA!$C:$C,SMALL(IF(IDX_CA!$H$1:$H$1041=1,ROW(IDX_CA!$H$1:$H$1041)),ROW(AH33)-ROW($AH$1)))=$B$6,"YES",""))</f>
        <v/>
      </c>
      <c r="AI33" s="5" t="str">
        <f>IF(AD33&lt;&gt;"",IF(AH33="YES",COUNTIF($AH$2:AH33,"YES"),""),"")</f>
        <v/>
      </c>
    </row>
    <row r="34" spans="4:35" x14ac:dyDescent="0.2">
      <c r="D34" s="52">
        <f t="shared" si="0"/>
        <v>33</v>
      </c>
      <c r="E34" s="5" t="str">
        <f t="shared" si="4"/>
        <v>PCT</v>
      </c>
      <c r="F34" s="5" t="str">
        <f>IF($D34&lt;&gt;"",VLOOKUP($E34,STK_REF!$A$2:$J$1048576,2,0),"")</f>
        <v>Cuu Long Petro Gas Service Transportation JSC</v>
      </c>
      <c r="G34" s="68">
        <f>IF($D34&lt;=$B$1-$B$2,IF(INDEX($AA$2:$AA$1048576,MATCH($D34,$AB$2:$AB$1048576,0))="MODIFY",INDEX(IDX_CA!$D$1:$D$1041,SUMPRODUCT(--($E34=IDX_CA!$A$2:$A$1041),--(NXT_COMPO!$P34=IDX_CA!$B$2:$B$1041),--(NXT_COMPO!$Q34=IDX_CA!$C$2:$C$1041),ROW(IDX_CA!$D$2:$D$1041))),INDEX(IDX_COMPO!$C$1:$C$12000,SUMPRODUCT(--($E34=IDX_COMPO!$A$2:$A$1200),--(NXT_COMPO!$P34=IDX_COMPO!$F$2:$F$1200),--(NXT_COMPO!$B$5=IDX_COMPO!$G$2:$G$1200),ROW(IDX_COMPO!$C$2:$C$1200)))),IF($D34&lt;=$B$4,INDEX(IDX_CA!$D$1:$D$1041,SUMPRODUCT(--($E34=IDX_CA!$A$2:$A$1041),--(NXT_COMPO!$P34=IDX_CA!$B$2:$B$1041),--(NXT_COMPO!$Q34=IDX_CA!$C$2:$C$1041),ROW(IDX_CA!$D$2:$D$1041))),""))</f>
        <v>15000000</v>
      </c>
      <c r="H34" s="55">
        <f>IF($D34&lt;=$B$1-$B$2,IF(INDEX($AA$2:$AA$1048576,MATCH($D34,$AB$2:$AB$1048576,0))="MODIFY",INDEX(IDX_CA!$E$1:$E$1041,SUMPRODUCT(--($E34=IDX_CA!$A$2:$A$1041),--(NXT_COMPO!$P34=IDX_CA!$B$2:$B$1041),--(NXT_COMPO!$Q34=IDX_CA!$C$2:$C$1041),ROW(IDX_CA!$E$2:$E$1041))),INDEX(IDX_COMPO!$D$1:$D$1200,SUMPRODUCT(--($E34=IDX_COMPO!$A$2:$A$1200),--(NXT_COMPO!$P34=IDX_COMPO!$F$2:$F$1200),--(NXT_COMPO!$B$5=IDX_COMPO!$G$2:$G$1200),ROW(IDX_COMPO!$D$2:$D$1200)))),IF($D34&lt;=$B$4,INDEX(IDX_CA!$E$1:$E$1041,SUMPRODUCT(--($E34=IDX_CA!$A$2:$A$1041),--(NXT_COMPO!$P34=IDX_CA!$B$2:$B$1041),--(NXT_COMPO!$Q34=IDX_CA!$C$2:$C$1041),ROW(IDX_CA!$E$2:$E$1041))),""))</f>
        <v>100</v>
      </c>
      <c r="I34" s="55">
        <f>IF($D34&lt;=$B$1-$B$2,IF(INDEX($AA$2:$AA$1048576,MATCH($D34,$AB$2:$AB$1048576,0))="MODIFY",INDEX(IDX_CA!$F$1:$F$1041,SUMPRODUCT(--($E34=IDX_CA!$A$2:$A$1041),--(NXT_COMPO!$P34=IDX_CA!$B$2:$B$1041),--(NXT_COMPO!$Q34=IDX_CA!$C$2:$C$1041),ROW(IDX_CA!$F$2:$F$1041))),INDEX(IDX_COMPO!$E$1:$E$1200,SUMPRODUCT(--($E34=IDX_COMPO!$A$2:$A$1200),--(NXT_COMPO!$P34=IDX_COMPO!$F$2:$F$1200),--(NXT_COMPO!$B$5=IDX_COMPO!$G$2:$G$1200),ROW(IDX_COMPO!$E$2:$E$1200)))),IF($D34&lt;=$B$4,INDEX(IDX_CA!$F$1:$F$1041,SUMPRODUCT(--($E34=IDX_CA!$A$2:$A$1041),--(NXT_COMPO!$P34=IDX_CA!$B$2:$B$1041),--(NXT_COMPO!$Q34=IDX_CA!$C$2:$C$1041),ROW(IDX_CA!$F$2:$F$1041))),""))</f>
        <v>100</v>
      </c>
      <c r="J34" s="62">
        <f>IF($D34&lt;=$B$1-$B$2,IF(INDEX($AA$2:$AA$1048576,MATCH($D34,$AB$2:$AB$1048576,0))="MODIFY",INDEX(IDX_CA!$G$1:$G$1041,SUMPRODUCT(--($E34=IDX_CA!$A$2:$A$1041),--(NXT_COMPO!$P34=IDX_CA!$B$2:$B$1041),--(NXT_COMPO!$Q34=IDX_CA!$C$2:$C$1041),ROW(IDX_CA!$G$2:$G$1041))),INDEX(IDX_COMPOSITION!$F$1:$F$441,SUMPRODUCT(--($E34=IDX_COMPOSITION!$A$2:$A$441),--(NXT_COMPO!$P34=IDX_COMPOSITION!$R$2:$R$441),--(NXT_COMPO!$B$5=IDX_COMPOSITION!$L$2:$L$441),ROW(IDX_COMPOSITION!$F$2:$F$441)))),IF($D34&lt;=$B$4,INDEX(IDX_CA!$G$1:$G$1041,SUMPRODUCT(--($E34=IDX_CA!$A$2:$A$1041),--(NXT_COMPO!$P34=IDX_CA!$B$2:$B$1041),--(NXT_COMPO!$Q34=IDX_CA!$C$2:$C$1041),ROW(IDX_CA!$G$2:$G$1041))),""))</f>
        <v>2900</v>
      </c>
      <c r="K34" s="63" t="str">
        <f>IF($D34&lt;&gt;"",VLOOKUP($E34,STK_REF!$A$2:$J$1048576,7,0),"")</f>
        <v>VND</v>
      </c>
      <c r="L34" s="5">
        <f>IF($D34&lt;&gt;"",VLOOKUP($E34,STK_REF!$A$2:$J$1048576,8,0),"")</f>
        <v>1</v>
      </c>
      <c r="M34" s="8">
        <f>IF($D34&lt;&gt;"",IF($K34=$U34,1,IF(ISNA(VLOOKUP($K34&amp;$U34,CUR_RATES!$A$2:$F$521,4,0)),"",VLOOKUP($K34&amp;$U34,CUR_RATES!$A$2:$F$521,4,0))),"")</f>
        <v>1</v>
      </c>
      <c r="N34" s="61">
        <f t="shared" si="5"/>
        <v>2900</v>
      </c>
      <c r="O34" s="68">
        <f t="shared" si="6"/>
        <v>43500000000</v>
      </c>
      <c r="P34" s="5" t="str">
        <f t="shared" ref="P34:P65" si="10">IF($D34&lt;=$B$1-$B$2,INDEX($Z$2:$Z$1048576,MATCH($D34,$AB$2:$AB$1048576,0)),IF($D34&lt;=$B$4,INDEX($AG$2:$AG$1048576,MATCH($D34-$B$1+$B$2,$AI$2:$AI$1048576,0)),""))</f>
        <v>VNXASPRVND</v>
      </c>
      <c r="Q34" s="75">
        <f t="shared" si="7"/>
        <v>41166</v>
      </c>
      <c r="R34" s="68" t="str">
        <f t="shared" si="8"/>
        <v/>
      </c>
      <c r="S34" s="61" t="str">
        <f t="shared" si="9"/>
        <v/>
      </c>
      <c r="T34" s="62" t="str">
        <f>IF(D34&lt;&gt;"",IF(SUMPRODUCT(--($E34=STK_DIV!$A$2:$A$5),--(NXT_COMPO!$Q34=STK_DIV!$E$2:$E$5),ROW(STK_DIV!$D$2:$D$5))=0,"",INDEX(STK_DIV!$D$1:$D$5,SUMPRODUCT(--($E34=STK_DIV!$A$2:$A$5),--(NXT_COMPO!$Q34=STK_DIV!$E$2:$E$5),ROW(STK_DIV!$D$2:$D$5)))),"")</f>
        <v/>
      </c>
      <c r="U34" s="54" t="str">
        <f>IF($D34&lt;&gt;"",VLOOKUP($P34,IDX_REF!$2:$1048576,4,0),"")</f>
        <v>VND</v>
      </c>
      <c r="W34" s="52">
        <f t="shared" ref="W34:W65" si="11">IF(ROW(W34)-ROW($W$1)&lt;=$B$1,ROW(W34)-ROW($W$1),"")</f>
        <v>33</v>
      </c>
      <c r="X34" s="5" t="str">
        <f>IF(ROW(X34)-ROW($X$1)&lt;=$B$1,INDEX(IDX_COMPO!A:A,ROW(IDX_COMPO!A34)),"")</f>
        <v>PCT</v>
      </c>
      <c r="Y34" s="75">
        <f t="shared" ref="Y34:Y65" si="12">IF(ROW(Y34)-ROW($Y$1)&lt;=$B$1,$B$6,"")</f>
        <v>41166</v>
      </c>
      <c r="Z34" s="54" t="str">
        <f>IF(ROW(Z34)-ROW($Y$1)&lt;=$B$1,INDEX(IDX_COMPO!F:F,ROW(IDX_COMPO!R34)),"")</f>
        <v>VNXASPRVND</v>
      </c>
      <c r="AA34" s="2" t="str">
        <f t="array" ref="AA34">IF(X34&lt;&gt;"",IF(SUMPRODUCT(--(X34=IDX_CA!$A$2:$A$1041),--(NXT_COMPO!Y34=IDX_CA!$C$2:$C$1041),--(Z34=IDX_CA!$B$2:$B$1041))&gt;0,IF(INDEX(IDX_CA!$I:$I,SUMPRODUCT(--(X34=IDX_CA!$A$2:$A$1041),--(NXT_COMPO!Y34=IDX_CA!$C$2:$C$1041),--(Z34=IDX_CA!$B$2:$B$1041),ROW(IDX_CA!$I$2:$I$1041)))=1,"YES","MODIFY"),""),"")</f>
        <v/>
      </c>
      <c r="AB34" s="5">
        <f>IF(X34&lt;&gt;"",IF(AA34="YES","",COUNTIF($AA$2:AA34,"&lt;&gt;YES")),"")</f>
        <v>33</v>
      </c>
      <c r="AC34" s="2"/>
      <c r="AD34" s="5"/>
      <c r="AE34" s="5"/>
      <c r="AH34" s="2" t="str">
        <f t="array" ref="AH34">IF(ISERROR(SMALL(IF(IDX_CA!$H$1:$H$1041=1,ROW(IDX_CA!$H$1:$H$1041)),ROW(AH34)-ROW($AH$1))),"",IF(INDEX(IDX_CA!$C:$C,SMALL(IF(IDX_CA!$H$1:$H$1041=1,ROW(IDX_CA!$H$1:$H$1041)),ROW(AH34)-ROW($AH$1)))=$B$6,"YES",""))</f>
        <v/>
      </c>
      <c r="AI34" s="5" t="str">
        <f>IF(AD34&lt;&gt;"",IF(AH34="YES",COUNTIF($AH$2:AH34,"YES"),""),"")</f>
        <v/>
      </c>
    </row>
    <row r="35" spans="4:35" x14ac:dyDescent="0.2">
      <c r="D35" s="52">
        <f t="shared" si="0"/>
        <v>34</v>
      </c>
      <c r="E35" s="5" t="str">
        <f t="shared" si="4"/>
        <v>PTL</v>
      </c>
      <c r="F35" s="5" t="str">
        <f>IF($D35&lt;&gt;"",VLOOKUP($E35,STK_REF!$A$2:$J$1048576,2,0),"")</f>
        <v xml:space="preserve">Petro Capital and Infrastructure Investment Joint </v>
      </c>
      <c r="G35" s="68">
        <f>IF($D35&lt;=$B$1-$B$2,IF(INDEX($AA$2:$AA$1048576,MATCH($D35,$AB$2:$AB$1048576,0))="MODIFY",INDEX(IDX_CA!$D$1:$D$1041,SUMPRODUCT(--($E35=IDX_CA!$A$2:$A$1041),--(NXT_COMPO!$P35=IDX_CA!$B$2:$B$1041),--(NXT_COMPO!$Q35=IDX_CA!$C$2:$C$1041),ROW(IDX_CA!$D$2:$D$1041))),INDEX(IDX_COMPO!$C$1:$C$12000,SUMPRODUCT(--($E35=IDX_COMPO!$A$2:$A$1200),--(NXT_COMPO!$P35=IDX_COMPO!$F$2:$F$1200),--(NXT_COMPO!$B$5=IDX_COMPO!$G$2:$G$1200),ROW(IDX_COMPO!$C$2:$C$1200)))),IF($D35&lt;=$B$4,INDEX(IDX_CA!$D$1:$D$1041,SUMPRODUCT(--($E35=IDX_CA!$A$2:$A$1041),--(NXT_COMPO!$P35=IDX_CA!$B$2:$B$1041),--(NXT_COMPO!$Q35=IDX_CA!$C$2:$C$1041),ROW(IDX_CA!$D$2:$D$1041))),""))</f>
        <v>20000000</v>
      </c>
      <c r="H35" s="55">
        <f>IF($D35&lt;=$B$1-$B$2,IF(INDEX($AA$2:$AA$1048576,MATCH($D35,$AB$2:$AB$1048576,0))="MODIFY",INDEX(IDX_CA!$E$1:$E$1041,SUMPRODUCT(--($E35=IDX_CA!$A$2:$A$1041),--(NXT_COMPO!$P35=IDX_CA!$B$2:$B$1041),--(NXT_COMPO!$Q35=IDX_CA!$C$2:$C$1041),ROW(IDX_CA!$E$2:$E$1041))),INDEX(IDX_COMPO!$D$1:$D$1200,SUMPRODUCT(--($E35=IDX_COMPO!$A$2:$A$1200),--(NXT_COMPO!$P35=IDX_COMPO!$F$2:$F$1200),--(NXT_COMPO!$B$5=IDX_COMPO!$G$2:$G$1200),ROW(IDX_COMPO!$D$2:$D$1200)))),IF($D35&lt;=$B$4,INDEX(IDX_CA!$E$1:$E$1041,SUMPRODUCT(--($E35=IDX_CA!$A$2:$A$1041),--(NXT_COMPO!$P35=IDX_CA!$B$2:$B$1041),--(NXT_COMPO!$Q35=IDX_CA!$C$2:$C$1041),ROW(IDX_CA!$E$2:$E$1041))),""))</f>
        <v>100</v>
      </c>
      <c r="I35" s="55">
        <f>IF($D35&lt;=$B$1-$B$2,IF(INDEX($AA$2:$AA$1048576,MATCH($D35,$AB$2:$AB$1048576,0))="MODIFY",INDEX(IDX_CA!$F$1:$F$1041,SUMPRODUCT(--($E35=IDX_CA!$A$2:$A$1041),--(NXT_COMPO!$P35=IDX_CA!$B$2:$B$1041),--(NXT_COMPO!$Q35=IDX_CA!$C$2:$C$1041),ROW(IDX_CA!$F$2:$F$1041))),INDEX(IDX_COMPO!$E$1:$E$1200,SUMPRODUCT(--($E35=IDX_COMPO!$A$2:$A$1200),--(NXT_COMPO!$P35=IDX_COMPO!$F$2:$F$1200),--(NXT_COMPO!$B$5=IDX_COMPO!$G$2:$G$1200),ROW(IDX_COMPO!$E$2:$E$1200)))),IF($D35&lt;=$B$4,INDEX(IDX_CA!$F$1:$F$1041,SUMPRODUCT(--($E35=IDX_CA!$A$2:$A$1041),--(NXT_COMPO!$P35=IDX_CA!$B$2:$B$1041),--(NXT_COMPO!$Q35=IDX_CA!$C$2:$C$1041),ROW(IDX_CA!$F$2:$F$1041))),""))</f>
        <v>100</v>
      </c>
      <c r="J35" s="62">
        <f>IF($D35&lt;=$B$1-$B$2,IF(INDEX($AA$2:$AA$1048576,MATCH($D35,$AB$2:$AB$1048576,0))="MODIFY",INDEX(IDX_CA!$G$1:$G$1041,SUMPRODUCT(--($E35=IDX_CA!$A$2:$A$1041),--(NXT_COMPO!$P35=IDX_CA!$B$2:$B$1041),--(NXT_COMPO!$Q35=IDX_CA!$C$2:$C$1041),ROW(IDX_CA!$G$2:$G$1041))),INDEX(IDX_COMPOSITION!$F$1:$F$441,SUMPRODUCT(--($E35=IDX_COMPOSITION!$A$2:$A$441),--(NXT_COMPO!$P35=IDX_COMPOSITION!$R$2:$R$441),--(NXT_COMPO!$B$5=IDX_COMPOSITION!$L$2:$L$441),ROW(IDX_COMPOSITION!$F$2:$F$441)))),IF($D35&lt;=$B$4,INDEX(IDX_CA!$G$1:$G$1041,SUMPRODUCT(--($E35=IDX_CA!$A$2:$A$1041),--(NXT_COMPO!$P35=IDX_CA!$B$2:$B$1041),--(NXT_COMPO!$Q35=IDX_CA!$C$2:$C$1041),ROW(IDX_CA!$G$2:$G$1041))),""))</f>
        <v>2900</v>
      </c>
      <c r="K35" s="63" t="str">
        <f>IF($D35&lt;&gt;"",VLOOKUP($E35,STK_REF!$A$2:$J$1048576,7,0),"")</f>
        <v>VND</v>
      </c>
      <c r="L35" s="5">
        <f>IF($D35&lt;&gt;"",VLOOKUP($E35,STK_REF!$A$2:$J$1048576,8,0),"")</f>
        <v>1</v>
      </c>
      <c r="M35" s="8">
        <f>IF($D35&lt;&gt;"",IF($K35=$U35,1,IF(ISNA(VLOOKUP($K35&amp;$U35,CUR_RATES!$A$2:$F$521,4,0)),"",VLOOKUP($K35&amp;$U35,CUR_RATES!$A$2:$F$521,4,0))),"")</f>
        <v>1</v>
      </c>
      <c r="N35" s="61">
        <f t="shared" si="5"/>
        <v>2900</v>
      </c>
      <c r="O35" s="68">
        <f t="shared" si="6"/>
        <v>58000000000</v>
      </c>
      <c r="P35" s="5" t="str">
        <f t="shared" si="10"/>
        <v>VNXASPRVND</v>
      </c>
      <c r="Q35" s="75">
        <f t="shared" si="7"/>
        <v>41166</v>
      </c>
      <c r="R35" s="68" t="str">
        <f t="shared" si="8"/>
        <v/>
      </c>
      <c r="S35" s="61" t="str">
        <f t="shared" si="9"/>
        <v/>
      </c>
      <c r="T35" s="62" t="str">
        <f>IF(D35&lt;&gt;"",IF(SUMPRODUCT(--($E35=STK_DIV!$A$2:$A$5),--(NXT_COMPO!$Q35=STK_DIV!$E$2:$E$5),ROW(STK_DIV!$D$2:$D$5))=0,"",INDEX(STK_DIV!$D$1:$D$5,SUMPRODUCT(--($E35=STK_DIV!$A$2:$A$5),--(NXT_COMPO!$Q35=STK_DIV!$E$2:$E$5),ROW(STK_DIV!$D$2:$D$5)))),"")</f>
        <v/>
      </c>
      <c r="U35" s="54" t="str">
        <f>IF($D35&lt;&gt;"",VLOOKUP($P35,IDX_REF!$2:$1048576,4,0),"")</f>
        <v>VND</v>
      </c>
      <c r="W35" s="52">
        <f t="shared" si="11"/>
        <v>34</v>
      </c>
      <c r="X35" s="5" t="str">
        <f>IF(ROW(X35)-ROW($X$1)&lt;=$B$1,INDEX(IDX_COMPO!A:A,ROW(IDX_COMPO!A35)),"")</f>
        <v>PTL</v>
      </c>
      <c r="Y35" s="75">
        <f t="shared" si="12"/>
        <v>41166</v>
      </c>
      <c r="Z35" s="54" t="str">
        <f>IF(ROW(Z35)-ROW($Y$1)&lt;=$B$1,INDEX(IDX_COMPO!F:F,ROW(IDX_COMPO!R35)),"")</f>
        <v>VNXASPRVND</v>
      </c>
      <c r="AA35" s="2" t="str">
        <f t="array" ref="AA35">IF(X35&lt;&gt;"",IF(SUMPRODUCT(--(X35=IDX_CA!$A$2:$A$1041),--(NXT_COMPO!Y35=IDX_CA!$C$2:$C$1041),--(Z35=IDX_CA!$B$2:$B$1041))&gt;0,IF(INDEX(IDX_CA!$I:$I,SUMPRODUCT(--(X35=IDX_CA!$A$2:$A$1041),--(NXT_COMPO!Y35=IDX_CA!$C$2:$C$1041),--(Z35=IDX_CA!$B$2:$B$1041),ROW(IDX_CA!$I$2:$I$1041)))=1,"YES","MODIFY"),""),"")</f>
        <v/>
      </c>
      <c r="AB35" s="5">
        <f>IF(X35&lt;&gt;"",IF(AA35="YES","",COUNTIF($AA$2:AA35,"&lt;&gt;YES")),"")</f>
        <v>34</v>
      </c>
      <c r="AC35" s="2"/>
      <c r="AD35" s="5"/>
      <c r="AE35" s="5"/>
      <c r="AH35" s="2" t="str">
        <f t="array" ref="AH35">IF(ISERROR(SMALL(IF(IDX_CA!$H$1:$H$1041=1,ROW(IDX_CA!$H$1:$H$1041)),ROW(AH35)-ROW($AH$1))),"",IF(INDEX(IDX_CA!$C:$C,SMALL(IF(IDX_CA!$H$1:$H$1041=1,ROW(IDX_CA!$H$1:$H$1041)),ROW(AH35)-ROW($AH$1)))=$B$6,"YES",""))</f>
        <v/>
      </c>
      <c r="AI35" s="5" t="str">
        <f>IF(AD35&lt;&gt;"",IF(AH35="YES",COUNTIF($AH$2:AH35,"YES"),""),"")</f>
        <v/>
      </c>
    </row>
    <row r="36" spans="4:35" x14ac:dyDescent="0.2">
      <c r="D36" s="52">
        <f t="shared" si="0"/>
        <v>35</v>
      </c>
      <c r="E36" s="5" t="str">
        <f t="shared" si="4"/>
        <v>POV</v>
      </c>
      <c r="F36" s="5" t="str">
        <f>IF($D36&lt;&gt;"",VLOOKUP($E36,STK_REF!$A$2:$J$1048576,2,0),"")</f>
        <v>Vung Ang Petroleum Joint Stock Co</v>
      </c>
      <c r="G36" s="68">
        <f>IF($D36&lt;=$B$1-$B$2,IF(INDEX($AA$2:$AA$1048576,MATCH($D36,$AB$2:$AB$1048576,0))="MODIFY",INDEX(IDX_CA!$D$1:$D$1041,SUMPRODUCT(--($E36=IDX_CA!$A$2:$A$1041),--(NXT_COMPO!$P36=IDX_CA!$B$2:$B$1041),--(NXT_COMPO!$Q36=IDX_CA!$C$2:$C$1041),ROW(IDX_CA!$D$2:$D$1041))),INDEX(IDX_COMPO!$C$1:$C$12000,SUMPRODUCT(--($E36=IDX_COMPO!$A$2:$A$1200),--(NXT_COMPO!$P36=IDX_COMPO!$F$2:$F$1200),--(NXT_COMPO!$B$5=IDX_COMPO!$G$2:$G$1200),ROW(IDX_COMPO!$C$2:$C$1200)))),IF($D36&lt;=$B$4,INDEX(IDX_CA!$D$1:$D$1041,SUMPRODUCT(--($E36=IDX_CA!$A$2:$A$1041),--(NXT_COMPO!$P36=IDX_CA!$B$2:$B$1041),--(NXT_COMPO!$Q36=IDX_CA!$C$2:$C$1041),ROW(IDX_CA!$D$2:$D$1041))),""))</f>
        <v>22500000</v>
      </c>
      <c r="H36" s="55">
        <f>IF($D36&lt;=$B$1-$B$2,IF(INDEX($AA$2:$AA$1048576,MATCH($D36,$AB$2:$AB$1048576,0))="MODIFY",INDEX(IDX_CA!$E$1:$E$1041,SUMPRODUCT(--($E36=IDX_CA!$A$2:$A$1041),--(NXT_COMPO!$P36=IDX_CA!$B$2:$B$1041),--(NXT_COMPO!$Q36=IDX_CA!$C$2:$C$1041),ROW(IDX_CA!$E$2:$E$1041))),INDEX(IDX_COMPO!$D$1:$D$1200,SUMPRODUCT(--($E36=IDX_COMPO!$A$2:$A$1200),--(NXT_COMPO!$P36=IDX_COMPO!$F$2:$F$1200),--(NXT_COMPO!$B$5=IDX_COMPO!$G$2:$G$1200),ROW(IDX_COMPO!$D$2:$D$1200)))),IF($D36&lt;=$B$4,INDEX(IDX_CA!$E$1:$E$1041,SUMPRODUCT(--($E36=IDX_CA!$A$2:$A$1041),--(NXT_COMPO!$P36=IDX_CA!$B$2:$B$1041),--(NXT_COMPO!$Q36=IDX_CA!$C$2:$C$1041),ROW(IDX_CA!$E$2:$E$1041))),""))</f>
        <v>100</v>
      </c>
      <c r="I36" s="55">
        <f>IF($D36&lt;=$B$1-$B$2,IF(INDEX($AA$2:$AA$1048576,MATCH($D36,$AB$2:$AB$1048576,0))="MODIFY",INDEX(IDX_CA!$F$1:$F$1041,SUMPRODUCT(--($E36=IDX_CA!$A$2:$A$1041),--(NXT_COMPO!$P36=IDX_CA!$B$2:$B$1041),--(NXT_COMPO!$Q36=IDX_CA!$C$2:$C$1041),ROW(IDX_CA!$F$2:$F$1041))),INDEX(IDX_COMPO!$E$1:$E$1200,SUMPRODUCT(--($E36=IDX_COMPO!$A$2:$A$1200),--(NXT_COMPO!$P36=IDX_COMPO!$F$2:$F$1200),--(NXT_COMPO!$B$5=IDX_COMPO!$G$2:$G$1200),ROW(IDX_COMPO!$E$2:$E$1200)))),IF($D36&lt;=$B$4,INDEX(IDX_CA!$F$1:$F$1041,SUMPRODUCT(--($E36=IDX_CA!$A$2:$A$1041),--(NXT_COMPO!$P36=IDX_CA!$B$2:$B$1041),--(NXT_COMPO!$Q36=IDX_CA!$C$2:$C$1041),ROW(IDX_CA!$F$2:$F$1041))),""))</f>
        <v>100</v>
      </c>
      <c r="J36" s="62">
        <f>IF($D36&lt;=$B$1-$B$2,IF(INDEX($AA$2:$AA$1048576,MATCH($D36,$AB$2:$AB$1048576,0))="MODIFY",INDEX(IDX_CA!$G$1:$G$1041,SUMPRODUCT(--($E36=IDX_CA!$A$2:$A$1041),--(NXT_COMPO!$P36=IDX_CA!$B$2:$B$1041),--(NXT_COMPO!$Q36=IDX_CA!$C$2:$C$1041),ROW(IDX_CA!$G$2:$G$1041))),INDEX(IDX_COMPOSITION!$F$1:$F$441,SUMPRODUCT(--($E36=IDX_COMPOSITION!$A$2:$A$441),--(NXT_COMPO!$P36=IDX_COMPOSITION!$R$2:$R$441),--(NXT_COMPO!$B$5=IDX_COMPOSITION!$L$2:$L$441),ROW(IDX_COMPOSITION!$F$2:$F$441)))),IF($D36&lt;=$B$4,INDEX(IDX_CA!$G$1:$G$1041,SUMPRODUCT(--($E36=IDX_CA!$A$2:$A$1041),--(NXT_COMPO!$P36=IDX_CA!$B$2:$B$1041),--(NXT_COMPO!$Q36=IDX_CA!$C$2:$C$1041),ROW(IDX_CA!$G$2:$G$1041))),""))</f>
        <v>5900</v>
      </c>
      <c r="K36" s="63" t="str">
        <f>IF($D36&lt;&gt;"",VLOOKUP($E36,STK_REF!$A$2:$J$1048576,7,0),"")</f>
        <v>VND</v>
      </c>
      <c r="L36" s="5">
        <f>IF($D36&lt;&gt;"",VLOOKUP($E36,STK_REF!$A$2:$J$1048576,8,0),"")</f>
        <v>1</v>
      </c>
      <c r="M36" s="8">
        <f>IF($D36&lt;&gt;"",IF($K36=$U36,1,IF(ISNA(VLOOKUP($K36&amp;$U36,CUR_RATES!$A$2:$F$521,4,0)),"",VLOOKUP($K36&amp;$U36,CUR_RATES!$A$2:$F$521,4,0))),"")</f>
        <v>1</v>
      </c>
      <c r="N36" s="61">
        <f t="shared" si="5"/>
        <v>5900</v>
      </c>
      <c r="O36" s="68">
        <f t="shared" si="6"/>
        <v>132750000000</v>
      </c>
      <c r="P36" s="5" t="str">
        <f t="shared" si="10"/>
        <v>VNXASPRVND</v>
      </c>
      <c r="Q36" s="75">
        <f t="shared" si="7"/>
        <v>41166</v>
      </c>
      <c r="R36" s="68" t="str">
        <f t="shared" si="8"/>
        <v/>
      </c>
      <c r="S36" s="61" t="str">
        <f t="shared" si="9"/>
        <v/>
      </c>
      <c r="T36" s="62" t="str">
        <f>IF(D36&lt;&gt;"",IF(SUMPRODUCT(--($E36=STK_DIV!$A$2:$A$5),--(NXT_COMPO!$Q36=STK_DIV!$E$2:$E$5),ROW(STK_DIV!$D$2:$D$5))=0,"",INDEX(STK_DIV!$D$1:$D$5,SUMPRODUCT(--($E36=STK_DIV!$A$2:$A$5),--(NXT_COMPO!$Q36=STK_DIV!$E$2:$E$5),ROW(STK_DIV!$D$2:$D$5)))),"")</f>
        <v/>
      </c>
      <c r="U36" s="54" t="str">
        <f>IF($D36&lt;&gt;"",VLOOKUP($P36,IDX_REF!$2:$1048576,4,0),"")</f>
        <v>VND</v>
      </c>
      <c r="W36" s="52">
        <f t="shared" si="11"/>
        <v>35</v>
      </c>
      <c r="X36" s="5" t="str">
        <f>IF(ROW(X36)-ROW($X$1)&lt;=$B$1,INDEX(IDX_COMPO!A:A,ROW(IDX_COMPO!A36)),"")</f>
        <v>POV</v>
      </c>
      <c r="Y36" s="75">
        <f t="shared" si="12"/>
        <v>41166</v>
      </c>
      <c r="Z36" s="54" t="str">
        <f>IF(ROW(Z36)-ROW($Y$1)&lt;=$B$1,INDEX(IDX_COMPO!F:F,ROW(IDX_COMPO!R36)),"")</f>
        <v>VNXASPRVND</v>
      </c>
      <c r="AA36" s="2" t="str">
        <f t="array" ref="AA36">IF(X36&lt;&gt;"",IF(SUMPRODUCT(--(X36=IDX_CA!$A$2:$A$1041),--(NXT_COMPO!Y36=IDX_CA!$C$2:$C$1041),--(Z36=IDX_CA!$B$2:$B$1041))&gt;0,IF(INDEX(IDX_CA!$I:$I,SUMPRODUCT(--(X36=IDX_CA!$A$2:$A$1041),--(NXT_COMPO!Y36=IDX_CA!$C$2:$C$1041),--(Z36=IDX_CA!$B$2:$B$1041),ROW(IDX_CA!$I$2:$I$1041)))=1,"YES","MODIFY"),""),"")</f>
        <v/>
      </c>
      <c r="AB36" s="5">
        <f>IF(X36&lt;&gt;"",IF(AA36="YES","",COUNTIF($AA$2:AA36,"&lt;&gt;YES")),"")</f>
        <v>35</v>
      </c>
      <c r="AC36" s="2"/>
      <c r="AD36" s="5"/>
      <c r="AE36" s="5"/>
      <c r="AH36" s="2" t="str">
        <f t="array" ref="AH36">IF(ISERROR(SMALL(IF(IDX_CA!$H$1:$H$1041=1,ROW(IDX_CA!$H$1:$H$1041)),ROW(AH36)-ROW($AH$1))),"",IF(INDEX(IDX_CA!$C:$C,SMALL(IF(IDX_CA!$H$1:$H$1041=1,ROW(IDX_CA!$H$1:$H$1041)),ROW(AH36)-ROW($AH$1)))=$B$6,"YES",""))</f>
        <v/>
      </c>
      <c r="AI36" s="5" t="str">
        <f>IF(AD36&lt;&gt;"",IF(AH36="YES",COUNTIF($AH$2:AH36,"YES"),""),"")</f>
        <v/>
      </c>
    </row>
    <row r="37" spans="4:35" x14ac:dyDescent="0.2">
      <c r="D37" s="52">
        <f t="shared" si="0"/>
        <v>36</v>
      </c>
      <c r="E37" s="5" t="str">
        <f t="shared" si="4"/>
        <v>PFL</v>
      </c>
      <c r="F37" s="5" t="str">
        <f>IF($D37&lt;&gt;"",VLOOKUP($E37,STK_REF!$A$2:$J$1048576,2,0),"")</f>
        <v>Petro Dong Do Joint Stock Company</v>
      </c>
      <c r="G37" s="68">
        <f>IF($D37&lt;=$B$1-$B$2,IF(INDEX($AA$2:$AA$1048576,MATCH($D37,$AB$2:$AB$1048576,0))="MODIFY",INDEX(IDX_CA!$D$1:$D$1041,SUMPRODUCT(--($E37=IDX_CA!$A$2:$A$1041),--(NXT_COMPO!$P37=IDX_CA!$B$2:$B$1041),--(NXT_COMPO!$Q37=IDX_CA!$C$2:$C$1041),ROW(IDX_CA!$D$2:$D$1041))),INDEX(IDX_COMPO!$C$1:$C$12000,SUMPRODUCT(--($E37=IDX_COMPO!$A$2:$A$1200),--(NXT_COMPO!$P37=IDX_COMPO!$F$2:$F$1200),--(NXT_COMPO!$B$5=IDX_COMPO!$G$2:$G$1200),ROW(IDX_COMPO!$C$2:$C$1200)))),IF($D37&lt;=$B$4,INDEX(IDX_CA!$D$1:$D$1041,SUMPRODUCT(--($E37=IDX_CA!$A$2:$A$1041),--(NXT_COMPO!$P37=IDX_CA!$B$2:$B$1041),--(NXT_COMPO!$Q37=IDX_CA!$C$2:$C$1041),ROW(IDX_CA!$D$2:$D$1041))),""))</f>
        <v>18870000</v>
      </c>
      <c r="H37" s="55">
        <f>IF($D37&lt;=$B$1-$B$2,IF(INDEX($AA$2:$AA$1048576,MATCH($D37,$AB$2:$AB$1048576,0))="MODIFY",INDEX(IDX_CA!$E$1:$E$1041,SUMPRODUCT(--($E37=IDX_CA!$A$2:$A$1041),--(NXT_COMPO!$P37=IDX_CA!$B$2:$B$1041),--(NXT_COMPO!$Q37=IDX_CA!$C$2:$C$1041),ROW(IDX_CA!$E$2:$E$1041))),INDEX(IDX_COMPO!$D$1:$D$1200,SUMPRODUCT(--($E37=IDX_COMPO!$A$2:$A$1200),--(NXT_COMPO!$P37=IDX_COMPO!$F$2:$F$1200),--(NXT_COMPO!$B$5=IDX_COMPO!$G$2:$G$1200),ROW(IDX_COMPO!$D$2:$D$1200)))),IF($D37&lt;=$B$4,INDEX(IDX_CA!$E$1:$E$1041,SUMPRODUCT(--($E37=IDX_CA!$A$2:$A$1041),--(NXT_COMPO!$P37=IDX_CA!$B$2:$B$1041),--(NXT_COMPO!$Q37=IDX_CA!$C$2:$C$1041),ROW(IDX_CA!$E$2:$E$1041))),""))</f>
        <v>100</v>
      </c>
      <c r="I37" s="55">
        <f>IF($D37&lt;=$B$1-$B$2,IF(INDEX($AA$2:$AA$1048576,MATCH($D37,$AB$2:$AB$1048576,0))="MODIFY",INDEX(IDX_CA!$F$1:$F$1041,SUMPRODUCT(--($E37=IDX_CA!$A$2:$A$1041),--(NXT_COMPO!$P37=IDX_CA!$B$2:$B$1041),--(NXT_COMPO!$Q37=IDX_CA!$C$2:$C$1041),ROW(IDX_CA!$F$2:$F$1041))),INDEX(IDX_COMPO!$E$1:$E$1200,SUMPRODUCT(--($E37=IDX_COMPO!$A$2:$A$1200),--(NXT_COMPO!$P37=IDX_COMPO!$F$2:$F$1200),--(NXT_COMPO!$B$5=IDX_COMPO!$G$2:$G$1200),ROW(IDX_COMPO!$E$2:$E$1200)))),IF($D37&lt;=$B$4,INDEX(IDX_CA!$F$1:$F$1041,SUMPRODUCT(--($E37=IDX_CA!$A$2:$A$1041),--(NXT_COMPO!$P37=IDX_CA!$B$2:$B$1041),--(NXT_COMPO!$Q37=IDX_CA!$C$2:$C$1041),ROW(IDX_CA!$F$2:$F$1041))),""))</f>
        <v>100</v>
      </c>
      <c r="J37" s="62">
        <f>IF($D37&lt;=$B$1-$B$2,IF(INDEX($AA$2:$AA$1048576,MATCH($D37,$AB$2:$AB$1048576,0))="MODIFY",INDEX(IDX_CA!$G$1:$G$1041,SUMPRODUCT(--($E37=IDX_CA!$A$2:$A$1041),--(NXT_COMPO!$P37=IDX_CA!$B$2:$B$1041),--(NXT_COMPO!$Q37=IDX_CA!$C$2:$C$1041),ROW(IDX_CA!$G$2:$G$1041))),INDEX(IDX_COMPOSITION!$F$1:$F$441,SUMPRODUCT(--($E37=IDX_COMPOSITION!$A$2:$A$441),--(NXT_COMPO!$P37=IDX_COMPOSITION!$R$2:$R$441),--(NXT_COMPO!$B$5=IDX_COMPOSITION!$L$2:$L$441),ROW(IDX_COMPOSITION!$F$2:$F$441)))),IF($D37&lt;=$B$4,INDEX(IDX_CA!$G$1:$G$1041,SUMPRODUCT(--($E37=IDX_CA!$A$2:$A$1041),--(NXT_COMPO!$P37=IDX_CA!$B$2:$B$1041),--(NXT_COMPO!$Q37=IDX_CA!$C$2:$C$1041),ROW(IDX_CA!$G$2:$G$1041))),""))</f>
        <v>2700</v>
      </c>
      <c r="K37" s="63" t="str">
        <f>IF($D37&lt;&gt;"",VLOOKUP($E37,STK_REF!$A$2:$J$1048576,7,0),"")</f>
        <v>VND</v>
      </c>
      <c r="L37" s="5">
        <f>IF($D37&lt;&gt;"",VLOOKUP($E37,STK_REF!$A$2:$J$1048576,8,0),"")</f>
        <v>1</v>
      </c>
      <c r="M37" s="8">
        <f>IF($D37&lt;&gt;"",IF($K37=$U37,1,IF(ISNA(VLOOKUP($K37&amp;$U37,CUR_RATES!$A$2:$F$521,4,0)),"",VLOOKUP($K37&amp;$U37,CUR_RATES!$A$2:$F$521,4,0))),"")</f>
        <v>1</v>
      </c>
      <c r="N37" s="61">
        <f t="shared" si="5"/>
        <v>2700</v>
      </c>
      <c r="O37" s="68">
        <f t="shared" si="6"/>
        <v>50949000000</v>
      </c>
      <c r="P37" s="5" t="str">
        <f t="shared" si="10"/>
        <v>VNXASPRVND</v>
      </c>
      <c r="Q37" s="75">
        <f t="shared" si="7"/>
        <v>41166</v>
      </c>
      <c r="R37" s="68" t="str">
        <f t="shared" si="8"/>
        <v/>
      </c>
      <c r="S37" s="61" t="str">
        <f t="shared" si="9"/>
        <v/>
      </c>
      <c r="T37" s="62" t="str">
        <f>IF(D37&lt;&gt;"",IF(SUMPRODUCT(--($E37=STK_DIV!$A$2:$A$5),--(NXT_COMPO!$Q37=STK_DIV!$E$2:$E$5),ROW(STK_DIV!$D$2:$D$5))=0,"",INDEX(STK_DIV!$D$1:$D$5,SUMPRODUCT(--($E37=STK_DIV!$A$2:$A$5),--(NXT_COMPO!$Q37=STK_DIV!$E$2:$E$5),ROW(STK_DIV!$D$2:$D$5)))),"")</f>
        <v/>
      </c>
      <c r="U37" s="54" t="str">
        <f>IF($D37&lt;&gt;"",VLOOKUP($P37,IDX_REF!$2:$1048576,4,0),"")</f>
        <v>VND</v>
      </c>
      <c r="W37" s="52">
        <f t="shared" si="11"/>
        <v>36</v>
      </c>
      <c r="X37" s="5" t="str">
        <f>IF(ROW(X37)-ROW($X$1)&lt;=$B$1,INDEX(IDX_COMPO!A:A,ROW(IDX_COMPO!A37)),"")</f>
        <v>PFL</v>
      </c>
      <c r="Y37" s="75">
        <f t="shared" si="12"/>
        <v>41166</v>
      </c>
      <c r="Z37" s="54" t="str">
        <f>IF(ROW(Z37)-ROW($Y$1)&lt;=$B$1,INDEX(IDX_COMPO!F:F,ROW(IDX_COMPO!R37)),"")</f>
        <v>VNXASPRVND</v>
      </c>
      <c r="AA37" s="2" t="str">
        <f t="array" ref="AA37">IF(X37&lt;&gt;"",IF(SUMPRODUCT(--(X37=IDX_CA!$A$2:$A$1041),--(NXT_COMPO!Y37=IDX_CA!$C$2:$C$1041),--(Z37=IDX_CA!$B$2:$B$1041))&gt;0,IF(INDEX(IDX_CA!$I:$I,SUMPRODUCT(--(X37=IDX_CA!$A$2:$A$1041),--(NXT_COMPO!Y37=IDX_CA!$C$2:$C$1041),--(Z37=IDX_CA!$B$2:$B$1041),ROW(IDX_CA!$I$2:$I$1041)))=1,"YES","MODIFY"),""),"")</f>
        <v/>
      </c>
      <c r="AB37" s="5">
        <f>IF(X37&lt;&gt;"",IF(AA37="YES","",COUNTIF($AA$2:AA37,"&lt;&gt;YES")),"")</f>
        <v>36</v>
      </c>
      <c r="AC37" s="2"/>
      <c r="AD37" s="5"/>
      <c r="AE37" s="5"/>
      <c r="AH37" s="2" t="str">
        <f t="array" ref="AH37">IF(ISERROR(SMALL(IF(IDX_CA!$H$1:$H$1041=1,ROW(IDX_CA!$H$1:$H$1041)),ROW(AH37)-ROW($AH$1))),"",IF(INDEX(IDX_CA!$C:$C,SMALL(IF(IDX_CA!$H$1:$H$1041=1,ROW(IDX_CA!$H$1:$H$1041)),ROW(AH37)-ROW($AH$1)))=$B$6,"YES",""))</f>
        <v/>
      </c>
      <c r="AI37" s="5" t="str">
        <f>IF(AD37&lt;&gt;"",IF(AH37="YES",COUNTIF($AH$2:AH37,"YES"),""),"")</f>
        <v/>
      </c>
    </row>
    <row r="38" spans="4:35" x14ac:dyDescent="0.2">
      <c r="D38" s="52">
        <f t="shared" si="0"/>
        <v>37</v>
      </c>
      <c r="E38" s="5" t="str">
        <f t="shared" si="4"/>
        <v>PCG</v>
      </c>
      <c r="F38" s="5" t="str">
        <f>IF($D38&lt;&gt;"",VLOOKUP($E38,STK_REF!$A$2:$J$1048576,2,0),"")</f>
        <v>PetroVietnam Gas City Investment and Development JSC</v>
      </c>
      <c r="G38" s="68">
        <f>IF($D38&lt;=$B$1-$B$2,IF(INDEX($AA$2:$AA$1048576,MATCH($D38,$AB$2:$AB$1048576,0))="MODIFY",INDEX(IDX_CA!$D$1:$D$1041,SUMPRODUCT(--($E38=IDX_CA!$A$2:$A$1041),--(NXT_COMPO!$P38=IDX_CA!$B$2:$B$1041),--(NXT_COMPO!$Q38=IDX_CA!$C$2:$C$1041),ROW(IDX_CA!$D$2:$D$1041))),INDEX(IDX_COMPO!$C$1:$C$12000,SUMPRODUCT(--($E38=IDX_COMPO!$A$2:$A$1200),--(NXT_COMPO!$P38=IDX_COMPO!$F$2:$F$1200),--(NXT_COMPO!$B$5=IDX_COMPO!$G$2:$G$1200),ROW(IDX_COMPO!$C$2:$C$1200)))),IF($D38&lt;=$B$4,INDEX(IDX_CA!$D$1:$D$1041,SUMPRODUCT(--($E38=IDX_CA!$A$2:$A$1041),--(NXT_COMPO!$P38=IDX_CA!$B$2:$B$1041),--(NXT_COMPO!$Q38=IDX_CA!$C$2:$C$1041),ROW(IDX_CA!$D$2:$D$1041))),""))</f>
        <v>23000000</v>
      </c>
      <c r="H38" s="55">
        <f>IF($D38&lt;=$B$1-$B$2,IF(INDEX($AA$2:$AA$1048576,MATCH($D38,$AB$2:$AB$1048576,0))="MODIFY",INDEX(IDX_CA!$E$1:$E$1041,SUMPRODUCT(--($E38=IDX_CA!$A$2:$A$1041),--(NXT_COMPO!$P38=IDX_CA!$B$2:$B$1041),--(NXT_COMPO!$Q38=IDX_CA!$C$2:$C$1041),ROW(IDX_CA!$E$2:$E$1041))),INDEX(IDX_COMPO!$D$1:$D$1200,SUMPRODUCT(--($E38=IDX_COMPO!$A$2:$A$1200),--(NXT_COMPO!$P38=IDX_COMPO!$F$2:$F$1200),--(NXT_COMPO!$B$5=IDX_COMPO!$G$2:$G$1200),ROW(IDX_COMPO!$D$2:$D$1200)))),IF($D38&lt;=$B$4,INDEX(IDX_CA!$E$1:$E$1041,SUMPRODUCT(--($E38=IDX_CA!$A$2:$A$1041),--(NXT_COMPO!$P38=IDX_CA!$B$2:$B$1041),--(NXT_COMPO!$Q38=IDX_CA!$C$2:$C$1041),ROW(IDX_CA!$E$2:$E$1041))),""))</f>
        <v>100</v>
      </c>
      <c r="I38" s="55">
        <f>IF($D38&lt;=$B$1-$B$2,IF(INDEX($AA$2:$AA$1048576,MATCH($D38,$AB$2:$AB$1048576,0))="MODIFY",INDEX(IDX_CA!$F$1:$F$1041,SUMPRODUCT(--($E38=IDX_CA!$A$2:$A$1041),--(NXT_COMPO!$P38=IDX_CA!$B$2:$B$1041),--(NXT_COMPO!$Q38=IDX_CA!$C$2:$C$1041),ROW(IDX_CA!$F$2:$F$1041))),INDEX(IDX_COMPO!$E$1:$E$1200,SUMPRODUCT(--($E38=IDX_COMPO!$A$2:$A$1200),--(NXT_COMPO!$P38=IDX_COMPO!$F$2:$F$1200),--(NXT_COMPO!$B$5=IDX_COMPO!$G$2:$G$1200),ROW(IDX_COMPO!$E$2:$E$1200)))),IF($D38&lt;=$B$4,INDEX(IDX_CA!$F$1:$F$1041,SUMPRODUCT(--($E38=IDX_CA!$A$2:$A$1041),--(NXT_COMPO!$P38=IDX_CA!$B$2:$B$1041),--(NXT_COMPO!$Q38=IDX_CA!$C$2:$C$1041),ROW(IDX_CA!$F$2:$F$1041))),""))</f>
        <v>100</v>
      </c>
      <c r="J38" s="62">
        <f>IF($D38&lt;=$B$1-$B$2,IF(INDEX($AA$2:$AA$1048576,MATCH($D38,$AB$2:$AB$1048576,0))="MODIFY",INDEX(IDX_CA!$G$1:$G$1041,SUMPRODUCT(--($E38=IDX_CA!$A$2:$A$1041),--(NXT_COMPO!$P38=IDX_CA!$B$2:$B$1041),--(NXT_COMPO!$Q38=IDX_CA!$C$2:$C$1041),ROW(IDX_CA!$G$2:$G$1041))),INDEX(IDX_COMPOSITION!$F$1:$F$441,SUMPRODUCT(--($E38=IDX_COMPOSITION!$A$2:$A$441),--(NXT_COMPO!$P38=IDX_COMPOSITION!$R$2:$R$441),--(NXT_COMPO!$B$5=IDX_COMPOSITION!$L$2:$L$441),ROW(IDX_COMPOSITION!$F$2:$F$441)))),IF($D38&lt;=$B$4,INDEX(IDX_CA!$G$1:$G$1041,SUMPRODUCT(--($E38=IDX_CA!$A$2:$A$1041),--(NXT_COMPO!$P38=IDX_CA!$B$2:$B$1041),--(NXT_COMPO!$Q38=IDX_CA!$C$2:$C$1041),ROW(IDX_CA!$G$2:$G$1041))),""))</f>
        <v>6100</v>
      </c>
      <c r="K38" s="63" t="str">
        <f>IF($D38&lt;&gt;"",VLOOKUP($E38,STK_REF!$A$2:$J$1048576,7,0),"")</f>
        <v>VND</v>
      </c>
      <c r="L38" s="5">
        <f>IF($D38&lt;&gt;"",VLOOKUP($E38,STK_REF!$A$2:$J$1048576,8,0),"")</f>
        <v>1</v>
      </c>
      <c r="M38" s="8">
        <f>IF($D38&lt;&gt;"",IF($K38=$U38,1,IF(ISNA(VLOOKUP($K38&amp;$U38,CUR_RATES!$A$2:$F$521,4,0)),"",VLOOKUP($K38&amp;$U38,CUR_RATES!$A$2:$F$521,4,0))),"")</f>
        <v>1</v>
      </c>
      <c r="N38" s="61">
        <f t="shared" si="5"/>
        <v>6100</v>
      </c>
      <c r="O38" s="68">
        <f t="shared" si="6"/>
        <v>140300000000</v>
      </c>
      <c r="P38" s="5" t="str">
        <f t="shared" si="10"/>
        <v>VNXASPRVND</v>
      </c>
      <c r="Q38" s="75">
        <f t="shared" si="7"/>
        <v>41166</v>
      </c>
      <c r="R38" s="68" t="str">
        <f t="shared" si="8"/>
        <v/>
      </c>
      <c r="S38" s="61" t="str">
        <f t="shared" si="9"/>
        <v/>
      </c>
      <c r="T38" s="62" t="str">
        <f>IF(D38&lt;&gt;"",IF(SUMPRODUCT(--($E38=STK_DIV!$A$2:$A$5),--(NXT_COMPO!$Q38=STK_DIV!$E$2:$E$5),ROW(STK_DIV!$D$2:$D$5))=0,"",INDEX(STK_DIV!$D$1:$D$5,SUMPRODUCT(--($E38=STK_DIV!$A$2:$A$5),--(NXT_COMPO!$Q38=STK_DIV!$E$2:$E$5),ROW(STK_DIV!$D$2:$D$5)))),"")</f>
        <v/>
      </c>
      <c r="U38" s="54" t="str">
        <f>IF($D38&lt;&gt;"",VLOOKUP($P38,IDX_REF!$2:$1048576,4,0),"")</f>
        <v>VND</v>
      </c>
      <c r="W38" s="52">
        <f t="shared" si="11"/>
        <v>37</v>
      </c>
      <c r="X38" s="5" t="str">
        <f>IF(ROW(X38)-ROW($X$1)&lt;=$B$1,INDEX(IDX_COMPO!A:A,ROW(IDX_COMPO!A38)),"")</f>
        <v>PCG</v>
      </c>
      <c r="Y38" s="75">
        <f t="shared" si="12"/>
        <v>41166</v>
      </c>
      <c r="Z38" s="54" t="str">
        <f>IF(ROW(Z38)-ROW($Y$1)&lt;=$B$1,INDEX(IDX_COMPO!F:F,ROW(IDX_COMPO!R38)),"")</f>
        <v>VNXASPRVND</v>
      </c>
      <c r="AA38" s="2" t="str">
        <f t="array" ref="AA38">IF(X38&lt;&gt;"",IF(SUMPRODUCT(--(X38=IDX_CA!$A$2:$A$1041),--(NXT_COMPO!Y38=IDX_CA!$C$2:$C$1041),--(Z38=IDX_CA!$B$2:$B$1041))&gt;0,IF(INDEX(IDX_CA!$I:$I,SUMPRODUCT(--(X38=IDX_CA!$A$2:$A$1041),--(NXT_COMPO!Y38=IDX_CA!$C$2:$C$1041),--(Z38=IDX_CA!$B$2:$B$1041),ROW(IDX_CA!$I$2:$I$1041)))=1,"YES","MODIFY"),""),"")</f>
        <v/>
      </c>
      <c r="AB38" s="5">
        <f>IF(X38&lt;&gt;"",IF(AA38="YES","",COUNTIF($AA$2:AA38,"&lt;&gt;YES")),"")</f>
        <v>37</v>
      </c>
      <c r="AC38" s="2"/>
      <c r="AD38" s="5"/>
      <c r="AE38" s="5"/>
      <c r="AH38" s="2" t="str">
        <f t="array" ref="AH38">IF(ISERROR(SMALL(IF(IDX_CA!$H$1:$H$1041=1,ROW(IDX_CA!$H$1:$H$1041)),ROW(AH38)-ROW($AH$1))),"",IF(INDEX(IDX_CA!$C:$C,SMALL(IF(IDX_CA!$H$1:$H$1041=1,ROW(IDX_CA!$H$1:$H$1041)),ROW(AH38)-ROW($AH$1)))=$B$6,"YES",""))</f>
        <v/>
      </c>
      <c r="AI38" s="5" t="str">
        <f>IF(AD38&lt;&gt;"",IF(AH38="YES",COUNTIF($AH$2:AH38,"YES"),""),"")</f>
        <v/>
      </c>
    </row>
    <row r="39" spans="4:35" x14ac:dyDescent="0.2">
      <c r="D39" s="52">
        <f t="shared" si="0"/>
        <v>38</v>
      </c>
      <c r="E39" s="5" t="str">
        <f t="shared" si="4"/>
        <v>PPS</v>
      </c>
      <c r="F39" s="5" t="str">
        <f>IF($D39&lt;&gt;"",VLOOKUP($E39,STK_REF!$A$2:$J$1048576,2,0),"")</f>
        <v>Petro Vietnam Power Services Joint Stock Company</v>
      </c>
      <c r="G39" s="68">
        <f>IF($D39&lt;=$B$1-$B$2,IF(INDEX($AA$2:$AA$1048576,MATCH($D39,$AB$2:$AB$1048576,0))="MODIFY",INDEX(IDX_CA!$D$1:$D$1041,SUMPRODUCT(--($E39=IDX_CA!$A$2:$A$1041),--(NXT_COMPO!$P39=IDX_CA!$B$2:$B$1041),--(NXT_COMPO!$Q39=IDX_CA!$C$2:$C$1041),ROW(IDX_CA!$D$2:$D$1041))),INDEX(IDX_COMPO!$C$1:$C$12000,SUMPRODUCT(--($E39=IDX_COMPO!$A$2:$A$1200),--(NXT_COMPO!$P39=IDX_COMPO!$F$2:$F$1200),--(NXT_COMPO!$B$5=IDX_COMPO!$G$2:$G$1200),ROW(IDX_COMPO!$C$2:$C$1200)))),IF($D39&lt;=$B$4,INDEX(IDX_CA!$D$1:$D$1041,SUMPRODUCT(--($E39=IDX_CA!$A$2:$A$1041),--(NXT_COMPO!$P39=IDX_CA!$B$2:$B$1041),--(NXT_COMPO!$Q39=IDX_CA!$C$2:$C$1041),ROW(IDX_CA!$D$2:$D$1041))),""))</f>
        <v>10000000</v>
      </c>
      <c r="H39" s="55">
        <f>IF($D39&lt;=$B$1-$B$2,IF(INDEX($AA$2:$AA$1048576,MATCH($D39,$AB$2:$AB$1048576,0))="MODIFY",INDEX(IDX_CA!$E$1:$E$1041,SUMPRODUCT(--($E39=IDX_CA!$A$2:$A$1041),--(NXT_COMPO!$P39=IDX_CA!$B$2:$B$1041),--(NXT_COMPO!$Q39=IDX_CA!$C$2:$C$1041),ROW(IDX_CA!$E$2:$E$1041))),INDEX(IDX_COMPO!$D$1:$D$1200,SUMPRODUCT(--($E39=IDX_COMPO!$A$2:$A$1200),--(NXT_COMPO!$P39=IDX_COMPO!$F$2:$F$1200),--(NXT_COMPO!$B$5=IDX_COMPO!$G$2:$G$1200),ROW(IDX_COMPO!$D$2:$D$1200)))),IF($D39&lt;=$B$4,INDEX(IDX_CA!$E$1:$E$1041,SUMPRODUCT(--($E39=IDX_CA!$A$2:$A$1041),--(NXT_COMPO!$P39=IDX_CA!$B$2:$B$1041),--(NXT_COMPO!$Q39=IDX_CA!$C$2:$C$1041),ROW(IDX_CA!$E$2:$E$1041))),""))</f>
        <v>100</v>
      </c>
      <c r="I39" s="55">
        <f>IF($D39&lt;=$B$1-$B$2,IF(INDEX($AA$2:$AA$1048576,MATCH($D39,$AB$2:$AB$1048576,0))="MODIFY",INDEX(IDX_CA!$F$1:$F$1041,SUMPRODUCT(--($E39=IDX_CA!$A$2:$A$1041),--(NXT_COMPO!$P39=IDX_CA!$B$2:$B$1041),--(NXT_COMPO!$Q39=IDX_CA!$C$2:$C$1041),ROW(IDX_CA!$F$2:$F$1041))),INDEX(IDX_COMPO!$E$1:$E$1200,SUMPRODUCT(--($E39=IDX_COMPO!$A$2:$A$1200),--(NXT_COMPO!$P39=IDX_COMPO!$F$2:$F$1200),--(NXT_COMPO!$B$5=IDX_COMPO!$G$2:$G$1200),ROW(IDX_COMPO!$E$2:$E$1200)))),IF($D39&lt;=$B$4,INDEX(IDX_CA!$F$1:$F$1041,SUMPRODUCT(--($E39=IDX_CA!$A$2:$A$1041),--(NXT_COMPO!$P39=IDX_CA!$B$2:$B$1041),--(NXT_COMPO!$Q39=IDX_CA!$C$2:$C$1041),ROW(IDX_CA!$F$2:$F$1041))),""))</f>
        <v>100</v>
      </c>
      <c r="J39" s="62">
        <f>IF($D39&lt;=$B$1-$B$2,IF(INDEX($AA$2:$AA$1048576,MATCH($D39,$AB$2:$AB$1048576,0))="MODIFY",INDEX(IDX_CA!$G$1:$G$1041,SUMPRODUCT(--($E39=IDX_CA!$A$2:$A$1041),--(NXT_COMPO!$P39=IDX_CA!$B$2:$B$1041),--(NXT_COMPO!$Q39=IDX_CA!$C$2:$C$1041),ROW(IDX_CA!$G$2:$G$1041))),INDEX(IDX_COMPOSITION!$F$1:$F$441,SUMPRODUCT(--($E39=IDX_COMPOSITION!$A$2:$A$441),--(NXT_COMPO!$P39=IDX_COMPOSITION!$R$2:$R$441),--(NXT_COMPO!$B$5=IDX_COMPOSITION!$L$2:$L$441),ROW(IDX_COMPOSITION!$F$2:$F$441)))),IF($D39&lt;=$B$4,INDEX(IDX_CA!$G$1:$G$1041,SUMPRODUCT(--($E39=IDX_CA!$A$2:$A$1041),--(NXT_COMPO!$P39=IDX_CA!$B$2:$B$1041),--(NXT_COMPO!$Q39=IDX_CA!$C$2:$C$1041),ROW(IDX_CA!$G$2:$G$1041))),""))</f>
        <v>7200</v>
      </c>
      <c r="K39" s="63" t="str">
        <f>IF($D39&lt;&gt;"",VLOOKUP($E39,STK_REF!$A$2:$J$1048576,7,0),"")</f>
        <v>VND</v>
      </c>
      <c r="L39" s="5">
        <f>IF($D39&lt;&gt;"",VLOOKUP($E39,STK_REF!$A$2:$J$1048576,8,0),"")</f>
        <v>1</v>
      </c>
      <c r="M39" s="8">
        <f>IF($D39&lt;&gt;"",IF($K39=$U39,1,IF(ISNA(VLOOKUP($K39&amp;$U39,CUR_RATES!$A$2:$F$521,4,0)),"",VLOOKUP($K39&amp;$U39,CUR_RATES!$A$2:$F$521,4,0))),"")</f>
        <v>1</v>
      </c>
      <c r="N39" s="61">
        <f t="shared" si="5"/>
        <v>7200</v>
      </c>
      <c r="O39" s="68">
        <f t="shared" si="6"/>
        <v>72000000000</v>
      </c>
      <c r="P39" s="5" t="str">
        <f t="shared" si="10"/>
        <v>VNXASPRVND</v>
      </c>
      <c r="Q39" s="75">
        <f t="shared" si="7"/>
        <v>41166</v>
      </c>
      <c r="R39" s="68" t="str">
        <f t="shared" si="8"/>
        <v/>
      </c>
      <c r="S39" s="61" t="str">
        <f t="shared" si="9"/>
        <v/>
      </c>
      <c r="T39" s="62" t="str">
        <f>IF(D39&lt;&gt;"",IF(SUMPRODUCT(--($E39=STK_DIV!$A$2:$A$5),--(NXT_COMPO!$Q39=STK_DIV!$E$2:$E$5),ROW(STK_DIV!$D$2:$D$5))=0,"",INDEX(STK_DIV!$D$1:$D$5,SUMPRODUCT(--($E39=STK_DIV!$A$2:$A$5),--(NXT_COMPO!$Q39=STK_DIV!$E$2:$E$5),ROW(STK_DIV!$D$2:$D$5)))),"")</f>
        <v/>
      </c>
      <c r="U39" s="54" t="str">
        <f>IF($D39&lt;&gt;"",VLOOKUP($P39,IDX_REF!$2:$1048576,4,0),"")</f>
        <v>VND</v>
      </c>
      <c r="W39" s="52">
        <f t="shared" si="11"/>
        <v>38</v>
      </c>
      <c r="X39" s="5" t="str">
        <f>IF(ROW(X39)-ROW($X$1)&lt;=$B$1,INDEX(IDX_COMPO!A:A,ROW(IDX_COMPO!A39)),"")</f>
        <v>PPS</v>
      </c>
      <c r="Y39" s="75">
        <f t="shared" si="12"/>
        <v>41166</v>
      </c>
      <c r="Z39" s="54" t="str">
        <f>IF(ROW(Z39)-ROW($Y$1)&lt;=$B$1,INDEX(IDX_COMPO!F:F,ROW(IDX_COMPO!R39)),"")</f>
        <v>VNXASPRVND</v>
      </c>
      <c r="AA39" s="2" t="str">
        <f t="array" ref="AA39">IF(X39&lt;&gt;"",IF(SUMPRODUCT(--(X39=IDX_CA!$A$2:$A$1041),--(NXT_COMPO!Y39=IDX_CA!$C$2:$C$1041),--(Z39=IDX_CA!$B$2:$B$1041))&gt;0,IF(INDEX(IDX_CA!$I:$I,SUMPRODUCT(--(X39=IDX_CA!$A$2:$A$1041),--(NXT_COMPO!Y39=IDX_CA!$C$2:$C$1041),--(Z39=IDX_CA!$B$2:$B$1041),ROW(IDX_CA!$I$2:$I$1041)))=1,"YES","MODIFY"),""),"")</f>
        <v/>
      </c>
      <c r="AB39" s="5">
        <f>IF(X39&lt;&gt;"",IF(AA39="YES","",COUNTIF($AA$2:AA39,"&lt;&gt;YES")),"")</f>
        <v>38</v>
      </c>
      <c r="AC39" s="2"/>
      <c r="AD39" s="5"/>
      <c r="AE39" s="5"/>
      <c r="AH39" s="2" t="str">
        <f t="array" ref="AH39">IF(ISERROR(SMALL(IF(IDX_CA!$H$1:$H$1041=1,ROW(IDX_CA!$H$1:$H$1041)),ROW(AH39)-ROW($AH$1))),"",IF(INDEX(IDX_CA!$C:$C,SMALL(IF(IDX_CA!$H$1:$H$1041=1,ROW(IDX_CA!$H$1:$H$1041)),ROW(AH39)-ROW($AH$1)))=$B$6,"YES",""))</f>
        <v/>
      </c>
      <c r="AI39" s="5" t="str">
        <f>IF(AD39&lt;&gt;"",IF(AH39="YES",COUNTIF($AH$2:AH39,"YES"),""),"")</f>
        <v/>
      </c>
    </row>
    <row r="40" spans="4:35" x14ac:dyDescent="0.2">
      <c r="D40" s="52">
        <f t="shared" si="0"/>
        <v>39</v>
      </c>
      <c r="E40" s="5" t="str">
        <f t="shared" si="4"/>
        <v>PSG</v>
      </c>
      <c r="F40" s="5" t="str">
        <f>IF($D40&lt;&gt;"",VLOOKUP($E40,STK_REF!$A$2:$J$1048576,2,0),"")</f>
        <v>Saigon Petroleum Constrution And Investment JSC</v>
      </c>
      <c r="G40" s="68">
        <f>IF($D40&lt;=$B$1-$B$2,IF(INDEX($AA$2:$AA$1048576,MATCH($D40,$AB$2:$AB$1048576,0))="MODIFY",INDEX(IDX_CA!$D$1:$D$1041,SUMPRODUCT(--($E40=IDX_CA!$A$2:$A$1041),--(NXT_COMPO!$P40=IDX_CA!$B$2:$B$1041),--(NXT_COMPO!$Q40=IDX_CA!$C$2:$C$1041),ROW(IDX_CA!$D$2:$D$1041))),INDEX(IDX_COMPO!$C$1:$C$12000,SUMPRODUCT(--($E40=IDX_COMPO!$A$2:$A$1200),--(NXT_COMPO!$P40=IDX_COMPO!$F$2:$F$1200),--(NXT_COMPO!$B$5=IDX_COMPO!$G$2:$G$1200),ROW(IDX_COMPO!$C$2:$C$1200)))),IF($D40&lt;=$B$4,INDEX(IDX_CA!$D$1:$D$1041,SUMPRODUCT(--($E40=IDX_CA!$A$2:$A$1041),--(NXT_COMPO!$P40=IDX_CA!$B$2:$B$1041),--(NXT_COMPO!$Q40=IDX_CA!$C$2:$C$1041),ROW(IDX_CA!$D$2:$D$1041))),""))</f>
        <v>10000000</v>
      </c>
      <c r="H40" s="55">
        <f>IF($D40&lt;=$B$1-$B$2,IF(INDEX($AA$2:$AA$1048576,MATCH($D40,$AB$2:$AB$1048576,0))="MODIFY",INDEX(IDX_CA!$E$1:$E$1041,SUMPRODUCT(--($E40=IDX_CA!$A$2:$A$1041),--(NXT_COMPO!$P40=IDX_CA!$B$2:$B$1041),--(NXT_COMPO!$Q40=IDX_CA!$C$2:$C$1041),ROW(IDX_CA!$E$2:$E$1041))),INDEX(IDX_COMPO!$D$1:$D$1200,SUMPRODUCT(--($E40=IDX_COMPO!$A$2:$A$1200),--(NXT_COMPO!$P40=IDX_COMPO!$F$2:$F$1200),--(NXT_COMPO!$B$5=IDX_COMPO!$G$2:$G$1200),ROW(IDX_COMPO!$D$2:$D$1200)))),IF($D40&lt;=$B$4,INDEX(IDX_CA!$E$1:$E$1041,SUMPRODUCT(--($E40=IDX_CA!$A$2:$A$1041),--(NXT_COMPO!$P40=IDX_CA!$B$2:$B$1041),--(NXT_COMPO!$Q40=IDX_CA!$C$2:$C$1041),ROW(IDX_CA!$E$2:$E$1041))),""))</f>
        <v>100</v>
      </c>
      <c r="I40" s="55">
        <f>IF($D40&lt;=$B$1-$B$2,IF(INDEX($AA$2:$AA$1048576,MATCH($D40,$AB$2:$AB$1048576,0))="MODIFY",INDEX(IDX_CA!$F$1:$F$1041,SUMPRODUCT(--($E40=IDX_CA!$A$2:$A$1041),--(NXT_COMPO!$P40=IDX_CA!$B$2:$B$1041),--(NXT_COMPO!$Q40=IDX_CA!$C$2:$C$1041),ROW(IDX_CA!$F$2:$F$1041))),INDEX(IDX_COMPO!$E$1:$E$1200,SUMPRODUCT(--($E40=IDX_COMPO!$A$2:$A$1200),--(NXT_COMPO!$P40=IDX_COMPO!$F$2:$F$1200),--(NXT_COMPO!$B$5=IDX_COMPO!$G$2:$G$1200),ROW(IDX_COMPO!$E$2:$E$1200)))),IF($D40&lt;=$B$4,INDEX(IDX_CA!$F$1:$F$1041,SUMPRODUCT(--($E40=IDX_CA!$A$2:$A$1041),--(NXT_COMPO!$P40=IDX_CA!$B$2:$B$1041),--(NXT_COMPO!$Q40=IDX_CA!$C$2:$C$1041),ROW(IDX_CA!$F$2:$F$1041))),""))</f>
        <v>100</v>
      </c>
      <c r="J40" s="62">
        <f>IF($D40&lt;=$B$1-$B$2,IF(INDEX($AA$2:$AA$1048576,MATCH($D40,$AB$2:$AB$1048576,0))="MODIFY",INDEX(IDX_CA!$G$1:$G$1041,SUMPRODUCT(--($E40=IDX_CA!$A$2:$A$1041),--(NXT_COMPO!$P40=IDX_CA!$B$2:$B$1041),--(NXT_COMPO!$Q40=IDX_CA!$C$2:$C$1041),ROW(IDX_CA!$G$2:$G$1041))),INDEX(IDX_COMPOSITION!$F$1:$F$441,SUMPRODUCT(--($E40=IDX_COMPOSITION!$A$2:$A$441),--(NXT_COMPO!$P40=IDX_COMPOSITION!$R$2:$R$441),--(NXT_COMPO!$B$5=IDX_COMPOSITION!$L$2:$L$441),ROW(IDX_COMPOSITION!$F$2:$F$441)))),IF($D40&lt;=$B$4,INDEX(IDX_CA!$G$1:$G$1041,SUMPRODUCT(--($E40=IDX_CA!$A$2:$A$1041),--(NXT_COMPO!$P40=IDX_CA!$B$2:$B$1041),--(NXT_COMPO!$Q40=IDX_CA!$C$2:$C$1041),ROW(IDX_CA!$G$2:$G$1041))),""))</f>
        <v>1300</v>
      </c>
      <c r="K40" s="63" t="str">
        <f>IF($D40&lt;&gt;"",VLOOKUP($E40,STK_REF!$A$2:$J$1048576,7,0),"")</f>
        <v>VND</v>
      </c>
      <c r="L40" s="5">
        <f>IF($D40&lt;&gt;"",VLOOKUP($E40,STK_REF!$A$2:$J$1048576,8,0),"")</f>
        <v>1</v>
      </c>
      <c r="M40" s="8">
        <f>IF($D40&lt;&gt;"",IF($K40=$U40,1,IF(ISNA(VLOOKUP($K40&amp;$U40,CUR_RATES!$A$2:$F$521,4,0)),"",VLOOKUP($K40&amp;$U40,CUR_RATES!$A$2:$F$521,4,0))),"")</f>
        <v>1</v>
      </c>
      <c r="N40" s="61">
        <f t="shared" si="5"/>
        <v>1300</v>
      </c>
      <c r="O40" s="68">
        <f t="shared" si="6"/>
        <v>13000000000</v>
      </c>
      <c r="P40" s="5" t="str">
        <f t="shared" si="10"/>
        <v>VNXASPRVND</v>
      </c>
      <c r="Q40" s="75">
        <f t="shared" si="7"/>
        <v>41166</v>
      </c>
      <c r="R40" s="68" t="str">
        <f t="shared" si="8"/>
        <v/>
      </c>
      <c r="S40" s="61" t="str">
        <f t="shared" si="9"/>
        <v/>
      </c>
      <c r="T40" s="62" t="str">
        <f>IF(D40&lt;&gt;"",IF(SUMPRODUCT(--($E40=STK_DIV!$A$2:$A$5),--(NXT_COMPO!$Q40=STK_DIV!$E$2:$E$5),ROW(STK_DIV!$D$2:$D$5))=0,"",INDEX(STK_DIV!$D$1:$D$5,SUMPRODUCT(--($E40=STK_DIV!$A$2:$A$5),--(NXT_COMPO!$Q40=STK_DIV!$E$2:$E$5),ROW(STK_DIV!$D$2:$D$5)))),"")</f>
        <v/>
      </c>
      <c r="U40" s="54" t="str">
        <f>IF($D40&lt;&gt;"",VLOOKUP($P40,IDX_REF!$2:$1048576,4,0),"")</f>
        <v>VND</v>
      </c>
      <c r="W40" s="52">
        <f t="shared" si="11"/>
        <v>39</v>
      </c>
      <c r="X40" s="5" t="str">
        <f>IF(ROW(X40)-ROW($X$1)&lt;=$B$1,INDEX(IDX_COMPO!A:A,ROW(IDX_COMPO!A40)),"")</f>
        <v>PSG</v>
      </c>
      <c r="Y40" s="75">
        <f t="shared" si="12"/>
        <v>41166</v>
      </c>
      <c r="Z40" s="54" t="str">
        <f>IF(ROW(Z40)-ROW($Y$1)&lt;=$B$1,INDEX(IDX_COMPO!F:F,ROW(IDX_COMPO!R40)),"")</f>
        <v>VNXASPRVND</v>
      </c>
      <c r="AA40" s="2" t="str">
        <f t="array" ref="AA40">IF(X40&lt;&gt;"",IF(SUMPRODUCT(--(X40=IDX_CA!$A$2:$A$1041),--(NXT_COMPO!Y40=IDX_CA!$C$2:$C$1041),--(Z40=IDX_CA!$B$2:$B$1041))&gt;0,IF(INDEX(IDX_CA!$I:$I,SUMPRODUCT(--(X40=IDX_CA!$A$2:$A$1041),--(NXT_COMPO!Y40=IDX_CA!$C$2:$C$1041),--(Z40=IDX_CA!$B$2:$B$1041),ROW(IDX_CA!$I$2:$I$1041)))=1,"YES","MODIFY"),""),"")</f>
        <v/>
      </c>
      <c r="AB40" s="5">
        <f>IF(X40&lt;&gt;"",IF(AA40="YES","",COUNTIF($AA$2:AA40,"&lt;&gt;YES")),"")</f>
        <v>39</v>
      </c>
      <c r="AC40" s="2"/>
      <c r="AD40" s="5"/>
      <c r="AE40" s="5"/>
      <c r="AH40" s="2" t="str">
        <f t="array" ref="AH40">IF(ISERROR(SMALL(IF(IDX_CA!$H$1:$H$1041=1,ROW(IDX_CA!$H$1:$H$1041)),ROW(AH40)-ROW($AH$1))),"",IF(INDEX(IDX_CA!$C:$C,SMALL(IF(IDX_CA!$H$1:$H$1041=1,ROW(IDX_CA!$H$1:$H$1041)),ROW(AH40)-ROW($AH$1)))=$B$6,"YES",""))</f>
        <v/>
      </c>
      <c r="AI40" s="5" t="str">
        <f>IF(AD40&lt;&gt;"",IF(AH40="YES",COUNTIF($AH$2:AH40,"YES"),""),"")</f>
        <v/>
      </c>
    </row>
    <row r="41" spans="4:35" x14ac:dyDescent="0.2">
      <c r="D41" s="52">
        <f t="shared" si="0"/>
        <v>40</v>
      </c>
      <c r="E41" s="5" t="str">
        <f t="shared" si="4"/>
        <v>PPE</v>
      </c>
      <c r="F41" s="5" t="str">
        <f>IF($D41&lt;&gt;"",VLOOKUP($E41,STK_REF!$A$2:$J$1048576,2,0),"")</f>
        <v>PetroVietnam Power Engineering Consulting JSC</v>
      </c>
      <c r="G41" s="68">
        <f>IF($D41&lt;=$B$1-$B$2,IF(INDEX($AA$2:$AA$1048576,MATCH($D41,$AB$2:$AB$1048576,0))="MODIFY",INDEX(IDX_CA!$D$1:$D$1041,SUMPRODUCT(--($E41=IDX_CA!$A$2:$A$1041),--(NXT_COMPO!$P41=IDX_CA!$B$2:$B$1041),--(NXT_COMPO!$Q41=IDX_CA!$C$2:$C$1041),ROW(IDX_CA!$D$2:$D$1041))),INDEX(IDX_COMPO!$C$1:$C$12000,SUMPRODUCT(--($E41=IDX_COMPO!$A$2:$A$1200),--(NXT_COMPO!$P41=IDX_COMPO!$F$2:$F$1200),--(NXT_COMPO!$B$5=IDX_COMPO!$G$2:$G$1200),ROW(IDX_COMPO!$C$2:$C$1200)))),IF($D41&lt;=$B$4,INDEX(IDX_CA!$D$1:$D$1041,SUMPRODUCT(--($E41=IDX_CA!$A$2:$A$1041),--(NXT_COMPO!$P41=IDX_CA!$B$2:$B$1041),--(NXT_COMPO!$Q41=IDX_CA!$C$2:$C$1041),ROW(IDX_CA!$D$2:$D$1041))),""))</f>
        <v>2000000</v>
      </c>
      <c r="H41" s="55">
        <f>IF($D41&lt;=$B$1-$B$2,IF(INDEX($AA$2:$AA$1048576,MATCH($D41,$AB$2:$AB$1048576,0))="MODIFY",INDEX(IDX_CA!$E$1:$E$1041,SUMPRODUCT(--($E41=IDX_CA!$A$2:$A$1041),--(NXT_COMPO!$P41=IDX_CA!$B$2:$B$1041),--(NXT_COMPO!$Q41=IDX_CA!$C$2:$C$1041),ROW(IDX_CA!$E$2:$E$1041))),INDEX(IDX_COMPO!$D$1:$D$1200,SUMPRODUCT(--($E41=IDX_COMPO!$A$2:$A$1200),--(NXT_COMPO!$P41=IDX_COMPO!$F$2:$F$1200),--(NXT_COMPO!$B$5=IDX_COMPO!$G$2:$G$1200),ROW(IDX_COMPO!$D$2:$D$1200)))),IF($D41&lt;=$B$4,INDEX(IDX_CA!$E$1:$E$1041,SUMPRODUCT(--($E41=IDX_CA!$A$2:$A$1041),--(NXT_COMPO!$P41=IDX_CA!$B$2:$B$1041),--(NXT_COMPO!$Q41=IDX_CA!$C$2:$C$1041),ROW(IDX_CA!$E$2:$E$1041))),""))</f>
        <v>100</v>
      </c>
      <c r="I41" s="55">
        <f>IF($D41&lt;=$B$1-$B$2,IF(INDEX($AA$2:$AA$1048576,MATCH($D41,$AB$2:$AB$1048576,0))="MODIFY",INDEX(IDX_CA!$F$1:$F$1041,SUMPRODUCT(--($E41=IDX_CA!$A$2:$A$1041),--(NXT_COMPO!$P41=IDX_CA!$B$2:$B$1041),--(NXT_COMPO!$Q41=IDX_CA!$C$2:$C$1041),ROW(IDX_CA!$F$2:$F$1041))),INDEX(IDX_COMPO!$E$1:$E$1200,SUMPRODUCT(--($E41=IDX_COMPO!$A$2:$A$1200),--(NXT_COMPO!$P41=IDX_COMPO!$F$2:$F$1200),--(NXT_COMPO!$B$5=IDX_COMPO!$G$2:$G$1200),ROW(IDX_COMPO!$E$2:$E$1200)))),IF($D41&lt;=$B$4,INDEX(IDX_CA!$F$1:$F$1041,SUMPRODUCT(--($E41=IDX_CA!$A$2:$A$1041),--(NXT_COMPO!$P41=IDX_CA!$B$2:$B$1041),--(NXT_COMPO!$Q41=IDX_CA!$C$2:$C$1041),ROW(IDX_CA!$F$2:$F$1041))),""))</f>
        <v>100</v>
      </c>
      <c r="J41" s="62">
        <f>IF($D41&lt;=$B$1-$B$2,IF(INDEX($AA$2:$AA$1048576,MATCH($D41,$AB$2:$AB$1048576,0))="MODIFY",INDEX(IDX_CA!$G$1:$G$1041,SUMPRODUCT(--($E41=IDX_CA!$A$2:$A$1041),--(NXT_COMPO!$P41=IDX_CA!$B$2:$B$1041),--(NXT_COMPO!$Q41=IDX_CA!$C$2:$C$1041),ROW(IDX_CA!$G$2:$G$1041))),INDEX(IDX_COMPOSITION!$F$1:$F$441,SUMPRODUCT(--($E41=IDX_COMPOSITION!$A$2:$A$441),--(NXT_COMPO!$P41=IDX_COMPOSITION!$R$2:$R$441),--(NXT_COMPO!$B$5=IDX_COMPOSITION!$L$2:$L$441),ROW(IDX_COMPOSITION!$F$2:$F$441)))),IF($D41&lt;=$B$4,INDEX(IDX_CA!$G$1:$G$1041,SUMPRODUCT(--($E41=IDX_CA!$A$2:$A$1041),--(NXT_COMPO!$P41=IDX_CA!$B$2:$B$1041),--(NXT_COMPO!$Q41=IDX_CA!$C$2:$C$1041),ROW(IDX_CA!$G$2:$G$1041))),""))</f>
        <v>35400</v>
      </c>
      <c r="K41" s="63" t="str">
        <f>IF($D41&lt;&gt;"",VLOOKUP($E41,STK_REF!$A$2:$J$1048576,7,0),"")</f>
        <v>VND</v>
      </c>
      <c r="L41" s="5">
        <f>IF($D41&lt;&gt;"",VLOOKUP($E41,STK_REF!$A$2:$J$1048576,8,0),"")</f>
        <v>1</v>
      </c>
      <c r="M41" s="8">
        <f>IF($D41&lt;&gt;"",IF($K41=$U41,1,IF(ISNA(VLOOKUP($K41&amp;$U41,CUR_RATES!$A$2:$F$521,4,0)),"",VLOOKUP($K41&amp;$U41,CUR_RATES!$A$2:$F$521,4,0))),"")</f>
        <v>1</v>
      </c>
      <c r="N41" s="61">
        <f t="shared" si="5"/>
        <v>35400</v>
      </c>
      <c r="O41" s="68">
        <f t="shared" si="6"/>
        <v>70800000000</v>
      </c>
      <c r="P41" s="5" t="str">
        <f t="shared" si="10"/>
        <v>VNXASPRVND</v>
      </c>
      <c r="Q41" s="75">
        <f t="shared" si="7"/>
        <v>41166</v>
      </c>
      <c r="R41" s="68" t="str">
        <f t="shared" si="8"/>
        <v/>
      </c>
      <c r="S41" s="61" t="str">
        <f t="shared" si="9"/>
        <v/>
      </c>
      <c r="T41" s="62" t="str">
        <f>IF(D41&lt;&gt;"",IF(SUMPRODUCT(--($E41=STK_DIV!$A$2:$A$5),--(NXT_COMPO!$Q41=STK_DIV!$E$2:$E$5),ROW(STK_DIV!$D$2:$D$5))=0,"",INDEX(STK_DIV!$D$1:$D$5,SUMPRODUCT(--($E41=STK_DIV!$A$2:$A$5),--(NXT_COMPO!$Q41=STK_DIV!$E$2:$E$5),ROW(STK_DIV!$D$2:$D$5)))),"")</f>
        <v/>
      </c>
      <c r="U41" s="54" t="str">
        <f>IF($D41&lt;&gt;"",VLOOKUP($P41,IDX_REF!$2:$1048576,4,0),"")</f>
        <v>VND</v>
      </c>
      <c r="W41" s="52">
        <f t="shared" si="11"/>
        <v>40</v>
      </c>
      <c r="X41" s="5" t="str">
        <f>IF(ROW(X41)-ROW($X$1)&lt;=$B$1,INDEX(IDX_COMPO!A:A,ROW(IDX_COMPO!A41)),"")</f>
        <v>PPE</v>
      </c>
      <c r="Y41" s="75">
        <f t="shared" si="12"/>
        <v>41166</v>
      </c>
      <c r="Z41" s="54" t="str">
        <f>IF(ROW(Z41)-ROW($Y$1)&lt;=$B$1,INDEX(IDX_COMPO!F:F,ROW(IDX_COMPO!R41)),"")</f>
        <v>VNXASPRVND</v>
      </c>
      <c r="AA41" s="2" t="str">
        <f t="array" ref="AA41">IF(X41&lt;&gt;"",IF(SUMPRODUCT(--(X41=IDX_CA!$A$2:$A$1041),--(NXT_COMPO!Y41=IDX_CA!$C$2:$C$1041),--(Z41=IDX_CA!$B$2:$B$1041))&gt;0,IF(INDEX(IDX_CA!$I:$I,SUMPRODUCT(--(X41=IDX_CA!$A$2:$A$1041),--(NXT_COMPO!Y41=IDX_CA!$C$2:$C$1041),--(Z41=IDX_CA!$B$2:$B$1041),ROW(IDX_CA!$I$2:$I$1041)))=1,"YES","MODIFY"),""),"")</f>
        <v/>
      </c>
      <c r="AB41" s="5">
        <f>IF(X41&lt;&gt;"",IF(AA41="YES","",COUNTIF($AA$2:AA41,"&lt;&gt;YES")),"")</f>
        <v>40</v>
      </c>
      <c r="AC41" s="2"/>
      <c r="AD41" s="5"/>
      <c r="AE41" s="5"/>
      <c r="AH41" s="2" t="str">
        <f t="array" ref="AH41">IF(ISERROR(SMALL(IF(IDX_CA!$H$1:$H$1041=1,ROW(IDX_CA!$H$1:$H$1041)),ROW(AH41)-ROW($AH$1))),"",IF(INDEX(IDX_CA!$C:$C,SMALL(IF(IDX_CA!$H$1:$H$1041=1,ROW(IDX_CA!$H$1:$H$1041)),ROW(AH41)-ROW($AH$1)))=$B$6,"YES",""))</f>
        <v/>
      </c>
      <c r="AI41" s="5" t="str">
        <f>IF(AD41&lt;&gt;"",IF(AH41="YES",COUNTIF($AH$2:AH41,"YES"),""),"")</f>
        <v/>
      </c>
    </row>
    <row r="42" spans="4:35" x14ac:dyDescent="0.2">
      <c r="D42" s="52">
        <f t="shared" si="0"/>
        <v>41</v>
      </c>
      <c r="E42" s="5" t="str">
        <f t="shared" si="4"/>
        <v>DPM</v>
      </c>
      <c r="F42" s="5" t="str">
        <f>IF($D42&lt;&gt;"",VLOOKUP($E42,STK_REF!$A$2:$J$1048576,2,0),"")</f>
        <v>VNX Fertilizer and Chemicals Corp</v>
      </c>
      <c r="G42" s="68">
        <f>IF($D42&lt;=$B$1-$B$2,IF(INDEX($AA$2:$AA$1048576,MATCH($D42,$AB$2:$AB$1048576,0))="MODIFY",INDEX(IDX_CA!$D$1:$D$1041,SUMPRODUCT(--($E42=IDX_CA!$A$2:$A$1041),--(NXT_COMPO!$P42=IDX_CA!$B$2:$B$1041),--(NXT_COMPO!$Q42=IDX_CA!$C$2:$C$1041),ROW(IDX_CA!$D$2:$D$1041))),INDEX(IDX_COMPO!$C$1:$C$12000,SUMPRODUCT(--($E42=IDX_COMPO!$A$2:$A$1200),--(NXT_COMPO!$P42=IDX_COMPO!$F$2:$F$1200),--(NXT_COMPO!$B$5=IDX_COMPO!$G$2:$G$1200),ROW(IDX_COMPO!$C$2:$C$1200)))),IF($D42&lt;=$B$4,INDEX(IDX_CA!$D$1:$D$1041,SUMPRODUCT(--($E42=IDX_CA!$A$2:$A$1041),--(NXT_COMPO!$P42=IDX_CA!$B$2:$B$1041),--(NXT_COMPO!$Q42=IDX_CA!$C$2:$C$1041),ROW(IDX_CA!$D$2:$D$1041))),""))</f>
        <v>377647740</v>
      </c>
      <c r="H42" s="55">
        <f>IF($D42&lt;=$B$1-$B$2,IF(INDEX($AA$2:$AA$1048576,MATCH($D42,$AB$2:$AB$1048576,0))="MODIFY",INDEX(IDX_CA!$E$1:$E$1041,SUMPRODUCT(--($E42=IDX_CA!$A$2:$A$1041),--(NXT_COMPO!$P42=IDX_CA!$B$2:$B$1041),--(NXT_COMPO!$Q42=IDX_CA!$C$2:$C$1041),ROW(IDX_CA!$E$2:$E$1041))),INDEX(IDX_COMPO!$D$1:$D$1200,SUMPRODUCT(--($E42=IDX_COMPO!$A$2:$A$1200),--(NXT_COMPO!$P42=IDX_COMPO!$F$2:$F$1200),--(NXT_COMPO!$B$5=IDX_COMPO!$G$2:$G$1200),ROW(IDX_COMPO!$D$2:$D$1200)))),IF($D42&lt;=$B$4,INDEX(IDX_CA!$E$1:$E$1041,SUMPRODUCT(--($E42=IDX_CA!$A$2:$A$1041),--(NXT_COMPO!$P42=IDX_CA!$B$2:$B$1041),--(NXT_COMPO!$Q42=IDX_CA!$C$2:$C$1041),ROW(IDX_CA!$E$2:$E$1041))),""))</f>
        <v>100</v>
      </c>
      <c r="I42" s="55">
        <f>IF($D42&lt;=$B$1-$B$2,IF(INDEX($AA$2:$AA$1048576,MATCH($D42,$AB$2:$AB$1048576,0))="MODIFY",INDEX(IDX_CA!$F$1:$F$1041,SUMPRODUCT(--($E42=IDX_CA!$A$2:$A$1041),--(NXT_COMPO!$P42=IDX_CA!$B$2:$B$1041),--(NXT_COMPO!$Q42=IDX_CA!$C$2:$C$1041),ROW(IDX_CA!$F$2:$F$1041))),INDEX(IDX_COMPO!$E$1:$E$1200,SUMPRODUCT(--($E42=IDX_COMPO!$A$2:$A$1200),--(NXT_COMPO!$P42=IDX_COMPO!$F$2:$F$1200),--(NXT_COMPO!$B$5=IDX_COMPO!$G$2:$G$1200),ROW(IDX_COMPO!$E$2:$E$1200)))),IF($D42&lt;=$B$4,INDEX(IDX_CA!$F$1:$F$1041,SUMPRODUCT(--($E42=IDX_CA!$A$2:$A$1041),--(NXT_COMPO!$P42=IDX_CA!$B$2:$B$1041),--(NXT_COMPO!$Q42=IDX_CA!$C$2:$C$1041),ROW(IDX_CA!$F$2:$F$1041))),""))</f>
        <v>100</v>
      </c>
      <c r="J42" s="62">
        <f>IF($D42&lt;=$B$1-$B$2,IF(INDEX($AA$2:$AA$1048576,MATCH($D42,$AB$2:$AB$1048576,0))="MODIFY",INDEX(IDX_CA!$G$1:$G$1041,SUMPRODUCT(--($E42=IDX_CA!$A$2:$A$1041),--(NXT_COMPO!$P42=IDX_CA!$B$2:$B$1041),--(NXT_COMPO!$Q42=IDX_CA!$C$2:$C$1041),ROW(IDX_CA!$G$2:$G$1041))),INDEX(IDX_COMPOSITION!$F$1:$F$441,SUMPRODUCT(--($E42=IDX_COMPOSITION!$A$2:$A$441),--(NXT_COMPO!$P42=IDX_COMPOSITION!$R$2:$R$441),--(NXT_COMPO!$B$5=IDX_COMPOSITION!$L$2:$L$441),ROW(IDX_COMPOSITION!$F$2:$F$441)))),IF($D42&lt;=$B$4,INDEX(IDX_CA!$G$1:$G$1041,SUMPRODUCT(--($E42=IDX_CA!$A$2:$A$1041),--(NXT_COMPO!$P42=IDX_CA!$B$2:$B$1041),--(NXT_COMPO!$Q42=IDX_CA!$C$2:$C$1041),ROW(IDX_CA!$G$2:$G$1041))),""))</f>
        <v>39200</v>
      </c>
      <c r="K42" s="63" t="str">
        <f>IF($D42&lt;&gt;"",VLOOKUP($E42,STK_REF!$A$2:$J$1048576,7,0),"")</f>
        <v>VND</v>
      </c>
      <c r="L42" s="5">
        <f>IF($D42&lt;&gt;"",VLOOKUP($E42,STK_REF!$A$2:$J$1048576,8,0),"")</f>
        <v>1</v>
      </c>
      <c r="M42" s="8">
        <f>IF($D42&lt;&gt;"",IF($K42=$U42,1,IF(ISNA(VLOOKUP($K42&amp;$U42,CUR_RATES!$A$2:$F$521,4,0)),"",VLOOKUP($K42&amp;$U42,CUR_RATES!$A$2:$F$521,4,0))),"")</f>
        <v>1</v>
      </c>
      <c r="N42" s="61">
        <f t="shared" si="5"/>
        <v>39200</v>
      </c>
      <c r="O42" s="68">
        <f t="shared" si="6"/>
        <v>14803791408000</v>
      </c>
      <c r="P42" s="5" t="str">
        <f t="shared" si="10"/>
        <v>VNXCOPRVND</v>
      </c>
      <c r="Q42" s="75">
        <f t="shared" si="7"/>
        <v>41166</v>
      </c>
      <c r="R42" s="68" t="str">
        <f t="shared" si="8"/>
        <v/>
      </c>
      <c r="S42" s="61" t="str">
        <f t="shared" si="9"/>
        <v/>
      </c>
      <c r="T42" s="62" t="str">
        <f>IF(D42&lt;&gt;"",IF(SUMPRODUCT(--($E42=STK_DIV!$A$2:$A$5),--(NXT_COMPO!$Q42=STK_DIV!$E$2:$E$5),ROW(STK_DIV!$D$2:$D$5))=0,"",INDEX(STK_DIV!$D$1:$D$5,SUMPRODUCT(--($E42=STK_DIV!$A$2:$A$5),--(NXT_COMPO!$Q42=STK_DIV!$E$2:$E$5),ROW(STK_DIV!$D$2:$D$5)))),"")</f>
        <v/>
      </c>
      <c r="U42" s="54" t="str">
        <f>IF($D42&lt;&gt;"",VLOOKUP($P42,IDX_REF!$2:$1048576,4,0),"")</f>
        <v>VND</v>
      </c>
      <c r="W42" s="52">
        <f t="shared" si="11"/>
        <v>41</v>
      </c>
      <c r="X42" s="5" t="str">
        <f>IF(ROW(X42)-ROW($X$1)&lt;=$B$1,INDEX(IDX_COMPO!A:A,ROW(IDX_COMPO!A42)),"")</f>
        <v>DPM</v>
      </c>
      <c r="Y42" s="75">
        <f t="shared" si="12"/>
        <v>41166</v>
      </c>
      <c r="Z42" s="54" t="str">
        <f>IF(ROW(Z42)-ROW($Y$1)&lt;=$B$1,INDEX(IDX_COMPO!F:F,ROW(IDX_COMPO!R42)),"")</f>
        <v>VNXCOPRVND</v>
      </c>
      <c r="AA42" s="2" t="str">
        <f t="array" ref="AA42">IF(X42&lt;&gt;"",IF(SUMPRODUCT(--(X42=IDX_CA!$A$2:$A$1041),--(NXT_COMPO!Y42=IDX_CA!$C$2:$C$1041),--(Z42=IDX_CA!$B$2:$B$1041))&gt;0,IF(INDEX(IDX_CA!$I:$I,SUMPRODUCT(--(X42=IDX_CA!$A$2:$A$1041),--(NXT_COMPO!Y42=IDX_CA!$C$2:$C$1041),--(Z42=IDX_CA!$B$2:$B$1041),ROW(IDX_CA!$I$2:$I$1041)))=1,"YES","MODIFY"),""),"")</f>
        <v/>
      </c>
      <c r="AB42" s="5">
        <f>IF(X42&lt;&gt;"",IF(AA42="YES","",COUNTIF($AA$2:AA42,"&lt;&gt;YES")),"")</f>
        <v>41</v>
      </c>
      <c r="AC42" s="2"/>
      <c r="AD42" s="5"/>
      <c r="AE42" s="5"/>
      <c r="AH42" s="2" t="str">
        <f t="array" ref="AH42">IF(ISERROR(SMALL(IF(IDX_CA!$H$1:$H$1041=1,ROW(IDX_CA!$H$1:$H$1041)),ROW(AH42)-ROW($AH$1))),"",IF(INDEX(IDX_CA!$C:$C,SMALL(IF(IDX_CA!$H$1:$H$1041=1,ROW(IDX_CA!$H$1:$H$1041)),ROW(AH42)-ROW($AH$1)))=$B$6,"YES",""))</f>
        <v/>
      </c>
      <c r="AI42" s="5" t="str">
        <f>IF(AD42&lt;&gt;"",IF(AH42="YES",COUNTIF($AH$2:AH42,"YES"),""),"")</f>
        <v/>
      </c>
    </row>
    <row r="43" spans="4:35" x14ac:dyDescent="0.2">
      <c r="D43" s="52">
        <f t="shared" si="0"/>
        <v>42</v>
      </c>
      <c r="E43" s="5" t="str">
        <f t="shared" si="4"/>
        <v>PVD</v>
      </c>
      <c r="F43" s="5" t="str">
        <f>IF($D43&lt;&gt;"",VLOOKUP($E43,STK_REF!$A$2:$J$1048576,2,0),"")</f>
        <v xml:space="preserve">VNX Drilling &amp; Well Services Joint Stock </v>
      </c>
      <c r="G43" s="68">
        <f>IF($D43&lt;=$B$1-$B$2,IF(INDEX($AA$2:$AA$1048576,MATCH($D43,$AB$2:$AB$1048576,0))="MODIFY",INDEX(IDX_CA!$D$1:$D$1041,SUMPRODUCT(--($E43=IDX_CA!$A$2:$A$1041),--(NXT_COMPO!$P43=IDX_CA!$B$2:$B$1041),--(NXT_COMPO!$Q43=IDX_CA!$C$2:$C$1041),ROW(IDX_CA!$D$2:$D$1041))),INDEX(IDX_COMPO!$C$1:$C$12000,SUMPRODUCT(--($E43=IDX_COMPO!$A$2:$A$1200),--(NXT_COMPO!$P43=IDX_COMPO!$F$2:$F$1200),--(NXT_COMPO!$B$5=IDX_COMPO!$G$2:$G$1200),ROW(IDX_COMPO!$C$2:$C$1200)))),IF($D43&lt;=$B$4,INDEX(IDX_CA!$D$1:$D$1041,SUMPRODUCT(--($E43=IDX_CA!$A$2:$A$1041),--(NXT_COMPO!$P43=IDX_CA!$B$2:$B$1041),--(NXT_COMPO!$Q43=IDX_CA!$C$2:$C$1041),ROW(IDX_CA!$D$2:$D$1041))),""))</f>
        <v>70371300</v>
      </c>
      <c r="H43" s="55">
        <f>IF($D43&lt;=$B$1-$B$2,IF(INDEX($AA$2:$AA$1048576,MATCH($D43,$AB$2:$AB$1048576,0))="MODIFY",INDEX(IDX_CA!$E$1:$E$1041,SUMPRODUCT(--($E43=IDX_CA!$A$2:$A$1041),--(NXT_COMPO!$P43=IDX_CA!$B$2:$B$1041),--(NXT_COMPO!$Q43=IDX_CA!$C$2:$C$1041),ROW(IDX_CA!$E$2:$E$1041))),INDEX(IDX_COMPO!$D$1:$D$1200,SUMPRODUCT(--($E43=IDX_COMPO!$A$2:$A$1200),--(NXT_COMPO!$P43=IDX_COMPO!$F$2:$F$1200),--(NXT_COMPO!$B$5=IDX_COMPO!$G$2:$G$1200),ROW(IDX_COMPO!$D$2:$D$1200)))),IF($D43&lt;=$B$4,INDEX(IDX_CA!$E$1:$E$1041,SUMPRODUCT(--($E43=IDX_CA!$A$2:$A$1041),--(NXT_COMPO!$P43=IDX_CA!$B$2:$B$1041),--(NXT_COMPO!$Q43=IDX_CA!$C$2:$C$1041),ROW(IDX_CA!$E$2:$E$1041))),""))</f>
        <v>100</v>
      </c>
      <c r="I43" s="55">
        <f>IF($D43&lt;=$B$1-$B$2,IF(INDEX($AA$2:$AA$1048576,MATCH($D43,$AB$2:$AB$1048576,0))="MODIFY",INDEX(IDX_CA!$F$1:$F$1041,SUMPRODUCT(--($E43=IDX_CA!$A$2:$A$1041),--(NXT_COMPO!$P43=IDX_CA!$B$2:$B$1041),--(NXT_COMPO!$Q43=IDX_CA!$C$2:$C$1041),ROW(IDX_CA!$F$2:$F$1041))),INDEX(IDX_COMPO!$E$1:$E$1200,SUMPRODUCT(--($E43=IDX_COMPO!$A$2:$A$1200),--(NXT_COMPO!$P43=IDX_COMPO!$F$2:$F$1200),--(NXT_COMPO!$B$5=IDX_COMPO!$G$2:$G$1200),ROW(IDX_COMPO!$E$2:$E$1200)))),IF($D43&lt;=$B$4,INDEX(IDX_CA!$F$1:$F$1041,SUMPRODUCT(--($E43=IDX_CA!$A$2:$A$1041),--(NXT_COMPO!$P43=IDX_CA!$B$2:$B$1041),--(NXT_COMPO!$Q43=IDX_CA!$C$2:$C$1041),ROW(IDX_CA!$F$2:$F$1041))),""))</f>
        <v>100</v>
      </c>
      <c r="J43" s="62">
        <f>IF($D43&lt;=$B$1-$B$2,IF(INDEX($AA$2:$AA$1048576,MATCH($D43,$AB$2:$AB$1048576,0))="MODIFY",INDEX(IDX_CA!$G$1:$G$1041,SUMPRODUCT(--($E43=IDX_CA!$A$2:$A$1041),--(NXT_COMPO!$P43=IDX_CA!$B$2:$B$1041),--(NXT_COMPO!$Q43=IDX_CA!$C$2:$C$1041),ROW(IDX_CA!$G$2:$G$1041))),INDEX(IDX_COMPOSITION!$F$1:$F$441,SUMPRODUCT(--($E43=IDX_COMPOSITION!$A$2:$A$441),--(NXT_COMPO!$P43=IDX_COMPOSITION!$R$2:$R$441),--(NXT_COMPO!$B$5=IDX_COMPOSITION!$L$2:$L$441),ROW(IDX_COMPOSITION!$F$2:$F$441)))),IF($D43&lt;=$B$4,INDEX(IDX_CA!$G$1:$G$1041,SUMPRODUCT(--($E43=IDX_CA!$A$2:$A$1041),--(NXT_COMPO!$P43=IDX_CA!$B$2:$B$1041),--(NXT_COMPO!$Q43=IDX_CA!$C$2:$C$1041),ROW(IDX_CA!$G$2:$G$1041))),""))</f>
        <v>35000</v>
      </c>
      <c r="K43" s="63" t="str">
        <f>IF($D43&lt;&gt;"",VLOOKUP($E43,STK_REF!$A$2:$J$1048576,7,0),"")</f>
        <v>VND</v>
      </c>
      <c r="L43" s="5">
        <f>IF($D43&lt;&gt;"",VLOOKUP($E43,STK_REF!$A$2:$J$1048576,8,0),"")</f>
        <v>1</v>
      </c>
      <c r="M43" s="8">
        <f>IF($D43&lt;&gt;"",IF($K43=$U43,1,IF(ISNA(VLOOKUP($K43&amp;$U43,CUR_RATES!$A$2:$F$521,4,0)),"",VLOOKUP($K43&amp;$U43,CUR_RATES!$A$2:$F$521,4,0))),"")</f>
        <v>1</v>
      </c>
      <c r="N43" s="61">
        <f t="shared" si="5"/>
        <v>35000</v>
      </c>
      <c r="O43" s="68">
        <f t="shared" si="6"/>
        <v>2462995500000</v>
      </c>
      <c r="P43" s="5" t="str">
        <f t="shared" si="10"/>
        <v>VNXCOPRVND</v>
      </c>
      <c r="Q43" s="75">
        <f t="shared" si="7"/>
        <v>41166</v>
      </c>
      <c r="R43" s="68" t="str">
        <f t="shared" si="8"/>
        <v/>
      </c>
      <c r="S43" s="61" t="str">
        <f t="shared" si="9"/>
        <v/>
      </c>
      <c r="T43" s="62" t="str">
        <f>IF(D43&lt;&gt;"",IF(SUMPRODUCT(--($E43=STK_DIV!$A$2:$A$5),--(NXT_COMPO!$Q43=STK_DIV!$E$2:$E$5),ROW(STK_DIV!$D$2:$D$5))=0,"",INDEX(STK_DIV!$D$1:$D$5,SUMPRODUCT(--($E43=STK_DIV!$A$2:$A$5),--(NXT_COMPO!$Q43=STK_DIV!$E$2:$E$5),ROW(STK_DIV!$D$2:$D$5)))),"")</f>
        <v/>
      </c>
      <c r="U43" s="54" t="str">
        <f>IF($D43&lt;&gt;"",VLOOKUP($P43,IDX_REF!$2:$1048576,4,0),"")</f>
        <v>VND</v>
      </c>
      <c r="W43" s="52">
        <f t="shared" si="11"/>
        <v>42</v>
      </c>
      <c r="X43" s="5" t="str">
        <f>IF(ROW(X43)-ROW($X$1)&lt;=$B$1,INDEX(IDX_COMPO!A:A,ROW(IDX_COMPO!A43)),"")</f>
        <v>PVD</v>
      </c>
      <c r="Y43" s="75">
        <f t="shared" si="12"/>
        <v>41166</v>
      </c>
      <c r="Z43" s="54" t="str">
        <f>IF(ROW(Z43)-ROW($Y$1)&lt;=$B$1,INDEX(IDX_COMPO!F:F,ROW(IDX_COMPO!R43)),"")</f>
        <v>VNXCOPRVND</v>
      </c>
      <c r="AA43" s="2" t="str">
        <f t="array" ref="AA43">IF(X43&lt;&gt;"",IF(SUMPRODUCT(--(X43=IDX_CA!$A$2:$A$1041),--(NXT_COMPO!Y43=IDX_CA!$C$2:$C$1041),--(Z43=IDX_CA!$B$2:$B$1041))&gt;0,IF(INDEX(IDX_CA!$I:$I,SUMPRODUCT(--(X43=IDX_CA!$A$2:$A$1041),--(NXT_COMPO!Y43=IDX_CA!$C$2:$C$1041),--(Z43=IDX_CA!$B$2:$B$1041),ROW(IDX_CA!$I$2:$I$1041)))=1,"YES","MODIFY"),""),"")</f>
        <v/>
      </c>
      <c r="AB43" s="5">
        <f>IF(X43&lt;&gt;"",IF(AA43="YES","",COUNTIF($AA$2:AA43,"&lt;&gt;YES")),"")</f>
        <v>42</v>
      </c>
      <c r="AC43" s="2"/>
      <c r="AH43" s="2" t="str">
        <f t="array" ref="AH43">IF(ISERROR(SMALL(IF(IDX_CA!$H$1:$H$1041=1,ROW(IDX_CA!$H$1:$H$1041)),ROW(AH43)-ROW($AH$1))),"",IF(INDEX(IDX_CA!$C:$C,SMALL(IF(IDX_CA!$H$1:$H$1041=1,ROW(IDX_CA!$H$1:$H$1041)),ROW(AH43)-ROW($AH$1)))=$B$6,"YES",""))</f>
        <v/>
      </c>
      <c r="AI43" s="5" t="str">
        <f>IF(AD43&lt;&gt;"",IF(AH43="YES",COUNTIF($AH$2:AH43,"YES"),""),"")</f>
        <v/>
      </c>
    </row>
    <row r="44" spans="4:35" x14ac:dyDescent="0.2">
      <c r="D44" s="52">
        <f t="shared" si="0"/>
        <v>43</v>
      </c>
      <c r="E44" s="5" t="str">
        <f t="shared" si="4"/>
        <v>PVF</v>
      </c>
      <c r="F44" s="5" t="str">
        <f>IF($D44&lt;&gt;"",VLOOKUP($E44,STK_REF!$A$2:$J$1048576,2,0),"")</f>
        <v>VNX Finance Joint Stock Corp</v>
      </c>
      <c r="G44" s="68">
        <f>IF($D44&lt;=$B$1-$B$2,IF(INDEX($AA$2:$AA$1048576,MATCH($D44,$AB$2:$AB$1048576,0))="MODIFY",INDEX(IDX_CA!$D$1:$D$1041,SUMPRODUCT(--($E44=IDX_CA!$A$2:$A$1041),--(NXT_COMPO!$P44=IDX_CA!$B$2:$B$1041),--(NXT_COMPO!$Q44=IDX_CA!$C$2:$C$1041),ROW(IDX_CA!$D$2:$D$1041))),INDEX(IDX_COMPO!$C$1:$C$12000,SUMPRODUCT(--($E44=IDX_COMPO!$A$2:$A$1200),--(NXT_COMPO!$P44=IDX_COMPO!$F$2:$F$1200),--(NXT_COMPO!$B$5=IDX_COMPO!$G$2:$G$1200),ROW(IDX_COMPO!$C$2:$C$1200)))),IF($D44&lt;=$B$4,INDEX(IDX_CA!$D$1:$D$1041,SUMPRODUCT(--($E44=IDX_CA!$A$2:$A$1041),--(NXT_COMPO!$P44=IDX_CA!$B$2:$B$1041),--(NXT_COMPO!$Q44=IDX_CA!$C$2:$C$1041),ROW(IDX_CA!$D$2:$D$1041))),""))</f>
        <v>100000000</v>
      </c>
      <c r="H44" s="55">
        <f>IF($D44&lt;=$B$1-$B$2,IF(INDEX($AA$2:$AA$1048576,MATCH($D44,$AB$2:$AB$1048576,0))="MODIFY",INDEX(IDX_CA!$E$1:$E$1041,SUMPRODUCT(--($E44=IDX_CA!$A$2:$A$1041),--(NXT_COMPO!$P44=IDX_CA!$B$2:$B$1041),--(NXT_COMPO!$Q44=IDX_CA!$C$2:$C$1041),ROW(IDX_CA!$E$2:$E$1041))),INDEX(IDX_COMPO!$D$1:$D$1200,SUMPRODUCT(--($E44=IDX_COMPO!$A$2:$A$1200),--(NXT_COMPO!$P44=IDX_COMPO!$F$2:$F$1200),--(NXT_COMPO!$B$5=IDX_COMPO!$G$2:$G$1200),ROW(IDX_COMPO!$D$2:$D$1200)))),IF($D44&lt;=$B$4,INDEX(IDX_CA!$E$1:$E$1041,SUMPRODUCT(--($E44=IDX_CA!$A$2:$A$1041),--(NXT_COMPO!$P44=IDX_CA!$B$2:$B$1041),--(NXT_COMPO!$Q44=IDX_CA!$C$2:$C$1041),ROW(IDX_CA!$E$2:$E$1041))),""))</f>
        <v>100</v>
      </c>
      <c r="I44" s="55">
        <f>IF($D44&lt;=$B$1-$B$2,IF(INDEX($AA$2:$AA$1048576,MATCH($D44,$AB$2:$AB$1048576,0))="MODIFY",INDEX(IDX_CA!$F$1:$F$1041,SUMPRODUCT(--($E44=IDX_CA!$A$2:$A$1041),--(NXT_COMPO!$P44=IDX_CA!$B$2:$B$1041),--(NXT_COMPO!$Q44=IDX_CA!$C$2:$C$1041),ROW(IDX_CA!$F$2:$F$1041))),INDEX(IDX_COMPO!$E$1:$E$1200,SUMPRODUCT(--($E44=IDX_COMPO!$A$2:$A$1200),--(NXT_COMPO!$P44=IDX_COMPO!$F$2:$F$1200),--(NXT_COMPO!$B$5=IDX_COMPO!$G$2:$G$1200),ROW(IDX_COMPO!$E$2:$E$1200)))),IF($D44&lt;=$B$4,INDEX(IDX_CA!$F$1:$F$1041,SUMPRODUCT(--($E44=IDX_CA!$A$2:$A$1041),--(NXT_COMPO!$P44=IDX_CA!$B$2:$B$1041),--(NXT_COMPO!$Q44=IDX_CA!$C$2:$C$1041),ROW(IDX_CA!$F$2:$F$1041))),""))</f>
        <v>100</v>
      </c>
      <c r="J44" s="62">
        <f>IF($D44&lt;=$B$1-$B$2,IF(INDEX($AA$2:$AA$1048576,MATCH($D44,$AB$2:$AB$1048576,0))="MODIFY",INDEX(IDX_CA!$G$1:$G$1041,SUMPRODUCT(--($E44=IDX_CA!$A$2:$A$1041),--(NXT_COMPO!$P44=IDX_CA!$B$2:$B$1041),--(NXT_COMPO!$Q44=IDX_CA!$C$2:$C$1041),ROW(IDX_CA!$G$2:$G$1041))),INDEX(IDX_COMPOSITION!$F$1:$F$441,SUMPRODUCT(--($E44=IDX_COMPOSITION!$A$2:$A$441),--(NXT_COMPO!$P44=IDX_COMPOSITION!$R$2:$R$441),--(NXT_COMPO!$B$5=IDX_COMPOSITION!$L$2:$L$441),ROW(IDX_COMPOSITION!$F$2:$F$441)))),IF($D44&lt;=$B$4,INDEX(IDX_CA!$G$1:$G$1041,SUMPRODUCT(--($E44=IDX_CA!$A$2:$A$1041),--(NXT_COMPO!$P44=IDX_CA!$B$2:$B$1041),--(NXT_COMPO!$Q44=IDX_CA!$C$2:$C$1041),ROW(IDX_CA!$G$2:$G$1041))),""))</f>
        <v>8300</v>
      </c>
      <c r="K44" s="63" t="str">
        <f>IF($D44&lt;&gt;"",VLOOKUP($E44,STK_REF!$A$2:$J$1048576,7,0),"")</f>
        <v>VND</v>
      </c>
      <c r="L44" s="5">
        <f>IF($D44&lt;&gt;"",VLOOKUP($E44,STK_REF!$A$2:$J$1048576,8,0),"")</f>
        <v>1</v>
      </c>
      <c r="M44" s="8">
        <f>IF($D44&lt;&gt;"",IF($K44=$U44,1,IF(ISNA(VLOOKUP($K44&amp;$U44,CUR_RATES!$A$2:$F$521,4,0)),"",VLOOKUP($K44&amp;$U44,CUR_RATES!$A$2:$F$521,4,0))),"")</f>
        <v>1</v>
      </c>
      <c r="N44" s="61">
        <f t="shared" si="5"/>
        <v>8300</v>
      </c>
      <c r="O44" s="68">
        <f t="shared" si="6"/>
        <v>830000000000</v>
      </c>
      <c r="P44" s="5" t="str">
        <f t="shared" si="10"/>
        <v>VNXCOPRVND</v>
      </c>
      <c r="Q44" s="75">
        <f t="shared" si="7"/>
        <v>41166</v>
      </c>
      <c r="R44" s="68" t="str">
        <f t="shared" si="8"/>
        <v/>
      </c>
      <c r="S44" s="61" t="str">
        <f t="shared" si="9"/>
        <v/>
      </c>
      <c r="T44" s="62" t="str">
        <f>IF(D44&lt;&gt;"",IF(SUMPRODUCT(--($E44=STK_DIV!$A$2:$A$5),--(NXT_COMPO!$Q44=STK_DIV!$E$2:$E$5),ROW(STK_DIV!$D$2:$D$5))=0,"",INDEX(STK_DIV!$D$1:$D$5,SUMPRODUCT(--($E44=STK_DIV!$A$2:$A$5),--(NXT_COMPO!$Q44=STK_DIV!$E$2:$E$5),ROW(STK_DIV!$D$2:$D$5)))),"")</f>
        <v/>
      </c>
      <c r="U44" s="54" t="str">
        <f>IF($D44&lt;&gt;"",VLOOKUP($P44,IDX_REF!$2:$1048576,4,0),"")</f>
        <v>VND</v>
      </c>
      <c r="W44" s="52">
        <f t="shared" si="11"/>
        <v>43</v>
      </c>
      <c r="X44" s="5" t="str">
        <f>IF(ROW(X44)-ROW($X$1)&lt;=$B$1,INDEX(IDX_COMPO!A:A,ROW(IDX_COMPO!A44)),"")</f>
        <v>PVF</v>
      </c>
      <c r="Y44" s="75">
        <f t="shared" si="12"/>
        <v>41166</v>
      </c>
      <c r="Z44" s="54" t="str">
        <f>IF(ROW(Z44)-ROW($Y$1)&lt;=$B$1,INDEX(IDX_COMPO!F:F,ROW(IDX_COMPO!R44)),"")</f>
        <v>VNXCOPRVND</v>
      </c>
      <c r="AA44" s="2" t="str">
        <f t="array" ref="AA44">IF(X44&lt;&gt;"",IF(SUMPRODUCT(--(X44=IDX_CA!$A$2:$A$1041),--(NXT_COMPO!Y44=IDX_CA!$C$2:$C$1041),--(Z44=IDX_CA!$B$2:$B$1041))&gt;0,IF(INDEX(IDX_CA!$I:$I,SUMPRODUCT(--(X44=IDX_CA!$A$2:$A$1041),--(NXT_COMPO!Y44=IDX_CA!$C$2:$C$1041),--(Z44=IDX_CA!$B$2:$B$1041),ROW(IDX_CA!$I$2:$I$1041)))=1,"YES","MODIFY"),""),"")</f>
        <v/>
      </c>
      <c r="AB44" s="5">
        <f>IF(X44&lt;&gt;"",IF(AA44="YES","",COUNTIF($AA$2:AA44,"&lt;&gt;YES")),"")</f>
        <v>43</v>
      </c>
      <c r="AC44" s="2"/>
      <c r="AH44" s="2" t="str">
        <f t="array" ref="AH44">IF(ISERROR(SMALL(IF(IDX_CA!$H$1:$H$1041=1,ROW(IDX_CA!$H$1:$H$1041)),ROW(AH44)-ROW($AH$1))),"",IF(INDEX(IDX_CA!$C:$C,SMALL(IF(IDX_CA!$H$1:$H$1041=1,ROW(IDX_CA!$H$1:$H$1041)),ROW(AH44)-ROW($AH$1)))=$B$6,"YES",""))</f>
        <v/>
      </c>
      <c r="AI44" s="5" t="str">
        <f>IF(AD44&lt;&gt;"",IF(AH44="YES",COUNTIF($AH$2:AH44,"YES"),""),"")</f>
        <v/>
      </c>
    </row>
    <row r="45" spans="4:35" x14ac:dyDescent="0.2">
      <c r="D45" s="52">
        <f t="shared" si="0"/>
        <v>44</v>
      </c>
      <c r="E45" s="5" t="str">
        <f t="shared" si="4"/>
        <v>PVS</v>
      </c>
      <c r="F45" s="5" t="str">
        <f>IF($D45&lt;&gt;"",VLOOKUP($E45,STK_REF!$A$2:$J$1048576,2,0),"")</f>
        <v>VNX Technical Services Corp</v>
      </c>
      <c r="G45" s="68">
        <f>IF($D45&lt;=$B$1-$B$2,IF(INDEX($AA$2:$AA$1048576,MATCH($D45,$AB$2:$AB$1048576,0))="MODIFY",INDEX(IDX_CA!$D$1:$D$1041,SUMPRODUCT(--($E45=IDX_CA!$A$2:$A$1041),--(NXT_COMPO!$P45=IDX_CA!$B$2:$B$1041),--(NXT_COMPO!$Q45=IDX_CA!$C$2:$C$1041),ROW(IDX_CA!$D$2:$D$1041))),INDEX(IDX_COMPO!$C$1:$C$12000,SUMPRODUCT(--($E45=IDX_COMPO!$A$2:$A$1200),--(NXT_COMPO!$P45=IDX_COMPO!$F$2:$F$1200),--(NXT_COMPO!$B$5=IDX_COMPO!$G$2:$G$1200),ROW(IDX_COMPO!$C$2:$C$1200)))),IF($D45&lt;=$B$4,INDEX(IDX_CA!$D$1:$D$1041,SUMPRODUCT(--($E45=IDX_CA!$A$2:$A$1041),--(NXT_COMPO!$P45=IDX_CA!$B$2:$B$1041),--(NXT_COMPO!$Q45=IDX_CA!$C$2:$C$1041),ROW(IDX_CA!$D$2:$D$1041))),""))</f>
        <v>600000000</v>
      </c>
      <c r="H45" s="55">
        <f>IF($D45&lt;=$B$1-$B$2,IF(INDEX($AA$2:$AA$1048576,MATCH($D45,$AB$2:$AB$1048576,0))="MODIFY",INDEX(IDX_CA!$E$1:$E$1041,SUMPRODUCT(--($E45=IDX_CA!$A$2:$A$1041),--(NXT_COMPO!$P45=IDX_CA!$B$2:$B$1041),--(NXT_COMPO!$Q45=IDX_CA!$C$2:$C$1041),ROW(IDX_CA!$E$2:$E$1041))),INDEX(IDX_COMPO!$D$1:$D$1200,SUMPRODUCT(--($E45=IDX_COMPO!$A$2:$A$1200),--(NXT_COMPO!$P45=IDX_COMPO!$F$2:$F$1200),--(NXT_COMPO!$B$5=IDX_COMPO!$G$2:$G$1200),ROW(IDX_COMPO!$D$2:$D$1200)))),IF($D45&lt;=$B$4,INDEX(IDX_CA!$E$1:$E$1041,SUMPRODUCT(--($E45=IDX_CA!$A$2:$A$1041),--(NXT_COMPO!$P45=IDX_CA!$B$2:$B$1041),--(NXT_COMPO!$Q45=IDX_CA!$C$2:$C$1041),ROW(IDX_CA!$E$2:$E$1041))),""))</f>
        <v>100</v>
      </c>
      <c r="I45" s="55">
        <f>IF($D45&lt;=$B$1-$B$2,IF(INDEX($AA$2:$AA$1048576,MATCH($D45,$AB$2:$AB$1048576,0))="MODIFY",INDEX(IDX_CA!$F$1:$F$1041,SUMPRODUCT(--($E45=IDX_CA!$A$2:$A$1041),--(NXT_COMPO!$P45=IDX_CA!$B$2:$B$1041),--(NXT_COMPO!$Q45=IDX_CA!$C$2:$C$1041),ROW(IDX_CA!$F$2:$F$1041))),INDEX(IDX_COMPO!$E$1:$E$1200,SUMPRODUCT(--($E45=IDX_COMPO!$A$2:$A$1200),--(NXT_COMPO!$P45=IDX_COMPO!$F$2:$F$1200),--(NXT_COMPO!$B$5=IDX_COMPO!$G$2:$G$1200),ROW(IDX_COMPO!$E$2:$E$1200)))),IF($D45&lt;=$B$4,INDEX(IDX_CA!$F$1:$F$1041,SUMPRODUCT(--($E45=IDX_CA!$A$2:$A$1041),--(NXT_COMPO!$P45=IDX_CA!$B$2:$B$1041),--(NXT_COMPO!$Q45=IDX_CA!$C$2:$C$1041),ROW(IDX_CA!$F$2:$F$1041))),""))</f>
        <v>100</v>
      </c>
      <c r="J45" s="62">
        <f>IF($D45&lt;=$B$1-$B$2,IF(INDEX($AA$2:$AA$1048576,MATCH($D45,$AB$2:$AB$1048576,0))="MODIFY",INDEX(IDX_CA!$G$1:$G$1041,SUMPRODUCT(--($E45=IDX_CA!$A$2:$A$1041),--(NXT_COMPO!$P45=IDX_CA!$B$2:$B$1041),--(NXT_COMPO!$Q45=IDX_CA!$C$2:$C$1041),ROW(IDX_CA!$G$2:$G$1041))),INDEX(IDX_COMPOSITION!$F$1:$F$441,SUMPRODUCT(--($E45=IDX_COMPOSITION!$A$2:$A$441),--(NXT_COMPO!$P45=IDX_COMPOSITION!$R$2:$R$441),--(NXT_COMPO!$B$5=IDX_COMPOSITION!$L$2:$L$441),ROW(IDX_COMPOSITION!$F$2:$F$441)))),IF($D45&lt;=$B$4,INDEX(IDX_CA!$G$1:$G$1041,SUMPRODUCT(--($E45=IDX_CA!$A$2:$A$1041),--(NXT_COMPO!$P45=IDX_CA!$B$2:$B$1041),--(NXT_COMPO!$Q45=IDX_CA!$C$2:$C$1041),ROW(IDX_CA!$G$2:$G$1041))),""))</f>
        <v>15200</v>
      </c>
      <c r="K45" s="63" t="str">
        <f>IF($D45&lt;&gt;"",VLOOKUP($E45,STK_REF!$A$2:$J$1048576,7,0),"")</f>
        <v>VND</v>
      </c>
      <c r="L45" s="5">
        <f>IF($D45&lt;&gt;"",VLOOKUP($E45,STK_REF!$A$2:$J$1048576,8,0),"")</f>
        <v>1</v>
      </c>
      <c r="M45" s="8">
        <f>IF($D45&lt;&gt;"",IF($K45=$U45,1,IF(ISNA(VLOOKUP($K45&amp;$U45,CUR_RATES!$A$2:$F$521,4,0)),"",VLOOKUP($K45&amp;$U45,CUR_RATES!$A$2:$F$521,4,0))),"")</f>
        <v>1</v>
      </c>
      <c r="N45" s="61">
        <f t="shared" si="5"/>
        <v>15200</v>
      </c>
      <c r="O45" s="68">
        <f t="shared" si="6"/>
        <v>9120000000000</v>
      </c>
      <c r="P45" s="5" t="str">
        <f t="shared" si="10"/>
        <v>VNXCOPRVND</v>
      </c>
      <c r="Q45" s="75">
        <f t="shared" si="7"/>
        <v>41166</v>
      </c>
      <c r="R45" s="68" t="str">
        <f t="shared" si="8"/>
        <v/>
      </c>
      <c r="S45" s="61" t="str">
        <f t="shared" si="9"/>
        <v/>
      </c>
      <c r="T45" s="62" t="str">
        <f>IF(D45&lt;&gt;"",IF(SUMPRODUCT(--($E45=STK_DIV!$A$2:$A$5),--(NXT_COMPO!$Q45=STK_DIV!$E$2:$E$5),ROW(STK_DIV!$D$2:$D$5))=0,"",INDEX(STK_DIV!$D$1:$D$5,SUMPRODUCT(--($E45=STK_DIV!$A$2:$A$5),--(NXT_COMPO!$Q45=STK_DIV!$E$2:$E$5),ROW(STK_DIV!$D$2:$D$5)))),"")</f>
        <v/>
      </c>
      <c r="U45" s="54" t="str">
        <f>IF($D45&lt;&gt;"",VLOOKUP($P45,IDX_REF!$2:$1048576,4,0),"")</f>
        <v>VND</v>
      </c>
      <c r="W45" s="52">
        <f t="shared" si="11"/>
        <v>44</v>
      </c>
      <c r="X45" s="5" t="str">
        <f>IF(ROW(X45)-ROW($X$1)&lt;=$B$1,INDEX(IDX_COMPO!A:A,ROW(IDX_COMPO!A45)),"")</f>
        <v>PVS</v>
      </c>
      <c r="Y45" s="75">
        <f t="shared" si="12"/>
        <v>41166</v>
      </c>
      <c r="Z45" s="54" t="str">
        <f>IF(ROW(Z45)-ROW($Y$1)&lt;=$B$1,INDEX(IDX_COMPO!F:F,ROW(IDX_COMPO!R45)),"")</f>
        <v>VNXCOPRVND</v>
      </c>
      <c r="AA45" s="2" t="str">
        <f t="array" ref="AA45">IF(X45&lt;&gt;"",IF(SUMPRODUCT(--(X45=IDX_CA!$A$2:$A$1041),--(NXT_COMPO!Y45=IDX_CA!$C$2:$C$1041),--(Z45=IDX_CA!$B$2:$B$1041))&gt;0,IF(INDEX(IDX_CA!$I:$I,SUMPRODUCT(--(X45=IDX_CA!$A$2:$A$1041),--(NXT_COMPO!Y45=IDX_CA!$C$2:$C$1041),--(Z45=IDX_CA!$B$2:$B$1041),ROW(IDX_CA!$I$2:$I$1041)))=1,"YES","MODIFY"),""),"")</f>
        <v/>
      </c>
      <c r="AB45" s="5">
        <f>IF(X45&lt;&gt;"",IF(AA45="YES","",COUNTIF($AA$2:AA45,"&lt;&gt;YES")),"")</f>
        <v>44</v>
      </c>
      <c r="AC45" s="2"/>
      <c r="AH45" s="2" t="str">
        <f t="array" ref="AH45">IF(ISERROR(SMALL(IF(IDX_CA!$H$1:$H$1041=1,ROW(IDX_CA!$H$1:$H$1041)),ROW(AH45)-ROW($AH$1))),"",IF(INDEX(IDX_CA!$C:$C,SMALL(IF(IDX_CA!$H$1:$H$1041=1,ROW(IDX_CA!$H$1:$H$1041)),ROW(AH45)-ROW($AH$1)))=$B$6,"YES",""))</f>
        <v/>
      </c>
      <c r="AI45" s="5" t="str">
        <f>IF(AD45&lt;&gt;"",IF(AH45="YES",COUNTIF($AH$2:AH45,"YES"),""),"")</f>
        <v/>
      </c>
    </row>
    <row r="46" spans="4:35" x14ac:dyDescent="0.2">
      <c r="D46" s="52">
        <f t="shared" si="0"/>
        <v>45</v>
      </c>
      <c r="E46" s="5" t="str">
        <f t="shared" si="4"/>
        <v>PVX</v>
      </c>
      <c r="F46" s="5" t="str">
        <f>IF($D46&lt;&gt;"",VLOOKUP($E46,STK_REF!$A$2:$J$1048576,2,0),"")</f>
        <v>VNX Construction</v>
      </c>
      <c r="G46" s="68">
        <f>IF($D46&lt;=$B$1-$B$2,IF(INDEX($AA$2:$AA$1048576,MATCH($D46,$AB$2:$AB$1048576,0))="MODIFY",INDEX(IDX_CA!$D$1:$D$1041,SUMPRODUCT(--($E46=IDX_CA!$A$2:$A$1041),--(NXT_COMPO!$P46=IDX_CA!$B$2:$B$1041),--(NXT_COMPO!$Q46=IDX_CA!$C$2:$C$1041),ROW(IDX_CA!$D$2:$D$1041))),INDEX(IDX_COMPO!$C$1:$C$12000,SUMPRODUCT(--($E46=IDX_COMPO!$A$2:$A$1200),--(NXT_COMPO!$P46=IDX_COMPO!$F$2:$F$1200),--(NXT_COMPO!$B$5=IDX_COMPO!$G$2:$G$1200),ROW(IDX_COMPO!$C$2:$C$1200)))),IF($D46&lt;=$B$4,INDEX(IDX_CA!$D$1:$D$1041,SUMPRODUCT(--($E46=IDX_CA!$A$2:$A$1041),--(NXT_COMPO!$P46=IDX_CA!$B$2:$B$1041),--(NXT_COMPO!$Q46=IDX_CA!$C$2:$C$1041),ROW(IDX_CA!$D$2:$D$1041))),""))</f>
        <v>232600000</v>
      </c>
      <c r="H46" s="55">
        <f>IF($D46&lt;=$B$1-$B$2,IF(INDEX($AA$2:$AA$1048576,MATCH($D46,$AB$2:$AB$1048576,0))="MODIFY",INDEX(IDX_CA!$E$1:$E$1041,SUMPRODUCT(--($E46=IDX_CA!$A$2:$A$1041),--(NXT_COMPO!$P46=IDX_CA!$B$2:$B$1041),--(NXT_COMPO!$Q46=IDX_CA!$C$2:$C$1041),ROW(IDX_CA!$E$2:$E$1041))),INDEX(IDX_COMPO!$D$1:$D$1200,SUMPRODUCT(--($E46=IDX_COMPO!$A$2:$A$1200),--(NXT_COMPO!$P46=IDX_COMPO!$F$2:$F$1200),--(NXT_COMPO!$B$5=IDX_COMPO!$G$2:$G$1200),ROW(IDX_COMPO!$D$2:$D$1200)))),IF($D46&lt;=$B$4,INDEX(IDX_CA!$E$1:$E$1041,SUMPRODUCT(--($E46=IDX_CA!$A$2:$A$1041),--(NXT_COMPO!$P46=IDX_CA!$B$2:$B$1041),--(NXT_COMPO!$Q46=IDX_CA!$C$2:$C$1041),ROW(IDX_CA!$E$2:$E$1041))),""))</f>
        <v>100</v>
      </c>
      <c r="I46" s="55">
        <f>IF($D46&lt;=$B$1-$B$2,IF(INDEX($AA$2:$AA$1048576,MATCH($D46,$AB$2:$AB$1048576,0))="MODIFY",INDEX(IDX_CA!$F$1:$F$1041,SUMPRODUCT(--($E46=IDX_CA!$A$2:$A$1041),--(NXT_COMPO!$P46=IDX_CA!$B$2:$B$1041),--(NXT_COMPO!$Q46=IDX_CA!$C$2:$C$1041),ROW(IDX_CA!$F$2:$F$1041))),INDEX(IDX_COMPO!$E$1:$E$1200,SUMPRODUCT(--($E46=IDX_COMPO!$A$2:$A$1200),--(NXT_COMPO!$P46=IDX_COMPO!$F$2:$F$1200),--(NXT_COMPO!$B$5=IDX_COMPO!$G$2:$G$1200),ROW(IDX_COMPO!$E$2:$E$1200)))),IF($D46&lt;=$B$4,INDEX(IDX_CA!$F$1:$F$1041,SUMPRODUCT(--($E46=IDX_CA!$A$2:$A$1041),--(NXT_COMPO!$P46=IDX_CA!$B$2:$B$1041),--(NXT_COMPO!$Q46=IDX_CA!$C$2:$C$1041),ROW(IDX_CA!$F$2:$F$1041))),""))</f>
        <v>100</v>
      </c>
      <c r="J46" s="62">
        <f>IF($D46&lt;=$B$1-$B$2,IF(INDEX($AA$2:$AA$1048576,MATCH($D46,$AB$2:$AB$1048576,0))="MODIFY",INDEX(IDX_CA!$G$1:$G$1041,SUMPRODUCT(--($E46=IDX_CA!$A$2:$A$1041),--(NXT_COMPO!$P46=IDX_CA!$B$2:$B$1041),--(NXT_COMPO!$Q46=IDX_CA!$C$2:$C$1041),ROW(IDX_CA!$G$2:$G$1041))),INDEX(IDX_COMPOSITION!$F$1:$F$441,SUMPRODUCT(--($E46=IDX_COMPOSITION!$A$2:$A$441),--(NXT_COMPO!$P46=IDX_COMPOSITION!$R$2:$R$441),--(NXT_COMPO!$B$5=IDX_COMPOSITION!$L$2:$L$441),ROW(IDX_COMPOSITION!$F$2:$F$441)))),IF($D46&lt;=$B$4,INDEX(IDX_CA!$G$1:$G$1041,SUMPRODUCT(--($E46=IDX_CA!$A$2:$A$1041),--(NXT_COMPO!$P46=IDX_CA!$B$2:$B$1041),--(NXT_COMPO!$Q46=IDX_CA!$C$2:$C$1041),ROW(IDX_CA!$G$2:$G$1041))),""))</f>
        <v>5200</v>
      </c>
      <c r="K46" s="63" t="str">
        <f>IF($D46&lt;&gt;"",VLOOKUP($E46,STK_REF!$A$2:$J$1048576,7,0),"")</f>
        <v>VND</v>
      </c>
      <c r="L46" s="5">
        <f>IF($D46&lt;&gt;"",VLOOKUP($E46,STK_REF!$A$2:$J$1048576,8,0),"")</f>
        <v>1</v>
      </c>
      <c r="M46" s="8">
        <f>IF($D46&lt;&gt;"",IF($K46=$U46,1,IF(ISNA(VLOOKUP($K46&amp;$U46,CUR_RATES!$A$2:$F$521,4,0)),"",VLOOKUP($K46&amp;$U46,CUR_RATES!$A$2:$F$521,4,0))),"")</f>
        <v>1</v>
      </c>
      <c r="N46" s="61">
        <f t="shared" si="5"/>
        <v>5200</v>
      </c>
      <c r="O46" s="68">
        <f t="shared" si="6"/>
        <v>1209520000000</v>
      </c>
      <c r="P46" s="5" t="str">
        <f t="shared" si="10"/>
        <v>VNXCOPRVND</v>
      </c>
      <c r="Q46" s="75">
        <f t="shared" si="7"/>
        <v>41166</v>
      </c>
      <c r="R46" s="68" t="str">
        <f t="shared" si="8"/>
        <v/>
      </c>
      <c r="S46" s="61" t="str">
        <f t="shared" si="9"/>
        <v/>
      </c>
      <c r="T46" s="62" t="str">
        <f>IF(D46&lt;&gt;"",IF(SUMPRODUCT(--($E46=STK_DIV!$A$2:$A$5),--(NXT_COMPO!$Q46=STK_DIV!$E$2:$E$5),ROW(STK_DIV!$D$2:$D$5))=0,"",INDEX(STK_DIV!$D$1:$D$5,SUMPRODUCT(--($E46=STK_DIV!$A$2:$A$5),--(NXT_COMPO!$Q46=STK_DIV!$E$2:$E$5),ROW(STK_DIV!$D$2:$D$5)))),"")</f>
        <v/>
      </c>
      <c r="U46" s="54" t="str">
        <f>IF($D46&lt;&gt;"",VLOOKUP($P46,IDX_REF!$2:$1048576,4,0),"")</f>
        <v>VND</v>
      </c>
      <c r="W46" s="52">
        <f t="shared" si="11"/>
        <v>45</v>
      </c>
      <c r="X46" s="5" t="str">
        <f>IF(ROW(X46)-ROW($X$1)&lt;=$B$1,INDEX(IDX_COMPO!A:A,ROW(IDX_COMPO!A46)),"")</f>
        <v>PVX</v>
      </c>
      <c r="Y46" s="75">
        <f t="shared" si="12"/>
        <v>41166</v>
      </c>
      <c r="Z46" s="54" t="str">
        <f>IF(ROW(Z46)-ROW($Y$1)&lt;=$B$1,INDEX(IDX_COMPO!F:F,ROW(IDX_COMPO!R46)),"")</f>
        <v>VNXCOPRVND</v>
      </c>
      <c r="AA46" s="2" t="str">
        <f t="array" ref="AA46">IF(X46&lt;&gt;"",IF(SUMPRODUCT(--(X46=IDX_CA!$A$2:$A$1041),--(NXT_COMPO!Y46=IDX_CA!$C$2:$C$1041),--(Z46=IDX_CA!$B$2:$B$1041))&gt;0,IF(INDEX(IDX_CA!$I:$I,SUMPRODUCT(--(X46=IDX_CA!$A$2:$A$1041),--(NXT_COMPO!Y46=IDX_CA!$C$2:$C$1041),--(Z46=IDX_CA!$B$2:$B$1041),ROW(IDX_CA!$I$2:$I$1041)))=1,"YES","MODIFY"),""),"")</f>
        <v/>
      </c>
      <c r="AB46" s="5">
        <f>IF(X46&lt;&gt;"",IF(AA46="YES","",COUNTIF($AA$2:AA46,"&lt;&gt;YES")),"")</f>
        <v>45</v>
      </c>
      <c r="AC46" s="2"/>
      <c r="AH46" s="2" t="str">
        <f t="array" ref="AH46">IF(ISERROR(SMALL(IF(IDX_CA!$H$1:$H$1041=1,ROW(IDX_CA!$H$1:$H$1041)),ROW(AH46)-ROW($AH$1))),"",IF(INDEX(IDX_CA!$C:$C,SMALL(IF(IDX_CA!$H$1:$H$1041=1,ROW(IDX_CA!$H$1:$H$1041)),ROW(AH46)-ROW($AH$1)))=$B$6,"YES",""))</f>
        <v/>
      </c>
      <c r="AI46" s="5" t="str">
        <f>IF(AD46&lt;&gt;"",IF(AH46="YES",COUNTIF($AH$2:AH46,"YES"),""),"")</f>
        <v/>
      </c>
    </row>
    <row r="47" spans="4:35" x14ac:dyDescent="0.2">
      <c r="D47" s="52">
        <f t="shared" si="0"/>
        <v>46</v>
      </c>
      <c r="E47" s="5" t="str">
        <f t="shared" si="4"/>
        <v>PVI</v>
      </c>
      <c r="F47" s="5" t="str">
        <f>IF($D47&lt;&gt;"",VLOOKUP($E47,STK_REF!$A$2:$J$1048576,2,0),"")</f>
        <v>VNX Insurance</v>
      </c>
      <c r="G47" s="68">
        <f>IF($D47&lt;=$B$1-$B$2,IF(INDEX($AA$2:$AA$1048576,MATCH($D47,$AB$2:$AB$1048576,0))="MODIFY",INDEX(IDX_CA!$D$1:$D$1041,SUMPRODUCT(--($E47=IDX_CA!$A$2:$A$1041),--(NXT_COMPO!$P47=IDX_CA!$B$2:$B$1041),--(NXT_COMPO!$Q47=IDX_CA!$C$2:$C$1041),ROW(IDX_CA!$D$2:$D$1041))),INDEX(IDX_COMPO!$C$1:$C$12000,SUMPRODUCT(--($E47=IDX_COMPO!$A$2:$A$1200),--(NXT_COMPO!$P47=IDX_COMPO!$F$2:$F$1200),--(NXT_COMPO!$B$5=IDX_COMPO!$G$2:$G$1200),ROW(IDX_COMPO!$C$2:$C$1200)))),IF($D47&lt;=$B$4,INDEX(IDX_CA!$D$1:$D$1041,SUMPRODUCT(--($E47=IDX_CA!$A$2:$A$1041),--(NXT_COMPO!$P47=IDX_CA!$B$2:$B$1041),--(NXT_COMPO!$Q47=IDX_CA!$C$2:$C$1041),ROW(IDX_CA!$D$2:$D$1041))),""))</f>
        <v>30000000</v>
      </c>
      <c r="H47" s="55">
        <f>IF($D47&lt;=$B$1-$B$2,IF(INDEX($AA$2:$AA$1048576,MATCH($D47,$AB$2:$AB$1048576,0))="MODIFY",INDEX(IDX_CA!$E$1:$E$1041,SUMPRODUCT(--($E47=IDX_CA!$A$2:$A$1041),--(NXT_COMPO!$P47=IDX_CA!$B$2:$B$1041),--(NXT_COMPO!$Q47=IDX_CA!$C$2:$C$1041),ROW(IDX_CA!$E$2:$E$1041))),INDEX(IDX_COMPO!$D$1:$D$1200,SUMPRODUCT(--($E47=IDX_COMPO!$A$2:$A$1200),--(NXT_COMPO!$P47=IDX_COMPO!$F$2:$F$1200),--(NXT_COMPO!$B$5=IDX_COMPO!$G$2:$G$1200),ROW(IDX_COMPO!$D$2:$D$1200)))),IF($D47&lt;=$B$4,INDEX(IDX_CA!$E$1:$E$1041,SUMPRODUCT(--($E47=IDX_CA!$A$2:$A$1041),--(NXT_COMPO!$P47=IDX_CA!$B$2:$B$1041),--(NXT_COMPO!$Q47=IDX_CA!$C$2:$C$1041),ROW(IDX_CA!$E$2:$E$1041))),""))</f>
        <v>100</v>
      </c>
      <c r="I47" s="55">
        <f>IF($D47&lt;=$B$1-$B$2,IF(INDEX($AA$2:$AA$1048576,MATCH($D47,$AB$2:$AB$1048576,0))="MODIFY",INDEX(IDX_CA!$F$1:$F$1041,SUMPRODUCT(--($E47=IDX_CA!$A$2:$A$1041),--(NXT_COMPO!$P47=IDX_CA!$B$2:$B$1041),--(NXT_COMPO!$Q47=IDX_CA!$C$2:$C$1041),ROW(IDX_CA!$F$2:$F$1041))),INDEX(IDX_COMPO!$E$1:$E$1200,SUMPRODUCT(--($E47=IDX_COMPO!$A$2:$A$1200),--(NXT_COMPO!$P47=IDX_COMPO!$F$2:$F$1200),--(NXT_COMPO!$B$5=IDX_COMPO!$G$2:$G$1200),ROW(IDX_COMPO!$E$2:$E$1200)))),IF($D47&lt;=$B$4,INDEX(IDX_CA!$F$1:$F$1041,SUMPRODUCT(--($E47=IDX_CA!$A$2:$A$1041),--(NXT_COMPO!$P47=IDX_CA!$B$2:$B$1041),--(NXT_COMPO!$Q47=IDX_CA!$C$2:$C$1041),ROW(IDX_CA!$F$2:$F$1041))),""))</f>
        <v>100</v>
      </c>
      <c r="J47" s="62">
        <f>IF($D47&lt;=$B$1-$B$2,IF(INDEX($AA$2:$AA$1048576,MATCH($D47,$AB$2:$AB$1048576,0))="MODIFY",INDEX(IDX_CA!$G$1:$G$1041,SUMPRODUCT(--($E47=IDX_CA!$A$2:$A$1041),--(NXT_COMPO!$P47=IDX_CA!$B$2:$B$1041),--(NXT_COMPO!$Q47=IDX_CA!$C$2:$C$1041),ROW(IDX_CA!$G$2:$G$1041))),INDEX(IDX_COMPOSITION!$F$1:$F$441,SUMPRODUCT(--($E47=IDX_COMPOSITION!$A$2:$A$441),--(NXT_COMPO!$P47=IDX_COMPOSITION!$R$2:$R$441),--(NXT_COMPO!$B$5=IDX_COMPOSITION!$L$2:$L$441),ROW(IDX_COMPOSITION!$F$2:$F$441)))),IF($D47&lt;=$B$4,INDEX(IDX_CA!$G$1:$G$1041,SUMPRODUCT(--($E47=IDX_CA!$A$2:$A$1041),--(NXT_COMPO!$P47=IDX_CA!$B$2:$B$1041),--(NXT_COMPO!$Q47=IDX_CA!$C$2:$C$1041),ROW(IDX_CA!$G$2:$G$1041))),""))</f>
        <v>15900</v>
      </c>
      <c r="K47" s="63" t="str">
        <f>IF($D47&lt;&gt;"",VLOOKUP($E47,STK_REF!$A$2:$J$1048576,7,0),"")</f>
        <v>VND</v>
      </c>
      <c r="L47" s="5">
        <f>IF($D47&lt;&gt;"",VLOOKUP($E47,STK_REF!$A$2:$J$1048576,8,0),"")</f>
        <v>1</v>
      </c>
      <c r="M47" s="8">
        <f>IF($D47&lt;&gt;"",IF($K47=$U47,1,IF(ISNA(VLOOKUP($K47&amp;$U47,CUR_RATES!$A$2:$F$521,4,0)),"",VLOOKUP($K47&amp;$U47,CUR_RATES!$A$2:$F$521,4,0))),"")</f>
        <v>1</v>
      </c>
      <c r="N47" s="61">
        <f t="shared" si="5"/>
        <v>15900</v>
      </c>
      <c r="O47" s="68">
        <f t="shared" si="6"/>
        <v>477000000000</v>
      </c>
      <c r="P47" s="5" t="str">
        <f t="shared" si="10"/>
        <v>VNXCOPRVND</v>
      </c>
      <c r="Q47" s="75">
        <f t="shared" si="7"/>
        <v>41166</v>
      </c>
      <c r="R47" s="68" t="str">
        <f t="shared" si="8"/>
        <v/>
      </c>
      <c r="S47" s="61" t="str">
        <f t="shared" si="9"/>
        <v/>
      </c>
      <c r="T47" s="62" t="str">
        <f>IF(D47&lt;&gt;"",IF(SUMPRODUCT(--($E47=STK_DIV!$A$2:$A$5),--(NXT_COMPO!$Q47=STK_DIV!$E$2:$E$5),ROW(STK_DIV!$D$2:$D$5))=0,"",INDEX(STK_DIV!$D$1:$D$5,SUMPRODUCT(--($E47=STK_DIV!$A$2:$A$5),--(NXT_COMPO!$Q47=STK_DIV!$E$2:$E$5),ROW(STK_DIV!$D$2:$D$5)))),"")</f>
        <v/>
      </c>
      <c r="U47" s="54" t="str">
        <f>IF($D47&lt;&gt;"",VLOOKUP($P47,IDX_REF!$2:$1048576,4,0),"")</f>
        <v>VND</v>
      </c>
      <c r="W47" s="52">
        <f t="shared" si="11"/>
        <v>46</v>
      </c>
      <c r="X47" s="5" t="str">
        <f>IF(ROW(X47)-ROW($X$1)&lt;=$B$1,INDEX(IDX_COMPO!A:A,ROW(IDX_COMPO!A47)),"")</f>
        <v>PVI</v>
      </c>
      <c r="Y47" s="75">
        <f t="shared" si="12"/>
        <v>41166</v>
      </c>
      <c r="Z47" s="54" t="str">
        <f>IF(ROW(Z47)-ROW($Y$1)&lt;=$B$1,INDEX(IDX_COMPO!F:F,ROW(IDX_COMPO!R47)),"")</f>
        <v>VNXCOPRVND</v>
      </c>
      <c r="AA47" s="2" t="str">
        <f t="array" ref="AA47">IF(X47&lt;&gt;"",IF(SUMPRODUCT(--(X47=IDX_CA!$A$2:$A$1041),--(NXT_COMPO!Y47=IDX_CA!$C$2:$C$1041),--(Z47=IDX_CA!$B$2:$B$1041))&gt;0,IF(INDEX(IDX_CA!$I:$I,SUMPRODUCT(--(X47=IDX_CA!$A$2:$A$1041),--(NXT_COMPO!Y47=IDX_CA!$C$2:$C$1041),--(Z47=IDX_CA!$B$2:$B$1041),ROW(IDX_CA!$I$2:$I$1041)))=1,"YES","MODIFY"),""),"")</f>
        <v/>
      </c>
      <c r="AB47" s="5">
        <f>IF(X47&lt;&gt;"",IF(AA47="YES","",COUNTIF($AA$2:AA47,"&lt;&gt;YES")),"")</f>
        <v>46</v>
      </c>
      <c r="AC47" s="2"/>
      <c r="AH47" s="2" t="str">
        <f t="array" ref="AH47">IF(ISERROR(SMALL(IF(IDX_CA!$H$1:$H$1041=1,ROW(IDX_CA!$H$1:$H$1041)),ROW(AH47)-ROW($AH$1))),"",IF(INDEX(IDX_CA!$C:$C,SMALL(IF(IDX_CA!$H$1:$H$1041=1,ROW(IDX_CA!$H$1:$H$1041)),ROW(AH47)-ROW($AH$1)))=$B$6,"YES",""))</f>
        <v/>
      </c>
      <c r="AI47" s="5" t="str">
        <f>IF(AD47&lt;&gt;"",IF(AH47="YES",COUNTIF($AH$2:AH47,"YES"),""),"")</f>
        <v/>
      </c>
    </row>
    <row r="48" spans="4:35" x14ac:dyDescent="0.2">
      <c r="D48" s="52">
        <f t="shared" si="0"/>
        <v>47</v>
      </c>
      <c r="E48" s="5" t="str">
        <f t="shared" si="4"/>
        <v>PGD</v>
      </c>
      <c r="F48" s="5" t="str">
        <f>IF($D48&lt;&gt;"",VLOOKUP($E48,STK_REF!$A$2:$J$1048576,2,0),"")</f>
        <v>VNX Low Pressure Gas Distribution Joint S</v>
      </c>
      <c r="G48" s="68">
        <f>IF($D48&lt;=$B$1-$B$2,IF(INDEX($AA$2:$AA$1048576,MATCH($D48,$AB$2:$AB$1048576,0))="MODIFY",INDEX(IDX_CA!$D$1:$D$1041,SUMPRODUCT(--($E48=IDX_CA!$A$2:$A$1041),--(NXT_COMPO!$P48=IDX_CA!$B$2:$B$1041),--(NXT_COMPO!$Q48=IDX_CA!$C$2:$C$1041),ROW(IDX_CA!$D$2:$D$1041))),INDEX(IDX_COMPO!$C$1:$C$12000,SUMPRODUCT(--($E48=IDX_COMPO!$A$2:$A$1200),--(NXT_COMPO!$P48=IDX_COMPO!$F$2:$F$1200),--(NXT_COMPO!$B$5=IDX_COMPO!$G$2:$G$1200),ROW(IDX_COMPO!$C$2:$C$1200)))),IF($D48&lt;=$B$4,INDEX(IDX_CA!$D$1:$D$1041,SUMPRODUCT(--($E48=IDX_CA!$A$2:$A$1041),--(NXT_COMPO!$P48=IDX_CA!$B$2:$B$1041),--(NXT_COMPO!$Q48=IDX_CA!$C$2:$C$1041),ROW(IDX_CA!$D$2:$D$1041))),""))</f>
        <v>15000000</v>
      </c>
      <c r="H48" s="55">
        <f>IF($D48&lt;=$B$1-$B$2,IF(INDEX($AA$2:$AA$1048576,MATCH($D48,$AB$2:$AB$1048576,0))="MODIFY",INDEX(IDX_CA!$E$1:$E$1041,SUMPRODUCT(--($E48=IDX_CA!$A$2:$A$1041),--(NXT_COMPO!$P48=IDX_CA!$B$2:$B$1041),--(NXT_COMPO!$Q48=IDX_CA!$C$2:$C$1041),ROW(IDX_CA!$E$2:$E$1041))),INDEX(IDX_COMPO!$D$1:$D$1200,SUMPRODUCT(--($E48=IDX_COMPO!$A$2:$A$1200),--(NXT_COMPO!$P48=IDX_COMPO!$F$2:$F$1200),--(NXT_COMPO!$B$5=IDX_COMPO!$G$2:$G$1200),ROW(IDX_COMPO!$D$2:$D$1200)))),IF($D48&lt;=$B$4,INDEX(IDX_CA!$E$1:$E$1041,SUMPRODUCT(--($E48=IDX_CA!$A$2:$A$1041),--(NXT_COMPO!$P48=IDX_CA!$B$2:$B$1041),--(NXT_COMPO!$Q48=IDX_CA!$C$2:$C$1041),ROW(IDX_CA!$E$2:$E$1041))),""))</f>
        <v>100</v>
      </c>
      <c r="I48" s="55">
        <f>IF($D48&lt;=$B$1-$B$2,IF(INDEX($AA$2:$AA$1048576,MATCH($D48,$AB$2:$AB$1048576,0))="MODIFY",INDEX(IDX_CA!$F$1:$F$1041,SUMPRODUCT(--($E48=IDX_CA!$A$2:$A$1041),--(NXT_COMPO!$P48=IDX_CA!$B$2:$B$1041),--(NXT_COMPO!$Q48=IDX_CA!$C$2:$C$1041),ROW(IDX_CA!$F$2:$F$1041))),INDEX(IDX_COMPO!$E$1:$E$1200,SUMPRODUCT(--($E48=IDX_COMPO!$A$2:$A$1200),--(NXT_COMPO!$P48=IDX_COMPO!$F$2:$F$1200),--(NXT_COMPO!$B$5=IDX_COMPO!$G$2:$G$1200),ROW(IDX_COMPO!$E$2:$E$1200)))),IF($D48&lt;=$B$4,INDEX(IDX_CA!$F$1:$F$1041,SUMPRODUCT(--($E48=IDX_CA!$A$2:$A$1041),--(NXT_COMPO!$P48=IDX_CA!$B$2:$B$1041),--(NXT_COMPO!$Q48=IDX_CA!$C$2:$C$1041),ROW(IDX_CA!$F$2:$F$1041))),""))</f>
        <v>100</v>
      </c>
      <c r="J48" s="62">
        <f>IF($D48&lt;=$B$1-$B$2,IF(INDEX($AA$2:$AA$1048576,MATCH($D48,$AB$2:$AB$1048576,0))="MODIFY",INDEX(IDX_CA!$G$1:$G$1041,SUMPRODUCT(--($E48=IDX_CA!$A$2:$A$1041),--(NXT_COMPO!$P48=IDX_CA!$B$2:$B$1041),--(NXT_COMPO!$Q48=IDX_CA!$C$2:$C$1041),ROW(IDX_CA!$G$2:$G$1041))),INDEX(IDX_COMPOSITION!$F$1:$F$441,SUMPRODUCT(--($E48=IDX_COMPOSITION!$A$2:$A$441),--(NXT_COMPO!$P48=IDX_COMPOSITION!$R$2:$R$441),--(NXT_COMPO!$B$5=IDX_COMPOSITION!$L$2:$L$441),ROW(IDX_COMPOSITION!$F$2:$F$441)))),IF($D48&lt;=$B$4,INDEX(IDX_CA!$G$1:$G$1041,SUMPRODUCT(--($E48=IDX_CA!$A$2:$A$1041),--(NXT_COMPO!$P48=IDX_CA!$B$2:$B$1041),--(NXT_COMPO!$Q48=IDX_CA!$C$2:$C$1041),ROW(IDX_CA!$G$2:$G$1041))),""))</f>
        <v>38800</v>
      </c>
      <c r="K48" s="63" t="str">
        <f>IF($D48&lt;&gt;"",VLOOKUP($E48,STK_REF!$A$2:$J$1048576,7,0),"")</f>
        <v>VND</v>
      </c>
      <c r="L48" s="5">
        <f>IF($D48&lt;&gt;"",VLOOKUP($E48,STK_REF!$A$2:$J$1048576,8,0),"")</f>
        <v>1</v>
      </c>
      <c r="M48" s="8">
        <f>IF($D48&lt;&gt;"",IF($K48=$U48,1,IF(ISNA(VLOOKUP($K48&amp;$U48,CUR_RATES!$A$2:$F$521,4,0)),"",VLOOKUP($K48&amp;$U48,CUR_RATES!$A$2:$F$521,4,0))),"")</f>
        <v>1</v>
      </c>
      <c r="N48" s="61">
        <f t="shared" si="5"/>
        <v>38800</v>
      </c>
      <c r="O48" s="68">
        <f t="shared" si="6"/>
        <v>582000000000</v>
      </c>
      <c r="P48" s="5" t="str">
        <f t="shared" si="10"/>
        <v>VNXCOPRVND</v>
      </c>
      <c r="Q48" s="75">
        <f t="shared" si="7"/>
        <v>41166</v>
      </c>
      <c r="R48" s="68" t="str">
        <f t="shared" si="8"/>
        <v/>
      </c>
      <c r="S48" s="61" t="str">
        <f t="shared" si="9"/>
        <v/>
      </c>
      <c r="T48" s="62" t="str">
        <f>IF(D48&lt;&gt;"",IF(SUMPRODUCT(--($E48=STK_DIV!$A$2:$A$5),--(NXT_COMPO!$Q48=STK_DIV!$E$2:$E$5),ROW(STK_DIV!$D$2:$D$5))=0,"",INDEX(STK_DIV!$D$1:$D$5,SUMPRODUCT(--($E48=STK_DIV!$A$2:$A$5),--(NXT_COMPO!$Q48=STK_DIV!$E$2:$E$5),ROW(STK_DIV!$D$2:$D$5)))),"")</f>
        <v/>
      </c>
      <c r="U48" s="54" t="str">
        <f>IF($D48&lt;&gt;"",VLOOKUP($P48,IDX_REF!$2:$1048576,4,0),"")</f>
        <v>VND</v>
      </c>
      <c r="W48" s="52">
        <f t="shared" si="11"/>
        <v>47</v>
      </c>
      <c r="X48" s="5" t="str">
        <f>IF(ROW(X48)-ROW($X$1)&lt;=$B$1,INDEX(IDX_COMPO!A:A,ROW(IDX_COMPO!A48)),"")</f>
        <v>PGD</v>
      </c>
      <c r="Y48" s="75">
        <f t="shared" si="12"/>
        <v>41166</v>
      </c>
      <c r="Z48" s="54" t="str">
        <f>IF(ROW(Z48)-ROW($Y$1)&lt;=$B$1,INDEX(IDX_COMPO!F:F,ROW(IDX_COMPO!R48)),"")</f>
        <v>VNXCOPRVND</v>
      </c>
      <c r="AA48" s="2" t="str">
        <f t="array" ref="AA48">IF(X48&lt;&gt;"",IF(SUMPRODUCT(--(X48=IDX_CA!$A$2:$A$1041),--(NXT_COMPO!Y48=IDX_CA!$C$2:$C$1041),--(Z48=IDX_CA!$B$2:$B$1041))&gt;0,IF(INDEX(IDX_CA!$I:$I,SUMPRODUCT(--(X48=IDX_CA!$A$2:$A$1041),--(NXT_COMPO!Y48=IDX_CA!$C$2:$C$1041),--(Z48=IDX_CA!$B$2:$B$1041),ROW(IDX_CA!$I$2:$I$1041)))=1,"YES","MODIFY"),""),"")</f>
        <v/>
      </c>
      <c r="AB48" s="5">
        <f>IF(X48&lt;&gt;"",IF(AA48="YES","",COUNTIF($AA$2:AA48,"&lt;&gt;YES")),"")</f>
        <v>47</v>
      </c>
      <c r="AC48" s="2"/>
      <c r="AH48" s="2" t="str">
        <f t="array" ref="AH48">IF(ISERROR(SMALL(IF(IDX_CA!$H$1:$H$1041=1,ROW(IDX_CA!$H$1:$H$1041)),ROW(AH48)-ROW($AH$1))),"",IF(INDEX(IDX_CA!$C:$C,SMALL(IF(IDX_CA!$H$1:$H$1041=1,ROW(IDX_CA!$H$1:$H$1041)),ROW(AH48)-ROW($AH$1)))=$B$6,"YES",""))</f>
        <v/>
      </c>
      <c r="AI48" s="5" t="str">
        <f>IF(AD48&lt;&gt;"",IF(AH48="YES",COUNTIF($AH$2:AH48,"YES"),""),"")</f>
        <v/>
      </c>
    </row>
    <row r="49" spans="4:35" x14ac:dyDescent="0.2">
      <c r="D49" s="52">
        <f t="shared" si="0"/>
        <v>48</v>
      </c>
      <c r="E49" s="5" t="str">
        <f t="shared" si="4"/>
        <v>PVT</v>
      </c>
      <c r="F49" s="5" t="str">
        <f>IF($D49&lt;&gt;"",VLOOKUP($E49,STK_REF!$A$2:$J$1048576,2,0),"")</f>
        <v>VNX Transportation Corp</v>
      </c>
      <c r="G49" s="68">
        <f>IF($D49&lt;=$B$1-$B$2,IF(INDEX($AA$2:$AA$1048576,MATCH($D49,$AB$2:$AB$1048576,0))="MODIFY",INDEX(IDX_CA!$D$1:$D$1041,SUMPRODUCT(--($E49=IDX_CA!$A$2:$A$1041),--(NXT_COMPO!$P49=IDX_CA!$B$2:$B$1041),--(NXT_COMPO!$Q49=IDX_CA!$C$2:$C$1041),ROW(IDX_CA!$D$2:$D$1041))),INDEX(IDX_COMPO!$C$1:$C$12000,SUMPRODUCT(--($E49=IDX_COMPO!$A$2:$A$1200),--(NXT_COMPO!$P49=IDX_COMPO!$F$2:$F$1200),--(NXT_COMPO!$B$5=IDX_COMPO!$G$2:$G$1200),ROW(IDX_COMPO!$C$2:$C$1200)))),IF($D49&lt;=$B$4,INDEX(IDX_CA!$D$1:$D$1041,SUMPRODUCT(--($E49=IDX_CA!$A$2:$A$1041),--(NXT_COMPO!$P49=IDX_CA!$B$2:$B$1041),--(NXT_COMPO!$Q49=IDX_CA!$C$2:$C$1041),ROW(IDX_CA!$D$2:$D$1041))),""))</f>
        <v>37518001</v>
      </c>
      <c r="H49" s="55">
        <f>IF($D49&lt;=$B$1-$B$2,IF(INDEX($AA$2:$AA$1048576,MATCH($D49,$AB$2:$AB$1048576,0))="MODIFY",INDEX(IDX_CA!$E$1:$E$1041,SUMPRODUCT(--($E49=IDX_CA!$A$2:$A$1041),--(NXT_COMPO!$P49=IDX_CA!$B$2:$B$1041),--(NXT_COMPO!$Q49=IDX_CA!$C$2:$C$1041),ROW(IDX_CA!$E$2:$E$1041))),INDEX(IDX_COMPO!$D$1:$D$1200,SUMPRODUCT(--($E49=IDX_COMPO!$A$2:$A$1200),--(NXT_COMPO!$P49=IDX_COMPO!$F$2:$F$1200),--(NXT_COMPO!$B$5=IDX_COMPO!$G$2:$G$1200),ROW(IDX_COMPO!$D$2:$D$1200)))),IF($D49&lt;=$B$4,INDEX(IDX_CA!$E$1:$E$1041,SUMPRODUCT(--($E49=IDX_CA!$A$2:$A$1041),--(NXT_COMPO!$P49=IDX_CA!$B$2:$B$1041),--(NXT_COMPO!$Q49=IDX_CA!$C$2:$C$1041),ROW(IDX_CA!$E$2:$E$1041))),""))</f>
        <v>100</v>
      </c>
      <c r="I49" s="55">
        <f>IF($D49&lt;=$B$1-$B$2,IF(INDEX($AA$2:$AA$1048576,MATCH($D49,$AB$2:$AB$1048576,0))="MODIFY",INDEX(IDX_CA!$F$1:$F$1041,SUMPRODUCT(--($E49=IDX_CA!$A$2:$A$1041),--(NXT_COMPO!$P49=IDX_CA!$B$2:$B$1041),--(NXT_COMPO!$Q49=IDX_CA!$C$2:$C$1041),ROW(IDX_CA!$F$2:$F$1041))),INDEX(IDX_COMPO!$E$1:$E$1200,SUMPRODUCT(--($E49=IDX_COMPO!$A$2:$A$1200),--(NXT_COMPO!$P49=IDX_COMPO!$F$2:$F$1200),--(NXT_COMPO!$B$5=IDX_COMPO!$G$2:$G$1200),ROW(IDX_COMPO!$E$2:$E$1200)))),IF($D49&lt;=$B$4,INDEX(IDX_CA!$F$1:$F$1041,SUMPRODUCT(--($E49=IDX_CA!$A$2:$A$1041),--(NXT_COMPO!$P49=IDX_CA!$B$2:$B$1041),--(NXT_COMPO!$Q49=IDX_CA!$C$2:$C$1041),ROW(IDX_CA!$F$2:$F$1041))),""))</f>
        <v>100</v>
      </c>
      <c r="J49" s="62">
        <f>IF($D49&lt;=$B$1-$B$2,IF(INDEX($AA$2:$AA$1048576,MATCH($D49,$AB$2:$AB$1048576,0))="MODIFY",INDEX(IDX_CA!$G$1:$G$1041,SUMPRODUCT(--($E49=IDX_CA!$A$2:$A$1041),--(NXT_COMPO!$P49=IDX_CA!$B$2:$B$1041),--(NXT_COMPO!$Q49=IDX_CA!$C$2:$C$1041),ROW(IDX_CA!$G$2:$G$1041))),INDEX(IDX_COMPOSITION!$F$1:$F$441,SUMPRODUCT(--($E49=IDX_COMPOSITION!$A$2:$A$441),--(NXT_COMPO!$P49=IDX_COMPOSITION!$R$2:$R$441),--(NXT_COMPO!$B$5=IDX_COMPOSITION!$L$2:$L$441),ROW(IDX_COMPOSITION!$F$2:$F$441)))),IF($D49&lt;=$B$4,INDEX(IDX_CA!$G$1:$G$1041,SUMPRODUCT(--($E49=IDX_CA!$A$2:$A$1041),--(NXT_COMPO!$P49=IDX_CA!$B$2:$B$1041),--(NXT_COMPO!$Q49=IDX_CA!$C$2:$C$1041),ROW(IDX_CA!$G$2:$G$1041))),""))</f>
        <v>4300</v>
      </c>
      <c r="K49" s="63" t="str">
        <f>IF($D49&lt;&gt;"",VLOOKUP($E49,STK_REF!$A$2:$J$1048576,7,0),"")</f>
        <v>VND</v>
      </c>
      <c r="L49" s="5">
        <f>IF($D49&lt;&gt;"",VLOOKUP($E49,STK_REF!$A$2:$J$1048576,8,0),"")</f>
        <v>1</v>
      </c>
      <c r="M49" s="8">
        <f>IF($D49&lt;&gt;"",IF($K49=$U49,1,IF(ISNA(VLOOKUP($K49&amp;$U49,CUR_RATES!$A$2:$F$521,4,0)),"",VLOOKUP($K49&amp;$U49,CUR_RATES!$A$2:$F$521,4,0))),"")</f>
        <v>1</v>
      </c>
      <c r="N49" s="61">
        <f t="shared" si="5"/>
        <v>4300</v>
      </c>
      <c r="O49" s="68">
        <f t="shared" si="6"/>
        <v>161327404300</v>
      </c>
      <c r="P49" s="5" t="str">
        <f t="shared" si="10"/>
        <v>VNXCOPRVND</v>
      </c>
      <c r="Q49" s="75">
        <f t="shared" si="7"/>
        <v>41166</v>
      </c>
      <c r="R49" s="68" t="str">
        <f t="shared" si="8"/>
        <v/>
      </c>
      <c r="S49" s="61" t="str">
        <f t="shared" si="9"/>
        <v/>
      </c>
      <c r="T49" s="62" t="str">
        <f>IF(D49&lt;&gt;"",IF(SUMPRODUCT(--($E49=STK_DIV!$A$2:$A$5),--(NXT_COMPO!$Q49=STK_DIV!$E$2:$E$5),ROW(STK_DIV!$D$2:$D$5))=0,"",INDEX(STK_DIV!$D$1:$D$5,SUMPRODUCT(--($E49=STK_DIV!$A$2:$A$5),--(NXT_COMPO!$Q49=STK_DIV!$E$2:$E$5),ROW(STK_DIV!$D$2:$D$5)))),"")</f>
        <v/>
      </c>
      <c r="U49" s="54" t="str">
        <f>IF($D49&lt;&gt;"",VLOOKUP($P49,IDX_REF!$2:$1048576,4,0),"")</f>
        <v>VND</v>
      </c>
      <c r="W49" s="52">
        <f t="shared" si="11"/>
        <v>48</v>
      </c>
      <c r="X49" s="5" t="str">
        <f>IF(ROW(X49)-ROW($X$1)&lt;=$B$1,INDEX(IDX_COMPO!A:A,ROW(IDX_COMPO!A49)),"")</f>
        <v>PVT</v>
      </c>
      <c r="Y49" s="75">
        <f t="shared" si="12"/>
        <v>41166</v>
      </c>
      <c r="Z49" s="54" t="str">
        <f>IF(ROW(Z49)-ROW($Y$1)&lt;=$B$1,INDEX(IDX_COMPO!F:F,ROW(IDX_COMPO!R49)),"")</f>
        <v>VNXCOPRVND</v>
      </c>
      <c r="AA49" s="2" t="str">
        <f t="array" ref="AA49">IF(X49&lt;&gt;"",IF(SUMPRODUCT(--(X49=IDX_CA!$A$2:$A$1041),--(NXT_COMPO!Y49=IDX_CA!$C$2:$C$1041),--(Z49=IDX_CA!$B$2:$B$1041))&gt;0,IF(INDEX(IDX_CA!$I:$I,SUMPRODUCT(--(X49=IDX_CA!$A$2:$A$1041),--(NXT_COMPO!Y49=IDX_CA!$C$2:$C$1041),--(Z49=IDX_CA!$B$2:$B$1041),ROW(IDX_CA!$I$2:$I$1041)))=1,"YES","MODIFY"),""),"")</f>
        <v/>
      </c>
      <c r="AB49" s="5">
        <f>IF(X49&lt;&gt;"",IF(AA49="YES","",COUNTIF($AA$2:AA49,"&lt;&gt;YES")),"")</f>
        <v>48</v>
      </c>
      <c r="AC49" s="2"/>
      <c r="AH49" s="2" t="str">
        <f t="array" ref="AH49">IF(ISERROR(SMALL(IF(IDX_CA!$H$1:$H$1041=1,ROW(IDX_CA!$H$1:$H$1041)),ROW(AH49)-ROW($AH$1))),"",IF(INDEX(IDX_CA!$C:$C,SMALL(IF(IDX_CA!$H$1:$H$1041=1,ROW(IDX_CA!$H$1:$H$1041)),ROW(AH49)-ROW($AH$1)))=$B$6,"YES",""))</f>
        <v/>
      </c>
      <c r="AI49" s="5" t="str">
        <f>IF(AD49&lt;&gt;"",IF(AH49="YES",COUNTIF($AH$2:AH49,"YES"),""),"")</f>
        <v/>
      </c>
    </row>
    <row r="50" spans="4:35" x14ac:dyDescent="0.2">
      <c r="D50" s="52">
        <f t="shared" si="0"/>
        <v>49</v>
      </c>
      <c r="E50" s="5" t="str">
        <f t="shared" si="4"/>
        <v>PGS</v>
      </c>
      <c r="F50" s="5" t="str">
        <f>IF($D50&lt;&gt;"",VLOOKUP($E50,STK_REF!$A$2:$J$1048576,2,0),"")</f>
        <v>VNX Southern Gas Joint Stock Co</v>
      </c>
      <c r="G50" s="68">
        <f>IF($D50&lt;=$B$1-$B$2,IF(INDEX($AA$2:$AA$1048576,MATCH($D50,$AB$2:$AB$1048576,0))="MODIFY",INDEX(IDX_CA!$D$1:$D$1041,SUMPRODUCT(--($E50=IDX_CA!$A$2:$A$1041),--(NXT_COMPO!$P50=IDX_CA!$B$2:$B$1041),--(NXT_COMPO!$Q50=IDX_CA!$C$2:$C$1041),ROW(IDX_CA!$D$2:$D$1041))),INDEX(IDX_COMPO!$C$1:$C$12000,SUMPRODUCT(--($E50=IDX_COMPO!$A$2:$A$1200),--(NXT_COMPO!$P50=IDX_COMPO!$F$2:$F$1200),--(NXT_COMPO!$B$5=IDX_COMPO!$G$2:$G$1200),ROW(IDX_COMPO!$C$2:$C$1200)))),IF($D50&lt;=$B$4,INDEX(IDX_CA!$D$1:$D$1041,SUMPRODUCT(--($E50=IDX_CA!$A$2:$A$1041),--(NXT_COMPO!$P50=IDX_CA!$B$2:$B$1041),--(NXT_COMPO!$Q50=IDX_CA!$C$2:$C$1041),ROW(IDX_CA!$D$2:$D$1041))),""))</f>
        <v>20000000</v>
      </c>
      <c r="H50" s="55">
        <f>IF($D50&lt;=$B$1-$B$2,IF(INDEX($AA$2:$AA$1048576,MATCH($D50,$AB$2:$AB$1048576,0))="MODIFY",INDEX(IDX_CA!$E$1:$E$1041,SUMPRODUCT(--($E50=IDX_CA!$A$2:$A$1041),--(NXT_COMPO!$P50=IDX_CA!$B$2:$B$1041),--(NXT_COMPO!$Q50=IDX_CA!$C$2:$C$1041),ROW(IDX_CA!$E$2:$E$1041))),INDEX(IDX_COMPO!$D$1:$D$1200,SUMPRODUCT(--($E50=IDX_COMPO!$A$2:$A$1200),--(NXT_COMPO!$P50=IDX_COMPO!$F$2:$F$1200),--(NXT_COMPO!$B$5=IDX_COMPO!$G$2:$G$1200),ROW(IDX_COMPO!$D$2:$D$1200)))),IF($D50&lt;=$B$4,INDEX(IDX_CA!$E$1:$E$1041,SUMPRODUCT(--($E50=IDX_CA!$A$2:$A$1041),--(NXT_COMPO!$P50=IDX_CA!$B$2:$B$1041),--(NXT_COMPO!$Q50=IDX_CA!$C$2:$C$1041),ROW(IDX_CA!$E$2:$E$1041))),""))</f>
        <v>100</v>
      </c>
      <c r="I50" s="55">
        <f>IF($D50&lt;=$B$1-$B$2,IF(INDEX($AA$2:$AA$1048576,MATCH($D50,$AB$2:$AB$1048576,0))="MODIFY",INDEX(IDX_CA!$F$1:$F$1041,SUMPRODUCT(--($E50=IDX_CA!$A$2:$A$1041),--(NXT_COMPO!$P50=IDX_CA!$B$2:$B$1041),--(NXT_COMPO!$Q50=IDX_CA!$C$2:$C$1041),ROW(IDX_CA!$F$2:$F$1041))),INDEX(IDX_COMPO!$E$1:$E$1200,SUMPRODUCT(--($E50=IDX_COMPO!$A$2:$A$1200),--(NXT_COMPO!$P50=IDX_COMPO!$F$2:$F$1200),--(NXT_COMPO!$B$5=IDX_COMPO!$G$2:$G$1200),ROW(IDX_COMPO!$E$2:$E$1200)))),IF($D50&lt;=$B$4,INDEX(IDX_CA!$F$1:$F$1041,SUMPRODUCT(--($E50=IDX_CA!$A$2:$A$1041),--(NXT_COMPO!$P50=IDX_CA!$B$2:$B$1041),--(NXT_COMPO!$Q50=IDX_CA!$C$2:$C$1041),ROW(IDX_CA!$F$2:$F$1041))),""))</f>
        <v>100</v>
      </c>
      <c r="J50" s="62">
        <f>IF($D50&lt;=$B$1-$B$2,IF(INDEX($AA$2:$AA$1048576,MATCH($D50,$AB$2:$AB$1048576,0))="MODIFY",INDEX(IDX_CA!$G$1:$G$1041,SUMPRODUCT(--($E50=IDX_CA!$A$2:$A$1041),--(NXT_COMPO!$P50=IDX_CA!$B$2:$B$1041),--(NXT_COMPO!$Q50=IDX_CA!$C$2:$C$1041),ROW(IDX_CA!$G$2:$G$1041))),INDEX(IDX_COMPOSITION!$F$1:$F$441,SUMPRODUCT(--($E50=IDX_COMPOSITION!$A$2:$A$441),--(NXT_COMPO!$P50=IDX_COMPOSITION!$R$2:$R$441),--(NXT_COMPO!$B$5=IDX_COMPOSITION!$L$2:$L$441),ROW(IDX_COMPOSITION!$F$2:$F$441)))),IF($D50&lt;=$B$4,INDEX(IDX_CA!$G$1:$G$1041,SUMPRODUCT(--($E50=IDX_CA!$A$2:$A$1041),--(NXT_COMPO!$P50=IDX_CA!$B$2:$B$1041),--(NXT_COMPO!$Q50=IDX_CA!$C$2:$C$1041),ROW(IDX_CA!$G$2:$G$1041))),""))</f>
        <v>17100</v>
      </c>
      <c r="K50" s="63" t="str">
        <f>IF($D50&lt;&gt;"",VLOOKUP($E50,STK_REF!$A$2:$J$1048576,7,0),"")</f>
        <v>VND</v>
      </c>
      <c r="L50" s="5">
        <f>IF($D50&lt;&gt;"",VLOOKUP($E50,STK_REF!$A$2:$J$1048576,8,0),"")</f>
        <v>1</v>
      </c>
      <c r="M50" s="8">
        <f>IF($D50&lt;&gt;"",IF($K50=$U50,1,IF(ISNA(VLOOKUP($K50&amp;$U50,CUR_RATES!$A$2:$F$521,4,0)),"",VLOOKUP($K50&amp;$U50,CUR_RATES!$A$2:$F$521,4,0))),"")</f>
        <v>1</v>
      </c>
      <c r="N50" s="61">
        <f t="shared" si="5"/>
        <v>17100</v>
      </c>
      <c r="O50" s="68">
        <f t="shared" si="6"/>
        <v>342000000000</v>
      </c>
      <c r="P50" s="5" t="str">
        <f t="shared" si="10"/>
        <v>VNXCOPRVND</v>
      </c>
      <c r="Q50" s="75">
        <f t="shared" si="7"/>
        <v>41166</v>
      </c>
      <c r="R50" s="68" t="str">
        <f t="shared" si="8"/>
        <v/>
      </c>
      <c r="S50" s="61" t="str">
        <f t="shared" si="9"/>
        <v/>
      </c>
      <c r="T50" s="62" t="str">
        <f>IF(D50&lt;&gt;"",IF(SUMPRODUCT(--($E50=STK_DIV!$A$2:$A$5),--(NXT_COMPO!$Q50=STK_DIV!$E$2:$E$5),ROW(STK_DIV!$D$2:$D$5))=0,"",INDEX(STK_DIV!$D$1:$D$5,SUMPRODUCT(--($E50=STK_DIV!$A$2:$A$5),--(NXT_COMPO!$Q50=STK_DIV!$E$2:$E$5),ROW(STK_DIV!$D$2:$D$5)))),"")</f>
        <v/>
      </c>
      <c r="U50" s="54" t="str">
        <f>IF($D50&lt;&gt;"",VLOOKUP($P50,IDX_REF!$2:$1048576,4,0),"")</f>
        <v>VND</v>
      </c>
      <c r="W50" s="52">
        <f t="shared" si="11"/>
        <v>49</v>
      </c>
      <c r="X50" s="5" t="str">
        <f>IF(ROW(X50)-ROW($X$1)&lt;=$B$1,INDEX(IDX_COMPO!A:A,ROW(IDX_COMPO!A50)),"")</f>
        <v>PGS</v>
      </c>
      <c r="Y50" s="75">
        <f t="shared" si="12"/>
        <v>41166</v>
      </c>
      <c r="Z50" s="54" t="str">
        <f>IF(ROW(Z50)-ROW($Y$1)&lt;=$B$1,INDEX(IDX_COMPO!F:F,ROW(IDX_COMPO!R50)),"")</f>
        <v>VNXCOPRVND</v>
      </c>
      <c r="AA50" s="2" t="str">
        <f t="array" ref="AA50">IF(X50&lt;&gt;"",IF(SUMPRODUCT(--(X50=IDX_CA!$A$2:$A$1041),--(NXT_COMPO!Y50=IDX_CA!$C$2:$C$1041),--(Z50=IDX_CA!$B$2:$B$1041))&gt;0,IF(INDEX(IDX_CA!$I:$I,SUMPRODUCT(--(X50=IDX_CA!$A$2:$A$1041),--(NXT_COMPO!Y50=IDX_CA!$C$2:$C$1041),--(Z50=IDX_CA!$B$2:$B$1041),ROW(IDX_CA!$I$2:$I$1041)))=1,"YES","MODIFY"),""),"")</f>
        <v/>
      </c>
      <c r="AB50" s="5">
        <f>IF(X50&lt;&gt;"",IF(AA50="YES","",COUNTIF($AA$2:AA50,"&lt;&gt;YES")),"")</f>
        <v>49</v>
      </c>
      <c r="AC50" s="2"/>
      <c r="AH50" s="2" t="str">
        <f t="array" ref="AH50">IF(ISERROR(SMALL(IF(IDX_CA!$H$1:$H$1041=1,ROW(IDX_CA!$H$1:$H$1041)),ROW(AH50)-ROW($AH$1))),"",IF(INDEX(IDX_CA!$C:$C,SMALL(IF(IDX_CA!$H$1:$H$1041=1,ROW(IDX_CA!$H$1:$H$1041)),ROW(AH50)-ROW($AH$1)))=$B$6,"YES",""))</f>
        <v/>
      </c>
      <c r="AI50" s="5" t="str">
        <f>IF(AD50&lt;&gt;"",IF(AH50="YES",COUNTIF($AH$2:AH50,"YES"),""),"")</f>
        <v/>
      </c>
    </row>
    <row r="51" spans="4:35" x14ac:dyDescent="0.2">
      <c r="D51" s="52">
        <f t="shared" si="0"/>
        <v>50</v>
      </c>
      <c r="E51" s="5" t="str">
        <f t="shared" si="4"/>
        <v>PET</v>
      </c>
      <c r="F51" s="5" t="str">
        <f>IF($D51&lt;&gt;"",VLOOKUP($E51,STK_REF!$A$2:$J$1048576,2,0),"")</f>
        <v>VNX General Services Joint Stock Corp</v>
      </c>
      <c r="G51" s="68">
        <f>IF($D51&lt;=$B$1-$B$2,IF(INDEX($AA$2:$AA$1048576,MATCH($D51,$AB$2:$AB$1048576,0))="MODIFY",INDEX(IDX_CA!$D$1:$D$1041,SUMPRODUCT(--($E51=IDX_CA!$A$2:$A$1041),--(NXT_COMPO!$P51=IDX_CA!$B$2:$B$1041),--(NXT_COMPO!$Q51=IDX_CA!$C$2:$C$1041),ROW(IDX_CA!$D$2:$D$1041))),INDEX(IDX_COMPO!$C$1:$C$12000,SUMPRODUCT(--($E51=IDX_COMPO!$A$2:$A$1200),--(NXT_COMPO!$P51=IDX_COMPO!$F$2:$F$1200),--(NXT_COMPO!$B$5=IDX_COMPO!$G$2:$G$1200),ROW(IDX_COMPO!$C$2:$C$1200)))),IF($D51&lt;=$B$4,INDEX(IDX_CA!$D$1:$D$1041,SUMPRODUCT(--($E51=IDX_CA!$A$2:$A$1041),--(NXT_COMPO!$P51=IDX_CA!$B$2:$B$1041),--(NXT_COMPO!$Q51=IDX_CA!$C$2:$C$1041),ROW(IDX_CA!$D$2:$D$1041))),""))</f>
        <v>42900000</v>
      </c>
      <c r="H51" s="55">
        <f>IF($D51&lt;=$B$1-$B$2,IF(INDEX($AA$2:$AA$1048576,MATCH($D51,$AB$2:$AB$1048576,0))="MODIFY",INDEX(IDX_CA!$E$1:$E$1041,SUMPRODUCT(--($E51=IDX_CA!$A$2:$A$1041),--(NXT_COMPO!$P51=IDX_CA!$B$2:$B$1041),--(NXT_COMPO!$Q51=IDX_CA!$C$2:$C$1041),ROW(IDX_CA!$E$2:$E$1041))),INDEX(IDX_COMPO!$D$1:$D$1200,SUMPRODUCT(--($E51=IDX_COMPO!$A$2:$A$1200),--(NXT_COMPO!$P51=IDX_COMPO!$F$2:$F$1200),--(NXT_COMPO!$B$5=IDX_COMPO!$G$2:$G$1200),ROW(IDX_COMPO!$D$2:$D$1200)))),IF($D51&lt;=$B$4,INDEX(IDX_CA!$E$1:$E$1041,SUMPRODUCT(--($E51=IDX_CA!$A$2:$A$1041),--(NXT_COMPO!$P51=IDX_CA!$B$2:$B$1041),--(NXT_COMPO!$Q51=IDX_CA!$C$2:$C$1041),ROW(IDX_CA!$E$2:$E$1041))),""))</f>
        <v>100</v>
      </c>
      <c r="I51" s="55">
        <f>IF($D51&lt;=$B$1-$B$2,IF(INDEX($AA$2:$AA$1048576,MATCH($D51,$AB$2:$AB$1048576,0))="MODIFY",INDEX(IDX_CA!$F$1:$F$1041,SUMPRODUCT(--($E51=IDX_CA!$A$2:$A$1041),--(NXT_COMPO!$P51=IDX_CA!$B$2:$B$1041),--(NXT_COMPO!$Q51=IDX_CA!$C$2:$C$1041),ROW(IDX_CA!$F$2:$F$1041))),INDEX(IDX_COMPO!$E$1:$E$1200,SUMPRODUCT(--($E51=IDX_COMPO!$A$2:$A$1200),--(NXT_COMPO!$P51=IDX_COMPO!$F$2:$F$1200),--(NXT_COMPO!$B$5=IDX_COMPO!$G$2:$G$1200),ROW(IDX_COMPO!$E$2:$E$1200)))),IF($D51&lt;=$B$4,INDEX(IDX_CA!$F$1:$F$1041,SUMPRODUCT(--($E51=IDX_CA!$A$2:$A$1041),--(NXT_COMPO!$P51=IDX_CA!$B$2:$B$1041),--(NXT_COMPO!$Q51=IDX_CA!$C$2:$C$1041),ROW(IDX_CA!$F$2:$F$1041))),""))</f>
        <v>100</v>
      </c>
      <c r="J51" s="62">
        <f>IF($D51&lt;=$B$1-$B$2,IF(INDEX($AA$2:$AA$1048576,MATCH($D51,$AB$2:$AB$1048576,0))="MODIFY",INDEX(IDX_CA!$G$1:$G$1041,SUMPRODUCT(--($E51=IDX_CA!$A$2:$A$1041),--(NXT_COMPO!$P51=IDX_CA!$B$2:$B$1041),--(NXT_COMPO!$Q51=IDX_CA!$C$2:$C$1041),ROW(IDX_CA!$G$2:$G$1041))),INDEX(IDX_COMPOSITION!$F$1:$F$441,SUMPRODUCT(--($E51=IDX_COMPOSITION!$A$2:$A$441),--(NXT_COMPO!$P51=IDX_COMPOSITION!$R$2:$R$441),--(NXT_COMPO!$B$5=IDX_COMPOSITION!$L$2:$L$441),ROW(IDX_COMPOSITION!$F$2:$F$441)))),IF($D51&lt;=$B$4,INDEX(IDX_CA!$G$1:$G$1041,SUMPRODUCT(--($E51=IDX_CA!$A$2:$A$1041),--(NXT_COMPO!$P51=IDX_CA!$B$2:$B$1041),--(NXT_COMPO!$Q51=IDX_CA!$C$2:$C$1041),ROW(IDX_CA!$G$2:$G$1041))),""))</f>
        <v>11200</v>
      </c>
      <c r="K51" s="63" t="str">
        <f>IF($D51&lt;&gt;"",VLOOKUP($E51,STK_REF!$A$2:$J$1048576,7,0),"")</f>
        <v>VND</v>
      </c>
      <c r="L51" s="5">
        <f>IF($D51&lt;&gt;"",VLOOKUP($E51,STK_REF!$A$2:$J$1048576,8,0),"")</f>
        <v>1</v>
      </c>
      <c r="M51" s="8">
        <f>IF($D51&lt;&gt;"",IF($K51=$U51,1,IF(ISNA(VLOOKUP($K51&amp;$U51,CUR_RATES!$A$2:$F$521,4,0)),"",VLOOKUP($K51&amp;$U51,CUR_RATES!$A$2:$F$521,4,0))),"")</f>
        <v>1</v>
      </c>
      <c r="N51" s="61">
        <f t="shared" si="5"/>
        <v>11200</v>
      </c>
      <c r="O51" s="68">
        <f t="shared" si="6"/>
        <v>480480000000</v>
      </c>
      <c r="P51" s="5" t="str">
        <f t="shared" si="10"/>
        <v>VNXCOPRVND</v>
      </c>
      <c r="Q51" s="75">
        <f t="shared" si="7"/>
        <v>41166</v>
      </c>
      <c r="R51" s="68" t="str">
        <f t="shared" si="8"/>
        <v/>
      </c>
      <c r="S51" s="61" t="str">
        <f t="shared" si="9"/>
        <v/>
      </c>
      <c r="T51" s="62" t="str">
        <f>IF(D51&lt;&gt;"",IF(SUMPRODUCT(--($E51=STK_DIV!$A$2:$A$5),--(NXT_COMPO!$Q51=STK_DIV!$E$2:$E$5),ROW(STK_DIV!$D$2:$D$5))=0,"",INDEX(STK_DIV!$D$1:$D$5,SUMPRODUCT(--($E51=STK_DIV!$A$2:$A$5),--(NXT_COMPO!$Q51=STK_DIV!$E$2:$E$5),ROW(STK_DIV!$D$2:$D$5)))),"")</f>
        <v/>
      </c>
      <c r="U51" s="54" t="str">
        <f>IF($D51&lt;&gt;"",VLOOKUP($P51,IDX_REF!$2:$1048576,4,0),"")</f>
        <v>VND</v>
      </c>
      <c r="W51" s="52">
        <f t="shared" si="11"/>
        <v>50</v>
      </c>
      <c r="X51" s="5" t="str">
        <f>IF(ROW(X51)-ROW($X$1)&lt;=$B$1,INDEX(IDX_COMPO!A:A,ROW(IDX_COMPO!A51)),"")</f>
        <v>PET</v>
      </c>
      <c r="Y51" s="75">
        <f t="shared" si="12"/>
        <v>41166</v>
      </c>
      <c r="Z51" s="54" t="str">
        <f>IF(ROW(Z51)-ROW($Y$1)&lt;=$B$1,INDEX(IDX_COMPO!F:F,ROW(IDX_COMPO!R51)),"")</f>
        <v>VNXCOPRVND</v>
      </c>
      <c r="AA51" s="2" t="str">
        <f t="array" ref="AA51">IF(X51&lt;&gt;"",IF(SUMPRODUCT(--(X51=IDX_CA!$A$2:$A$1041),--(NXT_COMPO!Y51=IDX_CA!$C$2:$C$1041),--(Z51=IDX_CA!$B$2:$B$1041))&gt;0,IF(INDEX(IDX_CA!$I:$I,SUMPRODUCT(--(X51=IDX_CA!$A$2:$A$1041),--(NXT_COMPO!Y51=IDX_CA!$C$2:$C$1041),--(Z51=IDX_CA!$B$2:$B$1041),ROW(IDX_CA!$I$2:$I$1041)))=1,"YES","MODIFY"),""),"")</f>
        <v/>
      </c>
      <c r="AB51" s="5">
        <f>IF(X51&lt;&gt;"",IF(AA51="YES","",COUNTIF($AA$2:AA51,"&lt;&gt;YES")),"")</f>
        <v>50</v>
      </c>
      <c r="AC51" s="2"/>
      <c r="AH51" s="2" t="str">
        <f t="array" ref="AH51">IF(ISERROR(SMALL(IF(IDX_CA!$H$1:$H$1041=1,ROW(IDX_CA!$H$1:$H$1041)),ROW(AH51)-ROW($AH$1))),"",IF(INDEX(IDX_CA!$C:$C,SMALL(IF(IDX_CA!$H$1:$H$1041=1,ROW(IDX_CA!$H$1:$H$1041)),ROW(AH51)-ROW($AH$1)))=$B$6,"YES",""))</f>
        <v/>
      </c>
      <c r="AI51" s="5" t="str">
        <f>IF(AD51&lt;&gt;"",IF(AH51="YES",COUNTIF($AH$2:AH51,"YES"),""),"")</f>
        <v/>
      </c>
    </row>
    <row r="52" spans="4:35" x14ac:dyDescent="0.2">
      <c r="D52" s="52">
        <f t="shared" si="0"/>
        <v>51</v>
      </c>
      <c r="E52" s="5" t="str">
        <f t="shared" si="4"/>
        <v>PTL</v>
      </c>
      <c r="F52" s="5" t="str">
        <f>IF($D52&lt;&gt;"",VLOOKUP($E52,STK_REF!$A$2:$J$1048576,2,0),"")</f>
        <v xml:space="preserve">Petro Capital and Infrastructure Investment Joint </v>
      </c>
      <c r="G52" s="68">
        <f>IF($D52&lt;=$B$1-$B$2,IF(INDEX($AA$2:$AA$1048576,MATCH($D52,$AB$2:$AB$1048576,0))="MODIFY",INDEX(IDX_CA!$D$1:$D$1041,SUMPRODUCT(--($E52=IDX_CA!$A$2:$A$1041),--(NXT_COMPO!$P52=IDX_CA!$B$2:$B$1041),--(NXT_COMPO!$Q52=IDX_CA!$C$2:$C$1041),ROW(IDX_CA!$D$2:$D$1041))),INDEX(IDX_COMPO!$C$1:$C$12000,SUMPRODUCT(--($E52=IDX_COMPO!$A$2:$A$1200),--(NXT_COMPO!$P52=IDX_COMPO!$F$2:$F$1200),--(NXT_COMPO!$B$5=IDX_COMPO!$G$2:$G$1200),ROW(IDX_COMPO!$C$2:$C$1200)))),IF($D52&lt;=$B$4,INDEX(IDX_CA!$D$1:$D$1041,SUMPRODUCT(--($E52=IDX_CA!$A$2:$A$1041),--(NXT_COMPO!$P52=IDX_CA!$B$2:$B$1041),--(NXT_COMPO!$Q52=IDX_CA!$C$2:$C$1041),ROW(IDX_CA!$D$2:$D$1041))),""))</f>
        <v>209740215</v>
      </c>
      <c r="H52" s="55">
        <f>IF($D52&lt;=$B$1-$B$2,IF(INDEX($AA$2:$AA$1048576,MATCH($D52,$AB$2:$AB$1048576,0))="MODIFY",INDEX(IDX_CA!$E$1:$E$1041,SUMPRODUCT(--($E52=IDX_CA!$A$2:$A$1041),--(NXT_COMPO!$P52=IDX_CA!$B$2:$B$1041),--(NXT_COMPO!$Q52=IDX_CA!$C$2:$C$1041),ROW(IDX_CA!$E$2:$E$1041))),INDEX(IDX_COMPO!$D$1:$D$1200,SUMPRODUCT(--($E52=IDX_COMPO!$A$2:$A$1200),--(NXT_COMPO!$P52=IDX_COMPO!$F$2:$F$1200),--(NXT_COMPO!$B$5=IDX_COMPO!$G$2:$G$1200),ROW(IDX_COMPO!$D$2:$D$1200)))),IF($D52&lt;=$B$4,INDEX(IDX_CA!$E$1:$E$1041,SUMPRODUCT(--($E52=IDX_CA!$A$2:$A$1041),--(NXT_COMPO!$P52=IDX_CA!$B$2:$B$1041),--(NXT_COMPO!$Q52=IDX_CA!$C$2:$C$1041),ROW(IDX_CA!$E$2:$E$1041))),""))</f>
        <v>100</v>
      </c>
      <c r="I52" s="55">
        <f>IF($D52&lt;=$B$1-$B$2,IF(INDEX($AA$2:$AA$1048576,MATCH($D52,$AB$2:$AB$1048576,0))="MODIFY",INDEX(IDX_CA!$F$1:$F$1041,SUMPRODUCT(--($E52=IDX_CA!$A$2:$A$1041),--(NXT_COMPO!$P52=IDX_CA!$B$2:$B$1041),--(NXT_COMPO!$Q52=IDX_CA!$C$2:$C$1041),ROW(IDX_CA!$F$2:$F$1041))),INDEX(IDX_COMPO!$E$1:$E$1200,SUMPRODUCT(--($E52=IDX_COMPO!$A$2:$A$1200),--(NXT_COMPO!$P52=IDX_COMPO!$F$2:$F$1200),--(NXT_COMPO!$B$5=IDX_COMPO!$G$2:$G$1200),ROW(IDX_COMPO!$E$2:$E$1200)))),IF($D52&lt;=$B$4,INDEX(IDX_CA!$F$1:$F$1041,SUMPRODUCT(--($E52=IDX_CA!$A$2:$A$1041),--(NXT_COMPO!$P52=IDX_CA!$B$2:$B$1041),--(NXT_COMPO!$Q52=IDX_CA!$C$2:$C$1041),ROW(IDX_CA!$F$2:$F$1041))),""))</f>
        <v>100</v>
      </c>
      <c r="J52" s="62">
        <f>IF($D52&lt;=$B$1-$B$2,IF(INDEX($AA$2:$AA$1048576,MATCH($D52,$AB$2:$AB$1048576,0))="MODIFY",INDEX(IDX_CA!$G$1:$G$1041,SUMPRODUCT(--($E52=IDX_CA!$A$2:$A$1041),--(NXT_COMPO!$P52=IDX_CA!$B$2:$B$1041),--(NXT_COMPO!$Q52=IDX_CA!$C$2:$C$1041),ROW(IDX_CA!$G$2:$G$1041))),INDEX(IDX_COMPOSITION!$F$1:$F$441,SUMPRODUCT(--($E52=IDX_COMPOSITION!$A$2:$A$441),--(NXT_COMPO!$P52=IDX_COMPOSITION!$R$2:$R$441),--(NXT_COMPO!$B$5=IDX_COMPOSITION!$L$2:$L$441),ROW(IDX_COMPOSITION!$F$2:$F$441)))),IF($D52&lt;=$B$4,INDEX(IDX_CA!$G$1:$G$1041,SUMPRODUCT(--($E52=IDX_CA!$A$2:$A$1041),--(NXT_COMPO!$P52=IDX_CA!$B$2:$B$1041),--(NXT_COMPO!$Q52=IDX_CA!$C$2:$C$1041),ROW(IDX_CA!$G$2:$G$1041))),""))</f>
        <v>2900</v>
      </c>
      <c r="K52" s="63" t="str">
        <f>IF($D52&lt;&gt;"",VLOOKUP($E52,STK_REF!$A$2:$J$1048576,7,0),"")</f>
        <v>VND</v>
      </c>
      <c r="L52" s="5">
        <f>IF($D52&lt;&gt;"",VLOOKUP($E52,STK_REF!$A$2:$J$1048576,8,0),"")</f>
        <v>1</v>
      </c>
      <c r="M52" s="8">
        <f>IF($D52&lt;&gt;"",IF($K52=$U52,1,IF(ISNA(VLOOKUP($K52&amp;$U52,CUR_RATES!$A$2:$F$521,4,0)),"",VLOOKUP($K52&amp;$U52,CUR_RATES!$A$2:$F$521,4,0))),"")</f>
        <v>1</v>
      </c>
      <c r="N52" s="61">
        <f t="shared" si="5"/>
        <v>2900</v>
      </c>
      <c r="O52" s="68">
        <f t="shared" si="6"/>
        <v>608246623500</v>
      </c>
      <c r="P52" s="5" t="str">
        <f t="shared" si="10"/>
        <v>VNXCOPRVND</v>
      </c>
      <c r="Q52" s="75">
        <f t="shared" si="7"/>
        <v>41166</v>
      </c>
      <c r="R52" s="68" t="str">
        <f t="shared" si="8"/>
        <v/>
      </c>
      <c r="S52" s="61" t="str">
        <f t="shared" si="9"/>
        <v/>
      </c>
      <c r="T52" s="62" t="str">
        <f>IF(D52&lt;&gt;"",IF(SUMPRODUCT(--($E52=STK_DIV!$A$2:$A$5),--(NXT_COMPO!$Q52=STK_DIV!$E$2:$E$5),ROW(STK_DIV!$D$2:$D$5))=0,"",INDEX(STK_DIV!$D$1:$D$5,SUMPRODUCT(--($E52=STK_DIV!$A$2:$A$5),--(NXT_COMPO!$Q52=STK_DIV!$E$2:$E$5),ROW(STK_DIV!$D$2:$D$5)))),"")</f>
        <v/>
      </c>
      <c r="U52" s="54" t="str">
        <f>IF($D52&lt;&gt;"",VLOOKUP($P52,IDX_REF!$2:$1048576,4,0),"")</f>
        <v>VND</v>
      </c>
      <c r="W52" s="52">
        <f t="shared" si="11"/>
        <v>51</v>
      </c>
      <c r="X52" s="5" t="str">
        <f>IF(ROW(X52)-ROW($X$1)&lt;=$B$1,INDEX(IDX_COMPO!A:A,ROW(IDX_COMPO!A52)),"")</f>
        <v>PTL</v>
      </c>
      <c r="Y52" s="75">
        <f t="shared" si="12"/>
        <v>41166</v>
      </c>
      <c r="Z52" s="54" t="str">
        <f>IF(ROW(Z52)-ROW($Y$1)&lt;=$B$1,INDEX(IDX_COMPO!F:F,ROW(IDX_COMPO!R52)),"")</f>
        <v>VNXCOPRVND</v>
      </c>
      <c r="AA52" s="2" t="str">
        <f t="array" ref="AA52">IF(X52&lt;&gt;"",IF(SUMPRODUCT(--(X52=IDX_CA!$A$2:$A$1041),--(NXT_COMPO!Y52=IDX_CA!$C$2:$C$1041),--(Z52=IDX_CA!$B$2:$B$1041))&gt;0,IF(INDEX(IDX_CA!$I:$I,SUMPRODUCT(--(X52=IDX_CA!$A$2:$A$1041),--(NXT_COMPO!Y52=IDX_CA!$C$2:$C$1041),--(Z52=IDX_CA!$B$2:$B$1041),ROW(IDX_CA!$I$2:$I$1041)))=1,"YES","MODIFY"),""),"")</f>
        <v/>
      </c>
      <c r="AB52" s="5">
        <f>IF(X52&lt;&gt;"",IF(AA52="YES","",COUNTIF($AA$2:AA52,"&lt;&gt;YES")),"")</f>
        <v>51</v>
      </c>
      <c r="AC52" s="2"/>
      <c r="AH52" s="2" t="str">
        <f t="array" ref="AH52">IF(ISERROR(SMALL(IF(IDX_CA!$H$1:$H$1041=1,ROW(IDX_CA!$H$1:$H$1041)),ROW(AH52)-ROW($AH$1))),"",IF(INDEX(IDX_CA!$C:$C,SMALL(IF(IDX_CA!$H$1:$H$1041=1,ROW(IDX_CA!$H$1:$H$1041)),ROW(AH52)-ROW($AH$1)))=$B$6,"YES",""))</f>
        <v/>
      </c>
      <c r="AI52" s="5" t="str">
        <f>IF(AD52&lt;&gt;"",IF(AH52="YES",COUNTIF($AH$2:AH52,"YES"),""),"")</f>
        <v/>
      </c>
    </row>
    <row r="53" spans="4:35" x14ac:dyDescent="0.2">
      <c r="D53" s="52">
        <f t="shared" si="0"/>
        <v>52</v>
      </c>
      <c r="E53" s="5" t="str">
        <f t="shared" si="4"/>
        <v>PVC</v>
      </c>
      <c r="F53" s="5" t="str">
        <f>IF($D53&lt;&gt;"",VLOOKUP($E53,STK_REF!$A$2:$J$1048576,2,0),"")</f>
        <v>Drilling Mud Corp</v>
      </c>
      <c r="G53" s="68">
        <f>IF($D53&lt;=$B$1-$B$2,IF(INDEX($AA$2:$AA$1048576,MATCH($D53,$AB$2:$AB$1048576,0))="MODIFY",INDEX(IDX_CA!$D$1:$D$1041,SUMPRODUCT(--($E53=IDX_CA!$A$2:$A$1041),--(NXT_COMPO!$P53=IDX_CA!$B$2:$B$1041),--(NXT_COMPO!$Q53=IDX_CA!$C$2:$C$1041),ROW(IDX_CA!$D$2:$D$1041))),INDEX(IDX_COMPO!$C$1:$C$12000,SUMPRODUCT(--($E53=IDX_COMPO!$A$2:$A$1200),--(NXT_COMPO!$P53=IDX_COMPO!$F$2:$F$1200),--(NXT_COMPO!$B$5=IDX_COMPO!$G$2:$G$1200),ROW(IDX_COMPO!$C$2:$C$1200)))),IF($D53&lt;=$B$4,INDEX(IDX_CA!$D$1:$D$1041,SUMPRODUCT(--($E53=IDX_CA!$A$2:$A$1041),--(NXT_COMPO!$P53=IDX_CA!$B$2:$B$1041),--(NXT_COMPO!$Q53=IDX_CA!$C$2:$C$1041),ROW(IDX_CA!$D$2:$D$1041))),""))</f>
        <v>50000000</v>
      </c>
      <c r="H53" s="55">
        <f>IF($D53&lt;=$B$1-$B$2,IF(INDEX($AA$2:$AA$1048576,MATCH($D53,$AB$2:$AB$1048576,0))="MODIFY",INDEX(IDX_CA!$E$1:$E$1041,SUMPRODUCT(--($E53=IDX_CA!$A$2:$A$1041),--(NXT_COMPO!$P53=IDX_CA!$B$2:$B$1041),--(NXT_COMPO!$Q53=IDX_CA!$C$2:$C$1041),ROW(IDX_CA!$E$2:$E$1041))),INDEX(IDX_COMPO!$D$1:$D$1200,SUMPRODUCT(--($E53=IDX_COMPO!$A$2:$A$1200),--(NXT_COMPO!$P53=IDX_COMPO!$F$2:$F$1200),--(NXT_COMPO!$B$5=IDX_COMPO!$G$2:$G$1200),ROW(IDX_COMPO!$D$2:$D$1200)))),IF($D53&lt;=$B$4,INDEX(IDX_CA!$E$1:$E$1041,SUMPRODUCT(--($E53=IDX_CA!$A$2:$A$1041),--(NXT_COMPO!$P53=IDX_CA!$B$2:$B$1041),--(NXT_COMPO!$Q53=IDX_CA!$C$2:$C$1041),ROW(IDX_CA!$E$2:$E$1041))),""))</f>
        <v>100</v>
      </c>
      <c r="I53" s="55">
        <f>IF($D53&lt;=$B$1-$B$2,IF(INDEX($AA$2:$AA$1048576,MATCH($D53,$AB$2:$AB$1048576,0))="MODIFY",INDEX(IDX_CA!$F$1:$F$1041,SUMPRODUCT(--($E53=IDX_CA!$A$2:$A$1041),--(NXT_COMPO!$P53=IDX_CA!$B$2:$B$1041),--(NXT_COMPO!$Q53=IDX_CA!$C$2:$C$1041),ROW(IDX_CA!$F$2:$F$1041))),INDEX(IDX_COMPO!$E$1:$E$1200,SUMPRODUCT(--($E53=IDX_COMPO!$A$2:$A$1200),--(NXT_COMPO!$P53=IDX_COMPO!$F$2:$F$1200),--(NXT_COMPO!$B$5=IDX_COMPO!$G$2:$G$1200),ROW(IDX_COMPO!$E$2:$E$1200)))),IF($D53&lt;=$B$4,INDEX(IDX_CA!$F$1:$F$1041,SUMPRODUCT(--($E53=IDX_CA!$A$2:$A$1041),--(NXT_COMPO!$P53=IDX_CA!$B$2:$B$1041),--(NXT_COMPO!$Q53=IDX_CA!$C$2:$C$1041),ROW(IDX_CA!$F$2:$F$1041))),""))</f>
        <v>100</v>
      </c>
      <c r="J53" s="62">
        <f>IF($D53&lt;=$B$1-$B$2,IF(INDEX($AA$2:$AA$1048576,MATCH($D53,$AB$2:$AB$1048576,0))="MODIFY",INDEX(IDX_CA!$G$1:$G$1041,SUMPRODUCT(--($E53=IDX_CA!$A$2:$A$1041),--(NXT_COMPO!$P53=IDX_CA!$B$2:$B$1041),--(NXT_COMPO!$Q53=IDX_CA!$C$2:$C$1041),ROW(IDX_CA!$G$2:$G$1041))),INDEX(IDX_COMPOSITION!$F$1:$F$441,SUMPRODUCT(--($E53=IDX_COMPOSITION!$A$2:$A$441),--(NXT_COMPO!$P53=IDX_COMPOSITION!$R$2:$R$441),--(NXT_COMPO!$B$5=IDX_COMPOSITION!$L$2:$L$441),ROW(IDX_COMPOSITION!$F$2:$F$441)))),IF($D53&lt;=$B$4,INDEX(IDX_CA!$G$1:$G$1041,SUMPRODUCT(--($E53=IDX_CA!$A$2:$A$1041),--(NXT_COMPO!$P53=IDX_CA!$B$2:$B$1041),--(NXT_COMPO!$Q53=IDX_CA!$C$2:$C$1041),ROW(IDX_CA!$G$2:$G$1041))),""))</f>
        <v>12700</v>
      </c>
      <c r="K53" s="63" t="str">
        <f>IF($D53&lt;&gt;"",VLOOKUP($E53,STK_REF!$A$2:$J$1048576,7,0),"")</f>
        <v>VND</v>
      </c>
      <c r="L53" s="5">
        <f>IF($D53&lt;&gt;"",VLOOKUP($E53,STK_REF!$A$2:$J$1048576,8,0),"")</f>
        <v>1</v>
      </c>
      <c r="M53" s="8">
        <f>IF($D53&lt;&gt;"",IF($K53=$U53,1,IF(ISNA(VLOOKUP($K53&amp;$U53,CUR_RATES!$A$2:$F$521,4,0)),"",VLOOKUP($K53&amp;$U53,CUR_RATES!$A$2:$F$521,4,0))),"")</f>
        <v>1</v>
      </c>
      <c r="N53" s="61">
        <f t="shared" si="5"/>
        <v>12700</v>
      </c>
      <c r="O53" s="68">
        <f t="shared" si="6"/>
        <v>635000000000</v>
      </c>
      <c r="P53" s="5" t="str">
        <f t="shared" si="10"/>
        <v>VNXCOPRVND</v>
      </c>
      <c r="Q53" s="75">
        <f t="shared" si="7"/>
        <v>41166</v>
      </c>
      <c r="R53" s="68" t="str">
        <f t="shared" si="8"/>
        <v/>
      </c>
      <c r="S53" s="61" t="str">
        <f t="shared" si="9"/>
        <v/>
      </c>
      <c r="T53" s="62" t="str">
        <f>IF(D53&lt;&gt;"",IF(SUMPRODUCT(--($E53=STK_DIV!$A$2:$A$5),--(NXT_COMPO!$Q53=STK_DIV!$E$2:$E$5),ROW(STK_DIV!$D$2:$D$5))=0,"",INDEX(STK_DIV!$D$1:$D$5,SUMPRODUCT(--($E53=STK_DIV!$A$2:$A$5),--(NXT_COMPO!$Q53=STK_DIV!$E$2:$E$5),ROW(STK_DIV!$D$2:$D$5)))),"")</f>
        <v/>
      </c>
      <c r="U53" s="54" t="str">
        <f>IF($D53&lt;&gt;"",VLOOKUP($P53,IDX_REF!$2:$1048576,4,0),"")</f>
        <v>VND</v>
      </c>
      <c r="W53" s="52">
        <f t="shared" si="11"/>
        <v>52</v>
      </c>
      <c r="X53" s="5" t="str">
        <f>IF(ROW(X53)-ROW($X$1)&lt;=$B$1,INDEX(IDX_COMPO!A:A,ROW(IDX_COMPO!A53)),"")</f>
        <v>PVC</v>
      </c>
      <c r="Y53" s="75">
        <f t="shared" si="12"/>
        <v>41166</v>
      </c>
      <c r="Z53" s="54" t="str">
        <f>IF(ROW(Z53)-ROW($Y$1)&lt;=$B$1,INDEX(IDX_COMPO!F:F,ROW(IDX_COMPO!R53)),"")</f>
        <v>VNXCOPRVND</v>
      </c>
      <c r="AA53" s="2" t="str">
        <f t="array" ref="AA53">IF(X53&lt;&gt;"",IF(SUMPRODUCT(--(X53=IDX_CA!$A$2:$A$1041),--(NXT_COMPO!Y53=IDX_CA!$C$2:$C$1041),--(Z53=IDX_CA!$B$2:$B$1041))&gt;0,IF(INDEX(IDX_CA!$I:$I,SUMPRODUCT(--(X53=IDX_CA!$A$2:$A$1041),--(NXT_COMPO!Y53=IDX_CA!$C$2:$C$1041),--(Z53=IDX_CA!$B$2:$B$1041),ROW(IDX_CA!$I$2:$I$1041)))=1,"YES","MODIFY"),""),"")</f>
        <v/>
      </c>
      <c r="AB53" s="5">
        <f>IF(X53&lt;&gt;"",IF(AA53="YES","",COUNTIF($AA$2:AA53,"&lt;&gt;YES")),"")</f>
        <v>52</v>
      </c>
      <c r="AC53" s="2"/>
      <c r="AH53" s="2" t="str">
        <f t="array" ref="AH53">IF(ISERROR(SMALL(IF(IDX_CA!$H$1:$H$1041=1,ROW(IDX_CA!$H$1:$H$1041)),ROW(AH53)-ROW($AH$1))),"",IF(INDEX(IDX_CA!$C:$C,SMALL(IF(IDX_CA!$H$1:$H$1041=1,ROW(IDX_CA!$H$1:$H$1041)),ROW(AH53)-ROW($AH$1)))=$B$6,"YES",""))</f>
        <v/>
      </c>
      <c r="AI53" s="5" t="str">
        <f>IF(AD53&lt;&gt;"",IF(AH53="YES",COUNTIF($AH$2:AH53,"YES"),""),"")</f>
        <v/>
      </c>
    </row>
    <row r="54" spans="4:35" x14ac:dyDescent="0.2">
      <c r="D54" s="52">
        <f t="shared" si="0"/>
        <v>53</v>
      </c>
      <c r="E54" s="5" t="str">
        <f t="shared" si="4"/>
        <v>PVR</v>
      </c>
      <c r="F54" s="5" t="str">
        <f>IF($D54&lt;&gt;"",VLOOKUP($E54,STK_REF!$A$2:$J$1048576,2,0),"")</f>
        <v>VNX Premier Recreation</v>
      </c>
      <c r="G54" s="68">
        <f>IF($D54&lt;=$B$1-$B$2,IF(INDEX($AA$2:$AA$1048576,MATCH($D54,$AB$2:$AB$1048576,0))="MODIFY",INDEX(IDX_CA!$D$1:$D$1041,SUMPRODUCT(--($E54=IDX_CA!$A$2:$A$1041),--(NXT_COMPO!$P54=IDX_CA!$B$2:$B$1041),--(NXT_COMPO!$Q54=IDX_CA!$C$2:$C$1041),ROW(IDX_CA!$D$2:$D$1041))),INDEX(IDX_COMPO!$C$1:$C$12000,SUMPRODUCT(--($E54=IDX_COMPO!$A$2:$A$1200),--(NXT_COMPO!$P54=IDX_COMPO!$F$2:$F$1200),--(NXT_COMPO!$B$5=IDX_COMPO!$G$2:$G$1200),ROW(IDX_COMPO!$C$2:$C$1200)))),IF($D54&lt;=$B$4,INDEX(IDX_CA!$D$1:$D$1041,SUMPRODUCT(--($E54=IDX_CA!$A$2:$A$1041),--(NXT_COMPO!$P54=IDX_CA!$B$2:$B$1041),--(NXT_COMPO!$Q54=IDX_CA!$C$2:$C$1041),ROW(IDX_CA!$D$2:$D$1041))),""))</f>
        <v>35000000</v>
      </c>
      <c r="H54" s="55">
        <f>IF($D54&lt;=$B$1-$B$2,IF(INDEX($AA$2:$AA$1048576,MATCH($D54,$AB$2:$AB$1048576,0))="MODIFY",INDEX(IDX_CA!$E$1:$E$1041,SUMPRODUCT(--($E54=IDX_CA!$A$2:$A$1041),--(NXT_COMPO!$P54=IDX_CA!$B$2:$B$1041),--(NXT_COMPO!$Q54=IDX_CA!$C$2:$C$1041),ROW(IDX_CA!$E$2:$E$1041))),INDEX(IDX_COMPO!$D$1:$D$1200,SUMPRODUCT(--($E54=IDX_COMPO!$A$2:$A$1200),--(NXT_COMPO!$P54=IDX_COMPO!$F$2:$F$1200),--(NXT_COMPO!$B$5=IDX_COMPO!$G$2:$G$1200),ROW(IDX_COMPO!$D$2:$D$1200)))),IF($D54&lt;=$B$4,INDEX(IDX_CA!$E$1:$E$1041,SUMPRODUCT(--($E54=IDX_CA!$A$2:$A$1041),--(NXT_COMPO!$P54=IDX_CA!$B$2:$B$1041),--(NXT_COMPO!$Q54=IDX_CA!$C$2:$C$1041),ROW(IDX_CA!$E$2:$E$1041))),""))</f>
        <v>100</v>
      </c>
      <c r="I54" s="55">
        <f>IF($D54&lt;=$B$1-$B$2,IF(INDEX($AA$2:$AA$1048576,MATCH($D54,$AB$2:$AB$1048576,0))="MODIFY",INDEX(IDX_CA!$F$1:$F$1041,SUMPRODUCT(--($E54=IDX_CA!$A$2:$A$1041),--(NXT_COMPO!$P54=IDX_CA!$B$2:$B$1041),--(NXT_COMPO!$Q54=IDX_CA!$C$2:$C$1041),ROW(IDX_CA!$F$2:$F$1041))),INDEX(IDX_COMPO!$E$1:$E$1200,SUMPRODUCT(--($E54=IDX_COMPO!$A$2:$A$1200),--(NXT_COMPO!$P54=IDX_COMPO!$F$2:$F$1200),--(NXT_COMPO!$B$5=IDX_COMPO!$G$2:$G$1200),ROW(IDX_COMPO!$E$2:$E$1200)))),IF($D54&lt;=$B$4,INDEX(IDX_CA!$F$1:$F$1041,SUMPRODUCT(--($E54=IDX_CA!$A$2:$A$1041),--(NXT_COMPO!$P54=IDX_CA!$B$2:$B$1041),--(NXT_COMPO!$Q54=IDX_CA!$C$2:$C$1041),ROW(IDX_CA!$F$2:$F$1041))),""))</f>
        <v>100</v>
      </c>
      <c r="J54" s="62">
        <f>IF($D54&lt;=$B$1-$B$2,IF(INDEX($AA$2:$AA$1048576,MATCH($D54,$AB$2:$AB$1048576,0))="MODIFY",INDEX(IDX_CA!$G$1:$G$1041,SUMPRODUCT(--($E54=IDX_CA!$A$2:$A$1041),--(NXT_COMPO!$P54=IDX_CA!$B$2:$B$1041),--(NXT_COMPO!$Q54=IDX_CA!$C$2:$C$1041),ROW(IDX_CA!$G$2:$G$1041))),INDEX(IDX_COMPOSITION!$F$1:$F$441,SUMPRODUCT(--($E54=IDX_COMPOSITION!$A$2:$A$441),--(NXT_COMPO!$P54=IDX_COMPOSITION!$R$2:$R$441),--(NXT_COMPO!$B$5=IDX_COMPOSITION!$L$2:$L$441),ROW(IDX_COMPOSITION!$F$2:$F$441)))),IF($D54&lt;=$B$4,INDEX(IDX_CA!$G$1:$G$1041,SUMPRODUCT(--($E54=IDX_CA!$A$2:$A$1041),--(NXT_COMPO!$P54=IDX_CA!$B$2:$B$1041),--(NXT_COMPO!$Q54=IDX_CA!$C$2:$C$1041),ROW(IDX_CA!$G$2:$G$1041))),""))</f>
        <v>3600</v>
      </c>
      <c r="K54" s="63" t="str">
        <f>IF($D54&lt;&gt;"",VLOOKUP($E54,STK_REF!$A$2:$J$1048576,7,0),"")</f>
        <v>VND</v>
      </c>
      <c r="L54" s="5">
        <f>IF($D54&lt;&gt;"",VLOOKUP($E54,STK_REF!$A$2:$J$1048576,8,0),"")</f>
        <v>1</v>
      </c>
      <c r="M54" s="8">
        <f>IF($D54&lt;&gt;"",IF($K54=$U54,1,IF(ISNA(VLOOKUP($K54&amp;$U54,CUR_RATES!$A$2:$F$521,4,0)),"",VLOOKUP($K54&amp;$U54,CUR_RATES!$A$2:$F$521,4,0))),"")</f>
        <v>1</v>
      </c>
      <c r="N54" s="61">
        <f t="shared" si="5"/>
        <v>3600</v>
      </c>
      <c r="O54" s="68">
        <f t="shared" si="6"/>
        <v>126000000000</v>
      </c>
      <c r="P54" s="5" t="str">
        <f t="shared" si="10"/>
        <v>VNXCOPRVND</v>
      </c>
      <c r="Q54" s="75">
        <f t="shared" si="7"/>
        <v>41166</v>
      </c>
      <c r="R54" s="68" t="str">
        <f t="shared" si="8"/>
        <v/>
      </c>
      <c r="S54" s="61" t="str">
        <f t="shared" si="9"/>
        <v/>
      </c>
      <c r="T54" s="62" t="str">
        <f>IF(D54&lt;&gt;"",IF(SUMPRODUCT(--($E54=STK_DIV!$A$2:$A$5),--(NXT_COMPO!$Q54=STK_DIV!$E$2:$E$5),ROW(STK_DIV!$D$2:$D$5))=0,"",INDEX(STK_DIV!$D$1:$D$5,SUMPRODUCT(--($E54=STK_DIV!$A$2:$A$5),--(NXT_COMPO!$Q54=STK_DIV!$E$2:$E$5),ROW(STK_DIV!$D$2:$D$5)))),"")</f>
        <v/>
      </c>
      <c r="U54" s="54" t="str">
        <f>IF($D54&lt;&gt;"",VLOOKUP($P54,IDX_REF!$2:$1048576,4,0),"")</f>
        <v>VND</v>
      </c>
      <c r="W54" s="52">
        <f t="shared" si="11"/>
        <v>53</v>
      </c>
      <c r="X54" s="5" t="str">
        <f>IF(ROW(X54)-ROW($X$1)&lt;=$B$1,INDEX(IDX_COMPO!A:A,ROW(IDX_COMPO!A54)),"")</f>
        <v>PVR</v>
      </c>
      <c r="Y54" s="75">
        <f t="shared" si="12"/>
        <v>41166</v>
      </c>
      <c r="Z54" s="54" t="str">
        <f>IF(ROW(Z54)-ROW($Y$1)&lt;=$B$1,INDEX(IDX_COMPO!F:F,ROW(IDX_COMPO!R54)),"")</f>
        <v>VNXCOPRVND</v>
      </c>
      <c r="AA54" s="2" t="str">
        <f t="array" ref="AA54">IF(X54&lt;&gt;"",IF(SUMPRODUCT(--(X54=IDX_CA!$A$2:$A$1041),--(NXT_COMPO!Y54=IDX_CA!$C$2:$C$1041),--(Z54=IDX_CA!$B$2:$B$1041))&gt;0,IF(INDEX(IDX_CA!$I:$I,SUMPRODUCT(--(X54=IDX_CA!$A$2:$A$1041),--(NXT_COMPO!Y54=IDX_CA!$C$2:$C$1041),--(Z54=IDX_CA!$B$2:$B$1041),ROW(IDX_CA!$I$2:$I$1041)))=1,"YES","MODIFY"),""),"")</f>
        <v/>
      </c>
      <c r="AB54" s="5">
        <f>IF(X54&lt;&gt;"",IF(AA54="YES","",COUNTIF($AA$2:AA54,"&lt;&gt;YES")),"")</f>
        <v>53</v>
      </c>
      <c r="AC54" s="2"/>
      <c r="AH54" s="2" t="str">
        <f t="array" ref="AH54">IF(ISERROR(SMALL(IF(IDX_CA!$H$1:$H$1041=1,ROW(IDX_CA!$H$1:$H$1041)),ROW(AH54)-ROW($AH$1))),"",IF(INDEX(IDX_CA!$C:$C,SMALL(IF(IDX_CA!$H$1:$H$1041=1,ROW(IDX_CA!$H$1:$H$1041)),ROW(AH54)-ROW($AH$1)))=$B$6,"YES",""))</f>
        <v/>
      </c>
      <c r="AI54" s="5" t="str">
        <f>IF(AD54&lt;&gt;"",IF(AH54="YES",COUNTIF($AH$2:AH54,"YES"),""),"")</f>
        <v/>
      </c>
    </row>
    <row r="55" spans="4:35" x14ac:dyDescent="0.2">
      <c r="D55" s="52">
        <f t="shared" si="0"/>
        <v>54</v>
      </c>
      <c r="E55" s="5" t="str">
        <f t="shared" si="4"/>
        <v>PVG</v>
      </c>
      <c r="F55" s="5" t="str">
        <f>IF($D55&lt;&gt;"",VLOOKUP($E55,STK_REF!$A$2:$J$1048576,2,0),"")</f>
        <v>VNX Northern Gas Joint Stock Co</v>
      </c>
      <c r="G55" s="68">
        <f>IF($D55&lt;=$B$1-$B$2,IF(INDEX($AA$2:$AA$1048576,MATCH($D55,$AB$2:$AB$1048576,0))="MODIFY",INDEX(IDX_CA!$D$1:$D$1041,SUMPRODUCT(--($E55=IDX_CA!$A$2:$A$1041),--(NXT_COMPO!$P55=IDX_CA!$B$2:$B$1041),--(NXT_COMPO!$Q55=IDX_CA!$C$2:$C$1041),ROW(IDX_CA!$D$2:$D$1041))),INDEX(IDX_COMPO!$C$1:$C$12000,SUMPRODUCT(--($E55=IDX_COMPO!$A$2:$A$1200),--(NXT_COMPO!$P55=IDX_COMPO!$F$2:$F$1200),--(NXT_COMPO!$B$5=IDX_COMPO!$G$2:$G$1200),ROW(IDX_COMPO!$C$2:$C$1200)))),IF($D55&lt;=$B$4,INDEX(IDX_CA!$D$1:$D$1041,SUMPRODUCT(--($E55=IDX_CA!$A$2:$A$1041),--(NXT_COMPO!$P55=IDX_CA!$B$2:$B$1041),--(NXT_COMPO!$Q55=IDX_CA!$C$2:$C$1041),ROW(IDX_CA!$D$2:$D$1041))),""))</f>
        <v>2000000</v>
      </c>
      <c r="H55" s="55">
        <f>IF($D55&lt;=$B$1-$B$2,IF(INDEX($AA$2:$AA$1048576,MATCH($D55,$AB$2:$AB$1048576,0))="MODIFY",INDEX(IDX_CA!$E$1:$E$1041,SUMPRODUCT(--($E55=IDX_CA!$A$2:$A$1041),--(NXT_COMPO!$P55=IDX_CA!$B$2:$B$1041),--(NXT_COMPO!$Q55=IDX_CA!$C$2:$C$1041),ROW(IDX_CA!$E$2:$E$1041))),INDEX(IDX_COMPO!$D$1:$D$1200,SUMPRODUCT(--($E55=IDX_COMPO!$A$2:$A$1200),--(NXT_COMPO!$P55=IDX_COMPO!$F$2:$F$1200),--(NXT_COMPO!$B$5=IDX_COMPO!$G$2:$G$1200),ROW(IDX_COMPO!$D$2:$D$1200)))),IF($D55&lt;=$B$4,INDEX(IDX_CA!$E$1:$E$1041,SUMPRODUCT(--($E55=IDX_CA!$A$2:$A$1041),--(NXT_COMPO!$P55=IDX_CA!$B$2:$B$1041),--(NXT_COMPO!$Q55=IDX_CA!$C$2:$C$1041),ROW(IDX_CA!$E$2:$E$1041))),""))</f>
        <v>100</v>
      </c>
      <c r="I55" s="55">
        <f>IF($D55&lt;=$B$1-$B$2,IF(INDEX($AA$2:$AA$1048576,MATCH($D55,$AB$2:$AB$1048576,0))="MODIFY",INDEX(IDX_CA!$F$1:$F$1041,SUMPRODUCT(--($E55=IDX_CA!$A$2:$A$1041),--(NXT_COMPO!$P55=IDX_CA!$B$2:$B$1041),--(NXT_COMPO!$Q55=IDX_CA!$C$2:$C$1041),ROW(IDX_CA!$F$2:$F$1041))),INDEX(IDX_COMPO!$E$1:$E$1200,SUMPRODUCT(--($E55=IDX_COMPO!$A$2:$A$1200),--(NXT_COMPO!$P55=IDX_COMPO!$F$2:$F$1200),--(NXT_COMPO!$B$5=IDX_COMPO!$G$2:$G$1200),ROW(IDX_COMPO!$E$2:$E$1200)))),IF($D55&lt;=$B$4,INDEX(IDX_CA!$F$1:$F$1041,SUMPRODUCT(--($E55=IDX_CA!$A$2:$A$1041),--(NXT_COMPO!$P55=IDX_CA!$B$2:$B$1041),--(NXT_COMPO!$Q55=IDX_CA!$C$2:$C$1041),ROW(IDX_CA!$F$2:$F$1041))),""))</f>
        <v>100</v>
      </c>
      <c r="J55" s="62">
        <f>IF($D55&lt;=$B$1-$B$2,IF(INDEX($AA$2:$AA$1048576,MATCH($D55,$AB$2:$AB$1048576,0))="MODIFY",INDEX(IDX_CA!$G$1:$G$1041,SUMPRODUCT(--($E55=IDX_CA!$A$2:$A$1041),--(NXT_COMPO!$P55=IDX_CA!$B$2:$B$1041),--(NXT_COMPO!$Q55=IDX_CA!$C$2:$C$1041),ROW(IDX_CA!$G$2:$G$1041))),INDEX(IDX_COMPOSITION!$F$1:$F$441,SUMPRODUCT(--($E55=IDX_COMPOSITION!$A$2:$A$441),--(NXT_COMPO!$P55=IDX_COMPOSITION!$R$2:$R$441),--(NXT_COMPO!$B$5=IDX_COMPOSITION!$L$2:$L$441),ROW(IDX_COMPOSITION!$F$2:$F$441)))),IF($D55&lt;=$B$4,INDEX(IDX_CA!$G$1:$G$1041,SUMPRODUCT(--($E55=IDX_CA!$A$2:$A$1041),--(NXT_COMPO!$P55=IDX_CA!$B$2:$B$1041),--(NXT_COMPO!$Q55=IDX_CA!$C$2:$C$1041),ROW(IDX_CA!$G$2:$G$1041))),""))</f>
        <v>9300</v>
      </c>
      <c r="K55" s="63" t="str">
        <f>IF($D55&lt;&gt;"",VLOOKUP($E55,STK_REF!$A$2:$J$1048576,7,0),"")</f>
        <v>VND</v>
      </c>
      <c r="L55" s="5">
        <f>IF($D55&lt;&gt;"",VLOOKUP($E55,STK_REF!$A$2:$J$1048576,8,0),"")</f>
        <v>1</v>
      </c>
      <c r="M55" s="8">
        <f>IF($D55&lt;&gt;"",IF($K55=$U55,1,IF(ISNA(VLOOKUP($K55&amp;$U55,CUR_RATES!$A$2:$F$521,4,0)),"",VLOOKUP($K55&amp;$U55,CUR_RATES!$A$2:$F$521,4,0))),"")</f>
        <v>1</v>
      </c>
      <c r="N55" s="61">
        <f t="shared" si="5"/>
        <v>9300</v>
      </c>
      <c r="O55" s="68">
        <f t="shared" si="6"/>
        <v>18600000000</v>
      </c>
      <c r="P55" s="5" t="str">
        <f t="shared" si="10"/>
        <v>VNXCOPRVND</v>
      </c>
      <c r="Q55" s="75">
        <f t="shared" si="7"/>
        <v>41166</v>
      </c>
      <c r="R55" s="68" t="str">
        <f t="shared" si="8"/>
        <v/>
      </c>
      <c r="S55" s="61" t="str">
        <f t="shared" si="9"/>
        <v/>
      </c>
      <c r="T55" s="62" t="str">
        <f>IF(D55&lt;&gt;"",IF(SUMPRODUCT(--($E55=STK_DIV!$A$2:$A$5),--(NXT_COMPO!$Q55=STK_DIV!$E$2:$E$5),ROW(STK_DIV!$D$2:$D$5))=0,"",INDEX(STK_DIV!$D$1:$D$5,SUMPRODUCT(--($E55=STK_DIV!$A$2:$A$5),--(NXT_COMPO!$Q55=STK_DIV!$E$2:$E$5),ROW(STK_DIV!$D$2:$D$5)))),"")</f>
        <v/>
      </c>
      <c r="U55" s="54" t="str">
        <f>IF($D55&lt;&gt;"",VLOOKUP($P55,IDX_REF!$2:$1048576,4,0),"")</f>
        <v>VND</v>
      </c>
      <c r="W55" s="52">
        <f t="shared" si="11"/>
        <v>54</v>
      </c>
      <c r="X55" s="5" t="str">
        <f>IF(ROW(X55)-ROW($X$1)&lt;=$B$1,INDEX(IDX_COMPO!A:A,ROW(IDX_COMPO!A55)),"")</f>
        <v>PVG</v>
      </c>
      <c r="Y55" s="75">
        <f t="shared" si="12"/>
        <v>41166</v>
      </c>
      <c r="Z55" s="54" t="str">
        <f>IF(ROW(Z55)-ROW($Y$1)&lt;=$B$1,INDEX(IDX_COMPO!F:F,ROW(IDX_COMPO!R55)),"")</f>
        <v>VNXCOPRVND</v>
      </c>
      <c r="AA55" s="2" t="str">
        <f t="array" ref="AA55">IF(X55&lt;&gt;"",IF(SUMPRODUCT(--(X55=IDX_CA!$A$2:$A$1041),--(NXT_COMPO!Y55=IDX_CA!$C$2:$C$1041),--(Z55=IDX_CA!$B$2:$B$1041))&gt;0,IF(INDEX(IDX_CA!$I:$I,SUMPRODUCT(--(X55=IDX_CA!$A$2:$A$1041),--(NXT_COMPO!Y55=IDX_CA!$C$2:$C$1041),--(Z55=IDX_CA!$B$2:$B$1041),ROW(IDX_CA!$I$2:$I$1041)))=1,"YES","MODIFY"),""),"")</f>
        <v/>
      </c>
      <c r="AB55" s="5">
        <f>IF(X55&lt;&gt;"",IF(AA55="YES","",COUNTIF($AA$2:AA55,"&lt;&gt;YES")),"")</f>
        <v>54</v>
      </c>
      <c r="AC55" s="2"/>
    </row>
    <row r="56" spans="4:35" x14ac:dyDescent="0.2">
      <c r="D56" s="52">
        <f t="shared" si="0"/>
        <v>55</v>
      </c>
      <c r="E56" s="5" t="str">
        <f t="shared" si="4"/>
        <v>PXS</v>
      </c>
      <c r="F56" s="5" t="str">
        <f>IF($D56&lt;&gt;"",VLOOKUP($E56,STK_REF!$A$2:$J$1048576,2,0),"")</f>
        <v>Petroleum Equipment Assembly and Metal Structure J</v>
      </c>
      <c r="G56" s="68">
        <f>IF($D56&lt;=$B$1-$B$2,IF(INDEX($AA$2:$AA$1048576,MATCH($D56,$AB$2:$AB$1048576,0))="MODIFY",INDEX(IDX_CA!$D$1:$D$1041,SUMPRODUCT(--($E56=IDX_CA!$A$2:$A$1041),--(NXT_COMPO!$P56=IDX_CA!$B$2:$B$1041),--(NXT_COMPO!$Q56=IDX_CA!$C$2:$C$1041),ROW(IDX_CA!$D$2:$D$1041))),INDEX(IDX_COMPO!$C$1:$C$12000,SUMPRODUCT(--($E56=IDX_COMPO!$A$2:$A$1200),--(NXT_COMPO!$P56=IDX_COMPO!$F$2:$F$1200),--(NXT_COMPO!$B$5=IDX_COMPO!$G$2:$G$1200),ROW(IDX_COMPO!$C$2:$C$1200)))),IF($D56&lt;=$B$4,INDEX(IDX_CA!$D$1:$D$1041,SUMPRODUCT(--($E56=IDX_CA!$A$2:$A$1041),--(NXT_COMPO!$P56=IDX_CA!$B$2:$B$1041),--(NXT_COMPO!$Q56=IDX_CA!$C$2:$C$1041),ROW(IDX_CA!$D$2:$D$1041))),""))</f>
        <v>59841300</v>
      </c>
      <c r="H56" s="55">
        <f>IF($D56&lt;=$B$1-$B$2,IF(INDEX($AA$2:$AA$1048576,MATCH($D56,$AB$2:$AB$1048576,0))="MODIFY",INDEX(IDX_CA!$E$1:$E$1041,SUMPRODUCT(--($E56=IDX_CA!$A$2:$A$1041),--(NXT_COMPO!$P56=IDX_CA!$B$2:$B$1041),--(NXT_COMPO!$Q56=IDX_CA!$C$2:$C$1041),ROW(IDX_CA!$E$2:$E$1041))),INDEX(IDX_COMPO!$D$1:$D$1200,SUMPRODUCT(--($E56=IDX_COMPO!$A$2:$A$1200),--(NXT_COMPO!$P56=IDX_COMPO!$F$2:$F$1200),--(NXT_COMPO!$B$5=IDX_COMPO!$G$2:$G$1200),ROW(IDX_COMPO!$D$2:$D$1200)))),IF($D56&lt;=$B$4,INDEX(IDX_CA!$E$1:$E$1041,SUMPRODUCT(--($E56=IDX_CA!$A$2:$A$1041),--(NXT_COMPO!$P56=IDX_CA!$B$2:$B$1041),--(NXT_COMPO!$Q56=IDX_CA!$C$2:$C$1041),ROW(IDX_CA!$E$2:$E$1041))),""))</f>
        <v>100</v>
      </c>
      <c r="I56" s="55">
        <f>IF($D56&lt;=$B$1-$B$2,IF(INDEX($AA$2:$AA$1048576,MATCH($D56,$AB$2:$AB$1048576,0))="MODIFY",INDEX(IDX_CA!$F$1:$F$1041,SUMPRODUCT(--($E56=IDX_CA!$A$2:$A$1041),--(NXT_COMPO!$P56=IDX_CA!$B$2:$B$1041),--(NXT_COMPO!$Q56=IDX_CA!$C$2:$C$1041),ROW(IDX_CA!$F$2:$F$1041))),INDEX(IDX_COMPO!$E$1:$E$1200,SUMPRODUCT(--($E56=IDX_COMPO!$A$2:$A$1200),--(NXT_COMPO!$P56=IDX_COMPO!$F$2:$F$1200),--(NXT_COMPO!$B$5=IDX_COMPO!$G$2:$G$1200),ROW(IDX_COMPO!$E$2:$E$1200)))),IF($D56&lt;=$B$4,INDEX(IDX_CA!$F$1:$F$1041,SUMPRODUCT(--($E56=IDX_CA!$A$2:$A$1041),--(NXT_COMPO!$P56=IDX_CA!$B$2:$B$1041),--(NXT_COMPO!$Q56=IDX_CA!$C$2:$C$1041),ROW(IDX_CA!$F$2:$F$1041))),""))</f>
        <v>100</v>
      </c>
      <c r="J56" s="62">
        <f>IF($D56&lt;=$B$1-$B$2,IF(INDEX($AA$2:$AA$1048576,MATCH($D56,$AB$2:$AB$1048576,0))="MODIFY",INDEX(IDX_CA!$G$1:$G$1041,SUMPRODUCT(--($E56=IDX_CA!$A$2:$A$1041),--(NXT_COMPO!$P56=IDX_CA!$B$2:$B$1041),--(NXT_COMPO!$Q56=IDX_CA!$C$2:$C$1041),ROW(IDX_CA!$G$2:$G$1041))),INDEX(IDX_COMPOSITION!$F$1:$F$441,SUMPRODUCT(--($E56=IDX_COMPOSITION!$A$2:$A$441),--(NXT_COMPO!$P56=IDX_COMPOSITION!$R$2:$R$441),--(NXT_COMPO!$B$5=IDX_COMPOSITION!$L$2:$L$441),ROW(IDX_COMPOSITION!$F$2:$F$441)))),IF($D56&lt;=$B$4,INDEX(IDX_CA!$G$1:$G$1041,SUMPRODUCT(--($E56=IDX_CA!$A$2:$A$1041),--(NXT_COMPO!$P56=IDX_CA!$B$2:$B$1041),--(NXT_COMPO!$Q56=IDX_CA!$C$2:$C$1041),ROW(IDX_CA!$G$2:$G$1041))),""))</f>
        <v>9400</v>
      </c>
      <c r="K56" s="63" t="str">
        <f>IF($D56&lt;&gt;"",VLOOKUP($E56,STK_REF!$A$2:$J$1048576,7,0),"")</f>
        <v>VND</v>
      </c>
      <c r="L56" s="5">
        <f>IF($D56&lt;&gt;"",VLOOKUP($E56,STK_REF!$A$2:$J$1048576,8,0),"")</f>
        <v>1</v>
      </c>
      <c r="M56" s="8">
        <f>IF($D56&lt;&gt;"",IF($K56=$U56,1,IF(ISNA(VLOOKUP($K56&amp;$U56,CUR_RATES!$A$2:$F$521,4,0)),"",VLOOKUP($K56&amp;$U56,CUR_RATES!$A$2:$F$521,4,0))),"")</f>
        <v>1</v>
      </c>
      <c r="N56" s="61">
        <f t="shared" si="5"/>
        <v>9400</v>
      </c>
      <c r="O56" s="68">
        <f t="shared" si="6"/>
        <v>562508220000</v>
      </c>
      <c r="P56" s="5" t="str">
        <f t="shared" si="10"/>
        <v>VNXCOPRVND</v>
      </c>
      <c r="Q56" s="75">
        <f t="shared" si="7"/>
        <v>41166</v>
      </c>
      <c r="R56" s="68" t="str">
        <f t="shared" si="8"/>
        <v/>
      </c>
      <c r="S56" s="61" t="str">
        <f t="shared" si="9"/>
        <v/>
      </c>
      <c r="T56" s="62" t="str">
        <f>IF(D56&lt;&gt;"",IF(SUMPRODUCT(--($E56=STK_DIV!$A$2:$A$5),--(NXT_COMPO!$Q56=STK_DIV!$E$2:$E$5),ROW(STK_DIV!$D$2:$D$5))=0,"",INDEX(STK_DIV!$D$1:$D$5,SUMPRODUCT(--($E56=STK_DIV!$A$2:$A$5),--(NXT_COMPO!$Q56=STK_DIV!$E$2:$E$5),ROW(STK_DIV!$D$2:$D$5)))),"")</f>
        <v/>
      </c>
      <c r="U56" s="54" t="str">
        <f>IF($D56&lt;&gt;"",VLOOKUP($P56,IDX_REF!$2:$1048576,4,0),"")</f>
        <v>VND</v>
      </c>
      <c r="W56" s="52">
        <f t="shared" si="11"/>
        <v>55</v>
      </c>
      <c r="X56" s="5" t="str">
        <f>IF(ROW(X56)-ROW($X$1)&lt;=$B$1,INDEX(IDX_COMPO!A:A,ROW(IDX_COMPO!A56)),"")</f>
        <v>PXS</v>
      </c>
      <c r="Y56" s="75">
        <f t="shared" si="12"/>
        <v>41166</v>
      </c>
      <c r="Z56" s="54" t="str">
        <f>IF(ROW(Z56)-ROW($Y$1)&lt;=$B$1,INDEX(IDX_COMPO!F:F,ROW(IDX_COMPO!R56)),"")</f>
        <v>VNXCOPRVND</v>
      </c>
      <c r="AA56" s="2" t="str">
        <f t="array" ref="AA56">IF(X56&lt;&gt;"",IF(SUMPRODUCT(--(X56=IDX_CA!$A$2:$A$1041),--(NXT_COMPO!Y56=IDX_CA!$C$2:$C$1041),--(Z56=IDX_CA!$B$2:$B$1041))&gt;0,IF(INDEX(IDX_CA!$I:$I,SUMPRODUCT(--(X56=IDX_CA!$A$2:$A$1041),--(NXT_COMPO!Y56=IDX_CA!$C$2:$C$1041),--(Z56=IDX_CA!$B$2:$B$1041),ROW(IDX_CA!$I$2:$I$1041)))=1,"YES","MODIFY"),""),"")</f>
        <v/>
      </c>
      <c r="AB56" s="5">
        <f>IF(X56&lt;&gt;"",IF(AA56="YES","",COUNTIF($AA$2:AA56,"&lt;&gt;YES")),"")</f>
        <v>55</v>
      </c>
      <c r="AC56" s="2"/>
    </row>
    <row r="57" spans="4:35" x14ac:dyDescent="0.2">
      <c r="D57" s="52">
        <f t="shared" si="0"/>
        <v>56</v>
      </c>
      <c r="E57" s="5" t="str">
        <f t="shared" si="4"/>
        <v>PSI</v>
      </c>
      <c r="F57" s="5" t="str">
        <f>IF($D57&lt;&gt;"",VLOOKUP($E57,STK_REF!$A$2:$J$1048576,2,0),"")</f>
        <v>VNX Securities Incorporated</v>
      </c>
      <c r="G57" s="68">
        <f>IF($D57&lt;=$B$1-$B$2,IF(INDEX($AA$2:$AA$1048576,MATCH($D57,$AB$2:$AB$1048576,0))="MODIFY",INDEX(IDX_CA!$D$1:$D$1041,SUMPRODUCT(--($E57=IDX_CA!$A$2:$A$1041),--(NXT_COMPO!$P57=IDX_CA!$B$2:$B$1041),--(NXT_COMPO!$Q57=IDX_CA!$C$2:$C$1041),ROW(IDX_CA!$D$2:$D$1041))),INDEX(IDX_COMPO!$C$1:$C$12000,SUMPRODUCT(--($E57=IDX_COMPO!$A$2:$A$1200),--(NXT_COMPO!$P57=IDX_COMPO!$F$2:$F$1200),--(NXT_COMPO!$B$5=IDX_COMPO!$G$2:$G$1200),ROW(IDX_COMPO!$C$2:$C$1200)))),IF($D57&lt;=$B$4,INDEX(IDX_CA!$D$1:$D$1041,SUMPRODUCT(--($E57=IDX_CA!$A$2:$A$1041),--(NXT_COMPO!$P57=IDX_CA!$B$2:$B$1041),--(NXT_COMPO!$Q57=IDX_CA!$C$2:$C$1041),ROW(IDX_CA!$D$2:$D$1041))),""))</f>
        <v>157531264</v>
      </c>
      <c r="H57" s="55">
        <f>IF($D57&lt;=$B$1-$B$2,IF(INDEX($AA$2:$AA$1048576,MATCH($D57,$AB$2:$AB$1048576,0))="MODIFY",INDEX(IDX_CA!$E$1:$E$1041,SUMPRODUCT(--($E57=IDX_CA!$A$2:$A$1041),--(NXT_COMPO!$P57=IDX_CA!$B$2:$B$1041),--(NXT_COMPO!$Q57=IDX_CA!$C$2:$C$1041),ROW(IDX_CA!$E$2:$E$1041))),INDEX(IDX_COMPO!$D$1:$D$1200,SUMPRODUCT(--($E57=IDX_COMPO!$A$2:$A$1200),--(NXT_COMPO!$P57=IDX_COMPO!$F$2:$F$1200),--(NXT_COMPO!$B$5=IDX_COMPO!$G$2:$G$1200),ROW(IDX_COMPO!$D$2:$D$1200)))),IF($D57&lt;=$B$4,INDEX(IDX_CA!$E$1:$E$1041,SUMPRODUCT(--($E57=IDX_CA!$A$2:$A$1041),--(NXT_COMPO!$P57=IDX_CA!$B$2:$B$1041),--(NXT_COMPO!$Q57=IDX_CA!$C$2:$C$1041),ROW(IDX_CA!$E$2:$E$1041))),""))</f>
        <v>100</v>
      </c>
      <c r="I57" s="55">
        <f>IF($D57&lt;=$B$1-$B$2,IF(INDEX($AA$2:$AA$1048576,MATCH($D57,$AB$2:$AB$1048576,0))="MODIFY",INDEX(IDX_CA!$F$1:$F$1041,SUMPRODUCT(--($E57=IDX_CA!$A$2:$A$1041),--(NXT_COMPO!$P57=IDX_CA!$B$2:$B$1041),--(NXT_COMPO!$Q57=IDX_CA!$C$2:$C$1041),ROW(IDX_CA!$F$2:$F$1041))),INDEX(IDX_COMPO!$E$1:$E$1200,SUMPRODUCT(--($E57=IDX_COMPO!$A$2:$A$1200),--(NXT_COMPO!$P57=IDX_COMPO!$F$2:$F$1200),--(NXT_COMPO!$B$5=IDX_COMPO!$G$2:$G$1200),ROW(IDX_COMPO!$E$2:$E$1200)))),IF($D57&lt;=$B$4,INDEX(IDX_CA!$F$1:$F$1041,SUMPRODUCT(--($E57=IDX_CA!$A$2:$A$1041),--(NXT_COMPO!$P57=IDX_CA!$B$2:$B$1041),--(NXT_COMPO!$Q57=IDX_CA!$C$2:$C$1041),ROW(IDX_CA!$F$2:$F$1041))),""))</f>
        <v>100</v>
      </c>
      <c r="J57" s="62">
        <f>IF($D57&lt;=$B$1-$B$2,IF(INDEX($AA$2:$AA$1048576,MATCH($D57,$AB$2:$AB$1048576,0))="MODIFY",INDEX(IDX_CA!$G$1:$G$1041,SUMPRODUCT(--($E57=IDX_CA!$A$2:$A$1041),--(NXT_COMPO!$P57=IDX_CA!$B$2:$B$1041),--(NXT_COMPO!$Q57=IDX_CA!$C$2:$C$1041),ROW(IDX_CA!$G$2:$G$1041))),INDEX(IDX_COMPOSITION!$F$1:$F$441,SUMPRODUCT(--($E57=IDX_COMPOSITION!$A$2:$A$441),--(NXT_COMPO!$P57=IDX_COMPOSITION!$R$2:$R$441),--(NXT_COMPO!$B$5=IDX_COMPOSITION!$L$2:$L$441),ROW(IDX_COMPOSITION!$F$2:$F$441)))),IF($D57&lt;=$B$4,INDEX(IDX_CA!$G$1:$G$1041,SUMPRODUCT(--($E57=IDX_CA!$A$2:$A$1041),--(NXT_COMPO!$P57=IDX_CA!$B$2:$B$1041),--(NXT_COMPO!$Q57=IDX_CA!$C$2:$C$1041),ROW(IDX_CA!$G$2:$G$1041))),""))</f>
        <v>3600</v>
      </c>
      <c r="K57" s="63" t="str">
        <f>IF($D57&lt;&gt;"",VLOOKUP($E57,STK_REF!$A$2:$J$1048576,7,0),"")</f>
        <v>VND</v>
      </c>
      <c r="L57" s="5">
        <f>IF($D57&lt;&gt;"",VLOOKUP($E57,STK_REF!$A$2:$J$1048576,8,0),"")</f>
        <v>1</v>
      </c>
      <c r="M57" s="8">
        <f>IF($D57&lt;&gt;"",IF($K57=$U57,1,IF(ISNA(VLOOKUP($K57&amp;$U57,CUR_RATES!$A$2:$F$521,4,0)),"",VLOOKUP($K57&amp;$U57,CUR_RATES!$A$2:$F$521,4,0))),"")</f>
        <v>1</v>
      </c>
      <c r="N57" s="61">
        <f t="shared" si="5"/>
        <v>3600</v>
      </c>
      <c r="O57" s="68">
        <f t="shared" si="6"/>
        <v>567112550400</v>
      </c>
      <c r="P57" s="5" t="str">
        <f t="shared" si="10"/>
        <v>VNXCOPRVND</v>
      </c>
      <c r="Q57" s="75">
        <f t="shared" si="7"/>
        <v>41166</v>
      </c>
      <c r="R57" s="68" t="str">
        <f t="shared" si="8"/>
        <v/>
      </c>
      <c r="S57" s="61" t="str">
        <f t="shared" si="9"/>
        <v/>
      </c>
      <c r="T57" s="62" t="str">
        <f>IF(D57&lt;&gt;"",IF(SUMPRODUCT(--($E57=STK_DIV!$A$2:$A$5),--(NXT_COMPO!$Q57=STK_DIV!$E$2:$E$5),ROW(STK_DIV!$D$2:$D$5))=0,"",INDEX(STK_DIV!$D$1:$D$5,SUMPRODUCT(--($E57=STK_DIV!$A$2:$A$5),--(NXT_COMPO!$Q57=STK_DIV!$E$2:$E$5),ROW(STK_DIV!$D$2:$D$5)))),"")</f>
        <v/>
      </c>
      <c r="U57" s="54" t="str">
        <f>IF($D57&lt;&gt;"",VLOOKUP($P57,IDX_REF!$2:$1048576,4,0),"")</f>
        <v>VND</v>
      </c>
      <c r="W57" s="52">
        <f t="shared" si="11"/>
        <v>56</v>
      </c>
      <c r="X57" s="5" t="str">
        <f>IF(ROW(X57)-ROW($X$1)&lt;=$B$1,INDEX(IDX_COMPO!A:A,ROW(IDX_COMPO!A57)),"")</f>
        <v>PSI</v>
      </c>
      <c r="Y57" s="75">
        <f t="shared" si="12"/>
        <v>41166</v>
      </c>
      <c r="Z57" s="54" t="str">
        <f>IF(ROW(Z57)-ROW($Y$1)&lt;=$B$1,INDEX(IDX_COMPO!F:F,ROW(IDX_COMPO!R57)),"")</f>
        <v>VNXCOPRVND</v>
      </c>
      <c r="AA57" s="2" t="str">
        <f t="array" ref="AA57">IF(X57&lt;&gt;"",IF(SUMPRODUCT(--(X57=IDX_CA!$A$2:$A$1041),--(NXT_COMPO!Y57=IDX_CA!$C$2:$C$1041),--(Z57=IDX_CA!$B$2:$B$1041))&gt;0,IF(INDEX(IDX_CA!$I:$I,SUMPRODUCT(--(X57=IDX_CA!$A$2:$A$1041),--(NXT_COMPO!Y57=IDX_CA!$C$2:$C$1041),--(Z57=IDX_CA!$B$2:$B$1041),ROW(IDX_CA!$I$2:$I$1041)))=1,"YES","MODIFY"),""),"")</f>
        <v/>
      </c>
      <c r="AB57" s="5">
        <f>IF(X57&lt;&gt;"",IF(AA57="YES","",COUNTIF($AA$2:AA57,"&lt;&gt;YES")),"")</f>
        <v>56</v>
      </c>
      <c r="AC57" s="2"/>
    </row>
    <row r="58" spans="4:35" x14ac:dyDescent="0.2">
      <c r="D58" s="52">
        <f t="shared" si="0"/>
        <v>57</v>
      </c>
      <c r="E58" s="5" t="str">
        <f t="shared" si="4"/>
        <v>PFL</v>
      </c>
      <c r="F58" s="5" t="str">
        <f>IF($D58&lt;&gt;"",VLOOKUP($E58,STK_REF!$A$2:$J$1048576,2,0),"")</f>
        <v>Petro Dong Do Joint Stock Company</v>
      </c>
      <c r="G58" s="68">
        <f>IF($D58&lt;=$B$1-$B$2,IF(INDEX($AA$2:$AA$1048576,MATCH($D58,$AB$2:$AB$1048576,0))="MODIFY",INDEX(IDX_CA!$D$1:$D$1041,SUMPRODUCT(--($E58=IDX_CA!$A$2:$A$1041),--(NXT_COMPO!$P58=IDX_CA!$B$2:$B$1041),--(NXT_COMPO!$Q58=IDX_CA!$C$2:$C$1041),ROW(IDX_CA!$D$2:$D$1041))),INDEX(IDX_COMPO!$C$1:$C$12000,SUMPRODUCT(--($E58=IDX_COMPO!$A$2:$A$1200),--(NXT_COMPO!$P58=IDX_COMPO!$F$2:$F$1200),--(NXT_COMPO!$B$5=IDX_COMPO!$G$2:$G$1200),ROW(IDX_COMPO!$C$2:$C$1200)))),IF($D58&lt;=$B$4,INDEX(IDX_CA!$D$1:$D$1041,SUMPRODUCT(--($E58=IDX_CA!$A$2:$A$1041),--(NXT_COMPO!$P58=IDX_CA!$B$2:$B$1041),--(NXT_COMPO!$Q58=IDX_CA!$C$2:$C$1041),ROW(IDX_CA!$D$2:$D$1041))),""))</f>
        <v>52356713</v>
      </c>
      <c r="H58" s="55">
        <f>IF($D58&lt;=$B$1-$B$2,IF(INDEX($AA$2:$AA$1048576,MATCH($D58,$AB$2:$AB$1048576,0))="MODIFY",INDEX(IDX_CA!$E$1:$E$1041,SUMPRODUCT(--($E58=IDX_CA!$A$2:$A$1041),--(NXT_COMPO!$P58=IDX_CA!$B$2:$B$1041),--(NXT_COMPO!$Q58=IDX_CA!$C$2:$C$1041),ROW(IDX_CA!$E$2:$E$1041))),INDEX(IDX_COMPO!$D$1:$D$1200,SUMPRODUCT(--($E58=IDX_COMPO!$A$2:$A$1200),--(NXT_COMPO!$P58=IDX_COMPO!$F$2:$F$1200),--(NXT_COMPO!$B$5=IDX_COMPO!$G$2:$G$1200),ROW(IDX_COMPO!$D$2:$D$1200)))),IF($D58&lt;=$B$4,INDEX(IDX_CA!$E$1:$E$1041,SUMPRODUCT(--($E58=IDX_CA!$A$2:$A$1041),--(NXT_COMPO!$P58=IDX_CA!$B$2:$B$1041),--(NXT_COMPO!$Q58=IDX_CA!$C$2:$C$1041),ROW(IDX_CA!$E$2:$E$1041))),""))</f>
        <v>100</v>
      </c>
      <c r="I58" s="55">
        <f>IF($D58&lt;=$B$1-$B$2,IF(INDEX($AA$2:$AA$1048576,MATCH($D58,$AB$2:$AB$1048576,0))="MODIFY",INDEX(IDX_CA!$F$1:$F$1041,SUMPRODUCT(--($E58=IDX_CA!$A$2:$A$1041),--(NXT_COMPO!$P58=IDX_CA!$B$2:$B$1041),--(NXT_COMPO!$Q58=IDX_CA!$C$2:$C$1041),ROW(IDX_CA!$F$2:$F$1041))),INDEX(IDX_COMPO!$E$1:$E$1200,SUMPRODUCT(--($E58=IDX_COMPO!$A$2:$A$1200),--(NXT_COMPO!$P58=IDX_COMPO!$F$2:$F$1200),--(NXT_COMPO!$B$5=IDX_COMPO!$G$2:$G$1200),ROW(IDX_COMPO!$E$2:$E$1200)))),IF($D58&lt;=$B$4,INDEX(IDX_CA!$F$1:$F$1041,SUMPRODUCT(--($E58=IDX_CA!$A$2:$A$1041),--(NXT_COMPO!$P58=IDX_CA!$B$2:$B$1041),--(NXT_COMPO!$Q58=IDX_CA!$C$2:$C$1041),ROW(IDX_CA!$F$2:$F$1041))),""))</f>
        <v>100</v>
      </c>
      <c r="J58" s="62">
        <f>IF($D58&lt;=$B$1-$B$2,IF(INDEX($AA$2:$AA$1048576,MATCH($D58,$AB$2:$AB$1048576,0))="MODIFY",INDEX(IDX_CA!$G$1:$G$1041,SUMPRODUCT(--($E58=IDX_CA!$A$2:$A$1041),--(NXT_COMPO!$P58=IDX_CA!$B$2:$B$1041),--(NXT_COMPO!$Q58=IDX_CA!$C$2:$C$1041),ROW(IDX_CA!$G$2:$G$1041))),INDEX(IDX_COMPOSITION!$F$1:$F$441,SUMPRODUCT(--($E58=IDX_COMPOSITION!$A$2:$A$441),--(NXT_COMPO!$P58=IDX_COMPOSITION!$R$2:$R$441),--(NXT_COMPO!$B$5=IDX_COMPOSITION!$L$2:$L$441),ROW(IDX_COMPOSITION!$F$2:$F$441)))),IF($D58&lt;=$B$4,INDEX(IDX_CA!$G$1:$G$1041,SUMPRODUCT(--($E58=IDX_CA!$A$2:$A$1041),--(NXT_COMPO!$P58=IDX_CA!$B$2:$B$1041),--(NXT_COMPO!$Q58=IDX_CA!$C$2:$C$1041),ROW(IDX_CA!$G$2:$G$1041))),""))</f>
        <v>2700</v>
      </c>
      <c r="K58" s="63" t="str">
        <f>IF($D58&lt;&gt;"",VLOOKUP($E58,STK_REF!$A$2:$J$1048576,7,0),"")</f>
        <v>VND</v>
      </c>
      <c r="L58" s="5">
        <f>IF($D58&lt;&gt;"",VLOOKUP($E58,STK_REF!$A$2:$J$1048576,8,0),"")</f>
        <v>1</v>
      </c>
      <c r="M58" s="8">
        <f>IF($D58&lt;&gt;"",IF($K58=$U58,1,IF(ISNA(VLOOKUP($K58&amp;$U58,CUR_RATES!$A$2:$F$521,4,0)),"",VLOOKUP($K58&amp;$U58,CUR_RATES!$A$2:$F$521,4,0))),"")</f>
        <v>1</v>
      </c>
      <c r="N58" s="61">
        <f t="shared" si="5"/>
        <v>2700</v>
      </c>
      <c r="O58" s="68">
        <f t="shared" si="6"/>
        <v>141363125100</v>
      </c>
      <c r="P58" s="5" t="str">
        <f t="shared" si="10"/>
        <v>VNXCOPRVND</v>
      </c>
      <c r="Q58" s="75">
        <f t="shared" si="7"/>
        <v>41166</v>
      </c>
      <c r="R58" s="68" t="str">
        <f t="shared" si="8"/>
        <v/>
      </c>
      <c r="S58" s="61" t="str">
        <f t="shared" si="9"/>
        <v/>
      </c>
      <c r="T58" s="62" t="str">
        <f>IF(D58&lt;&gt;"",IF(SUMPRODUCT(--($E58=STK_DIV!$A$2:$A$5),--(NXT_COMPO!$Q58=STK_DIV!$E$2:$E$5),ROW(STK_DIV!$D$2:$D$5))=0,"",INDEX(STK_DIV!$D$1:$D$5,SUMPRODUCT(--($E58=STK_DIV!$A$2:$A$5),--(NXT_COMPO!$Q58=STK_DIV!$E$2:$E$5),ROW(STK_DIV!$D$2:$D$5)))),"")</f>
        <v/>
      </c>
      <c r="U58" s="54" t="str">
        <f>IF($D58&lt;&gt;"",VLOOKUP($P58,IDX_REF!$2:$1048576,4,0),"")</f>
        <v>VND</v>
      </c>
      <c r="W58" s="52">
        <f t="shared" si="11"/>
        <v>57</v>
      </c>
      <c r="X58" s="5" t="str">
        <f>IF(ROW(X58)-ROW($X$1)&lt;=$B$1,INDEX(IDX_COMPO!A:A,ROW(IDX_COMPO!A58)),"")</f>
        <v>PFL</v>
      </c>
      <c r="Y58" s="75">
        <f t="shared" si="12"/>
        <v>41166</v>
      </c>
      <c r="Z58" s="54" t="str">
        <f>IF(ROW(Z58)-ROW($Y$1)&lt;=$B$1,INDEX(IDX_COMPO!F:F,ROW(IDX_COMPO!R58)),"")</f>
        <v>VNXCOPRVND</v>
      </c>
      <c r="AA58" s="2" t="str">
        <f t="array" ref="AA58">IF(X58&lt;&gt;"",IF(SUMPRODUCT(--(X58=IDX_CA!$A$2:$A$1041),--(NXT_COMPO!Y58=IDX_CA!$C$2:$C$1041),--(Z58=IDX_CA!$B$2:$B$1041))&gt;0,IF(INDEX(IDX_CA!$I:$I,SUMPRODUCT(--(X58=IDX_CA!$A$2:$A$1041),--(NXT_COMPO!Y58=IDX_CA!$C$2:$C$1041),--(Z58=IDX_CA!$B$2:$B$1041),ROW(IDX_CA!$I$2:$I$1041)))=1,"YES","MODIFY"),""),"")</f>
        <v/>
      </c>
      <c r="AB58" s="5">
        <f>IF(X58&lt;&gt;"",IF(AA58="YES","",COUNTIF($AA$2:AA58,"&lt;&gt;YES")),"")</f>
        <v>57</v>
      </c>
      <c r="AC58" s="2"/>
    </row>
    <row r="59" spans="4:35" x14ac:dyDescent="0.2">
      <c r="D59" s="52">
        <f t="shared" si="0"/>
        <v>58</v>
      </c>
      <c r="E59" s="5" t="str">
        <f t="shared" si="4"/>
        <v>PSG</v>
      </c>
      <c r="F59" s="5" t="str">
        <f>IF($D59&lt;&gt;"",VLOOKUP($E59,STK_REF!$A$2:$J$1048576,2,0),"")</f>
        <v>Saigon Petroleum Constrution And Investment JSC</v>
      </c>
      <c r="G59" s="68">
        <f>IF($D59&lt;=$B$1-$B$2,IF(INDEX($AA$2:$AA$1048576,MATCH($D59,$AB$2:$AB$1048576,0))="MODIFY",INDEX(IDX_CA!$D$1:$D$1041,SUMPRODUCT(--($E59=IDX_CA!$A$2:$A$1041),--(NXT_COMPO!$P59=IDX_CA!$B$2:$B$1041),--(NXT_COMPO!$Q59=IDX_CA!$C$2:$C$1041),ROW(IDX_CA!$D$2:$D$1041))),INDEX(IDX_COMPO!$C$1:$C$12000,SUMPRODUCT(--($E59=IDX_COMPO!$A$2:$A$1200),--(NXT_COMPO!$P59=IDX_COMPO!$F$2:$F$1200),--(NXT_COMPO!$B$5=IDX_COMPO!$G$2:$G$1200),ROW(IDX_COMPO!$C$2:$C$1200)))),IF($D59&lt;=$B$4,INDEX(IDX_CA!$D$1:$D$1041,SUMPRODUCT(--($E59=IDX_CA!$A$2:$A$1041),--(NXT_COMPO!$P59=IDX_CA!$B$2:$B$1041),--(NXT_COMPO!$Q59=IDX_CA!$C$2:$C$1041),ROW(IDX_CA!$D$2:$D$1041))),""))</f>
        <v>23000000</v>
      </c>
      <c r="H59" s="55">
        <f>IF($D59&lt;=$B$1-$B$2,IF(INDEX($AA$2:$AA$1048576,MATCH($D59,$AB$2:$AB$1048576,0))="MODIFY",INDEX(IDX_CA!$E$1:$E$1041,SUMPRODUCT(--($E59=IDX_CA!$A$2:$A$1041),--(NXT_COMPO!$P59=IDX_CA!$B$2:$B$1041),--(NXT_COMPO!$Q59=IDX_CA!$C$2:$C$1041),ROW(IDX_CA!$E$2:$E$1041))),INDEX(IDX_COMPO!$D$1:$D$1200,SUMPRODUCT(--($E59=IDX_COMPO!$A$2:$A$1200),--(NXT_COMPO!$P59=IDX_COMPO!$F$2:$F$1200),--(NXT_COMPO!$B$5=IDX_COMPO!$G$2:$G$1200),ROW(IDX_COMPO!$D$2:$D$1200)))),IF($D59&lt;=$B$4,INDEX(IDX_CA!$E$1:$E$1041,SUMPRODUCT(--($E59=IDX_CA!$A$2:$A$1041),--(NXT_COMPO!$P59=IDX_CA!$B$2:$B$1041),--(NXT_COMPO!$Q59=IDX_CA!$C$2:$C$1041),ROW(IDX_CA!$E$2:$E$1041))),""))</f>
        <v>100</v>
      </c>
      <c r="I59" s="55">
        <f>IF($D59&lt;=$B$1-$B$2,IF(INDEX($AA$2:$AA$1048576,MATCH($D59,$AB$2:$AB$1048576,0))="MODIFY",INDEX(IDX_CA!$F$1:$F$1041,SUMPRODUCT(--($E59=IDX_CA!$A$2:$A$1041),--(NXT_COMPO!$P59=IDX_CA!$B$2:$B$1041),--(NXT_COMPO!$Q59=IDX_CA!$C$2:$C$1041),ROW(IDX_CA!$F$2:$F$1041))),INDEX(IDX_COMPO!$E$1:$E$1200,SUMPRODUCT(--($E59=IDX_COMPO!$A$2:$A$1200),--(NXT_COMPO!$P59=IDX_COMPO!$F$2:$F$1200),--(NXT_COMPO!$B$5=IDX_COMPO!$G$2:$G$1200),ROW(IDX_COMPO!$E$2:$E$1200)))),IF($D59&lt;=$B$4,INDEX(IDX_CA!$F$1:$F$1041,SUMPRODUCT(--($E59=IDX_CA!$A$2:$A$1041),--(NXT_COMPO!$P59=IDX_CA!$B$2:$B$1041),--(NXT_COMPO!$Q59=IDX_CA!$C$2:$C$1041),ROW(IDX_CA!$F$2:$F$1041))),""))</f>
        <v>100</v>
      </c>
      <c r="J59" s="62">
        <f>IF($D59&lt;=$B$1-$B$2,IF(INDEX($AA$2:$AA$1048576,MATCH($D59,$AB$2:$AB$1048576,0))="MODIFY",INDEX(IDX_CA!$G$1:$G$1041,SUMPRODUCT(--($E59=IDX_CA!$A$2:$A$1041),--(NXT_COMPO!$P59=IDX_CA!$B$2:$B$1041),--(NXT_COMPO!$Q59=IDX_CA!$C$2:$C$1041),ROW(IDX_CA!$G$2:$G$1041))),INDEX(IDX_COMPOSITION!$F$1:$F$441,SUMPRODUCT(--($E59=IDX_COMPOSITION!$A$2:$A$441),--(NXT_COMPO!$P59=IDX_COMPOSITION!$R$2:$R$441),--(NXT_COMPO!$B$5=IDX_COMPOSITION!$L$2:$L$441),ROW(IDX_COMPOSITION!$F$2:$F$441)))),IF($D59&lt;=$B$4,INDEX(IDX_CA!$G$1:$G$1041,SUMPRODUCT(--($E59=IDX_CA!$A$2:$A$1041),--(NXT_COMPO!$P59=IDX_CA!$B$2:$B$1041),--(NXT_COMPO!$Q59=IDX_CA!$C$2:$C$1041),ROW(IDX_CA!$G$2:$G$1041))),""))</f>
        <v>1300</v>
      </c>
      <c r="K59" s="63" t="str">
        <f>IF($D59&lt;&gt;"",VLOOKUP($E59,STK_REF!$A$2:$J$1048576,7,0),"")</f>
        <v>VND</v>
      </c>
      <c r="L59" s="5">
        <f>IF($D59&lt;&gt;"",VLOOKUP($E59,STK_REF!$A$2:$J$1048576,8,0),"")</f>
        <v>1</v>
      </c>
      <c r="M59" s="8">
        <f>IF($D59&lt;&gt;"",IF($K59=$U59,1,IF(ISNA(VLOOKUP($K59&amp;$U59,CUR_RATES!$A$2:$F$521,4,0)),"",VLOOKUP($K59&amp;$U59,CUR_RATES!$A$2:$F$521,4,0))),"")</f>
        <v>1</v>
      </c>
      <c r="N59" s="61">
        <f t="shared" si="5"/>
        <v>1300</v>
      </c>
      <c r="O59" s="68">
        <f t="shared" si="6"/>
        <v>29900000000</v>
      </c>
      <c r="P59" s="5" t="str">
        <f t="shared" si="10"/>
        <v>VNXCOPRVND</v>
      </c>
      <c r="Q59" s="75">
        <f t="shared" si="7"/>
        <v>41166</v>
      </c>
      <c r="R59" s="68" t="str">
        <f t="shared" si="8"/>
        <v/>
      </c>
      <c r="S59" s="61" t="str">
        <f t="shared" si="9"/>
        <v/>
      </c>
      <c r="T59" s="62" t="str">
        <f>IF(D59&lt;&gt;"",IF(SUMPRODUCT(--($E59=STK_DIV!$A$2:$A$5),--(NXT_COMPO!$Q59=STK_DIV!$E$2:$E$5),ROW(STK_DIV!$D$2:$D$5))=0,"",INDEX(STK_DIV!$D$1:$D$5,SUMPRODUCT(--($E59=STK_DIV!$A$2:$A$5),--(NXT_COMPO!$Q59=STK_DIV!$E$2:$E$5),ROW(STK_DIV!$D$2:$D$5)))),"")</f>
        <v/>
      </c>
      <c r="U59" s="54" t="str">
        <f>IF($D59&lt;&gt;"",VLOOKUP($P59,IDX_REF!$2:$1048576,4,0),"")</f>
        <v>VND</v>
      </c>
      <c r="W59" s="52">
        <f t="shared" si="11"/>
        <v>58</v>
      </c>
      <c r="X59" s="5" t="str">
        <f>IF(ROW(X59)-ROW($X$1)&lt;=$B$1,INDEX(IDX_COMPO!A:A,ROW(IDX_COMPO!A59)),"")</f>
        <v>PSG</v>
      </c>
      <c r="Y59" s="75">
        <f t="shared" si="12"/>
        <v>41166</v>
      </c>
      <c r="Z59" s="54" t="str">
        <f>IF(ROW(Z59)-ROW($Y$1)&lt;=$B$1,INDEX(IDX_COMPO!F:F,ROW(IDX_COMPO!R59)),"")</f>
        <v>VNXCOPRVND</v>
      </c>
      <c r="AA59" s="2" t="str">
        <f t="array" ref="AA59">IF(X59&lt;&gt;"",IF(SUMPRODUCT(--(X59=IDX_CA!$A$2:$A$1041),--(NXT_COMPO!Y59=IDX_CA!$C$2:$C$1041),--(Z59=IDX_CA!$B$2:$B$1041))&gt;0,IF(INDEX(IDX_CA!$I:$I,SUMPRODUCT(--(X59=IDX_CA!$A$2:$A$1041),--(NXT_COMPO!Y59=IDX_CA!$C$2:$C$1041),--(Z59=IDX_CA!$B$2:$B$1041),ROW(IDX_CA!$I$2:$I$1041)))=1,"YES","MODIFY"),""),"")</f>
        <v/>
      </c>
      <c r="AB59" s="5">
        <f>IF(X59&lt;&gt;"",IF(AA59="YES","",COUNTIF($AA$2:AA59,"&lt;&gt;YES")),"")</f>
        <v>58</v>
      </c>
      <c r="AC59" s="2"/>
    </row>
    <row r="60" spans="4:35" x14ac:dyDescent="0.2">
      <c r="D60" s="52">
        <f t="shared" si="0"/>
        <v>59</v>
      </c>
      <c r="E60" s="5" t="str">
        <f t="shared" si="4"/>
        <v>PVE</v>
      </c>
      <c r="F60" s="5" t="str">
        <f>IF($D60&lt;&gt;"",VLOOKUP($E60,STK_REF!$A$2:$J$1048576,2,0),"")</f>
        <v>VNX Investment Consultancy and Engineerin</v>
      </c>
      <c r="G60" s="68">
        <f>IF($D60&lt;=$B$1-$B$2,IF(INDEX($AA$2:$AA$1048576,MATCH($D60,$AB$2:$AB$1048576,0))="MODIFY",INDEX(IDX_CA!$D$1:$D$1041,SUMPRODUCT(--($E60=IDX_CA!$A$2:$A$1041),--(NXT_COMPO!$P60=IDX_CA!$B$2:$B$1041),--(NXT_COMPO!$Q60=IDX_CA!$C$2:$C$1041),ROW(IDX_CA!$D$2:$D$1041))),INDEX(IDX_COMPO!$C$1:$C$12000,SUMPRODUCT(--($E60=IDX_COMPO!$A$2:$A$1200),--(NXT_COMPO!$P60=IDX_COMPO!$F$2:$F$1200),--(NXT_COMPO!$B$5=IDX_COMPO!$G$2:$G$1200),ROW(IDX_COMPO!$C$2:$C$1200)))),IF($D60&lt;=$B$4,INDEX(IDX_CA!$D$1:$D$1041,SUMPRODUCT(--($E60=IDX_CA!$A$2:$A$1041),--(NXT_COMPO!$P60=IDX_CA!$B$2:$B$1041),--(NXT_COMPO!$Q60=IDX_CA!$C$2:$C$1041),ROW(IDX_CA!$D$2:$D$1041))),""))</f>
        <v>15000000</v>
      </c>
      <c r="H60" s="55">
        <f>IF($D60&lt;=$B$1-$B$2,IF(INDEX($AA$2:$AA$1048576,MATCH($D60,$AB$2:$AB$1048576,0))="MODIFY",INDEX(IDX_CA!$E$1:$E$1041,SUMPRODUCT(--($E60=IDX_CA!$A$2:$A$1041),--(NXT_COMPO!$P60=IDX_CA!$B$2:$B$1041),--(NXT_COMPO!$Q60=IDX_CA!$C$2:$C$1041),ROW(IDX_CA!$E$2:$E$1041))),INDEX(IDX_COMPO!$D$1:$D$1200,SUMPRODUCT(--($E60=IDX_COMPO!$A$2:$A$1200),--(NXT_COMPO!$P60=IDX_COMPO!$F$2:$F$1200),--(NXT_COMPO!$B$5=IDX_COMPO!$G$2:$G$1200),ROW(IDX_COMPO!$D$2:$D$1200)))),IF($D60&lt;=$B$4,INDEX(IDX_CA!$E$1:$E$1041,SUMPRODUCT(--($E60=IDX_CA!$A$2:$A$1041),--(NXT_COMPO!$P60=IDX_CA!$B$2:$B$1041),--(NXT_COMPO!$Q60=IDX_CA!$C$2:$C$1041),ROW(IDX_CA!$E$2:$E$1041))),""))</f>
        <v>100</v>
      </c>
      <c r="I60" s="55">
        <f>IF($D60&lt;=$B$1-$B$2,IF(INDEX($AA$2:$AA$1048576,MATCH($D60,$AB$2:$AB$1048576,0))="MODIFY",INDEX(IDX_CA!$F$1:$F$1041,SUMPRODUCT(--($E60=IDX_CA!$A$2:$A$1041),--(NXT_COMPO!$P60=IDX_CA!$B$2:$B$1041),--(NXT_COMPO!$Q60=IDX_CA!$C$2:$C$1041),ROW(IDX_CA!$F$2:$F$1041))),INDEX(IDX_COMPO!$E$1:$E$1200,SUMPRODUCT(--($E60=IDX_COMPO!$A$2:$A$1200),--(NXT_COMPO!$P60=IDX_COMPO!$F$2:$F$1200),--(NXT_COMPO!$B$5=IDX_COMPO!$G$2:$G$1200),ROW(IDX_COMPO!$E$2:$E$1200)))),IF($D60&lt;=$B$4,INDEX(IDX_CA!$F$1:$F$1041,SUMPRODUCT(--($E60=IDX_CA!$A$2:$A$1041),--(NXT_COMPO!$P60=IDX_CA!$B$2:$B$1041),--(NXT_COMPO!$Q60=IDX_CA!$C$2:$C$1041),ROW(IDX_CA!$F$2:$F$1041))),""))</f>
        <v>100</v>
      </c>
      <c r="J60" s="62">
        <f>IF($D60&lt;=$B$1-$B$2,IF(INDEX($AA$2:$AA$1048576,MATCH($D60,$AB$2:$AB$1048576,0))="MODIFY",INDEX(IDX_CA!$G$1:$G$1041,SUMPRODUCT(--($E60=IDX_CA!$A$2:$A$1041),--(NXT_COMPO!$P60=IDX_CA!$B$2:$B$1041),--(NXT_COMPO!$Q60=IDX_CA!$C$2:$C$1041),ROW(IDX_CA!$G$2:$G$1041))),INDEX(IDX_COMPOSITION!$F$1:$F$441,SUMPRODUCT(--($E60=IDX_COMPOSITION!$A$2:$A$441),--(NXT_COMPO!$P60=IDX_COMPOSITION!$R$2:$R$441),--(NXT_COMPO!$B$5=IDX_COMPOSITION!$L$2:$L$441),ROW(IDX_COMPOSITION!$F$2:$F$441)))),IF($D60&lt;=$B$4,INDEX(IDX_CA!$G$1:$G$1041,SUMPRODUCT(--($E60=IDX_CA!$A$2:$A$1041),--(NXT_COMPO!$P60=IDX_CA!$B$2:$B$1041),--(NXT_COMPO!$Q60=IDX_CA!$C$2:$C$1041),ROW(IDX_CA!$G$2:$G$1041))),""))</f>
        <v>9600</v>
      </c>
      <c r="K60" s="63" t="str">
        <f>IF($D60&lt;&gt;"",VLOOKUP($E60,STK_REF!$A$2:$J$1048576,7,0),"")</f>
        <v>VND</v>
      </c>
      <c r="L60" s="5">
        <f>IF($D60&lt;&gt;"",VLOOKUP($E60,STK_REF!$A$2:$J$1048576,8,0),"")</f>
        <v>1</v>
      </c>
      <c r="M60" s="8">
        <f>IF($D60&lt;&gt;"",IF($K60=$U60,1,IF(ISNA(VLOOKUP($K60&amp;$U60,CUR_RATES!$A$2:$F$521,4,0)),"",VLOOKUP($K60&amp;$U60,CUR_RATES!$A$2:$F$521,4,0))),"")</f>
        <v>1</v>
      </c>
      <c r="N60" s="61">
        <f t="shared" si="5"/>
        <v>9600</v>
      </c>
      <c r="O60" s="68">
        <f t="shared" si="6"/>
        <v>144000000000</v>
      </c>
      <c r="P60" s="5" t="str">
        <f t="shared" si="10"/>
        <v>VNXCOPRVND</v>
      </c>
      <c r="Q60" s="75">
        <f t="shared" si="7"/>
        <v>41166</v>
      </c>
      <c r="R60" s="68" t="str">
        <f t="shared" si="8"/>
        <v/>
      </c>
      <c r="S60" s="61" t="str">
        <f t="shared" si="9"/>
        <v/>
      </c>
      <c r="T60" s="62" t="str">
        <f>IF(D60&lt;&gt;"",IF(SUMPRODUCT(--($E60=STK_DIV!$A$2:$A$5),--(NXT_COMPO!$Q60=STK_DIV!$E$2:$E$5),ROW(STK_DIV!$D$2:$D$5))=0,"",INDEX(STK_DIV!$D$1:$D$5,SUMPRODUCT(--($E60=STK_DIV!$A$2:$A$5),--(NXT_COMPO!$Q60=STK_DIV!$E$2:$E$5),ROW(STK_DIV!$D$2:$D$5)))),"")</f>
        <v/>
      </c>
      <c r="U60" s="54" t="str">
        <f>IF($D60&lt;&gt;"",VLOOKUP($P60,IDX_REF!$2:$1048576,4,0),"")</f>
        <v>VND</v>
      </c>
      <c r="W60" s="52">
        <f t="shared" si="11"/>
        <v>59</v>
      </c>
      <c r="X60" s="5" t="str">
        <f>IF(ROW(X60)-ROW($X$1)&lt;=$B$1,INDEX(IDX_COMPO!A:A,ROW(IDX_COMPO!A60)),"")</f>
        <v>PVE</v>
      </c>
      <c r="Y60" s="75">
        <f t="shared" si="12"/>
        <v>41166</v>
      </c>
      <c r="Z60" s="54" t="str">
        <f>IF(ROW(Z60)-ROW($Y$1)&lt;=$B$1,INDEX(IDX_COMPO!F:F,ROW(IDX_COMPO!R60)),"")</f>
        <v>VNXCOPRVND</v>
      </c>
      <c r="AA60" s="2" t="str">
        <f t="array" ref="AA60">IF(X60&lt;&gt;"",IF(SUMPRODUCT(--(X60=IDX_CA!$A$2:$A$1041),--(NXT_COMPO!Y60=IDX_CA!$C$2:$C$1041),--(Z60=IDX_CA!$B$2:$B$1041))&gt;0,IF(INDEX(IDX_CA!$I:$I,SUMPRODUCT(--(X60=IDX_CA!$A$2:$A$1041),--(NXT_COMPO!Y60=IDX_CA!$C$2:$C$1041),--(Z60=IDX_CA!$B$2:$B$1041),ROW(IDX_CA!$I$2:$I$1041)))=1,"YES","MODIFY"),""),"")</f>
        <v/>
      </c>
      <c r="AB60" s="5">
        <f>IF(X60&lt;&gt;"",IF(AA60="YES","",COUNTIF($AA$2:AA60,"&lt;&gt;YES")),"")</f>
        <v>59</v>
      </c>
      <c r="AC60" s="2"/>
    </row>
    <row r="61" spans="4:35" x14ac:dyDescent="0.2">
      <c r="D61" s="52">
        <f t="shared" si="0"/>
        <v>60</v>
      </c>
      <c r="E61" s="5" t="str">
        <f t="shared" si="4"/>
        <v>PXI</v>
      </c>
      <c r="F61" s="5" t="str">
        <f>IF($D61&lt;&gt;"",VLOOKUP($E61,STK_REF!$A$2:$J$1048576,2,0),"")</f>
        <v xml:space="preserve">Petroleum Industrial and Civil Construction Joint </v>
      </c>
      <c r="G61" s="68">
        <f>IF($D61&lt;=$B$1-$B$2,IF(INDEX($AA$2:$AA$1048576,MATCH($D61,$AB$2:$AB$1048576,0))="MODIFY",INDEX(IDX_CA!$D$1:$D$1041,SUMPRODUCT(--($E61=IDX_CA!$A$2:$A$1041),--(NXT_COMPO!$P61=IDX_CA!$B$2:$B$1041),--(NXT_COMPO!$Q61=IDX_CA!$C$2:$C$1041),ROW(IDX_CA!$D$2:$D$1041))),INDEX(IDX_COMPO!$C$1:$C$12000,SUMPRODUCT(--($E61=IDX_COMPO!$A$2:$A$1200),--(NXT_COMPO!$P61=IDX_COMPO!$F$2:$F$1200),--(NXT_COMPO!$B$5=IDX_COMPO!$G$2:$G$1200),ROW(IDX_COMPO!$C$2:$C$1200)))),IF($D61&lt;=$B$4,INDEX(IDX_CA!$D$1:$D$1041,SUMPRODUCT(--($E61=IDX_CA!$A$2:$A$1041),--(NXT_COMPO!$P61=IDX_CA!$B$2:$B$1041),--(NXT_COMPO!$Q61=IDX_CA!$C$2:$C$1041),ROW(IDX_CA!$D$2:$D$1041))),""))</f>
        <v>18000000</v>
      </c>
      <c r="H61" s="55">
        <f>IF($D61&lt;=$B$1-$B$2,IF(INDEX($AA$2:$AA$1048576,MATCH($D61,$AB$2:$AB$1048576,0))="MODIFY",INDEX(IDX_CA!$E$1:$E$1041,SUMPRODUCT(--($E61=IDX_CA!$A$2:$A$1041),--(NXT_COMPO!$P61=IDX_CA!$B$2:$B$1041),--(NXT_COMPO!$Q61=IDX_CA!$C$2:$C$1041),ROW(IDX_CA!$E$2:$E$1041))),INDEX(IDX_COMPO!$D$1:$D$1200,SUMPRODUCT(--($E61=IDX_COMPO!$A$2:$A$1200),--(NXT_COMPO!$P61=IDX_COMPO!$F$2:$F$1200),--(NXT_COMPO!$B$5=IDX_COMPO!$G$2:$G$1200),ROW(IDX_COMPO!$D$2:$D$1200)))),IF($D61&lt;=$B$4,INDEX(IDX_CA!$E$1:$E$1041,SUMPRODUCT(--($E61=IDX_CA!$A$2:$A$1041),--(NXT_COMPO!$P61=IDX_CA!$B$2:$B$1041),--(NXT_COMPO!$Q61=IDX_CA!$C$2:$C$1041),ROW(IDX_CA!$E$2:$E$1041))),""))</f>
        <v>100</v>
      </c>
      <c r="I61" s="55">
        <f>IF($D61&lt;=$B$1-$B$2,IF(INDEX($AA$2:$AA$1048576,MATCH($D61,$AB$2:$AB$1048576,0))="MODIFY",INDEX(IDX_CA!$F$1:$F$1041,SUMPRODUCT(--($E61=IDX_CA!$A$2:$A$1041),--(NXT_COMPO!$P61=IDX_CA!$B$2:$B$1041),--(NXT_COMPO!$Q61=IDX_CA!$C$2:$C$1041),ROW(IDX_CA!$F$2:$F$1041))),INDEX(IDX_COMPO!$E$1:$E$1200,SUMPRODUCT(--($E61=IDX_COMPO!$A$2:$A$1200),--(NXT_COMPO!$P61=IDX_COMPO!$F$2:$F$1200),--(NXT_COMPO!$B$5=IDX_COMPO!$G$2:$G$1200),ROW(IDX_COMPO!$E$2:$E$1200)))),IF($D61&lt;=$B$4,INDEX(IDX_CA!$F$1:$F$1041,SUMPRODUCT(--($E61=IDX_CA!$A$2:$A$1041),--(NXT_COMPO!$P61=IDX_CA!$B$2:$B$1041),--(NXT_COMPO!$Q61=IDX_CA!$C$2:$C$1041),ROW(IDX_CA!$F$2:$F$1041))),""))</f>
        <v>100</v>
      </c>
      <c r="J61" s="62">
        <f>IF($D61&lt;=$B$1-$B$2,IF(INDEX($AA$2:$AA$1048576,MATCH($D61,$AB$2:$AB$1048576,0))="MODIFY",INDEX(IDX_CA!$G$1:$G$1041,SUMPRODUCT(--($E61=IDX_CA!$A$2:$A$1041),--(NXT_COMPO!$P61=IDX_CA!$B$2:$B$1041),--(NXT_COMPO!$Q61=IDX_CA!$C$2:$C$1041),ROW(IDX_CA!$G$2:$G$1041))),INDEX(IDX_COMPOSITION!$F$1:$F$441,SUMPRODUCT(--($E61=IDX_COMPOSITION!$A$2:$A$441),--(NXT_COMPO!$P61=IDX_COMPOSITION!$R$2:$R$441),--(NXT_COMPO!$B$5=IDX_COMPOSITION!$L$2:$L$441),ROW(IDX_COMPOSITION!$F$2:$F$441)))),IF($D61&lt;=$B$4,INDEX(IDX_CA!$G$1:$G$1041,SUMPRODUCT(--($E61=IDX_CA!$A$2:$A$1041),--(NXT_COMPO!$P61=IDX_CA!$B$2:$B$1041),--(NXT_COMPO!$Q61=IDX_CA!$C$2:$C$1041),ROW(IDX_CA!$G$2:$G$1041))),""))</f>
        <v>4000</v>
      </c>
      <c r="K61" s="63" t="str">
        <f>IF($D61&lt;&gt;"",VLOOKUP($E61,STK_REF!$A$2:$J$1048576,7,0),"")</f>
        <v>VND</v>
      </c>
      <c r="L61" s="5">
        <f>IF($D61&lt;&gt;"",VLOOKUP($E61,STK_REF!$A$2:$J$1048576,8,0),"")</f>
        <v>1</v>
      </c>
      <c r="M61" s="8">
        <f>IF($D61&lt;&gt;"",IF($K61=$U61,1,IF(ISNA(VLOOKUP($K61&amp;$U61,CUR_RATES!$A$2:$F$521,4,0)),"",VLOOKUP($K61&amp;$U61,CUR_RATES!$A$2:$F$521,4,0))),"")</f>
        <v>1</v>
      </c>
      <c r="N61" s="61">
        <f t="shared" si="5"/>
        <v>4000</v>
      </c>
      <c r="O61" s="68">
        <f t="shared" si="6"/>
        <v>72000000000</v>
      </c>
      <c r="P61" s="5" t="str">
        <f t="shared" si="10"/>
        <v>VNXCOPRVND</v>
      </c>
      <c r="Q61" s="75">
        <f t="shared" si="7"/>
        <v>41166</v>
      </c>
      <c r="R61" s="68" t="str">
        <f t="shared" si="8"/>
        <v/>
      </c>
      <c r="S61" s="61" t="str">
        <f t="shared" si="9"/>
        <v/>
      </c>
      <c r="T61" s="62" t="str">
        <f>IF(D61&lt;&gt;"",IF(SUMPRODUCT(--($E61=STK_DIV!$A$2:$A$5),--(NXT_COMPO!$Q61=STK_DIV!$E$2:$E$5),ROW(STK_DIV!$D$2:$D$5))=0,"",INDEX(STK_DIV!$D$1:$D$5,SUMPRODUCT(--($E61=STK_DIV!$A$2:$A$5),--(NXT_COMPO!$Q61=STK_DIV!$E$2:$E$5),ROW(STK_DIV!$D$2:$D$5)))),"")</f>
        <v/>
      </c>
      <c r="U61" s="54" t="str">
        <f>IF($D61&lt;&gt;"",VLOOKUP($P61,IDX_REF!$2:$1048576,4,0),"")</f>
        <v>VND</v>
      </c>
      <c r="W61" s="52">
        <f t="shared" si="11"/>
        <v>60</v>
      </c>
      <c r="X61" s="5" t="str">
        <f>IF(ROW(X61)-ROW($X$1)&lt;=$B$1,INDEX(IDX_COMPO!A:A,ROW(IDX_COMPO!A61)),"")</f>
        <v>PXI</v>
      </c>
      <c r="Y61" s="75">
        <f t="shared" si="12"/>
        <v>41166</v>
      </c>
      <c r="Z61" s="54" t="str">
        <f>IF(ROW(Z61)-ROW($Y$1)&lt;=$B$1,INDEX(IDX_COMPO!F:F,ROW(IDX_COMPO!R61)),"")</f>
        <v>VNXCOPRVND</v>
      </c>
      <c r="AA61" s="2" t="str">
        <f t="array" ref="AA61">IF(X61&lt;&gt;"",IF(SUMPRODUCT(--(X61=IDX_CA!$A$2:$A$1041),--(NXT_COMPO!Y61=IDX_CA!$C$2:$C$1041),--(Z61=IDX_CA!$B$2:$B$1041))&gt;0,IF(INDEX(IDX_CA!$I:$I,SUMPRODUCT(--(X61=IDX_CA!$A$2:$A$1041),--(NXT_COMPO!Y61=IDX_CA!$C$2:$C$1041),--(Z61=IDX_CA!$B$2:$B$1041),ROW(IDX_CA!$I$2:$I$1041)))=1,"YES","MODIFY"),""),"")</f>
        <v/>
      </c>
      <c r="AB61" s="5">
        <f>IF(X61&lt;&gt;"",IF(AA61="YES","",COUNTIF($AA$2:AA61,"&lt;&gt;YES")),"")</f>
        <v>60</v>
      </c>
      <c r="AC61" s="2"/>
    </row>
    <row r="62" spans="4:35" x14ac:dyDescent="0.2">
      <c r="D62" s="52">
        <f t="shared" si="0"/>
        <v>61</v>
      </c>
      <c r="E62" s="5" t="str">
        <f t="shared" si="4"/>
        <v>PPS</v>
      </c>
      <c r="F62" s="5" t="str">
        <f>IF($D62&lt;&gt;"",VLOOKUP($E62,STK_REF!$A$2:$J$1048576,2,0),"")</f>
        <v>Petro Vietnam Power Services Joint Stock Company</v>
      </c>
      <c r="G62" s="68">
        <f>IF($D62&lt;=$B$1-$B$2,IF(INDEX($AA$2:$AA$1048576,MATCH($D62,$AB$2:$AB$1048576,0))="MODIFY",INDEX(IDX_CA!$D$1:$D$1041,SUMPRODUCT(--($E62=IDX_CA!$A$2:$A$1041),--(NXT_COMPO!$P62=IDX_CA!$B$2:$B$1041),--(NXT_COMPO!$Q62=IDX_CA!$C$2:$C$1041),ROW(IDX_CA!$D$2:$D$1041))),INDEX(IDX_COMPO!$C$1:$C$12000,SUMPRODUCT(--($E62=IDX_COMPO!$A$2:$A$1200),--(NXT_COMPO!$P62=IDX_COMPO!$F$2:$F$1200),--(NXT_COMPO!$B$5=IDX_COMPO!$G$2:$G$1200),ROW(IDX_COMPO!$C$2:$C$1200)))),IF($D62&lt;=$B$4,INDEX(IDX_CA!$D$1:$D$1041,SUMPRODUCT(--($E62=IDX_CA!$A$2:$A$1041),--(NXT_COMPO!$P62=IDX_CA!$B$2:$B$1041),--(NXT_COMPO!$Q62=IDX_CA!$C$2:$C$1041),ROW(IDX_CA!$D$2:$D$1041))),""))</f>
        <v>250000000</v>
      </c>
      <c r="H62" s="55">
        <f>IF($D62&lt;=$B$1-$B$2,IF(INDEX($AA$2:$AA$1048576,MATCH($D62,$AB$2:$AB$1048576,0))="MODIFY",INDEX(IDX_CA!$E$1:$E$1041,SUMPRODUCT(--($E62=IDX_CA!$A$2:$A$1041),--(NXT_COMPO!$P62=IDX_CA!$B$2:$B$1041),--(NXT_COMPO!$Q62=IDX_CA!$C$2:$C$1041),ROW(IDX_CA!$E$2:$E$1041))),INDEX(IDX_COMPO!$D$1:$D$1200,SUMPRODUCT(--($E62=IDX_COMPO!$A$2:$A$1200),--(NXT_COMPO!$P62=IDX_COMPO!$F$2:$F$1200),--(NXT_COMPO!$B$5=IDX_COMPO!$G$2:$G$1200),ROW(IDX_COMPO!$D$2:$D$1200)))),IF($D62&lt;=$B$4,INDEX(IDX_CA!$E$1:$E$1041,SUMPRODUCT(--($E62=IDX_CA!$A$2:$A$1041),--(NXT_COMPO!$P62=IDX_CA!$B$2:$B$1041),--(NXT_COMPO!$Q62=IDX_CA!$C$2:$C$1041),ROW(IDX_CA!$E$2:$E$1041))),""))</f>
        <v>100</v>
      </c>
      <c r="I62" s="55">
        <f>IF($D62&lt;=$B$1-$B$2,IF(INDEX($AA$2:$AA$1048576,MATCH($D62,$AB$2:$AB$1048576,0))="MODIFY",INDEX(IDX_CA!$F$1:$F$1041,SUMPRODUCT(--($E62=IDX_CA!$A$2:$A$1041),--(NXT_COMPO!$P62=IDX_CA!$B$2:$B$1041),--(NXT_COMPO!$Q62=IDX_CA!$C$2:$C$1041),ROW(IDX_CA!$F$2:$F$1041))),INDEX(IDX_COMPO!$E$1:$E$1200,SUMPRODUCT(--($E62=IDX_COMPO!$A$2:$A$1200),--(NXT_COMPO!$P62=IDX_COMPO!$F$2:$F$1200),--(NXT_COMPO!$B$5=IDX_COMPO!$G$2:$G$1200),ROW(IDX_COMPO!$E$2:$E$1200)))),IF($D62&lt;=$B$4,INDEX(IDX_CA!$F$1:$F$1041,SUMPRODUCT(--($E62=IDX_CA!$A$2:$A$1041),--(NXT_COMPO!$P62=IDX_CA!$B$2:$B$1041),--(NXT_COMPO!$Q62=IDX_CA!$C$2:$C$1041),ROW(IDX_CA!$F$2:$F$1041))),""))</f>
        <v>100</v>
      </c>
      <c r="J62" s="62">
        <f>IF($D62&lt;=$B$1-$B$2,IF(INDEX($AA$2:$AA$1048576,MATCH($D62,$AB$2:$AB$1048576,0))="MODIFY",INDEX(IDX_CA!$G$1:$G$1041,SUMPRODUCT(--($E62=IDX_CA!$A$2:$A$1041),--(NXT_COMPO!$P62=IDX_CA!$B$2:$B$1041),--(NXT_COMPO!$Q62=IDX_CA!$C$2:$C$1041),ROW(IDX_CA!$G$2:$G$1041))),INDEX(IDX_COMPOSITION!$F$1:$F$441,SUMPRODUCT(--($E62=IDX_COMPOSITION!$A$2:$A$441),--(NXT_COMPO!$P62=IDX_COMPOSITION!$R$2:$R$441),--(NXT_COMPO!$B$5=IDX_COMPOSITION!$L$2:$L$441),ROW(IDX_COMPOSITION!$F$2:$F$441)))),IF($D62&lt;=$B$4,INDEX(IDX_CA!$G$1:$G$1041,SUMPRODUCT(--($E62=IDX_CA!$A$2:$A$1041),--(NXT_COMPO!$P62=IDX_CA!$B$2:$B$1041),--(NXT_COMPO!$Q62=IDX_CA!$C$2:$C$1041),ROW(IDX_CA!$G$2:$G$1041))),""))</f>
        <v>7200</v>
      </c>
      <c r="K62" s="63" t="str">
        <f>IF($D62&lt;&gt;"",VLOOKUP($E62,STK_REF!$A$2:$J$1048576,7,0),"")</f>
        <v>VND</v>
      </c>
      <c r="L62" s="5">
        <f>IF($D62&lt;&gt;"",VLOOKUP($E62,STK_REF!$A$2:$J$1048576,8,0),"")</f>
        <v>1</v>
      </c>
      <c r="M62" s="8">
        <f>IF($D62&lt;&gt;"",IF($K62=$U62,1,IF(ISNA(VLOOKUP($K62&amp;$U62,CUR_RATES!$A$2:$F$521,4,0)),"",VLOOKUP($K62&amp;$U62,CUR_RATES!$A$2:$F$521,4,0))),"")</f>
        <v>1</v>
      </c>
      <c r="N62" s="61">
        <f t="shared" si="5"/>
        <v>7200</v>
      </c>
      <c r="O62" s="68">
        <f t="shared" si="6"/>
        <v>1800000000000</v>
      </c>
      <c r="P62" s="5" t="str">
        <f t="shared" si="10"/>
        <v>VNXCOPRVND</v>
      </c>
      <c r="Q62" s="75">
        <f t="shared" si="7"/>
        <v>41166</v>
      </c>
      <c r="R62" s="68" t="str">
        <f t="shared" si="8"/>
        <v/>
      </c>
      <c r="S62" s="61" t="str">
        <f t="shared" si="9"/>
        <v/>
      </c>
      <c r="T62" s="62" t="str">
        <f>IF(D62&lt;&gt;"",IF(SUMPRODUCT(--($E62=STK_DIV!$A$2:$A$5),--(NXT_COMPO!$Q62=STK_DIV!$E$2:$E$5),ROW(STK_DIV!$D$2:$D$5))=0,"",INDEX(STK_DIV!$D$1:$D$5,SUMPRODUCT(--($E62=STK_DIV!$A$2:$A$5),--(NXT_COMPO!$Q62=STK_DIV!$E$2:$E$5),ROW(STK_DIV!$D$2:$D$5)))),"")</f>
        <v/>
      </c>
      <c r="U62" s="54" t="str">
        <f>IF($D62&lt;&gt;"",VLOOKUP($P62,IDX_REF!$2:$1048576,4,0),"")</f>
        <v>VND</v>
      </c>
      <c r="W62" s="52">
        <f t="shared" si="11"/>
        <v>61</v>
      </c>
      <c r="X62" s="5" t="str">
        <f>IF(ROW(X62)-ROW($X$1)&lt;=$B$1,INDEX(IDX_COMPO!A:A,ROW(IDX_COMPO!A62)),"")</f>
        <v>PPS</v>
      </c>
      <c r="Y62" s="75">
        <f t="shared" si="12"/>
        <v>41166</v>
      </c>
      <c r="Z62" s="54" t="str">
        <f>IF(ROW(Z62)-ROW($Y$1)&lt;=$B$1,INDEX(IDX_COMPO!F:F,ROW(IDX_COMPO!R62)),"")</f>
        <v>VNXCOPRVND</v>
      </c>
      <c r="AA62" s="2" t="str">
        <f t="array" ref="AA62">IF(X62&lt;&gt;"",IF(SUMPRODUCT(--(X62=IDX_CA!$A$2:$A$1041),--(NXT_COMPO!Y62=IDX_CA!$C$2:$C$1041),--(Z62=IDX_CA!$B$2:$B$1041))&gt;0,IF(INDEX(IDX_CA!$I:$I,SUMPRODUCT(--(X62=IDX_CA!$A$2:$A$1041),--(NXT_COMPO!Y62=IDX_CA!$C$2:$C$1041),--(Z62=IDX_CA!$B$2:$B$1041),ROW(IDX_CA!$I$2:$I$1041)))=1,"YES","MODIFY"),""),"")</f>
        <v/>
      </c>
      <c r="AB62" s="5">
        <f>IF(X62&lt;&gt;"",IF(AA62="YES","",COUNTIF($AA$2:AA62,"&lt;&gt;YES")),"")</f>
        <v>61</v>
      </c>
      <c r="AC62" s="2"/>
    </row>
    <row r="63" spans="4:35" x14ac:dyDescent="0.2">
      <c r="D63" s="52">
        <f t="shared" si="0"/>
        <v>62</v>
      </c>
      <c r="E63" s="5" t="str">
        <f t="shared" si="4"/>
        <v>PXT</v>
      </c>
      <c r="F63" s="5" t="str">
        <f>IF($D63&lt;&gt;"",VLOOKUP($E63,STK_REF!$A$2:$J$1048576,2,0),"")</f>
        <v>Petroleum Pipeline and Tank Construction Joint Sto</v>
      </c>
      <c r="G63" s="68">
        <f>IF($D63&lt;=$B$1-$B$2,IF(INDEX($AA$2:$AA$1048576,MATCH($D63,$AB$2:$AB$1048576,0))="MODIFY",INDEX(IDX_CA!$D$1:$D$1041,SUMPRODUCT(--($E63=IDX_CA!$A$2:$A$1041),--(NXT_COMPO!$P63=IDX_CA!$B$2:$B$1041),--(NXT_COMPO!$Q63=IDX_CA!$C$2:$C$1041),ROW(IDX_CA!$D$2:$D$1041))),INDEX(IDX_COMPO!$C$1:$C$12000,SUMPRODUCT(--($E63=IDX_COMPO!$A$2:$A$1200),--(NXT_COMPO!$P63=IDX_COMPO!$F$2:$F$1200),--(NXT_COMPO!$B$5=IDX_COMPO!$G$2:$G$1200),ROW(IDX_COMPO!$C$2:$C$1200)))),IF($D63&lt;=$B$4,INDEX(IDX_CA!$D$1:$D$1041,SUMPRODUCT(--($E63=IDX_CA!$A$2:$A$1041),--(NXT_COMPO!$P63=IDX_CA!$B$2:$B$1041),--(NXT_COMPO!$Q63=IDX_CA!$C$2:$C$1041),ROW(IDX_CA!$D$2:$D$1041))),""))</f>
        <v>18870000</v>
      </c>
      <c r="H63" s="55">
        <f>IF($D63&lt;=$B$1-$B$2,IF(INDEX($AA$2:$AA$1048576,MATCH($D63,$AB$2:$AB$1048576,0))="MODIFY",INDEX(IDX_CA!$E$1:$E$1041,SUMPRODUCT(--($E63=IDX_CA!$A$2:$A$1041),--(NXT_COMPO!$P63=IDX_CA!$B$2:$B$1041),--(NXT_COMPO!$Q63=IDX_CA!$C$2:$C$1041),ROW(IDX_CA!$E$2:$E$1041))),INDEX(IDX_COMPO!$D$1:$D$1200,SUMPRODUCT(--($E63=IDX_COMPO!$A$2:$A$1200),--(NXT_COMPO!$P63=IDX_COMPO!$F$2:$F$1200),--(NXT_COMPO!$B$5=IDX_COMPO!$G$2:$G$1200),ROW(IDX_COMPO!$D$2:$D$1200)))),IF($D63&lt;=$B$4,INDEX(IDX_CA!$E$1:$E$1041,SUMPRODUCT(--($E63=IDX_CA!$A$2:$A$1041),--(NXT_COMPO!$P63=IDX_CA!$B$2:$B$1041),--(NXT_COMPO!$Q63=IDX_CA!$C$2:$C$1041),ROW(IDX_CA!$E$2:$E$1041))),""))</f>
        <v>100</v>
      </c>
      <c r="I63" s="55">
        <f>IF($D63&lt;=$B$1-$B$2,IF(INDEX($AA$2:$AA$1048576,MATCH($D63,$AB$2:$AB$1048576,0))="MODIFY",INDEX(IDX_CA!$F$1:$F$1041,SUMPRODUCT(--($E63=IDX_CA!$A$2:$A$1041),--(NXT_COMPO!$P63=IDX_CA!$B$2:$B$1041),--(NXT_COMPO!$Q63=IDX_CA!$C$2:$C$1041),ROW(IDX_CA!$F$2:$F$1041))),INDEX(IDX_COMPO!$E$1:$E$1200,SUMPRODUCT(--($E63=IDX_COMPO!$A$2:$A$1200),--(NXT_COMPO!$P63=IDX_COMPO!$F$2:$F$1200),--(NXT_COMPO!$B$5=IDX_COMPO!$G$2:$G$1200),ROW(IDX_COMPO!$E$2:$E$1200)))),IF($D63&lt;=$B$4,INDEX(IDX_CA!$F$1:$F$1041,SUMPRODUCT(--($E63=IDX_CA!$A$2:$A$1041),--(NXT_COMPO!$P63=IDX_CA!$B$2:$B$1041),--(NXT_COMPO!$Q63=IDX_CA!$C$2:$C$1041),ROW(IDX_CA!$F$2:$F$1041))),""))</f>
        <v>100</v>
      </c>
      <c r="J63" s="62">
        <f>IF($D63&lt;=$B$1-$B$2,IF(INDEX($AA$2:$AA$1048576,MATCH($D63,$AB$2:$AB$1048576,0))="MODIFY",INDEX(IDX_CA!$G$1:$G$1041,SUMPRODUCT(--($E63=IDX_CA!$A$2:$A$1041),--(NXT_COMPO!$P63=IDX_CA!$B$2:$B$1041),--(NXT_COMPO!$Q63=IDX_CA!$C$2:$C$1041),ROW(IDX_CA!$G$2:$G$1041))),INDEX(IDX_COMPOSITION!$F$1:$F$441,SUMPRODUCT(--($E63=IDX_COMPOSITION!$A$2:$A$441),--(NXT_COMPO!$P63=IDX_COMPOSITION!$R$2:$R$441),--(NXT_COMPO!$B$5=IDX_COMPOSITION!$L$2:$L$441),ROW(IDX_COMPOSITION!$F$2:$F$441)))),IF($D63&lt;=$B$4,INDEX(IDX_CA!$G$1:$G$1041,SUMPRODUCT(--($E63=IDX_CA!$A$2:$A$1041),--(NXT_COMPO!$P63=IDX_CA!$B$2:$B$1041),--(NXT_COMPO!$Q63=IDX_CA!$C$2:$C$1041),ROW(IDX_CA!$G$2:$G$1041))),""))</f>
        <v>4200</v>
      </c>
      <c r="K63" s="63" t="str">
        <f>IF($D63&lt;&gt;"",VLOOKUP($E63,STK_REF!$A$2:$J$1048576,7,0),"")</f>
        <v>VND</v>
      </c>
      <c r="L63" s="5">
        <f>IF($D63&lt;&gt;"",VLOOKUP($E63,STK_REF!$A$2:$J$1048576,8,0),"")</f>
        <v>1</v>
      </c>
      <c r="M63" s="8">
        <f>IF($D63&lt;&gt;"",IF($K63=$U63,1,IF(ISNA(VLOOKUP($K63&amp;$U63,CUR_RATES!$A$2:$F$521,4,0)),"",VLOOKUP($K63&amp;$U63,CUR_RATES!$A$2:$F$521,4,0))),"")</f>
        <v>1</v>
      </c>
      <c r="N63" s="61">
        <f t="shared" si="5"/>
        <v>4200</v>
      </c>
      <c r="O63" s="68">
        <f t="shared" si="6"/>
        <v>79254000000</v>
      </c>
      <c r="P63" s="5" t="str">
        <f t="shared" si="10"/>
        <v>VNXCOPRVND</v>
      </c>
      <c r="Q63" s="75">
        <f t="shared" si="7"/>
        <v>41166</v>
      </c>
      <c r="R63" s="68" t="str">
        <f t="shared" si="8"/>
        <v/>
      </c>
      <c r="S63" s="61" t="str">
        <f t="shared" si="9"/>
        <v/>
      </c>
      <c r="T63" s="62" t="str">
        <f>IF(D63&lt;&gt;"",IF(SUMPRODUCT(--($E63=STK_DIV!$A$2:$A$5),--(NXT_COMPO!$Q63=STK_DIV!$E$2:$E$5),ROW(STK_DIV!$D$2:$D$5))=0,"",INDEX(STK_DIV!$D$1:$D$5,SUMPRODUCT(--($E63=STK_DIV!$A$2:$A$5),--(NXT_COMPO!$Q63=STK_DIV!$E$2:$E$5),ROW(STK_DIV!$D$2:$D$5)))),"")</f>
        <v/>
      </c>
      <c r="U63" s="54" t="str">
        <f>IF($D63&lt;&gt;"",VLOOKUP($P63,IDX_REF!$2:$1048576,4,0),"")</f>
        <v>VND</v>
      </c>
      <c r="W63" s="52">
        <f t="shared" si="11"/>
        <v>62</v>
      </c>
      <c r="X63" s="5" t="str">
        <f>IF(ROW(X63)-ROW($X$1)&lt;=$B$1,INDEX(IDX_COMPO!A:A,ROW(IDX_COMPO!A63)),"")</f>
        <v>PXT</v>
      </c>
      <c r="Y63" s="75">
        <f t="shared" si="12"/>
        <v>41166</v>
      </c>
      <c r="Z63" s="54" t="str">
        <f>IF(ROW(Z63)-ROW($Y$1)&lt;=$B$1,INDEX(IDX_COMPO!F:F,ROW(IDX_COMPO!R63)),"")</f>
        <v>VNXCOPRVND</v>
      </c>
      <c r="AA63" s="2" t="str">
        <f t="array" ref="AA63">IF(X63&lt;&gt;"",IF(SUMPRODUCT(--(X63=IDX_CA!$A$2:$A$1041),--(NXT_COMPO!Y63=IDX_CA!$C$2:$C$1041),--(Z63=IDX_CA!$B$2:$B$1041))&gt;0,IF(INDEX(IDX_CA!$I:$I,SUMPRODUCT(--(X63=IDX_CA!$A$2:$A$1041),--(NXT_COMPO!Y63=IDX_CA!$C$2:$C$1041),--(Z63=IDX_CA!$B$2:$B$1041),ROW(IDX_CA!$I$2:$I$1041)))=1,"YES","MODIFY"),""),"")</f>
        <v/>
      </c>
      <c r="AB63" s="5">
        <f>IF(X63&lt;&gt;"",IF(AA63="YES","",COUNTIF($AA$2:AA63,"&lt;&gt;YES")),"")</f>
        <v>62</v>
      </c>
      <c r="AC63" s="2"/>
    </row>
    <row r="64" spans="4:35" x14ac:dyDescent="0.2">
      <c r="D64" s="52">
        <f t="shared" si="0"/>
        <v>63</v>
      </c>
      <c r="E64" s="5" t="str">
        <f t="shared" si="4"/>
        <v>PXM</v>
      </c>
      <c r="F64" s="5" t="str">
        <f>IF($D64&lt;&gt;"",VLOOKUP($E64,STK_REF!$A$2:$J$1048576,2,0),"")</f>
        <v>Mientrung Petroleum Construction Joint Stock Compa</v>
      </c>
      <c r="G64" s="68">
        <f>IF($D64&lt;=$B$1-$B$2,IF(INDEX($AA$2:$AA$1048576,MATCH($D64,$AB$2:$AB$1048576,0))="MODIFY",INDEX(IDX_CA!$D$1:$D$1041,SUMPRODUCT(--($E64=IDX_CA!$A$2:$A$1041),--(NXT_COMPO!$P64=IDX_CA!$B$2:$B$1041),--(NXT_COMPO!$Q64=IDX_CA!$C$2:$C$1041),ROW(IDX_CA!$D$2:$D$1041))),INDEX(IDX_COMPO!$C$1:$C$12000,SUMPRODUCT(--($E64=IDX_COMPO!$A$2:$A$1200),--(NXT_COMPO!$P64=IDX_COMPO!$F$2:$F$1200),--(NXT_COMPO!$B$5=IDX_COMPO!$G$2:$G$1200),ROW(IDX_COMPO!$C$2:$C$1200)))),IF($D64&lt;=$B$4,INDEX(IDX_CA!$D$1:$D$1041,SUMPRODUCT(--($E64=IDX_CA!$A$2:$A$1041),--(NXT_COMPO!$P64=IDX_CA!$B$2:$B$1041),--(NXT_COMPO!$Q64=IDX_CA!$C$2:$C$1041),ROW(IDX_CA!$D$2:$D$1041))),""))</f>
        <v>35000000</v>
      </c>
      <c r="H64" s="55">
        <f>IF($D64&lt;=$B$1-$B$2,IF(INDEX($AA$2:$AA$1048576,MATCH($D64,$AB$2:$AB$1048576,0))="MODIFY",INDEX(IDX_CA!$E$1:$E$1041,SUMPRODUCT(--($E64=IDX_CA!$A$2:$A$1041),--(NXT_COMPO!$P64=IDX_CA!$B$2:$B$1041),--(NXT_COMPO!$Q64=IDX_CA!$C$2:$C$1041),ROW(IDX_CA!$E$2:$E$1041))),INDEX(IDX_COMPO!$D$1:$D$1200,SUMPRODUCT(--($E64=IDX_COMPO!$A$2:$A$1200),--(NXT_COMPO!$P64=IDX_COMPO!$F$2:$F$1200),--(NXT_COMPO!$B$5=IDX_COMPO!$G$2:$G$1200),ROW(IDX_COMPO!$D$2:$D$1200)))),IF($D64&lt;=$B$4,INDEX(IDX_CA!$E$1:$E$1041,SUMPRODUCT(--($E64=IDX_CA!$A$2:$A$1041),--(NXT_COMPO!$P64=IDX_CA!$B$2:$B$1041),--(NXT_COMPO!$Q64=IDX_CA!$C$2:$C$1041),ROW(IDX_CA!$E$2:$E$1041))),""))</f>
        <v>100</v>
      </c>
      <c r="I64" s="55">
        <f>IF($D64&lt;=$B$1-$B$2,IF(INDEX($AA$2:$AA$1048576,MATCH($D64,$AB$2:$AB$1048576,0))="MODIFY",INDEX(IDX_CA!$F$1:$F$1041,SUMPRODUCT(--($E64=IDX_CA!$A$2:$A$1041),--(NXT_COMPO!$P64=IDX_CA!$B$2:$B$1041),--(NXT_COMPO!$Q64=IDX_CA!$C$2:$C$1041),ROW(IDX_CA!$F$2:$F$1041))),INDEX(IDX_COMPO!$E$1:$E$1200,SUMPRODUCT(--($E64=IDX_COMPO!$A$2:$A$1200),--(NXT_COMPO!$P64=IDX_COMPO!$F$2:$F$1200),--(NXT_COMPO!$B$5=IDX_COMPO!$G$2:$G$1200),ROW(IDX_COMPO!$E$2:$E$1200)))),IF($D64&lt;=$B$4,INDEX(IDX_CA!$F$1:$F$1041,SUMPRODUCT(--($E64=IDX_CA!$A$2:$A$1041),--(NXT_COMPO!$P64=IDX_CA!$B$2:$B$1041),--(NXT_COMPO!$Q64=IDX_CA!$C$2:$C$1041),ROW(IDX_CA!$F$2:$F$1041))),""))</f>
        <v>100</v>
      </c>
      <c r="J64" s="62">
        <f>IF($D64&lt;=$B$1-$B$2,IF(INDEX($AA$2:$AA$1048576,MATCH($D64,$AB$2:$AB$1048576,0))="MODIFY",INDEX(IDX_CA!$G$1:$G$1041,SUMPRODUCT(--($E64=IDX_CA!$A$2:$A$1041),--(NXT_COMPO!$P64=IDX_CA!$B$2:$B$1041),--(NXT_COMPO!$Q64=IDX_CA!$C$2:$C$1041),ROW(IDX_CA!$G$2:$G$1041))),INDEX(IDX_COMPOSITION!$F$1:$F$441,SUMPRODUCT(--($E64=IDX_COMPOSITION!$A$2:$A$441),--(NXT_COMPO!$P64=IDX_COMPOSITION!$R$2:$R$441),--(NXT_COMPO!$B$5=IDX_COMPOSITION!$L$2:$L$441),ROW(IDX_COMPOSITION!$F$2:$F$441)))),IF($D64&lt;=$B$4,INDEX(IDX_CA!$G$1:$G$1041,SUMPRODUCT(--($E64=IDX_CA!$A$2:$A$1041),--(NXT_COMPO!$P64=IDX_CA!$B$2:$B$1041),--(NXT_COMPO!$Q64=IDX_CA!$C$2:$C$1041),ROW(IDX_CA!$G$2:$G$1041))),""))</f>
        <v>3200</v>
      </c>
      <c r="K64" s="63" t="str">
        <f>IF($D64&lt;&gt;"",VLOOKUP($E64,STK_REF!$A$2:$J$1048576,7,0),"")</f>
        <v>VND</v>
      </c>
      <c r="L64" s="5">
        <f>IF($D64&lt;&gt;"",VLOOKUP($E64,STK_REF!$A$2:$J$1048576,8,0),"")</f>
        <v>1</v>
      </c>
      <c r="M64" s="8">
        <f>IF($D64&lt;&gt;"",IF($K64=$U64,1,IF(ISNA(VLOOKUP($K64&amp;$U64,CUR_RATES!$A$2:$F$521,4,0)),"",VLOOKUP($K64&amp;$U64,CUR_RATES!$A$2:$F$521,4,0))),"")</f>
        <v>1</v>
      </c>
      <c r="N64" s="61">
        <f t="shared" si="5"/>
        <v>3200</v>
      </c>
      <c r="O64" s="68">
        <f t="shared" si="6"/>
        <v>112000000000</v>
      </c>
      <c r="P64" s="5" t="str">
        <f t="shared" si="10"/>
        <v>VNXCOPRVND</v>
      </c>
      <c r="Q64" s="75">
        <f t="shared" si="7"/>
        <v>41166</v>
      </c>
      <c r="R64" s="68" t="str">
        <f t="shared" si="8"/>
        <v/>
      </c>
      <c r="S64" s="61" t="str">
        <f t="shared" si="9"/>
        <v/>
      </c>
      <c r="T64" s="62" t="str">
        <f>IF(D64&lt;&gt;"",IF(SUMPRODUCT(--($E64=STK_DIV!$A$2:$A$5),--(NXT_COMPO!$Q64=STK_DIV!$E$2:$E$5),ROW(STK_DIV!$D$2:$D$5))=0,"",INDEX(STK_DIV!$D$1:$D$5,SUMPRODUCT(--($E64=STK_DIV!$A$2:$A$5),--(NXT_COMPO!$Q64=STK_DIV!$E$2:$E$5),ROW(STK_DIV!$D$2:$D$5)))),"")</f>
        <v/>
      </c>
      <c r="U64" s="54" t="str">
        <f>IF($D64&lt;&gt;"",VLOOKUP($P64,IDX_REF!$2:$1048576,4,0),"")</f>
        <v>VND</v>
      </c>
      <c r="W64" s="52">
        <f t="shared" si="11"/>
        <v>63</v>
      </c>
      <c r="X64" s="5" t="str">
        <f>IF(ROW(X64)-ROW($X$1)&lt;=$B$1,INDEX(IDX_COMPO!A:A,ROW(IDX_COMPO!A64)),"")</f>
        <v>PXM</v>
      </c>
      <c r="Y64" s="75">
        <f t="shared" si="12"/>
        <v>41166</v>
      </c>
      <c r="Z64" s="54" t="str">
        <f>IF(ROW(Z64)-ROW($Y$1)&lt;=$B$1,INDEX(IDX_COMPO!F:F,ROW(IDX_COMPO!R64)),"")</f>
        <v>VNXCOPRVND</v>
      </c>
      <c r="AA64" s="2" t="str">
        <f t="array" ref="AA64">IF(X64&lt;&gt;"",IF(SUMPRODUCT(--(X64=IDX_CA!$A$2:$A$1041),--(NXT_COMPO!Y64=IDX_CA!$C$2:$C$1041),--(Z64=IDX_CA!$B$2:$B$1041))&gt;0,IF(INDEX(IDX_CA!$I:$I,SUMPRODUCT(--(X64=IDX_CA!$A$2:$A$1041),--(NXT_COMPO!Y64=IDX_CA!$C$2:$C$1041),--(Z64=IDX_CA!$B$2:$B$1041),ROW(IDX_CA!$I$2:$I$1041)))=1,"YES","MODIFY"),""),"")</f>
        <v/>
      </c>
      <c r="AB64" s="5">
        <f>IF(X64&lt;&gt;"",IF(AA64="YES","",COUNTIF($AA$2:AA64,"&lt;&gt;YES")),"")</f>
        <v>63</v>
      </c>
      <c r="AC64" s="2"/>
    </row>
    <row r="65" spans="4:29" x14ac:dyDescent="0.2">
      <c r="D65" s="52">
        <f t="shared" si="0"/>
        <v>64</v>
      </c>
      <c r="E65" s="5" t="str">
        <f t="shared" si="4"/>
        <v>PCG</v>
      </c>
      <c r="F65" s="5" t="str">
        <f>IF($D65&lt;&gt;"",VLOOKUP($E65,STK_REF!$A$2:$J$1048576,2,0),"")</f>
        <v>PetroVietnam Gas City Investment and Development JSC</v>
      </c>
      <c r="G65" s="68">
        <f>IF($D65&lt;=$B$1-$B$2,IF(INDEX($AA$2:$AA$1048576,MATCH($D65,$AB$2:$AB$1048576,0))="MODIFY",INDEX(IDX_CA!$D$1:$D$1041,SUMPRODUCT(--($E65=IDX_CA!$A$2:$A$1041),--(NXT_COMPO!$P65=IDX_CA!$B$2:$B$1041),--(NXT_COMPO!$Q65=IDX_CA!$C$2:$C$1041),ROW(IDX_CA!$D$2:$D$1041))),INDEX(IDX_COMPO!$C$1:$C$12000,SUMPRODUCT(--($E65=IDX_COMPO!$A$2:$A$1200),--(NXT_COMPO!$P65=IDX_COMPO!$F$2:$F$1200),--(NXT_COMPO!$B$5=IDX_COMPO!$G$2:$G$1200),ROW(IDX_COMPO!$C$2:$C$1200)))),IF($D65&lt;=$B$4,INDEX(IDX_CA!$D$1:$D$1041,SUMPRODUCT(--($E65=IDX_CA!$A$2:$A$1041),--(NXT_COMPO!$P65=IDX_CA!$B$2:$B$1041),--(NXT_COMPO!$Q65=IDX_CA!$C$2:$C$1041),ROW(IDX_CA!$D$2:$D$1041))),""))</f>
        <v>297802094</v>
      </c>
      <c r="H65" s="55">
        <f>IF($D65&lt;=$B$1-$B$2,IF(INDEX($AA$2:$AA$1048576,MATCH($D65,$AB$2:$AB$1048576,0))="MODIFY",INDEX(IDX_CA!$E$1:$E$1041,SUMPRODUCT(--($E65=IDX_CA!$A$2:$A$1041),--(NXT_COMPO!$P65=IDX_CA!$B$2:$B$1041),--(NXT_COMPO!$Q65=IDX_CA!$C$2:$C$1041),ROW(IDX_CA!$E$2:$E$1041))),INDEX(IDX_COMPO!$D$1:$D$1200,SUMPRODUCT(--($E65=IDX_COMPO!$A$2:$A$1200),--(NXT_COMPO!$P65=IDX_COMPO!$F$2:$F$1200),--(NXT_COMPO!$B$5=IDX_COMPO!$G$2:$G$1200),ROW(IDX_COMPO!$D$2:$D$1200)))),IF($D65&lt;=$B$4,INDEX(IDX_CA!$E$1:$E$1041,SUMPRODUCT(--($E65=IDX_CA!$A$2:$A$1041),--(NXT_COMPO!$P65=IDX_CA!$B$2:$B$1041),--(NXT_COMPO!$Q65=IDX_CA!$C$2:$C$1041),ROW(IDX_CA!$E$2:$E$1041))),""))</f>
        <v>100</v>
      </c>
      <c r="I65" s="55">
        <f>IF($D65&lt;=$B$1-$B$2,IF(INDEX($AA$2:$AA$1048576,MATCH($D65,$AB$2:$AB$1048576,0))="MODIFY",INDEX(IDX_CA!$F$1:$F$1041,SUMPRODUCT(--($E65=IDX_CA!$A$2:$A$1041),--(NXT_COMPO!$P65=IDX_CA!$B$2:$B$1041),--(NXT_COMPO!$Q65=IDX_CA!$C$2:$C$1041),ROW(IDX_CA!$F$2:$F$1041))),INDEX(IDX_COMPO!$E$1:$E$1200,SUMPRODUCT(--($E65=IDX_COMPO!$A$2:$A$1200),--(NXT_COMPO!$P65=IDX_COMPO!$F$2:$F$1200),--(NXT_COMPO!$B$5=IDX_COMPO!$G$2:$G$1200),ROW(IDX_COMPO!$E$2:$E$1200)))),IF($D65&lt;=$B$4,INDEX(IDX_CA!$F$1:$F$1041,SUMPRODUCT(--($E65=IDX_CA!$A$2:$A$1041),--(NXT_COMPO!$P65=IDX_CA!$B$2:$B$1041),--(NXT_COMPO!$Q65=IDX_CA!$C$2:$C$1041),ROW(IDX_CA!$F$2:$F$1041))),""))</f>
        <v>100</v>
      </c>
      <c r="J65" s="62">
        <f>IF($D65&lt;=$B$1-$B$2,IF(INDEX($AA$2:$AA$1048576,MATCH($D65,$AB$2:$AB$1048576,0))="MODIFY",INDEX(IDX_CA!$G$1:$G$1041,SUMPRODUCT(--($E65=IDX_CA!$A$2:$A$1041),--(NXT_COMPO!$P65=IDX_CA!$B$2:$B$1041),--(NXT_COMPO!$Q65=IDX_CA!$C$2:$C$1041),ROW(IDX_CA!$G$2:$G$1041))),INDEX(IDX_COMPOSITION!$F$1:$F$441,SUMPRODUCT(--($E65=IDX_COMPOSITION!$A$2:$A$441),--(NXT_COMPO!$P65=IDX_COMPOSITION!$R$2:$R$441),--(NXT_COMPO!$B$5=IDX_COMPOSITION!$L$2:$L$441),ROW(IDX_COMPOSITION!$F$2:$F$441)))),IF($D65&lt;=$B$4,INDEX(IDX_CA!$G$1:$G$1041,SUMPRODUCT(--($E65=IDX_CA!$A$2:$A$1041),--(NXT_COMPO!$P65=IDX_CA!$B$2:$B$1041),--(NXT_COMPO!$Q65=IDX_CA!$C$2:$C$1041),ROW(IDX_CA!$G$2:$G$1041))),""))</f>
        <v>6100</v>
      </c>
      <c r="K65" s="63" t="str">
        <f>IF($D65&lt;&gt;"",VLOOKUP($E65,STK_REF!$A$2:$J$1048576,7,0),"")</f>
        <v>VND</v>
      </c>
      <c r="L65" s="5">
        <f>IF($D65&lt;&gt;"",VLOOKUP($E65,STK_REF!$A$2:$J$1048576,8,0),"")</f>
        <v>1</v>
      </c>
      <c r="M65" s="8">
        <f>IF($D65&lt;&gt;"",IF($K65=$U65,1,IF(ISNA(VLOOKUP($K65&amp;$U65,CUR_RATES!$A$2:$F$521,4,0)),"",VLOOKUP($K65&amp;$U65,CUR_RATES!$A$2:$F$521,4,0))),"")</f>
        <v>1</v>
      </c>
      <c r="N65" s="61">
        <f t="shared" si="5"/>
        <v>6100</v>
      </c>
      <c r="O65" s="68">
        <f t="shared" si="6"/>
        <v>1816592773400</v>
      </c>
      <c r="P65" s="5" t="str">
        <f t="shared" si="10"/>
        <v>VNXCOPRVND</v>
      </c>
      <c r="Q65" s="75">
        <f t="shared" si="7"/>
        <v>41166</v>
      </c>
      <c r="R65" s="68" t="str">
        <f t="shared" si="8"/>
        <v/>
      </c>
      <c r="S65" s="61" t="str">
        <f t="shared" si="9"/>
        <v/>
      </c>
      <c r="T65" s="62" t="str">
        <f>IF(D65&lt;&gt;"",IF(SUMPRODUCT(--($E65=STK_DIV!$A$2:$A$5),--(NXT_COMPO!$Q65=STK_DIV!$E$2:$E$5),ROW(STK_DIV!$D$2:$D$5))=0,"",INDEX(STK_DIV!$D$1:$D$5,SUMPRODUCT(--($E65=STK_DIV!$A$2:$A$5),--(NXT_COMPO!$Q65=STK_DIV!$E$2:$E$5),ROW(STK_DIV!$D$2:$D$5)))),"")</f>
        <v/>
      </c>
      <c r="U65" s="54" t="str">
        <f>IF($D65&lt;&gt;"",VLOOKUP($P65,IDX_REF!$2:$1048576,4,0),"")</f>
        <v>VND</v>
      </c>
      <c r="W65" s="52">
        <f t="shared" si="11"/>
        <v>64</v>
      </c>
      <c r="X65" s="5" t="str">
        <f>IF(ROW(X65)-ROW($X$1)&lt;=$B$1,INDEX(IDX_COMPO!A:A,ROW(IDX_COMPO!A65)),"")</f>
        <v>PCG</v>
      </c>
      <c r="Y65" s="75">
        <f t="shared" si="12"/>
        <v>41166</v>
      </c>
      <c r="Z65" s="54" t="str">
        <f>IF(ROW(Z65)-ROW($Y$1)&lt;=$B$1,INDEX(IDX_COMPO!F:F,ROW(IDX_COMPO!R65)),"")</f>
        <v>VNXCOPRVND</v>
      </c>
      <c r="AA65" s="2" t="str">
        <f t="array" ref="AA65">IF(X65&lt;&gt;"",IF(SUMPRODUCT(--(X65=IDX_CA!$A$2:$A$1041),--(NXT_COMPO!Y65=IDX_CA!$C$2:$C$1041),--(Z65=IDX_CA!$B$2:$B$1041))&gt;0,IF(INDEX(IDX_CA!$I:$I,SUMPRODUCT(--(X65=IDX_CA!$A$2:$A$1041),--(NXT_COMPO!Y65=IDX_CA!$C$2:$C$1041),--(Z65=IDX_CA!$B$2:$B$1041),ROW(IDX_CA!$I$2:$I$1041)))=1,"YES","MODIFY"),""),"")</f>
        <v/>
      </c>
      <c r="AB65" s="5">
        <f>IF(X65&lt;&gt;"",IF(AA65="YES","",COUNTIF($AA$2:AA65,"&lt;&gt;YES")),"")</f>
        <v>64</v>
      </c>
      <c r="AC65" s="2"/>
    </row>
    <row r="66" spans="4:29" x14ac:dyDescent="0.2">
      <c r="D66" s="52">
        <f t="shared" ref="D66:D129" si="13">IF(ROW(D66)-ROW($D$1)&lt;=$B$4,ROW(D66)-ROW($D$1),"")</f>
        <v>65</v>
      </c>
      <c r="E66" s="5" t="str">
        <f t="shared" si="4"/>
        <v>PCT</v>
      </c>
      <c r="F66" s="5" t="str">
        <f>IF($D66&lt;&gt;"",VLOOKUP($E66,STK_REF!$A$2:$J$1048576,2,0),"")</f>
        <v>Cuu Long Petro Gas Service Transportation JSC</v>
      </c>
      <c r="G66" s="68">
        <f>IF($D66&lt;=$B$1-$B$2,IF(INDEX($AA$2:$AA$1048576,MATCH($D66,$AB$2:$AB$1048576,0))="MODIFY",INDEX(IDX_CA!$D$1:$D$1041,SUMPRODUCT(--($E66=IDX_CA!$A$2:$A$1041),--(NXT_COMPO!$P66=IDX_CA!$B$2:$B$1041),--(NXT_COMPO!$Q66=IDX_CA!$C$2:$C$1041),ROW(IDX_CA!$D$2:$D$1041))),INDEX(IDX_COMPO!$C$1:$C$12000,SUMPRODUCT(--($E66=IDX_COMPO!$A$2:$A$1200),--(NXT_COMPO!$P66=IDX_COMPO!$F$2:$F$1200),--(NXT_COMPO!$B$5=IDX_COMPO!$G$2:$G$1200),ROW(IDX_COMPO!$C$2:$C$1200)))),IF($D66&lt;=$B$4,INDEX(IDX_CA!$D$1:$D$1041,SUMPRODUCT(--($E66=IDX_CA!$A$2:$A$1041),--(NXT_COMPO!$P66=IDX_CA!$B$2:$B$1041),--(NXT_COMPO!$Q66=IDX_CA!$C$2:$C$1041),ROW(IDX_CA!$D$2:$D$1041))),""))</f>
        <v>38000000</v>
      </c>
      <c r="H66" s="55">
        <f>IF($D66&lt;=$B$1-$B$2,IF(INDEX($AA$2:$AA$1048576,MATCH($D66,$AB$2:$AB$1048576,0))="MODIFY",INDEX(IDX_CA!$E$1:$E$1041,SUMPRODUCT(--($E66=IDX_CA!$A$2:$A$1041),--(NXT_COMPO!$P66=IDX_CA!$B$2:$B$1041),--(NXT_COMPO!$Q66=IDX_CA!$C$2:$C$1041),ROW(IDX_CA!$E$2:$E$1041))),INDEX(IDX_COMPO!$D$1:$D$1200,SUMPRODUCT(--($E66=IDX_COMPO!$A$2:$A$1200),--(NXT_COMPO!$P66=IDX_COMPO!$F$2:$F$1200),--(NXT_COMPO!$B$5=IDX_COMPO!$G$2:$G$1200),ROW(IDX_COMPO!$D$2:$D$1200)))),IF($D66&lt;=$B$4,INDEX(IDX_CA!$E$1:$E$1041,SUMPRODUCT(--($E66=IDX_CA!$A$2:$A$1041),--(NXT_COMPO!$P66=IDX_CA!$B$2:$B$1041),--(NXT_COMPO!$Q66=IDX_CA!$C$2:$C$1041),ROW(IDX_CA!$E$2:$E$1041))),""))</f>
        <v>100</v>
      </c>
      <c r="I66" s="55">
        <f>IF($D66&lt;=$B$1-$B$2,IF(INDEX($AA$2:$AA$1048576,MATCH($D66,$AB$2:$AB$1048576,0))="MODIFY",INDEX(IDX_CA!$F$1:$F$1041,SUMPRODUCT(--($E66=IDX_CA!$A$2:$A$1041),--(NXT_COMPO!$P66=IDX_CA!$B$2:$B$1041),--(NXT_COMPO!$Q66=IDX_CA!$C$2:$C$1041),ROW(IDX_CA!$F$2:$F$1041))),INDEX(IDX_COMPO!$E$1:$E$1200,SUMPRODUCT(--($E66=IDX_COMPO!$A$2:$A$1200),--(NXT_COMPO!$P66=IDX_COMPO!$F$2:$F$1200),--(NXT_COMPO!$B$5=IDX_COMPO!$G$2:$G$1200),ROW(IDX_COMPO!$E$2:$E$1200)))),IF($D66&lt;=$B$4,INDEX(IDX_CA!$F$1:$F$1041,SUMPRODUCT(--($E66=IDX_CA!$A$2:$A$1041),--(NXT_COMPO!$P66=IDX_CA!$B$2:$B$1041),--(NXT_COMPO!$Q66=IDX_CA!$C$2:$C$1041),ROW(IDX_CA!$F$2:$F$1041))),""))</f>
        <v>100</v>
      </c>
      <c r="J66" s="62">
        <f>IF($D66&lt;=$B$1-$B$2,IF(INDEX($AA$2:$AA$1048576,MATCH($D66,$AB$2:$AB$1048576,0))="MODIFY",INDEX(IDX_CA!$G$1:$G$1041,SUMPRODUCT(--($E66=IDX_CA!$A$2:$A$1041),--(NXT_COMPO!$P66=IDX_CA!$B$2:$B$1041),--(NXT_COMPO!$Q66=IDX_CA!$C$2:$C$1041),ROW(IDX_CA!$G$2:$G$1041))),INDEX(IDX_COMPOSITION!$F$1:$F$441,SUMPRODUCT(--($E66=IDX_COMPOSITION!$A$2:$A$441),--(NXT_COMPO!$P66=IDX_COMPOSITION!$R$2:$R$441),--(NXT_COMPO!$B$5=IDX_COMPOSITION!$L$2:$L$441),ROW(IDX_COMPOSITION!$F$2:$F$441)))),IF($D66&lt;=$B$4,INDEX(IDX_CA!$G$1:$G$1041,SUMPRODUCT(--($E66=IDX_CA!$A$2:$A$1041),--(NXT_COMPO!$P66=IDX_CA!$B$2:$B$1041),--(NXT_COMPO!$Q66=IDX_CA!$C$2:$C$1041),ROW(IDX_CA!$G$2:$G$1041))),""))</f>
        <v>2900</v>
      </c>
      <c r="K66" s="63" t="str">
        <f>IF($D66&lt;&gt;"",VLOOKUP($E66,STK_REF!$A$2:$J$1048576,7,0),"")</f>
        <v>VND</v>
      </c>
      <c r="L66" s="5">
        <f>IF($D66&lt;&gt;"",VLOOKUP($E66,STK_REF!$A$2:$J$1048576,8,0),"")</f>
        <v>1</v>
      </c>
      <c r="M66" s="8">
        <f>IF($D66&lt;&gt;"",IF($K66=$U66,1,IF(ISNA(VLOOKUP($K66&amp;$U66,CUR_RATES!$A$2:$F$521,4,0)),"",VLOOKUP($K66&amp;$U66,CUR_RATES!$A$2:$F$521,4,0))),"")</f>
        <v>1</v>
      </c>
      <c r="N66" s="61">
        <f t="shared" si="5"/>
        <v>2900</v>
      </c>
      <c r="O66" s="68">
        <f t="shared" si="6"/>
        <v>110200000000</v>
      </c>
      <c r="P66" s="5" t="str">
        <f t="shared" ref="P66:P97" si="14">IF($D66&lt;=$B$1-$B$2,INDEX($Z$2:$Z$1048576,MATCH($D66,$AB$2:$AB$1048576,0)),IF($D66&lt;=$B$4,INDEX($AG$2:$AG$1048576,MATCH($D66-$B$1+$B$2,$AI$2:$AI$1048576,0)),""))</f>
        <v>VNXCOPRVND</v>
      </c>
      <c r="Q66" s="75">
        <f t="shared" si="7"/>
        <v>41166</v>
      </c>
      <c r="R66" s="68" t="str">
        <f t="shared" si="8"/>
        <v/>
      </c>
      <c r="S66" s="61" t="str">
        <f t="shared" si="9"/>
        <v/>
      </c>
      <c r="T66" s="62" t="str">
        <f>IF(D66&lt;&gt;"",IF(SUMPRODUCT(--($E66=STK_DIV!$A$2:$A$5),--(NXT_COMPO!$Q66=STK_DIV!$E$2:$E$5),ROW(STK_DIV!$D$2:$D$5))=0,"",INDEX(STK_DIV!$D$1:$D$5,SUMPRODUCT(--($E66=STK_DIV!$A$2:$A$5),--(NXT_COMPO!$Q66=STK_DIV!$E$2:$E$5),ROW(STK_DIV!$D$2:$D$5)))),"")</f>
        <v/>
      </c>
      <c r="U66" s="54" t="str">
        <f>IF($D66&lt;&gt;"",VLOOKUP($P66,IDX_REF!$2:$1048576,4,0),"")</f>
        <v>VND</v>
      </c>
      <c r="W66" s="52">
        <f t="shared" ref="W66:W97" si="15">IF(ROW(W66)-ROW($W$1)&lt;=$B$1,ROW(W66)-ROW($W$1),"")</f>
        <v>65</v>
      </c>
      <c r="X66" s="5" t="str">
        <f>IF(ROW(X66)-ROW($X$1)&lt;=$B$1,INDEX(IDX_COMPO!A:A,ROW(IDX_COMPO!A66)),"")</f>
        <v>PCT</v>
      </c>
      <c r="Y66" s="75">
        <f t="shared" ref="Y66:Y97" si="16">IF(ROW(Y66)-ROW($Y$1)&lt;=$B$1,$B$6,"")</f>
        <v>41166</v>
      </c>
      <c r="Z66" s="54" t="str">
        <f>IF(ROW(Z66)-ROW($Y$1)&lt;=$B$1,INDEX(IDX_COMPO!F:F,ROW(IDX_COMPO!R66)),"")</f>
        <v>VNXCOPRVND</v>
      </c>
      <c r="AA66" s="2" t="str">
        <f t="array" ref="AA66">IF(X66&lt;&gt;"",IF(SUMPRODUCT(--(X66=IDX_CA!$A$2:$A$1041),--(NXT_COMPO!Y66=IDX_CA!$C$2:$C$1041),--(Z66=IDX_CA!$B$2:$B$1041))&gt;0,IF(INDEX(IDX_CA!$I:$I,SUMPRODUCT(--(X66=IDX_CA!$A$2:$A$1041),--(NXT_COMPO!Y66=IDX_CA!$C$2:$C$1041),--(Z66=IDX_CA!$B$2:$B$1041),ROW(IDX_CA!$I$2:$I$1041)))=1,"YES","MODIFY"),""),"")</f>
        <v/>
      </c>
      <c r="AB66" s="5">
        <f>IF(X66&lt;&gt;"",IF(AA66="YES","",COUNTIF($AA$2:AA66,"&lt;&gt;YES")),"")</f>
        <v>65</v>
      </c>
      <c r="AC66" s="2"/>
    </row>
    <row r="67" spans="4:29" x14ac:dyDescent="0.2">
      <c r="D67" s="52">
        <f t="shared" si="13"/>
        <v>66</v>
      </c>
      <c r="E67" s="5" t="str">
        <f t="shared" ref="E67:E130" si="17">IF(D67&lt;=$B$1-$B$2,INDEX($X$2:$X$1048576,MATCH(D67,$AB$2:$AB$1048576,0)),IF(D67&lt;=$B$4,INDEX($AE$2:$AE$1048576,MATCH(D67-$B$1+$B$2,$AI$2:$AI$1048576,0)),""))</f>
        <v>PPE</v>
      </c>
      <c r="F67" s="5" t="str">
        <f>IF($D67&lt;&gt;"",VLOOKUP($E67,STK_REF!$A$2:$J$1048576,2,0),"")</f>
        <v>PetroVietnam Power Engineering Consulting JSC</v>
      </c>
      <c r="G67" s="68">
        <f>IF($D67&lt;=$B$1-$B$2,IF(INDEX($AA$2:$AA$1048576,MATCH($D67,$AB$2:$AB$1048576,0))="MODIFY",INDEX(IDX_CA!$D$1:$D$1041,SUMPRODUCT(--($E67=IDX_CA!$A$2:$A$1041),--(NXT_COMPO!$P67=IDX_CA!$B$2:$B$1041),--(NXT_COMPO!$Q67=IDX_CA!$C$2:$C$1041),ROW(IDX_CA!$D$2:$D$1041))),INDEX(IDX_COMPO!$C$1:$C$12000,SUMPRODUCT(--($E67=IDX_COMPO!$A$2:$A$1200),--(NXT_COMPO!$P67=IDX_COMPO!$F$2:$F$1200),--(NXT_COMPO!$B$5=IDX_COMPO!$G$2:$G$1200),ROW(IDX_COMPO!$C$2:$C$1200)))),IF($D67&lt;=$B$4,INDEX(IDX_CA!$D$1:$D$1041,SUMPRODUCT(--($E67=IDX_CA!$A$2:$A$1041),--(NXT_COMPO!$P67=IDX_CA!$B$2:$B$1041),--(NXT_COMPO!$Q67=IDX_CA!$C$2:$C$1041),ROW(IDX_CA!$D$2:$D$1041))),""))</f>
        <v>27719850</v>
      </c>
      <c r="H67" s="55">
        <f>IF($D67&lt;=$B$1-$B$2,IF(INDEX($AA$2:$AA$1048576,MATCH($D67,$AB$2:$AB$1048576,0))="MODIFY",INDEX(IDX_CA!$E$1:$E$1041,SUMPRODUCT(--($E67=IDX_CA!$A$2:$A$1041),--(NXT_COMPO!$P67=IDX_CA!$B$2:$B$1041),--(NXT_COMPO!$Q67=IDX_CA!$C$2:$C$1041),ROW(IDX_CA!$E$2:$E$1041))),INDEX(IDX_COMPO!$D$1:$D$1200,SUMPRODUCT(--($E67=IDX_COMPO!$A$2:$A$1200),--(NXT_COMPO!$P67=IDX_COMPO!$F$2:$F$1200),--(NXT_COMPO!$B$5=IDX_COMPO!$G$2:$G$1200),ROW(IDX_COMPO!$D$2:$D$1200)))),IF($D67&lt;=$B$4,INDEX(IDX_CA!$E$1:$E$1041,SUMPRODUCT(--($E67=IDX_CA!$A$2:$A$1041),--(NXT_COMPO!$P67=IDX_CA!$B$2:$B$1041),--(NXT_COMPO!$Q67=IDX_CA!$C$2:$C$1041),ROW(IDX_CA!$E$2:$E$1041))),""))</f>
        <v>100</v>
      </c>
      <c r="I67" s="55">
        <f>IF($D67&lt;=$B$1-$B$2,IF(INDEX($AA$2:$AA$1048576,MATCH($D67,$AB$2:$AB$1048576,0))="MODIFY",INDEX(IDX_CA!$F$1:$F$1041,SUMPRODUCT(--($E67=IDX_CA!$A$2:$A$1041),--(NXT_COMPO!$P67=IDX_CA!$B$2:$B$1041),--(NXT_COMPO!$Q67=IDX_CA!$C$2:$C$1041),ROW(IDX_CA!$F$2:$F$1041))),INDEX(IDX_COMPO!$E$1:$E$1200,SUMPRODUCT(--($E67=IDX_COMPO!$A$2:$A$1200),--(NXT_COMPO!$P67=IDX_COMPO!$F$2:$F$1200),--(NXT_COMPO!$B$5=IDX_COMPO!$G$2:$G$1200),ROW(IDX_COMPO!$E$2:$E$1200)))),IF($D67&lt;=$B$4,INDEX(IDX_CA!$F$1:$F$1041,SUMPRODUCT(--($E67=IDX_CA!$A$2:$A$1041),--(NXT_COMPO!$P67=IDX_CA!$B$2:$B$1041),--(NXT_COMPO!$Q67=IDX_CA!$C$2:$C$1041),ROW(IDX_CA!$F$2:$F$1041))),""))</f>
        <v>100</v>
      </c>
      <c r="J67" s="62">
        <f>IF($D67&lt;=$B$1-$B$2,IF(INDEX($AA$2:$AA$1048576,MATCH($D67,$AB$2:$AB$1048576,0))="MODIFY",INDEX(IDX_CA!$G$1:$G$1041,SUMPRODUCT(--($E67=IDX_CA!$A$2:$A$1041),--(NXT_COMPO!$P67=IDX_CA!$B$2:$B$1041),--(NXT_COMPO!$Q67=IDX_CA!$C$2:$C$1041),ROW(IDX_CA!$G$2:$G$1041))),INDEX(IDX_COMPOSITION!$F$1:$F$441,SUMPRODUCT(--($E67=IDX_COMPOSITION!$A$2:$A$441),--(NXT_COMPO!$P67=IDX_COMPOSITION!$R$2:$R$441),--(NXT_COMPO!$B$5=IDX_COMPOSITION!$L$2:$L$441),ROW(IDX_COMPOSITION!$F$2:$F$441)))),IF($D67&lt;=$B$4,INDEX(IDX_CA!$G$1:$G$1041,SUMPRODUCT(--($E67=IDX_CA!$A$2:$A$1041),--(NXT_COMPO!$P67=IDX_CA!$B$2:$B$1041),--(NXT_COMPO!$Q67=IDX_CA!$C$2:$C$1041),ROW(IDX_CA!$G$2:$G$1041))),""))</f>
        <v>35400</v>
      </c>
      <c r="K67" s="63" t="str">
        <f>IF($D67&lt;&gt;"",VLOOKUP($E67,STK_REF!$A$2:$J$1048576,7,0),"")</f>
        <v>VND</v>
      </c>
      <c r="L67" s="5">
        <f>IF($D67&lt;&gt;"",VLOOKUP($E67,STK_REF!$A$2:$J$1048576,8,0),"")</f>
        <v>1</v>
      </c>
      <c r="M67" s="8">
        <f>IF($D67&lt;&gt;"",IF($K67=$U67,1,IF(ISNA(VLOOKUP($K67&amp;$U67,CUR_RATES!$A$2:$F$521,4,0)),"",VLOOKUP($K67&amp;$U67,CUR_RATES!$A$2:$F$521,4,0))),"")</f>
        <v>1</v>
      </c>
      <c r="N67" s="61">
        <f t="shared" ref="N67:N130" si="18">IF($D67&lt;&gt;"",$J67*$M67,"")</f>
        <v>35400</v>
      </c>
      <c r="O67" s="68">
        <f t="shared" ref="O67:O130" si="19">IF($D67&lt;&gt;"",$G67*($H67/100)*($I67/100)*$N67*(1/$L67),"")</f>
        <v>981282690000</v>
      </c>
      <c r="P67" s="5" t="str">
        <f t="shared" si="14"/>
        <v>VNXCOPRVND</v>
      </c>
      <c r="Q67" s="75">
        <f t="shared" ref="Q67:Q130" si="20">IF($D67&lt;&gt;"",$B$6,"")</f>
        <v>41166</v>
      </c>
      <c r="R67" s="68" t="str">
        <f t="shared" ref="R67:R130" si="21">IF(AND($D67&lt;&gt;"",$T67&lt;&gt;""),$G67*($H67/100)*($I67/100)*$S67*(1/$L67),"")</f>
        <v/>
      </c>
      <c r="S67" s="61" t="str">
        <f t="shared" ref="S67:S130" si="22">IF($T67&lt;&gt;"",$T67*$M67,"")</f>
        <v/>
      </c>
      <c r="T67" s="62" t="str">
        <f>IF(D67&lt;&gt;"",IF(SUMPRODUCT(--($E67=STK_DIV!$A$2:$A$5),--(NXT_COMPO!$Q67=STK_DIV!$E$2:$E$5),ROW(STK_DIV!$D$2:$D$5))=0,"",INDEX(STK_DIV!$D$1:$D$5,SUMPRODUCT(--($E67=STK_DIV!$A$2:$A$5),--(NXT_COMPO!$Q67=STK_DIV!$E$2:$E$5),ROW(STK_DIV!$D$2:$D$5)))),"")</f>
        <v/>
      </c>
      <c r="U67" s="54" t="str">
        <f>IF($D67&lt;&gt;"",VLOOKUP($P67,IDX_REF!$2:$1048576,4,0),"")</f>
        <v>VND</v>
      </c>
      <c r="W67" s="52">
        <f t="shared" si="15"/>
        <v>66</v>
      </c>
      <c r="X67" s="5" t="str">
        <f>IF(ROW(X67)-ROW($X$1)&lt;=$B$1,INDEX(IDX_COMPO!A:A,ROW(IDX_COMPO!A67)),"")</f>
        <v>PPE</v>
      </c>
      <c r="Y67" s="75">
        <f t="shared" si="16"/>
        <v>41166</v>
      </c>
      <c r="Z67" s="54" t="str">
        <f>IF(ROW(Z67)-ROW($Y$1)&lt;=$B$1,INDEX(IDX_COMPO!F:F,ROW(IDX_COMPO!R67)),"")</f>
        <v>VNXCOPRVND</v>
      </c>
      <c r="AA67" s="2" t="str">
        <f t="array" ref="AA67">IF(X67&lt;&gt;"",IF(SUMPRODUCT(--(X67=IDX_CA!$A$2:$A$1041),--(NXT_COMPO!Y67=IDX_CA!$C$2:$C$1041),--(Z67=IDX_CA!$B$2:$B$1041))&gt;0,IF(INDEX(IDX_CA!$I:$I,SUMPRODUCT(--(X67=IDX_CA!$A$2:$A$1041),--(NXT_COMPO!Y67=IDX_CA!$C$2:$C$1041),--(Z67=IDX_CA!$B$2:$B$1041),ROW(IDX_CA!$I$2:$I$1041)))=1,"YES","MODIFY"),""),"")</f>
        <v/>
      </c>
      <c r="AB67" s="5">
        <f>IF(X67&lt;&gt;"",IF(AA67="YES","",COUNTIF($AA$2:AA67,"&lt;&gt;YES")),"")</f>
        <v>66</v>
      </c>
      <c r="AC67" s="2"/>
    </row>
    <row r="68" spans="4:29" x14ac:dyDescent="0.2">
      <c r="D68" s="52">
        <f t="shared" si="13"/>
        <v>67</v>
      </c>
      <c r="E68" s="5" t="str">
        <f t="shared" si="17"/>
        <v>DPM</v>
      </c>
      <c r="F68" s="5" t="str">
        <f>IF($D68&lt;&gt;"",VLOOKUP($E68,STK_REF!$A$2:$J$1048576,2,0),"")</f>
        <v>VNX Fertilizer and Chemicals Corp</v>
      </c>
      <c r="G68" s="68">
        <f>IF($D68&lt;=$B$1-$B$2,IF(INDEX($AA$2:$AA$1048576,MATCH($D68,$AB$2:$AB$1048576,0))="MODIFY",INDEX(IDX_CA!$D$1:$D$1041,SUMPRODUCT(--($E68=IDX_CA!$A$2:$A$1041),--(NXT_COMPO!$P68=IDX_CA!$B$2:$B$1041),--(NXT_COMPO!$Q68=IDX_CA!$C$2:$C$1041),ROW(IDX_CA!$D$2:$D$1041))),INDEX(IDX_COMPO!$C$1:$C$12000,SUMPRODUCT(--($E68=IDX_COMPO!$A$2:$A$1200),--(NXT_COMPO!$P68=IDX_COMPO!$F$2:$F$1200),--(NXT_COMPO!$B$5=IDX_COMPO!$G$2:$G$1200),ROW(IDX_COMPO!$C$2:$C$1200)))),IF($D68&lt;=$B$4,INDEX(IDX_CA!$D$1:$D$1041,SUMPRODUCT(--($E68=IDX_CA!$A$2:$A$1041),--(NXT_COMPO!$P68=IDX_CA!$B$2:$B$1041),--(NXT_COMPO!$Q68=IDX_CA!$C$2:$C$1041),ROW(IDX_CA!$D$2:$D$1041))),""))</f>
        <v>377647740</v>
      </c>
      <c r="H68" s="55">
        <f>IF($D68&lt;=$B$1-$B$2,IF(INDEX($AA$2:$AA$1048576,MATCH($D68,$AB$2:$AB$1048576,0))="MODIFY",INDEX(IDX_CA!$E$1:$E$1041,SUMPRODUCT(--($E68=IDX_CA!$A$2:$A$1041),--(NXT_COMPO!$P68=IDX_CA!$B$2:$B$1041),--(NXT_COMPO!$Q68=IDX_CA!$C$2:$C$1041),ROW(IDX_CA!$E$2:$E$1041))),INDEX(IDX_COMPO!$D$1:$D$1200,SUMPRODUCT(--($E68=IDX_COMPO!$A$2:$A$1200),--(NXT_COMPO!$P68=IDX_COMPO!$F$2:$F$1200),--(NXT_COMPO!$B$5=IDX_COMPO!$G$2:$G$1200),ROW(IDX_COMPO!$D$2:$D$1200)))),IF($D68&lt;=$B$4,INDEX(IDX_CA!$E$1:$E$1041,SUMPRODUCT(--($E68=IDX_CA!$A$2:$A$1041),--(NXT_COMPO!$P68=IDX_CA!$B$2:$B$1041),--(NXT_COMPO!$Q68=IDX_CA!$C$2:$C$1041),ROW(IDX_CA!$E$2:$E$1041))),""))</f>
        <v>100</v>
      </c>
      <c r="I68" s="55">
        <f>IF($D68&lt;=$B$1-$B$2,IF(INDEX($AA$2:$AA$1048576,MATCH($D68,$AB$2:$AB$1048576,0))="MODIFY",INDEX(IDX_CA!$F$1:$F$1041,SUMPRODUCT(--($E68=IDX_CA!$A$2:$A$1041),--(NXT_COMPO!$P68=IDX_CA!$B$2:$B$1041),--(NXT_COMPO!$Q68=IDX_CA!$C$2:$C$1041),ROW(IDX_CA!$F$2:$F$1041))),INDEX(IDX_COMPO!$E$1:$E$1200,SUMPRODUCT(--($E68=IDX_COMPO!$A$2:$A$1200),--(NXT_COMPO!$P68=IDX_COMPO!$F$2:$F$1200),--(NXT_COMPO!$B$5=IDX_COMPO!$G$2:$G$1200),ROW(IDX_COMPO!$E$2:$E$1200)))),IF($D68&lt;=$B$4,INDEX(IDX_CA!$F$1:$F$1041,SUMPRODUCT(--($E68=IDX_CA!$A$2:$A$1041),--(NXT_COMPO!$P68=IDX_CA!$B$2:$B$1041),--(NXT_COMPO!$Q68=IDX_CA!$C$2:$C$1041),ROW(IDX_CA!$F$2:$F$1041))),""))</f>
        <v>100</v>
      </c>
      <c r="J68" s="62">
        <f>IF($D68&lt;=$B$1-$B$2,IF(INDEX($AA$2:$AA$1048576,MATCH($D68,$AB$2:$AB$1048576,0))="MODIFY",INDEX(IDX_CA!$G$1:$G$1041,SUMPRODUCT(--($E68=IDX_CA!$A$2:$A$1041),--(NXT_COMPO!$P68=IDX_CA!$B$2:$B$1041),--(NXT_COMPO!$Q68=IDX_CA!$C$2:$C$1041),ROW(IDX_CA!$G$2:$G$1041))),INDEX(IDX_COMPOSITION!$F$1:$F$441,SUMPRODUCT(--($E68=IDX_COMPOSITION!$A$2:$A$441),--(NXT_COMPO!$P68=IDX_COMPOSITION!$R$2:$R$441),--(NXT_COMPO!$B$5=IDX_COMPOSITION!$L$2:$L$441),ROW(IDX_COMPOSITION!$F$2:$F$441)))),IF($D68&lt;=$B$4,INDEX(IDX_CA!$G$1:$G$1041,SUMPRODUCT(--($E68=IDX_CA!$A$2:$A$1041),--(NXT_COMPO!$P68=IDX_CA!$B$2:$B$1041),--(NXT_COMPO!$Q68=IDX_CA!$C$2:$C$1041),ROW(IDX_CA!$G$2:$G$1041))),""))</f>
        <v>39200</v>
      </c>
      <c r="K68" s="63" t="str">
        <f>IF($D68&lt;&gt;"",VLOOKUP($E68,STK_REF!$A$2:$J$1048576,7,0),"")</f>
        <v>VND</v>
      </c>
      <c r="L68" s="5">
        <f>IF($D68&lt;&gt;"",VLOOKUP($E68,STK_REF!$A$2:$J$1048576,8,0),"")</f>
        <v>1</v>
      </c>
      <c r="M68" s="8">
        <f>IF($D68&lt;&gt;"",IF($K68=$U68,1,IF(ISNA(VLOOKUP($K68&amp;$U68,CUR_RATES!$A$2:$F$521,4,0)),"",VLOOKUP($K68&amp;$U68,CUR_RATES!$A$2:$F$521,4,0))),"")</f>
        <v>1</v>
      </c>
      <c r="N68" s="61">
        <f t="shared" si="18"/>
        <v>39200</v>
      </c>
      <c r="O68" s="68">
        <f t="shared" si="19"/>
        <v>14803791408000</v>
      </c>
      <c r="P68" s="5" t="str">
        <f t="shared" si="14"/>
        <v>VNXHSXPRVND</v>
      </c>
      <c r="Q68" s="75">
        <f t="shared" si="20"/>
        <v>41166</v>
      </c>
      <c r="R68" s="68" t="str">
        <f t="shared" si="21"/>
        <v/>
      </c>
      <c r="S68" s="61" t="str">
        <f t="shared" si="22"/>
        <v/>
      </c>
      <c r="T68" s="62" t="str">
        <f>IF(D68&lt;&gt;"",IF(SUMPRODUCT(--($E68=STK_DIV!$A$2:$A$5),--(NXT_COMPO!$Q68=STK_DIV!$E$2:$E$5),ROW(STK_DIV!$D$2:$D$5))=0,"",INDEX(STK_DIV!$D$1:$D$5,SUMPRODUCT(--($E68=STK_DIV!$A$2:$A$5),--(NXT_COMPO!$Q68=STK_DIV!$E$2:$E$5),ROW(STK_DIV!$D$2:$D$5)))),"")</f>
        <v/>
      </c>
      <c r="U68" s="54" t="str">
        <f>IF($D68&lt;&gt;"",VLOOKUP($P68,IDX_REF!$2:$1048576,4,0),"")</f>
        <v>VND</v>
      </c>
      <c r="W68" s="52">
        <f t="shared" si="15"/>
        <v>67</v>
      </c>
      <c r="X68" s="5" t="str">
        <f>IF(ROW(X68)-ROW($X$1)&lt;=$B$1,INDEX(IDX_COMPO!A:A,ROW(IDX_COMPO!A68)),"")</f>
        <v>DPM</v>
      </c>
      <c r="Y68" s="75">
        <f t="shared" si="16"/>
        <v>41166</v>
      </c>
      <c r="Z68" s="54" t="str">
        <f>IF(ROW(Z68)-ROW($Y$1)&lt;=$B$1,INDEX(IDX_COMPO!F:F,ROW(IDX_COMPO!R68)),"")</f>
        <v>VNXHSXPRVND</v>
      </c>
      <c r="AA68" s="2" t="str">
        <f t="array" ref="AA68">IF(X68&lt;&gt;"",IF(SUMPRODUCT(--(X68=IDX_CA!$A$2:$A$1041),--(NXT_COMPO!Y68=IDX_CA!$C$2:$C$1041),--(Z68=IDX_CA!$B$2:$B$1041))&gt;0,IF(INDEX(IDX_CA!$I:$I,SUMPRODUCT(--(X68=IDX_CA!$A$2:$A$1041),--(NXT_COMPO!Y68=IDX_CA!$C$2:$C$1041),--(Z68=IDX_CA!$B$2:$B$1041),ROW(IDX_CA!$I$2:$I$1041)))=1,"YES","MODIFY"),""),"")</f>
        <v/>
      </c>
      <c r="AB68" s="5">
        <f>IF(X68&lt;&gt;"",IF(AA68="YES","",COUNTIF($AA$2:AA68,"&lt;&gt;YES")),"")</f>
        <v>67</v>
      </c>
      <c r="AC68" s="2"/>
    </row>
    <row r="69" spans="4:29" x14ac:dyDescent="0.2">
      <c r="D69" s="52">
        <f t="shared" si="13"/>
        <v>68</v>
      </c>
      <c r="E69" s="5" t="str">
        <f t="shared" si="17"/>
        <v>PVD</v>
      </c>
      <c r="F69" s="5" t="str">
        <f>IF($D69&lt;&gt;"",VLOOKUP($E69,STK_REF!$A$2:$J$1048576,2,0),"")</f>
        <v xml:space="preserve">VNX Drilling &amp; Well Services Joint Stock </v>
      </c>
      <c r="G69" s="68">
        <f>IF($D69&lt;=$B$1-$B$2,IF(INDEX($AA$2:$AA$1048576,MATCH($D69,$AB$2:$AB$1048576,0))="MODIFY",INDEX(IDX_CA!$D$1:$D$1041,SUMPRODUCT(--($E69=IDX_CA!$A$2:$A$1041),--(NXT_COMPO!$P69=IDX_CA!$B$2:$B$1041),--(NXT_COMPO!$Q69=IDX_CA!$C$2:$C$1041),ROW(IDX_CA!$D$2:$D$1041))),INDEX(IDX_COMPO!$C$1:$C$12000,SUMPRODUCT(--($E69=IDX_COMPO!$A$2:$A$1200),--(NXT_COMPO!$P69=IDX_COMPO!$F$2:$F$1200),--(NXT_COMPO!$B$5=IDX_COMPO!$G$2:$G$1200),ROW(IDX_COMPO!$C$2:$C$1200)))),IF($D69&lt;=$B$4,INDEX(IDX_CA!$D$1:$D$1041,SUMPRODUCT(--($E69=IDX_CA!$A$2:$A$1041),--(NXT_COMPO!$P69=IDX_CA!$B$2:$B$1041),--(NXT_COMPO!$Q69=IDX_CA!$C$2:$C$1041),ROW(IDX_CA!$D$2:$D$1041))),""))</f>
        <v>70371300</v>
      </c>
      <c r="H69" s="55">
        <f>IF($D69&lt;=$B$1-$B$2,IF(INDEX($AA$2:$AA$1048576,MATCH($D69,$AB$2:$AB$1048576,0))="MODIFY",INDEX(IDX_CA!$E$1:$E$1041,SUMPRODUCT(--($E69=IDX_CA!$A$2:$A$1041),--(NXT_COMPO!$P69=IDX_CA!$B$2:$B$1041),--(NXT_COMPO!$Q69=IDX_CA!$C$2:$C$1041),ROW(IDX_CA!$E$2:$E$1041))),INDEX(IDX_COMPO!$D$1:$D$1200,SUMPRODUCT(--($E69=IDX_COMPO!$A$2:$A$1200),--(NXT_COMPO!$P69=IDX_COMPO!$F$2:$F$1200),--(NXT_COMPO!$B$5=IDX_COMPO!$G$2:$G$1200),ROW(IDX_COMPO!$D$2:$D$1200)))),IF($D69&lt;=$B$4,INDEX(IDX_CA!$E$1:$E$1041,SUMPRODUCT(--($E69=IDX_CA!$A$2:$A$1041),--(NXT_COMPO!$P69=IDX_CA!$B$2:$B$1041),--(NXT_COMPO!$Q69=IDX_CA!$C$2:$C$1041),ROW(IDX_CA!$E$2:$E$1041))),""))</f>
        <v>100</v>
      </c>
      <c r="I69" s="55">
        <f>IF($D69&lt;=$B$1-$B$2,IF(INDEX($AA$2:$AA$1048576,MATCH($D69,$AB$2:$AB$1048576,0))="MODIFY",INDEX(IDX_CA!$F$1:$F$1041,SUMPRODUCT(--($E69=IDX_CA!$A$2:$A$1041),--(NXT_COMPO!$P69=IDX_CA!$B$2:$B$1041),--(NXT_COMPO!$Q69=IDX_CA!$C$2:$C$1041),ROW(IDX_CA!$F$2:$F$1041))),INDEX(IDX_COMPO!$E$1:$E$1200,SUMPRODUCT(--($E69=IDX_COMPO!$A$2:$A$1200),--(NXT_COMPO!$P69=IDX_COMPO!$F$2:$F$1200),--(NXT_COMPO!$B$5=IDX_COMPO!$G$2:$G$1200),ROW(IDX_COMPO!$E$2:$E$1200)))),IF($D69&lt;=$B$4,INDEX(IDX_CA!$F$1:$F$1041,SUMPRODUCT(--($E69=IDX_CA!$A$2:$A$1041),--(NXT_COMPO!$P69=IDX_CA!$B$2:$B$1041),--(NXT_COMPO!$Q69=IDX_CA!$C$2:$C$1041),ROW(IDX_CA!$F$2:$F$1041))),""))</f>
        <v>100</v>
      </c>
      <c r="J69" s="62">
        <f>IF($D69&lt;=$B$1-$B$2,IF(INDEX($AA$2:$AA$1048576,MATCH($D69,$AB$2:$AB$1048576,0))="MODIFY",INDEX(IDX_CA!$G$1:$G$1041,SUMPRODUCT(--($E69=IDX_CA!$A$2:$A$1041),--(NXT_COMPO!$P69=IDX_CA!$B$2:$B$1041),--(NXT_COMPO!$Q69=IDX_CA!$C$2:$C$1041),ROW(IDX_CA!$G$2:$G$1041))),INDEX(IDX_COMPOSITION!$F$1:$F$441,SUMPRODUCT(--($E69=IDX_COMPOSITION!$A$2:$A$441),--(NXT_COMPO!$P69=IDX_COMPOSITION!$R$2:$R$441),--(NXT_COMPO!$B$5=IDX_COMPOSITION!$L$2:$L$441),ROW(IDX_COMPOSITION!$F$2:$F$441)))),IF($D69&lt;=$B$4,INDEX(IDX_CA!$G$1:$G$1041,SUMPRODUCT(--($E69=IDX_CA!$A$2:$A$1041),--(NXT_COMPO!$P69=IDX_CA!$B$2:$B$1041),--(NXT_COMPO!$Q69=IDX_CA!$C$2:$C$1041),ROW(IDX_CA!$G$2:$G$1041))),""))</f>
        <v>35000</v>
      </c>
      <c r="K69" s="63" t="str">
        <f>IF($D69&lt;&gt;"",VLOOKUP($E69,STK_REF!$A$2:$J$1048576,7,0),"")</f>
        <v>VND</v>
      </c>
      <c r="L69" s="5">
        <f>IF($D69&lt;&gt;"",VLOOKUP($E69,STK_REF!$A$2:$J$1048576,8,0),"")</f>
        <v>1</v>
      </c>
      <c r="M69" s="8">
        <f>IF($D69&lt;&gt;"",IF($K69=$U69,1,IF(ISNA(VLOOKUP($K69&amp;$U69,CUR_RATES!$A$2:$F$521,4,0)),"",VLOOKUP($K69&amp;$U69,CUR_RATES!$A$2:$F$521,4,0))),"")</f>
        <v>1</v>
      </c>
      <c r="N69" s="61">
        <f t="shared" si="18"/>
        <v>35000</v>
      </c>
      <c r="O69" s="68">
        <f t="shared" si="19"/>
        <v>2462995500000</v>
      </c>
      <c r="P69" s="5" t="str">
        <f t="shared" si="14"/>
        <v>VNXHSXPRVND</v>
      </c>
      <c r="Q69" s="75">
        <f t="shared" si="20"/>
        <v>41166</v>
      </c>
      <c r="R69" s="68" t="str">
        <f t="shared" si="21"/>
        <v/>
      </c>
      <c r="S69" s="61" t="str">
        <f t="shared" si="22"/>
        <v/>
      </c>
      <c r="T69" s="62" t="str">
        <f>IF(D69&lt;&gt;"",IF(SUMPRODUCT(--($E69=STK_DIV!$A$2:$A$5),--(NXT_COMPO!$Q69=STK_DIV!$E$2:$E$5),ROW(STK_DIV!$D$2:$D$5))=0,"",INDEX(STK_DIV!$D$1:$D$5,SUMPRODUCT(--($E69=STK_DIV!$A$2:$A$5),--(NXT_COMPO!$Q69=STK_DIV!$E$2:$E$5),ROW(STK_DIV!$D$2:$D$5)))),"")</f>
        <v/>
      </c>
      <c r="U69" s="54" t="str">
        <f>IF($D69&lt;&gt;"",VLOOKUP($P69,IDX_REF!$2:$1048576,4,0),"")</f>
        <v>VND</v>
      </c>
      <c r="W69" s="52">
        <f t="shared" si="15"/>
        <v>68</v>
      </c>
      <c r="X69" s="5" t="str">
        <f>IF(ROW(X69)-ROW($X$1)&lt;=$B$1,INDEX(IDX_COMPO!A:A,ROW(IDX_COMPO!A69)),"")</f>
        <v>PVD</v>
      </c>
      <c r="Y69" s="75">
        <f t="shared" si="16"/>
        <v>41166</v>
      </c>
      <c r="Z69" s="54" t="str">
        <f>IF(ROW(Z69)-ROW($Y$1)&lt;=$B$1,INDEX(IDX_COMPO!F:F,ROW(IDX_COMPO!R69)),"")</f>
        <v>VNXHSXPRVND</v>
      </c>
      <c r="AA69" s="2" t="str">
        <f t="array" ref="AA69">IF(X69&lt;&gt;"",IF(SUMPRODUCT(--(X69=IDX_CA!$A$2:$A$1041),--(NXT_COMPO!Y69=IDX_CA!$C$2:$C$1041),--(Z69=IDX_CA!$B$2:$B$1041))&gt;0,IF(INDEX(IDX_CA!$I:$I,SUMPRODUCT(--(X69=IDX_CA!$A$2:$A$1041),--(NXT_COMPO!Y69=IDX_CA!$C$2:$C$1041),--(Z69=IDX_CA!$B$2:$B$1041),ROW(IDX_CA!$I$2:$I$1041)))=1,"YES","MODIFY"),""),"")</f>
        <v/>
      </c>
      <c r="AB69" s="5">
        <f>IF(X69&lt;&gt;"",IF(AA69="YES","",COUNTIF($AA$2:AA69,"&lt;&gt;YES")),"")</f>
        <v>68</v>
      </c>
      <c r="AC69" s="2"/>
    </row>
    <row r="70" spans="4:29" x14ac:dyDescent="0.2">
      <c r="D70" s="52">
        <f t="shared" si="13"/>
        <v>69</v>
      </c>
      <c r="E70" s="5" t="str">
        <f t="shared" si="17"/>
        <v>PVF</v>
      </c>
      <c r="F70" s="5" t="str">
        <f>IF($D70&lt;&gt;"",VLOOKUP($E70,STK_REF!$A$2:$J$1048576,2,0),"")</f>
        <v>VNX Finance Joint Stock Corp</v>
      </c>
      <c r="G70" s="68">
        <f>IF($D70&lt;=$B$1-$B$2,IF(INDEX($AA$2:$AA$1048576,MATCH($D70,$AB$2:$AB$1048576,0))="MODIFY",INDEX(IDX_CA!$D$1:$D$1041,SUMPRODUCT(--($E70=IDX_CA!$A$2:$A$1041),--(NXT_COMPO!$P70=IDX_CA!$B$2:$B$1041),--(NXT_COMPO!$Q70=IDX_CA!$C$2:$C$1041),ROW(IDX_CA!$D$2:$D$1041))),INDEX(IDX_COMPO!$C$1:$C$12000,SUMPRODUCT(--($E70=IDX_COMPO!$A$2:$A$1200),--(NXT_COMPO!$P70=IDX_COMPO!$F$2:$F$1200),--(NXT_COMPO!$B$5=IDX_COMPO!$G$2:$G$1200),ROW(IDX_COMPO!$C$2:$C$1200)))),IF($D70&lt;=$B$4,INDEX(IDX_CA!$D$1:$D$1041,SUMPRODUCT(--($E70=IDX_CA!$A$2:$A$1041),--(NXT_COMPO!$P70=IDX_CA!$B$2:$B$1041),--(NXT_COMPO!$Q70=IDX_CA!$C$2:$C$1041),ROW(IDX_CA!$D$2:$D$1041))),""))</f>
        <v>100000000</v>
      </c>
      <c r="H70" s="55">
        <f>IF($D70&lt;=$B$1-$B$2,IF(INDEX($AA$2:$AA$1048576,MATCH($D70,$AB$2:$AB$1048576,0))="MODIFY",INDEX(IDX_CA!$E$1:$E$1041,SUMPRODUCT(--($E70=IDX_CA!$A$2:$A$1041),--(NXT_COMPO!$P70=IDX_CA!$B$2:$B$1041),--(NXT_COMPO!$Q70=IDX_CA!$C$2:$C$1041),ROW(IDX_CA!$E$2:$E$1041))),INDEX(IDX_COMPO!$D$1:$D$1200,SUMPRODUCT(--($E70=IDX_COMPO!$A$2:$A$1200),--(NXT_COMPO!$P70=IDX_COMPO!$F$2:$F$1200),--(NXT_COMPO!$B$5=IDX_COMPO!$G$2:$G$1200),ROW(IDX_COMPO!$D$2:$D$1200)))),IF($D70&lt;=$B$4,INDEX(IDX_CA!$E$1:$E$1041,SUMPRODUCT(--($E70=IDX_CA!$A$2:$A$1041),--(NXT_COMPO!$P70=IDX_CA!$B$2:$B$1041),--(NXT_COMPO!$Q70=IDX_CA!$C$2:$C$1041),ROW(IDX_CA!$E$2:$E$1041))),""))</f>
        <v>100</v>
      </c>
      <c r="I70" s="55">
        <f>IF($D70&lt;=$B$1-$B$2,IF(INDEX($AA$2:$AA$1048576,MATCH($D70,$AB$2:$AB$1048576,0))="MODIFY",INDEX(IDX_CA!$F$1:$F$1041,SUMPRODUCT(--($E70=IDX_CA!$A$2:$A$1041),--(NXT_COMPO!$P70=IDX_CA!$B$2:$B$1041),--(NXT_COMPO!$Q70=IDX_CA!$C$2:$C$1041),ROW(IDX_CA!$F$2:$F$1041))),INDEX(IDX_COMPO!$E$1:$E$1200,SUMPRODUCT(--($E70=IDX_COMPO!$A$2:$A$1200),--(NXT_COMPO!$P70=IDX_COMPO!$F$2:$F$1200),--(NXT_COMPO!$B$5=IDX_COMPO!$G$2:$G$1200),ROW(IDX_COMPO!$E$2:$E$1200)))),IF($D70&lt;=$B$4,INDEX(IDX_CA!$F$1:$F$1041,SUMPRODUCT(--($E70=IDX_CA!$A$2:$A$1041),--(NXT_COMPO!$P70=IDX_CA!$B$2:$B$1041),--(NXT_COMPO!$Q70=IDX_CA!$C$2:$C$1041),ROW(IDX_CA!$F$2:$F$1041))),""))</f>
        <v>100</v>
      </c>
      <c r="J70" s="62">
        <f>IF($D70&lt;=$B$1-$B$2,IF(INDEX($AA$2:$AA$1048576,MATCH($D70,$AB$2:$AB$1048576,0))="MODIFY",INDEX(IDX_CA!$G$1:$G$1041,SUMPRODUCT(--($E70=IDX_CA!$A$2:$A$1041),--(NXT_COMPO!$P70=IDX_CA!$B$2:$B$1041),--(NXT_COMPO!$Q70=IDX_CA!$C$2:$C$1041),ROW(IDX_CA!$G$2:$G$1041))),INDEX(IDX_COMPOSITION!$F$1:$F$441,SUMPRODUCT(--($E70=IDX_COMPOSITION!$A$2:$A$441),--(NXT_COMPO!$P70=IDX_COMPOSITION!$R$2:$R$441),--(NXT_COMPO!$B$5=IDX_COMPOSITION!$L$2:$L$441),ROW(IDX_COMPOSITION!$F$2:$F$441)))),IF($D70&lt;=$B$4,INDEX(IDX_CA!$G$1:$G$1041,SUMPRODUCT(--($E70=IDX_CA!$A$2:$A$1041),--(NXT_COMPO!$P70=IDX_CA!$B$2:$B$1041),--(NXT_COMPO!$Q70=IDX_CA!$C$2:$C$1041),ROW(IDX_CA!$G$2:$G$1041))),""))</f>
        <v>8300</v>
      </c>
      <c r="K70" s="63" t="str">
        <f>IF($D70&lt;&gt;"",VLOOKUP($E70,STK_REF!$A$2:$J$1048576,7,0),"")</f>
        <v>VND</v>
      </c>
      <c r="L70" s="5">
        <f>IF($D70&lt;&gt;"",VLOOKUP($E70,STK_REF!$A$2:$J$1048576,8,0),"")</f>
        <v>1</v>
      </c>
      <c r="M70" s="8">
        <f>IF($D70&lt;&gt;"",IF($K70=$U70,1,IF(ISNA(VLOOKUP($K70&amp;$U70,CUR_RATES!$A$2:$F$521,4,0)),"",VLOOKUP($K70&amp;$U70,CUR_RATES!$A$2:$F$521,4,0))),"")</f>
        <v>1</v>
      </c>
      <c r="N70" s="61">
        <f t="shared" si="18"/>
        <v>8300</v>
      </c>
      <c r="O70" s="68">
        <f t="shared" si="19"/>
        <v>830000000000</v>
      </c>
      <c r="P70" s="5" t="str">
        <f t="shared" si="14"/>
        <v>VNXHSXPRVND</v>
      </c>
      <c r="Q70" s="75">
        <f t="shared" si="20"/>
        <v>41166</v>
      </c>
      <c r="R70" s="68" t="str">
        <f t="shared" si="21"/>
        <v/>
      </c>
      <c r="S70" s="61" t="str">
        <f t="shared" si="22"/>
        <v/>
      </c>
      <c r="T70" s="62" t="str">
        <f>IF(D70&lt;&gt;"",IF(SUMPRODUCT(--($E70=STK_DIV!$A$2:$A$5),--(NXT_COMPO!$Q70=STK_DIV!$E$2:$E$5),ROW(STK_DIV!$D$2:$D$5))=0,"",INDEX(STK_DIV!$D$1:$D$5,SUMPRODUCT(--($E70=STK_DIV!$A$2:$A$5),--(NXT_COMPO!$Q70=STK_DIV!$E$2:$E$5),ROW(STK_DIV!$D$2:$D$5)))),"")</f>
        <v/>
      </c>
      <c r="U70" s="54" t="str">
        <f>IF($D70&lt;&gt;"",VLOOKUP($P70,IDX_REF!$2:$1048576,4,0),"")</f>
        <v>VND</v>
      </c>
      <c r="W70" s="52">
        <f t="shared" si="15"/>
        <v>69</v>
      </c>
      <c r="X70" s="5" t="str">
        <f>IF(ROW(X70)-ROW($X$1)&lt;=$B$1,INDEX(IDX_COMPO!A:A,ROW(IDX_COMPO!A70)),"")</f>
        <v>PVF</v>
      </c>
      <c r="Y70" s="75">
        <f t="shared" si="16"/>
        <v>41166</v>
      </c>
      <c r="Z70" s="54" t="str">
        <f>IF(ROW(Z70)-ROW($Y$1)&lt;=$B$1,INDEX(IDX_COMPO!F:F,ROW(IDX_COMPO!R70)),"")</f>
        <v>VNXHSXPRVND</v>
      </c>
      <c r="AA70" s="2" t="str">
        <f t="array" ref="AA70">IF(X70&lt;&gt;"",IF(SUMPRODUCT(--(X70=IDX_CA!$A$2:$A$1041),--(NXT_COMPO!Y70=IDX_CA!$C$2:$C$1041),--(Z70=IDX_CA!$B$2:$B$1041))&gt;0,IF(INDEX(IDX_CA!$I:$I,SUMPRODUCT(--(X70=IDX_CA!$A$2:$A$1041),--(NXT_COMPO!Y70=IDX_CA!$C$2:$C$1041),--(Z70=IDX_CA!$B$2:$B$1041),ROW(IDX_CA!$I$2:$I$1041)))=1,"YES","MODIFY"),""),"")</f>
        <v/>
      </c>
      <c r="AB70" s="5">
        <f>IF(X70&lt;&gt;"",IF(AA70="YES","",COUNTIF($AA$2:AA70,"&lt;&gt;YES")),"")</f>
        <v>69</v>
      </c>
      <c r="AC70" s="2"/>
    </row>
    <row r="71" spans="4:29" x14ac:dyDescent="0.2">
      <c r="D71" s="52">
        <f t="shared" si="13"/>
        <v>70</v>
      </c>
      <c r="E71" s="5" t="str">
        <f t="shared" si="17"/>
        <v>PGD</v>
      </c>
      <c r="F71" s="5" t="str">
        <f>IF($D71&lt;&gt;"",VLOOKUP($E71,STK_REF!$A$2:$J$1048576,2,0),"")</f>
        <v>VNX Low Pressure Gas Distribution Joint S</v>
      </c>
      <c r="G71" s="68">
        <f>IF($D71&lt;=$B$1-$B$2,IF(INDEX($AA$2:$AA$1048576,MATCH($D71,$AB$2:$AB$1048576,0))="MODIFY",INDEX(IDX_CA!$D$1:$D$1041,SUMPRODUCT(--($E71=IDX_CA!$A$2:$A$1041),--(NXT_COMPO!$P71=IDX_CA!$B$2:$B$1041),--(NXT_COMPO!$Q71=IDX_CA!$C$2:$C$1041),ROW(IDX_CA!$D$2:$D$1041))),INDEX(IDX_COMPO!$C$1:$C$12000,SUMPRODUCT(--($E71=IDX_COMPO!$A$2:$A$1200),--(NXT_COMPO!$P71=IDX_COMPO!$F$2:$F$1200),--(NXT_COMPO!$B$5=IDX_COMPO!$G$2:$G$1200),ROW(IDX_COMPO!$C$2:$C$1200)))),IF($D71&lt;=$B$4,INDEX(IDX_CA!$D$1:$D$1041,SUMPRODUCT(--($E71=IDX_CA!$A$2:$A$1041),--(NXT_COMPO!$P71=IDX_CA!$B$2:$B$1041),--(NXT_COMPO!$Q71=IDX_CA!$C$2:$C$1041),ROW(IDX_CA!$D$2:$D$1041))),""))</f>
        <v>600000000</v>
      </c>
      <c r="H71" s="55">
        <f>IF($D71&lt;=$B$1-$B$2,IF(INDEX($AA$2:$AA$1048576,MATCH($D71,$AB$2:$AB$1048576,0))="MODIFY",INDEX(IDX_CA!$E$1:$E$1041,SUMPRODUCT(--($E71=IDX_CA!$A$2:$A$1041),--(NXT_COMPO!$P71=IDX_CA!$B$2:$B$1041),--(NXT_COMPO!$Q71=IDX_CA!$C$2:$C$1041),ROW(IDX_CA!$E$2:$E$1041))),INDEX(IDX_COMPO!$D$1:$D$1200,SUMPRODUCT(--($E71=IDX_COMPO!$A$2:$A$1200),--(NXT_COMPO!$P71=IDX_COMPO!$F$2:$F$1200),--(NXT_COMPO!$B$5=IDX_COMPO!$G$2:$G$1200),ROW(IDX_COMPO!$D$2:$D$1200)))),IF($D71&lt;=$B$4,INDEX(IDX_CA!$E$1:$E$1041,SUMPRODUCT(--($E71=IDX_CA!$A$2:$A$1041),--(NXT_COMPO!$P71=IDX_CA!$B$2:$B$1041),--(NXT_COMPO!$Q71=IDX_CA!$C$2:$C$1041),ROW(IDX_CA!$E$2:$E$1041))),""))</f>
        <v>100</v>
      </c>
      <c r="I71" s="55">
        <f>IF($D71&lt;=$B$1-$B$2,IF(INDEX($AA$2:$AA$1048576,MATCH($D71,$AB$2:$AB$1048576,0))="MODIFY",INDEX(IDX_CA!$F$1:$F$1041,SUMPRODUCT(--($E71=IDX_CA!$A$2:$A$1041),--(NXT_COMPO!$P71=IDX_CA!$B$2:$B$1041),--(NXT_COMPO!$Q71=IDX_CA!$C$2:$C$1041),ROW(IDX_CA!$F$2:$F$1041))),INDEX(IDX_COMPO!$E$1:$E$1200,SUMPRODUCT(--($E71=IDX_COMPO!$A$2:$A$1200),--(NXT_COMPO!$P71=IDX_COMPO!$F$2:$F$1200),--(NXT_COMPO!$B$5=IDX_COMPO!$G$2:$G$1200),ROW(IDX_COMPO!$E$2:$E$1200)))),IF($D71&lt;=$B$4,INDEX(IDX_CA!$F$1:$F$1041,SUMPRODUCT(--($E71=IDX_CA!$A$2:$A$1041),--(NXT_COMPO!$P71=IDX_CA!$B$2:$B$1041),--(NXT_COMPO!$Q71=IDX_CA!$C$2:$C$1041),ROW(IDX_CA!$F$2:$F$1041))),""))</f>
        <v>100</v>
      </c>
      <c r="J71" s="62">
        <f>IF($D71&lt;=$B$1-$B$2,IF(INDEX($AA$2:$AA$1048576,MATCH($D71,$AB$2:$AB$1048576,0))="MODIFY",INDEX(IDX_CA!$G$1:$G$1041,SUMPRODUCT(--($E71=IDX_CA!$A$2:$A$1041),--(NXT_COMPO!$P71=IDX_CA!$B$2:$B$1041),--(NXT_COMPO!$Q71=IDX_CA!$C$2:$C$1041),ROW(IDX_CA!$G$2:$G$1041))),INDEX(IDX_COMPOSITION!$F$1:$F$441,SUMPRODUCT(--($E71=IDX_COMPOSITION!$A$2:$A$441),--(NXT_COMPO!$P71=IDX_COMPOSITION!$R$2:$R$441),--(NXT_COMPO!$B$5=IDX_COMPOSITION!$L$2:$L$441),ROW(IDX_COMPOSITION!$F$2:$F$441)))),IF($D71&lt;=$B$4,INDEX(IDX_CA!$G$1:$G$1041,SUMPRODUCT(--($E71=IDX_CA!$A$2:$A$1041),--(NXT_COMPO!$P71=IDX_CA!$B$2:$B$1041),--(NXT_COMPO!$Q71=IDX_CA!$C$2:$C$1041),ROW(IDX_CA!$G$2:$G$1041))),""))</f>
        <v>38800</v>
      </c>
      <c r="K71" s="63" t="str">
        <f>IF($D71&lt;&gt;"",VLOOKUP($E71,STK_REF!$A$2:$J$1048576,7,0),"")</f>
        <v>VND</v>
      </c>
      <c r="L71" s="5">
        <f>IF($D71&lt;&gt;"",VLOOKUP($E71,STK_REF!$A$2:$J$1048576,8,0),"")</f>
        <v>1</v>
      </c>
      <c r="M71" s="8">
        <f>IF($D71&lt;&gt;"",IF($K71=$U71,1,IF(ISNA(VLOOKUP($K71&amp;$U71,CUR_RATES!$A$2:$F$521,4,0)),"",VLOOKUP($K71&amp;$U71,CUR_RATES!$A$2:$F$521,4,0))),"")</f>
        <v>1</v>
      </c>
      <c r="N71" s="61">
        <f t="shared" si="18"/>
        <v>38800</v>
      </c>
      <c r="O71" s="68">
        <f t="shared" si="19"/>
        <v>23280000000000</v>
      </c>
      <c r="P71" s="5" t="str">
        <f t="shared" si="14"/>
        <v>VNXHSXPRVND</v>
      </c>
      <c r="Q71" s="75">
        <f t="shared" si="20"/>
        <v>41166</v>
      </c>
      <c r="R71" s="68" t="str">
        <f t="shared" si="21"/>
        <v/>
      </c>
      <c r="S71" s="61" t="str">
        <f t="shared" si="22"/>
        <v/>
      </c>
      <c r="T71" s="62" t="str">
        <f>IF(D71&lt;&gt;"",IF(SUMPRODUCT(--($E71=STK_DIV!$A$2:$A$5),--(NXT_COMPO!$Q71=STK_DIV!$E$2:$E$5),ROW(STK_DIV!$D$2:$D$5))=0,"",INDEX(STK_DIV!$D$1:$D$5,SUMPRODUCT(--($E71=STK_DIV!$A$2:$A$5),--(NXT_COMPO!$Q71=STK_DIV!$E$2:$E$5),ROW(STK_DIV!$D$2:$D$5)))),"")</f>
        <v/>
      </c>
      <c r="U71" s="54" t="str">
        <f>IF($D71&lt;&gt;"",VLOOKUP($P71,IDX_REF!$2:$1048576,4,0),"")</f>
        <v>VND</v>
      </c>
      <c r="W71" s="52">
        <f t="shared" si="15"/>
        <v>70</v>
      </c>
      <c r="X71" s="5" t="str">
        <f>IF(ROW(X71)-ROW($X$1)&lt;=$B$1,INDEX(IDX_COMPO!A:A,ROW(IDX_COMPO!A71)),"")</f>
        <v>PGD</v>
      </c>
      <c r="Y71" s="75">
        <f t="shared" si="16"/>
        <v>41166</v>
      </c>
      <c r="Z71" s="54" t="str">
        <f>IF(ROW(Z71)-ROW($Y$1)&lt;=$B$1,INDEX(IDX_COMPO!F:F,ROW(IDX_COMPO!R71)),"")</f>
        <v>VNXHSXPRVND</v>
      </c>
      <c r="AA71" s="2" t="str">
        <f t="array" ref="AA71">IF(X71&lt;&gt;"",IF(SUMPRODUCT(--(X71=IDX_CA!$A$2:$A$1041),--(NXT_COMPO!Y71=IDX_CA!$C$2:$C$1041),--(Z71=IDX_CA!$B$2:$B$1041))&gt;0,IF(INDEX(IDX_CA!$I:$I,SUMPRODUCT(--(X71=IDX_CA!$A$2:$A$1041),--(NXT_COMPO!Y71=IDX_CA!$C$2:$C$1041),--(Z71=IDX_CA!$B$2:$B$1041),ROW(IDX_CA!$I$2:$I$1041)))=1,"YES","MODIFY"),""),"")</f>
        <v/>
      </c>
      <c r="AB71" s="5">
        <f>IF(X71&lt;&gt;"",IF(AA71="YES","",COUNTIF($AA$2:AA71,"&lt;&gt;YES")),"")</f>
        <v>70</v>
      </c>
      <c r="AC71" s="2"/>
    </row>
    <row r="72" spans="4:29" x14ac:dyDescent="0.2">
      <c r="D72" s="52">
        <f t="shared" si="13"/>
        <v>71</v>
      </c>
      <c r="E72" s="5" t="str">
        <f t="shared" si="17"/>
        <v>PVT</v>
      </c>
      <c r="F72" s="5" t="str">
        <f>IF($D72&lt;&gt;"",VLOOKUP($E72,STK_REF!$A$2:$J$1048576,2,0),"")</f>
        <v>VNX Transportation Corp</v>
      </c>
      <c r="G72" s="68">
        <f>IF($D72&lt;=$B$1-$B$2,IF(INDEX($AA$2:$AA$1048576,MATCH($D72,$AB$2:$AB$1048576,0))="MODIFY",INDEX(IDX_CA!$D$1:$D$1041,SUMPRODUCT(--($E72=IDX_CA!$A$2:$A$1041),--(NXT_COMPO!$P72=IDX_CA!$B$2:$B$1041),--(NXT_COMPO!$Q72=IDX_CA!$C$2:$C$1041),ROW(IDX_CA!$D$2:$D$1041))),INDEX(IDX_COMPO!$C$1:$C$12000,SUMPRODUCT(--($E72=IDX_COMPO!$A$2:$A$1200),--(NXT_COMPO!$P72=IDX_COMPO!$F$2:$F$1200),--(NXT_COMPO!$B$5=IDX_COMPO!$G$2:$G$1200),ROW(IDX_COMPO!$C$2:$C$1200)))),IF($D72&lt;=$B$4,INDEX(IDX_CA!$D$1:$D$1041,SUMPRODUCT(--($E72=IDX_CA!$A$2:$A$1041),--(NXT_COMPO!$P72=IDX_CA!$B$2:$B$1041),--(NXT_COMPO!$Q72=IDX_CA!$C$2:$C$1041),ROW(IDX_CA!$D$2:$D$1041))),""))</f>
        <v>232600000</v>
      </c>
      <c r="H72" s="55">
        <f>IF($D72&lt;=$B$1-$B$2,IF(INDEX($AA$2:$AA$1048576,MATCH($D72,$AB$2:$AB$1048576,0))="MODIFY",INDEX(IDX_CA!$E$1:$E$1041,SUMPRODUCT(--($E72=IDX_CA!$A$2:$A$1041),--(NXT_COMPO!$P72=IDX_CA!$B$2:$B$1041),--(NXT_COMPO!$Q72=IDX_CA!$C$2:$C$1041),ROW(IDX_CA!$E$2:$E$1041))),INDEX(IDX_COMPO!$D$1:$D$1200,SUMPRODUCT(--($E72=IDX_COMPO!$A$2:$A$1200),--(NXT_COMPO!$P72=IDX_COMPO!$F$2:$F$1200),--(NXT_COMPO!$B$5=IDX_COMPO!$G$2:$G$1200),ROW(IDX_COMPO!$D$2:$D$1200)))),IF($D72&lt;=$B$4,INDEX(IDX_CA!$E$1:$E$1041,SUMPRODUCT(--($E72=IDX_CA!$A$2:$A$1041),--(NXT_COMPO!$P72=IDX_CA!$B$2:$B$1041),--(NXT_COMPO!$Q72=IDX_CA!$C$2:$C$1041),ROW(IDX_CA!$E$2:$E$1041))),""))</f>
        <v>100</v>
      </c>
      <c r="I72" s="55">
        <f>IF($D72&lt;=$B$1-$B$2,IF(INDEX($AA$2:$AA$1048576,MATCH($D72,$AB$2:$AB$1048576,0))="MODIFY",INDEX(IDX_CA!$F$1:$F$1041,SUMPRODUCT(--($E72=IDX_CA!$A$2:$A$1041),--(NXT_COMPO!$P72=IDX_CA!$B$2:$B$1041),--(NXT_COMPO!$Q72=IDX_CA!$C$2:$C$1041),ROW(IDX_CA!$F$2:$F$1041))),INDEX(IDX_COMPO!$E$1:$E$1200,SUMPRODUCT(--($E72=IDX_COMPO!$A$2:$A$1200),--(NXT_COMPO!$P72=IDX_COMPO!$F$2:$F$1200),--(NXT_COMPO!$B$5=IDX_COMPO!$G$2:$G$1200),ROW(IDX_COMPO!$E$2:$E$1200)))),IF($D72&lt;=$B$4,INDEX(IDX_CA!$F$1:$F$1041,SUMPRODUCT(--($E72=IDX_CA!$A$2:$A$1041),--(NXT_COMPO!$P72=IDX_CA!$B$2:$B$1041),--(NXT_COMPO!$Q72=IDX_CA!$C$2:$C$1041),ROW(IDX_CA!$F$2:$F$1041))),""))</f>
        <v>100</v>
      </c>
      <c r="J72" s="62">
        <f>IF($D72&lt;=$B$1-$B$2,IF(INDEX($AA$2:$AA$1048576,MATCH($D72,$AB$2:$AB$1048576,0))="MODIFY",INDEX(IDX_CA!$G$1:$G$1041,SUMPRODUCT(--($E72=IDX_CA!$A$2:$A$1041),--(NXT_COMPO!$P72=IDX_CA!$B$2:$B$1041),--(NXT_COMPO!$Q72=IDX_CA!$C$2:$C$1041),ROW(IDX_CA!$G$2:$G$1041))),INDEX(IDX_COMPOSITION!$F$1:$F$441,SUMPRODUCT(--($E72=IDX_COMPOSITION!$A$2:$A$441),--(NXT_COMPO!$P72=IDX_COMPOSITION!$R$2:$R$441),--(NXT_COMPO!$B$5=IDX_COMPOSITION!$L$2:$L$441),ROW(IDX_COMPOSITION!$F$2:$F$441)))),IF($D72&lt;=$B$4,INDEX(IDX_CA!$G$1:$G$1041,SUMPRODUCT(--($E72=IDX_CA!$A$2:$A$1041),--(NXT_COMPO!$P72=IDX_CA!$B$2:$B$1041),--(NXT_COMPO!$Q72=IDX_CA!$C$2:$C$1041),ROW(IDX_CA!$G$2:$G$1041))),""))</f>
        <v>4300</v>
      </c>
      <c r="K72" s="63" t="str">
        <f>IF($D72&lt;&gt;"",VLOOKUP($E72,STK_REF!$A$2:$J$1048576,7,0),"")</f>
        <v>VND</v>
      </c>
      <c r="L72" s="5">
        <f>IF($D72&lt;&gt;"",VLOOKUP($E72,STK_REF!$A$2:$J$1048576,8,0),"")</f>
        <v>1</v>
      </c>
      <c r="M72" s="8">
        <f>IF($D72&lt;&gt;"",IF($K72=$U72,1,IF(ISNA(VLOOKUP($K72&amp;$U72,CUR_RATES!$A$2:$F$521,4,0)),"",VLOOKUP($K72&amp;$U72,CUR_RATES!$A$2:$F$521,4,0))),"")</f>
        <v>1</v>
      </c>
      <c r="N72" s="61">
        <f t="shared" si="18"/>
        <v>4300</v>
      </c>
      <c r="O72" s="68">
        <f t="shared" si="19"/>
        <v>1000180000000</v>
      </c>
      <c r="P72" s="5" t="str">
        <f t="shared" si="14"/>
        <v>VNXHSXPRVND</v>
      </c>
      <c r="Q72" s="75">
        <f t="shared" si="20"/>
        <v>41166</v>
      </c>
      <c r="R72" s="68" t="str">
        <f t="shared" si="21"/>
        <v/>
      </c>
      <c r="S72" s="61" t="str">
        <f t="shared" si="22"/>
        <v/>
      </c>
      <c r="T72" s="62" t="str">
        <f>IF(D72&lt;&gt;"",IF(SUMPRODUCT(--($E72=STK_DIV!$A$2:$A$5),--(NXT_COMPO!$Q72=STK_DIV!$E$2:$E$5),ROW(STK_DIV!$D$2:$D$5))=0,"",INDEX(STK_DIV!$D$1:$D$5,SUMPRODUCT(--($E72=STK_DIV!$A$2:$A$5),--(NXT_COMPO!$Q72=STK_DIV!$E$2:$E$5),ROW(STK_DIV!$D$2:$D$5)))),"")</f>
        <v/>
      </c>
      <c r="U72" s="54" t="str">
        <f>IF($D72&lt;&gt;"",VLOOKUP($P72,IDX_REF!$2:$1048576,4,0),"")</f>
        <v>VND</v>
      </c>
      <c r="W72" s="52">
        <f t="shared" si="15"/>
        <v>71</v>
      </c>
      <c r="X72" s="5" t="str">
        <f>IF(ROW(X72)-ROW($X$1)&lt;=$B$1,INDEX(IDX_COMPO!A:A,ROW(IDX_COMPO!A72)),"")</f>
        <v>PVT</v>
      </c>
      <c r="Y72" s="75">
        <f t="shared" si="16"/>
        <v>41166</v>
      </c>
      <c r="Z72" s="54" t="str">
        <f>IF(ROW(Z72)-ROW($Y$1)&lt;=$B$1,INDEX(IDX_COMPO!F:F,ROW(IDX_COMPO!R72)),"")</f>
        <v>VNXHSXPRVND</v>
      </c>
      <c r="AA72" s="2" t="str">
        <f t="array" ref="AA72">IF(X72&lt;&gt;"",IF(SUMPRODUCT(--(X72=IDX_CA!$A$2:$A$1041),--(NXT_COMPO!Y72=IDX_CA!$C$2:$C$1041),--(Z72=IDX_CA!$B$2:$B$1041))&gt;0,IF(INDEX(IDX_CA!$I:$I,SUMPRODUCT(--(X72=IDX_CA!$A$2:$A$1041),--(NXT_COMPO!Y72=IDX_CA!$C$2:$C$1041),--(Z72=IDX_CA!$B$2:$B$1041),ROW(IDX_CA!$I$2:$I$1041)))=1,"YES","MODIFY"),""),"")</f>
        <v/>
      </c>
      <c r="AB72" s="5">
        <f>IF(X72&lt;&gt;"",IF(AA72="YES","",COUNTIF($AA$2:AA72,"&lt;&gt;YES")),"")</f>
        <v>71</v>
      </c>
      <c r="AC72" s="2"/>
    </row>
    <row r="73" spans="4:29" x14ac:dyDescent="0.2">
      <c r="D73" s="52">
        <f t="shared" si="13"/>
        <v>72</v>
      </c>
      <c r="E73" s="5" t="str">
        <f t="shared" si="17"/>
        <v>PET</v>
      </c>
      <c r="F73" s="5" t="str">
        <f>IF($D73&lt;&gt;"",VLOOKUP($E73,STK_REF!$A$2:$J$1048576,2,0),"")</f>
        <v>VNX General Services Joint Stock Corp</v>
      </c>
      <c r="G73" s="68">
        <f>IF($D73&lt;=$B$1-$B$2,IF(INDEX($AA$2:$AA$1048576,MATCH($D73,$AB$2:$AB$1048576,0))="MODIFY",INDEX(IDX_CA!$D$1:$D$1041,SUMPRODUCT(--($E73=IDX_CA!$A$2:$A$1041),--(NXT_COMPO!$P73=IDX_CA!$B$2:$B$1041),--(NXT_COMPO!$Q73=IDX_CA!$C$2:$C$1041),ROW(IDX_CA!$D$2:$D$1041))),INDEX(IDX_COMPO!$C$1:$C$12000,SUMPRODUCT(--($E73=IDX_COMPO!$A$2:$A$1200),--(NXT_COMPO!$P73=IDX_COMPO!$F$2:$F$1200),--(NXT_COMPO!$B$5=IDX_COMPO!$G$2:$G$1200),ROW(IDX_COMPO!$C$2:$C$1200)))),IF($D73&lt;=$B$4,INDEX(IDX_CA!$D$1:$D$1041,SUMPRODUCT(--($E73=IDX_CA!$A$2:$A$1041),--(NXT_COMPO!$P73=IDX_CA!$B$2:$B$1041),--(NXT_COMPO!$Q73=IDX_CA!$C$2:$C$1041),ROW(IDX_CA!$D$2:$D$1041))),""))</f>
        <v>30000000</v>
      </c>
      <c r="H73" s="55">
        <f>IF($D73&lt;=$B$1-$B$2,IF(INDEX($AA$2:$AA$1048576,MATCH($D73,$AB$2:$AB$1048576,0))="MODIFY",INDEX(IDX_CA!$E$1:$E$1041,SUMPRODUCT(--($E73=IDX_CA!$A$2:$A$1041),--(NXT_COMPO!$P73=IDX_CA!$B$2:$B$1041),--(NXT_COMPO!$Q73=IDX_CA!$C$2:$C$1041),ROW(IDX_CA!$E$2:$E$1041))),INDEX(IDX_COMPO!$D$1:$D$1200,SUMPRODUCT(--($E73=IDX_COMPO!$A$2:$A$1200),--(NXT_COMPO!$P73=IDX_COMPO!$F$2:$F$1200),--(NXT_COMPO!$B$5=IDX_COMPO!$G$2:$G$1200),ROW(IDX_COMPO!$D$2:$D$1200)))),IF($D73&lt;=$B$4,INDEX(IDX_CA!$E$1:$E$1041,SUMPRODUCT(--($E73=IDX_CA!$A$2:$A$1041),--(NXT_COMPO!$P73=IDX_CA!$B$2:$B$1041),--(NXT_COMPO!$Q73=IDX_CA!$C$2:$C$1041),ROW(IDX_CA!$E$2:$E$1041))),""))</f>
        <v>100</v>
      </c>
      <c r="I73" s="55">
        <f>IF($D73&lt;=$B$1-$B$2,IF(INDEX($AA$2:$AA$1048576,MATCH($D73,$AB$2:$AB$1048576,0))="MODIFY",INDEX(IDX_CA!$F$1:$F$1041,SUMPRODUCT(--($E73=IDX_CA!$A$2:$A$1041),--(NXT_COMPO!$P73=IDX_CA!$B$2:$B$1041),--(NXT_COMPO!$Q73=IDX_CA!$C$2:$C$1041),ROW(IDX_CA!$F$2:$F$1041))),INDEX(IDX_COMPO!$E$1:$E$1200,SUMPRODUCT(--($E73=IDX_COMPO!$A$2:$A$1200),--(NXT_COMPO!$P73=IDX_COMPO!$F$2:$F$1200),--(NXT_COMPO!$B$5=IDX_COMPO!$G$2:$G$1200),ROW(IDX_COMPO!$E$2:$E$1200)))),IF($D73&lt;=$B$4,INDEX(IDX_CA!$F$1:$F$1041,SUMPRODUCT(--($E73=IDX_CA!$A$2:$A$1041),--(NXT_COMPO!$P73=IDX_CA!$B$2:$B$1041),--(NXT_COMPO!$Q73=IDX_CA!$C$2:$C$1041),ROW(IDX_CA!$F$2:$F$1041))),""))</f>
        <v>100</v>
      </c>
      <c r="J73" s="62">
        <f>IF($D73&lt;=$B$1-$B$2,IF(INDEX($AA$2:$AA$1048576,MATCH($D73,$AB$2:$AB$1048576,0))="MODIFY",INDEX(IDX_CA!$G$1:$G$1041,SUMPRODUCT(--($E73=IDX_CA!$A$2:$A$1041),--(NXT_COMPO!$P73=IDX_CA!$B$2:$B$1041),--(NXT_COMPO!$Q73=IDX_CA!$C$2:$C$1041),ROW(IDX_CA!$G$2:$G$1041))),INDEX(IDX_COMPOSITION!$F$1:$F$441,SUMPRODUCT(--($E73=IDX_COMPOSITION!$A$2:$A$441),--(NXT_COMPO!$P73=IDX_COMPOSITION!$R$2:$R$441),--(NXT_COMPO!$B$5=IDX_COMPOSITION!$L$2:$L$441),ROW(IDX_COMPOSITION!$F$2:$F$441)))),IF($D73&lt;=$B$4,INDEX(IDX_CA!$G$1:$G$1041,SUMPRODUCT(--($E73=IDX_CA!$A$2:$A$1041),--(NXT_COMPO!$P73=IDX_CA!$B$2:$B$1041),--(NXT_COMPO!$Q73=IDX_CA!$C$2:$C$1041),ROW(IDX_CA!$G$2:$G$1041))),""))</f>
        <v>11200</v>
      </c>
      <c r="K73" s="63" t="str">
        <f>IF($D73&lt;&gt;"",VLOOKUP($E73,STK_REF!$A$2:$J$1048576,7,0),"")</f>
        <v>VND</v>
      </c>
      <c r="L73" s="5">
        <f>IF($D73&lt;&gt;"",VLOOKUP($E73,STK_REF!$A$2:$J$1048576,8,0),"")</f>
        <v>1</v>
      </c>
      <c r="M73" s="8">
        <f>IF($D73&lt;&gt;"",IF($K73=$U73,1,IF(ISNA(VLOOKUP($K73&amp;$U73,CUR_RATES!$A$2:$F$521,4,0)),"",VLOOKUP($K73&amp;$U73,CUR_RATES!$A$2:$F$521,4,0))),"")</f>
        <v>1</v>
      </c>
      <c r="N73" s="61">
        <f t="shared" si="18"/>
        <v>11200</v>
      </c>
      <c r="O73" s="68">
        <f t="shared" si="19"/>
        <v>336000000000</v>
      </c>
      <c r="P73" s="5" t="str">
        <f t="shared" si="14"/>
        <v>VNXHSXPRVND</v>
      </c>
      <c r="Q73" s="75">
        <f t="shared" si="20"/>
        <v>41166</v>
      </c>
      <c r="R73" s="68" t="str">
        <f t="shared" si="21"/>
        <v/>
      </c>
      <c r="S73" s="61" t="str">
        <f t="shared" si="22"/>
        <v/>
      </c>
      <c r="T73" s="62" t="str">
        <f>IF(D73&lt;&gt;"",IF(SUMPRODUCT(--($E73=STK_DIV!$A$2:$A$5),--(NXT_COMPO!$Q73=STK_DIV!$E$2:$E$5),ROW(STK_DIV!$D$2:$D$5))=0,"",INDEX(STK_DIV!$D$1:$D$5,SUMPRODUCT(--($E73=STK_DIV!$A$2:$A$5),--(NXT_COMPO!$Q73=STK_DIV!$E$2:$E$5),ROW(STK_DIV!$D$2:$D$5)))),"")</f>
        <v/>
      </c>
      <c r="U73" s="54" t="str">
        <f>IF($D73&lt;&gt;"",VLOOKUP($P73,IDX_REF!$2:$1048576,4,0),"")</f>
        <v>VND</v>
      </c>
      <c r="W73" s="52">
        <f t="shared" si="15"/>
        <v>72</v>
      </c>
      <c r="X73" s="5" t="str">
        <f>IF(ROW(X73)-ROW($X$1)&lt;=$B$1,INDEX(IDX_COMPO!A:A,ROW(IDX_COMPO!A73)),"")</f>
        <v>PET</v>
      </c>
      <c r="Y73" s="75">
        <f t="shared" si="16"/>
        <v>41166</v>
      </c>
      <c r="Z73" s="54" t="str">
        <f>IF(ROW(Z73)-ROW($Y$1)&lt;=$B$1,INDEX(IDX_COMPO!F:F,ROW(IDX_COMPO!R73)),"")</f>
        <v>VNXHSXPRVND</v>
      </c>
      <c r="AA73" s="2" t="str">
        <f t="array" ref="AA73">IF(X73&lt;&gt;"",IF(SUMPRODUCT(--(X73=IDX_CA!$A$2:$A$1041),--(NXT_COMPO!Y73=IDX_CA!$C$2:$C$1041),--(Z73=IDX_CA!$B$2:$B$1041))&gt;0,IF(INDEX(IDX_CA!$I:$I,SUMPRODUCT(--(X73=IDX_CA!$A$2:$A$1041),--(NXT_COMPO!Y73=IDX_CA!$C$2:$C$1041),--(Z73=IDX_CA!$B$2:$B$1041),ROW(IDX_CA!$I$2:$I$1041)))=1,"YES","MODIFY"),""),"")</f>
        <v/>
      </c>
      <c r="AB73" s="5">
        <f>IF(X73&lt;&gt;"",IF(AA73="YES","",COUNTIF($AA$2:AA73,"&lt;&gt;YES")),"")</f>
        <v>72</v>
      </c>
      <c r="AC73" s="2"/>
    </row>
    <row r="74" spans="4:29" x14ac:dyDescent="0.2">
      <c r="D74" s="52">
        <f t="shared" si="13"/>
        <v>73</v>
      </c>
      <c r="E74" s="5" t="str">
        <f t="shared" si="17"/>
        <v>PTL</v>
      </c>
      <c r="F74" s="5" t="str">
        <f>IF($D74&lt;&gt;"",VLOOKUP($E74,STK_REF!$A$2:$J$1048576,2,0),"")</f>
        <v xml:space="preserve">Petro Capital and Infrastructure Investment Joint </v>
      </c>
      <c r="G74" s="68">
        <f>IF($D74&lt;=$B$1-$B$2,IF(INDEX($AA$2:$AA$1048576,MATCH($D74,$AB$2:$AB$1048576,0))="MODIFY",INDEX(IDX_CA!$D$1:$D$1041,SUMPRODUCT(--($E74=IDX_CA!$A$2:$A$1041),--(NXT_COMPO!$P74=IDX_CA!$B$2:$B$1041),--(NXT_COMPO!$Q74=IDX_CA!$C$2:$C$1041),ROW(IDX_CA!$D$2:$D$1041))),INDEX(IDX_COMPO!$C$1:$C$12000,SUMPRODUCT(--($E74=IDX_COMPO!$A$2:$A$1200),--(NXT_COMPO!$P74=IDX_COMPO!$F$2:$F$1200),--(NXT_COMPO!$B$5=IDX_COMPO!$G$2:$G$1200),ROW(IDX_COMPO!$C$2:$C$1200)))),IF($D74&lt;=$B$4,INDEX(IDX_CA!$D$1:$D$1041,SUMPRODUCT(--($E74=IDX_CA!$A$2:$A$1041),--(NXT_COMPO!$P74=IDX_CA!$B$2:$B$1041),--(NXT_COMPO!$Q74=IDX_CA!$C$2:$C$1041),ROW(IDX_CA!$D$2:$D$1041))),""))</f>
        <v>15000000</v>
      </c>
      <c r="H74" s="55">
        <f>IF($D74&lt;=$B$1-$B$2,IF(INDEX($AA$2:$AA$1048576,MATCH($D74,$AB$2:$AB$1048576,0))="MODIFY",INDEX(IDX_CA!$E$1:$E$1041,SUMPRODUCT(--($E74=IDX_CA!$A$2:$A$1041),--(NXT_COMPO!$P74=IDX_CA!$B$2:$B$1041),--(NXT_COMPO!$Q74=IDX_CA!$C$2:$C$1041),ROW(IDX_CA!$E$2:$E$1041))),INDEX(IDX_COMPO!$D$1:$D$1200,SUMPRODUCT(--($E74=IDX_COMPO!$A$2:$A$1200),--(NXT_COMPO!$P74=IDX_COMPO!$F$2:$F$1200),--(NXT_COMPO!$B$5=IDX_COMPO!$G$2:$G$1200),ROW(IDX_COMPO!$D$2:$D$1200)))),IF($D74&lt;=$B$4,INDEX(IDX_CA!$E$1:$E$1041,SUMPRODUCT(--($E74=IDX_CA!$A$2:$A$1041),--(NXT_COMPO!$P74=IDX_CA!$B$2:$B$1041),--(NXT_COMPO!$Q74=IDX_CA!$C$2:$C$1041),ROW(IDX_CA!$E$2:$E$1041))),""))</f>
        <v>100</v>
      </c>
      <c r="I74" s="55">
        <f>IF($D74&lt;=$B$1-$B$2,IF(INDEX($AA$2:$AA$1048576,MATCH($D74,$AB$2:$AB$1048576,0))="MODIFY",INDEX(IDX_CA!$F$1:$F$1041,SUMPRODUCT(--($E74=IDX_CA!$A$2:$A$1041),--(NXT_COMPO!$P74=IDX_CA!$B$2:$B$1041),--(NXT_COMPO!$Q74=IDX_CA!$C$2:$C$1041),ROW(IDX_CA!$F$2:$F$1041))),INDEX(IDX_COMPO!$E$1:$E$1200,SUMPRODUCT(--($E74=IDX_COMPO!$A$2:$A$1200),--(NXT_COMPO!$P74=IDX_COMPO!$F$2:$F$1200),--(NXT_COMPO!$B$5=IDX_COMPO!$G$2:$G$1200),ROW(IDX_COMPO!$E$2:$E$1200)))),IF($D74&lt;=$B$4,INDEX(IDX_CA!$F$1:$F$1041,SUMPRODUCT(--($E74=IDX_CA!$A$2:$A$1041),--(NXT_COMPO!$P74=IDX_CA!$B$2:$B$1041),--(NXT_COMPO!$Q74=IDX_CA!$C$2:$C$1041),ROW(IDX_CA!$F$2:$F$1041))),""))</f>
        <v>100</v>
      </c>
      <c r="J74" s="62">
        <f>IF($D74&lt;=$B$1-$B$2,IF(INDEX($AA$2:$AA$1048576,MATCH($D74,$AB$2:$AB$1048576,0))="MODIFY",INDEX(IDX_CA!$G$1:$G$1041,SUMPRODUCT(--($E74=IDX_CA!$A$2:$A$1041),--(NXT_COMPO!$P74=IDX_CA!$B$2:$B$1041),--(NXT_COMPO!$Q74=IDX_CA!$C$2:$C$1041),ROW(IDX_CA!$G$2:$G$1041))),INDEX(IDX_COMPOSITION!$F$1:$F$441,SUMPRODUCT(--($E74=IDX_COMPOSITION!$A$2:$A$441),--(NXT_COMPO!$P74=IDX_COMPOSITION!$R$2:$R$441),--(NXT_COMPO!$B$5=IDX_COMPOSITION!$L$2:$L$441),ROW(IDX_COMPOSITION!$F$2:$F$441)))),IF($D74&lt;=$B$4,INDEX(IDX_CA!$G$1:$G$1041,SUMPRODUCT(--($E74=IDX_CA!$A$2:$A$1041),--(NXT_COMPO!$P74=IDX_CA!$B$2:$B$1041),--(NXT_COMPO!$Q74=IDX_CA!$C$2:$C$1041),ROW(IDX_CA!$G$2:$G$1041))),""))</f>
        <v>2900</v>
      </c>
      <c r="K74" s="63" t="str">
        <f>IF($D74&lt;&gt;"",VLOOKUP($E74,STK_REF!$A$2:$J$1048576,7,0),"")</f>
        <v>VND</v>
      </c>
      <c r="L74" s="5">
        <f>IF($D74&lt;&gt;"",VLOOKUP($E74,STK_REF!$A$2:$J$1048576,8,0),"")</f>
        <v>1</v>
      </c>
      <c r="M74" s="8">
        <f>IF($D74&lt;&gt;"",IF($K74=$U74,1,IF(ISNA(VLOOKUP($K74&amp;$U74,CUR_RATES!$A$2:$F$521,4,0)),"",VLOOKUP($K74&amp;$U74,CUR_RATES!$A$2:$F$521,4,0))),"")</f>
        <v>1</v>
      </c>
      <c r="N74" s="61">
        <f t="shared" si="18"/>
        <v>2900</v>
      </c>
      <c r="O74" s="68">
        <f t="shared" si="19"/>
        <v>43500000000</v>
      </c>
      <c r="P74" s="5" t="str">
        <f t="shared" si="14"/>
        <v>VNXHSXPRVND</v>
      </c>
      <c r="Q74" s="75">
        <f t="shared" si="20"/>
        <v>41166</v>
      </c>
      <c r="R74" s="68" t="str">
        <f t="shared" si="21"/>
        <v/>
      </c>
      <c r="S74" s="61" t="str">
        <f t="shared" si="22"/>
        <v/>
      </c>
      <c r="T74" s="62" t="str">
        <f>IF(D74&lt;&gt;"",IF(SUMPRODUCT(--($E74=STK_DIV!$A$2:$A$5),--(NXT_COMPO!$Q74=STK_DIV!$E$2:$E$5),ROW(STK_DIV!$D$2:$D$5))=0,"",INDEX(STK_DIV!$D$1:$D$5,SUMPRODUCT(--($E74=STK_DIV!$A$2:$A$5),--(NXT_COMPO!$Q74=STK_DIV!$E$2:$E$5),ROW(STK_DIV!$D$2:$D$5)))),"")</f>
        <v/>
      </c>
      <c r="U74" s="54" t="str">
        <f>IF($D74&lt;&gt;"",VLOOKUP($P74,IDX_REF!$2:$1048576,4,0),"")</f>
        <v>VND</v>
      </c>
      <c r="W74" s="52">
        <f t="shared" si="15"/>
        <v>73</v>
      </c>
      <c r="X74" s="5" t="str">
        <f>IF(ROW(X74)-ROW($X$1)&lt;=$B$1,INDEX(IDX_COMPO!A:A,ROW(IDX_COMPO!A74)),"")</f>
        <v>PTL</v>
      </c>
      <c r="Y74" s="75">
        <f t="shared" si="16"/>
        <v>41166</v>
      </c>
      <c r="Z74" s="54" t="str">
        <f>IF(ROW(Z74)-ROW($Y$1)&lt;=$B$1,INDEX(IDX_COMPO!F:F,ROW(IDX_COMPO!R74)),"")</f>
        <v>VNXHSXPRVND</v>
      </c>
      <c r="AA74" s="2" t="str">
        <f t="array" ref="AA74">IF(X74&lt;&gt;"",IF(SUMPRODUCT(--(X74=IDX_CA!$A$2:$A$1041),--(NXT_COMPO!Y74=IDX_CA!$C$2:$C$1041),--(Z74=IDX_CA!$B$2:$B$1041))&gt;0,IF(INDEX(IDX_CA!$I:$I,SUMPRODUCT(--(X74=IDX_CA!$A$2:$A$1041),--(NXT_COMPO!Y74=IDX_CA!$C$2:$C$1041),--(Z74=IDX_CA!$B$2:$B$1041),ROW(IDX_CA!$I$2:$I$1041)))=1,"YES","MODIFY"),""),"")</f>
        <v/>
      </c>
      <c r="AB74" s="5">
        <f>IF(X74&lt;&gt;"",IF(AA74="YES","",COUNTIF($AA$2:AA74,"&lt;&gt;YES")),"")</f>
        <v>73</v>
      </c>
      <c r="AC74" s="2"/>
    </row>
    <row r="75" spans="4:29" x14ac:dyDescent="0.2">
      <c r="D75" s="52">
        <f t="shared" si="13"/>
        <v>74</v>
      </c>
      <c r="E75" s="5" t="str">
        <f t="shared" si="17"/>
        <v>PXS</v>
      </c>
      <c r="F75" s="5" t="str">
        <f>IF($D75&lt;&gt;"",VLOOKUP($E75,STK_REF!$A$2:$J$1048576,2,0),"")</f>
        <v>Petroleum Equipment Assembly and Metal Structure J</v>
      </c>
      <c r="G75" s="68">
        <f>IF($D75&lt;=$B$1-$B$2,IF(INDEX($AA$2:$AA$1048576,MATCH($D75,$AB$2:$AB$1048576,0))="MODIFY",INDEX(IDX_CA!$D$1:$D$1041,SUMPRODUCT(--($E75=IDX_CA!$A$2:$A$1041),--(NXT_COMPO!$P75=IDX_CA!$B$2:$B$1041),--(NXT_COMPO!$Q75=IDX_CA!$C$2:$C$1041),ROW(IDX_CA!$D$2:$D$1041))),INDEX(IDX_COMPO!$C$1:$C$12000,SUMPRODUCT(--($E75=IDX_COMPO!$A$2:$A$1200),--(NXT_COMPO!$P75=IDX_COMPO!$F$2:$F$1200),--(NXT_COMPO!$B$5=IDX_COMPO!$G$2:$G$1200),ROW(IDX_COMPO!$C$2:$C$1200)))),IF($D75&lt;=$B$4,INDEX(IDX_CA!$D$1:$D$1041,SUMPRODUCT(--($E75=IDX_CA!$A$2:$A$1041),--(NXT_COMPO!$P75=IDX_CA!$B$2:$B$1041),--(NXT_COMPO!$Q75=IDX_CA!$C$2:$C$1041),ROW(IDX_CA!$D$2:$D$1041))),""))</f>
        <v>37518001</v>
      </c>
      <c r="H75" s="55">
        <f>IF($D75&lt;=$B$1-$B$2,IF(INDEX($AA$2:$AA$1048576,MATCH($D75,$AB$2:$AB$1048576,0))="MODIFY",INDEX(IDX_CA!$E$1:$E$1041,SUMPRODUCT(--($E75=IDX_CA!$A$2:$A$1041),--(NXT_COMPO!$P75=IDX_CA!$B$2:$B$1041),--(NXT_COMPO!$Q75=IDX_CA!$C$2:$C$1041),ROW(IDX_CA!$E$2:$E$1041))),INDEX(IDX_COMPO!$D$1:$D$1200,SUMPRODUCT(--($E75=IDX_COMPO!$A$2:$A$1200),--(NXT_COMPO!$P75=IDX_COMPO!$F$2:$F$1200),--(NXT_COMPO!$B$5=IDX_COMPO!$G$2:$G$1200),ROW(IDX_COMPO!$D$2:$D$1200)))),IF($D75&lt;=$B$4,INDEX(IDX_CA!$E$1:$E$1041,SUMPRODUCT(--($E75=IDX_CA!$A$2:$A$1041),--(NXT_COMPO!$P75=IDX_CA!$B$2:$B$1041),--(NXT_COMPO!$Q75=IDX_CA!$C$2:$C$1041),ROW(IDX_CA!$E$2:$E$1041))),""))</f>
        <v>100</v>
      </c>
      <c r="I75" s="55">
        <f>IF($D75&lt;=$B$1-$B$2,IF(INDEX($AA$2:$AA$1048576,MATCH($D75,$AB$2:$AB$1048576,0))="MODIFY",INDEX(IDX_CA!$F$1:$F$1041,SUMPRODUCT(--($E75=IDX_CA!$A$2:$A$1041),--(NXT_COMPO!$P75=IDX_CA!$B$2:$B$1041),--(NXT_COMPO!$Q75=IDX_CA!$C$2:$C$1041),ROW(IDX_CA!$F$2:$F$1041))),INDEX(IDX_COMPO!$E$1:$E$1200,SUMPRODUCT(--($E75=IDX_COMPO!$A$2:$A$1200),--(NXT_COMPO!$P75=IDX_COMPO!$F$2:$F$1200),--(NXT_COMPO!$B$5=IDX_COMPO!$G$2:$G$1200),ROW(IDX_COMPO!$E$2:$E$1200)))),IF($D75&lt;=$B$4,INDEX(IDX_CA!$F$1:$F$1041,SUMPRODUCT(--($E75=IDX_CA!$A$2:$A$1041),--(NXT_COMPO!$P75=IDX_CA!$B$2:$B$1041),--(NXT_COMPO!$Q75=IDX_CA!$C$2:$C$1041),ROW(IDX_CA!$F$2:$F$1041))),""))</f>
        <v>100</v>
      </c>
      <c r="J75" s="62">
        <f>IF($D75&lt;=$B$1-$B$2,IF(INDEX($AA$2:$AA$1048576,MATCH($D75,$AB$2:$AB$1048576,0))="MODIFY",INDEX(IDX_CA!$G$1:$G$1041,SUMPRODUCT(--($E75=IDX_CA!$A$2:$A$1041),--(NXT_COMPO!$P75=IDX_CA!$B$2:$B$1041),--(NXT_COMPO!$Q75=IDX_CA!$C$2:$C$1041),ROW(IDX_CA!$G$2:$G$1041))),INDEX(IDX_COMPOSITION!$F$1:$F$441,SUMPRODUCT(--($E75=IDX_COMPOSITION!$A$2:$A$441),--(NXT_COMPO!$P75=IDX_COMPOSITION!$R$2:$R$441),--(NXT_COMPO!$B$5=IDX_COMPOSITION!$L$2:$L$441),ROW(IDX_COMPOSITION!$F$2:$F$441)))),IF($D75&lt;=$B$4,INDEX(IDX_CA!$G$1:$G$1041,SUMPRODUCT(--($E75=IDX_CA!$A$2:$A$1041),--(NXT_COMPO!$P75=IDX_CA!$B$2:$B$1041),--(NXT_COMPO!$Q75=IDX_CA!$C$2:$C$1041),ROW(IDX_CA!$G$2:$G$1041))),""))</f>
        <v>9400</v>
      </c>
      <c r="K75" s="63" t="str">
        <f>IF($D75&lt;&gt;"",VLOOKUP($E75,STK_REF!$A$2:$J$1048576,7,0),"")</f>
        <v>VND</v>
      </c>
      <c r="L75" s="5">
        <f>IF($D75&lt;&gt;"",VLOOKUP($E75,STK_REF!$A$2:$J$1048576,8,0),"")</f>
        <v>1</v>
      </c>
      <c r="M75" s="8">
        <f>IF($D75&lt;&gt;"",IF($K75=$U75,1,IF(ISNA(VLOOKUP($K75&amp;$U75,CUR_RATES!$A$2:$F$521,4,0)),"",VLOOKUP($K75&amp;$U75,CUR_RATES!$A$2:$F$521,4,0))),"")</f>
        <v>1</v>
      </c>
      <c r="N75" s="61">
        <f t="shared" si="18"/>
        <v>9400</v>
      </c>
      <c r="O75" s="68">
        <f t="shared" si="19"/>
        <v>352669209400</v>
      </c>
      <c r="P75" s="5" t="str">
        <f t="shared" si="14"/>
        <v>VNXHSXPRVND</v>
      </c>
      <c r="Q75" s="75">
        <f t="shared" si="20"/>
        <v>41166</v>
      </c>
      <c r="R75" s="68" t="str">
        <f t="shared" si="21"/>
        <v/>
      </c>
      <c r="S75" s="61" t="str">
        <f t="shared" si="22"/>
        <v/>
      </c>
      <c r="T75" s="62" t="str">
        <f>IF(D75&lt;&gt;"",IF(SUMPRODUCT(--($E75=STK_DIV!$A$2:$A$5),--(NXT_COMPO!$Q75=STK_DIV!$E$2:$E$5),ROW(STK_DIV!$D$2:$D$5))=0,"",INDEX(STK_DIV!$D$1:$D$5,SUMPRODUCT(--($E75=STK_DIV!$A$2:$A$5),--(NXT_COMPO!$Q75=STK_DIV!$E$2:$E$5),ROW(STK_DIV!$D$2:$D$5)))),"")</f>
        <v/>
      </c>
      <c r="U75" s="54" t="str">
        <f>IF($D75&lt;&gt;"",VLOOKUP($P75,IDX_REF!$2:$1048576,4,0),"")</f>
        <v>VND</v>
      </c>
      <c r="W75" s="52">
        <f t="shared" si="15"/>
        <v>74</v>
      </c>
      <c r="X75" s="5" t="str">
        <f>IF(ROW(X75)-ROW($X$1)&lt;=$B$1,INDEX(IDX_COMPO!A:A,ROW(IDX_COMPO!A75)),"")</f>
        <v>PXS</v>
      </c>
      <c r="Y75" s="75">
        <f t="shared" si="16"/>
        <v>41166</v>
      </c>
      <c r="Z75" s="54" t="str">
        <f>IF(ROW(Z75)-ROW($Y$1)&lt;=$B$1,INDEX(IDX_COMPO!F:F,ROW(IDX_COMPO!R75)),"")</f>
        <v>VNXHSXPRVND</v>
      </c>
      <c r="AA75" s="2" t="str">
        <f t="array" ref="AA75">IF(X75&lt;&gt;"",IF(SUMPRODUCT(--(X75=IDX_CA!$A$2:$A$1041),--(NXT_COMPO!Y75=IDX_CA!$C$2:$C$1041),--(Z75=IDX_CA!$B$2:$B$1041))&gt;0,IF(INDEX(IDX_CA!$I:$I,SUMPRODUCT(--(X75=IDX_CA!$A$2:$A$1041),--(NXT_COMPO!Y75=IDX_CA!$C$2:$C$1041),--(Z75=IDX_CA!$B$2:$B$1041),ROW(IDX_CA!$I$2:$I$1041)))=1,"YES","MODIFY"),""),"")</f>
        <v/>
      </c>
      <c r="AB75" s="5">
        <f>IF(X75&lt;&gt;"",IF(AA75="YES","",COUNTIF($AA$2:AA75,"&lt;&gt;YES")),"")</f>
        <v>74</v>
      </c>
      <c r="AC75" s="2"/>
    </row>
    <row r="76" spans="4:29" x14ac:dyDescent="0.2">
      <c r="D76" s="52">
        <f t="shared" si="13"/>
        <v>75</v>
      </c>
      <c r="E76" s="5" t="str">
        <f t="shared" si="17"/>
        <v>PXI</v>
      </c>
      <c r="F76" s="5" t="str">
        <f>IF($D76&lt;&gt;"",VLOOKUP($E76,STK_REF!$A$2:$J$1048576,2,0),"")</f>
        <v xml:space="preserve">Petroleum Industrial and Civil Construction Joint </v>
      </c>
      <c r="G76" s="68">
        <f>IF($D76&lt;=$B$1-$B$2,IF(INDEX($AA$2:$AA$1048576,MATCH($D76,$AB$2:$AB$1048576,0))="MODIFY",INDEX(IDX_CA!$D$1:$D$1041,SUMPRODUCT(--($E76=IDX_CA!$A$2:$A$1041),--(NXT_COMPO!$P76=IDX_CA!$B$2:$B$1041),--(NXT_COMPO!$Q76=IDX_CA!$C$2:$C$1041),ROW(IDX_CA!$D$2:$D$1041))),INDEX(IDX_COMPO!$C$1:$C$12000,SUMPRODUCT(--($E76=IDX_COMPO!$A$2:$A$1200),--(NXT_COMPO!$P76=IDX_COMPO!$F$2:$F$1200),--(NXT_COMPO!$B$5=IDX_COMPO!$G$2:$G$1200),ROW(IDX_COMPO!$C$2:$C$1200)))),IF($D76&lt;=$B$4,INDEX(IDX_CA!$D$1:$D$1041,SUMPRODUCT(--($E76=IDX_CA!$A$2:$A$1041),--(NXT_COMPO!$P76=IDX_CA!$B$2:$B$1041),--(NXT_COMPO!$Q76=IDX_CA!$C$2:$C$1041),ROW(IDX_CA!$D$2:$D$1041))),""))</f>
        <v>20000000</v>
      </c>
      <c r="H76" s="55">
        <f>IF($D76&lt;=$B$1-$B$2,IF(INDEX($AA$2:$AA$1048576,MATCH($D76,$AB$2:$AB$1048576,0))="MODIFY",INDEX(IDX_CA!$E$1:$E$1041,SUMPRODUCT(--($E76=IDX_CA!$A$2:$A$1041),--(NXT_COMPO!$P76=IDX_CA!$B$2:$B$1041),--(NXT_COMPO!$Q76=IDX_CA!$C$2:$C$1041),ROW(IDX_CA!$E$2:$E$1041))),INDEX(IDX_COMPO!$D$1:$D$1200,SUMPRODUCT(--($E76=IDX_COMPO!$A$2:$A$1200),--(NXT_COMPO!$P76=IDX_COMPO!$F$2:$F$1200),--(NXT_COMPO!$B$5=IDX_COMPO!$G$2:$G$1200),ROW(IDX_COMPO!$D$2:$D$1200)))),IF($D76&lt;=$B$4,INDEX(IDX_CA!$E$1:$E$1041,SUMPRODUCT(--($E76=IDX_CA!$A$2:$A$1041),--(NXT_COMPO!$P76=IDX_CA!$B$2:$B$1041),--(NXT_COMPO!$Q76=IDX_CA!$C$2:$C$1041),ROW(IDX_CA!$E$2:$E$1041))),""))</f>
        <v>100</v>
      </c>
      <c r="I76" s="55">
        <f>IF($D76&lt;=$B$1-$B$2,IF(INDEX($AA$2:$AA$1048576,MATCH($D76,$AB$2:$AB$1048576,0))="MODIFY",INDEX(IDX_CA!$F$1:$F$1041,SUMPRODUCT(--($E76=IDX_CA!$A$2:$A$1041),--(NXT_COMPO!$P76=IDX_CA!$B$2:$B$1041),--(NXT_COMPO!$Q76=IDX_CA!$C$2:$C$1041),ROW(IDX_CA!$F$2:$F$1041))),INDEX(IDX_COMPO!$E$1:$E$1200,SUMPRODUCT(--($E76=IDX_COMPO!$A$2:$A$1200),--(NXT_COMPO!$P76=IDX_COMPO!$F$2:$F$1200),--(NXT_COMPO!$B$5=IDX_COMPO!$G$2:$G$1200),ROW(IDX_COMPO!$E$2:$E$1200)))),IF($D76&lt;=$B$4,INDEX(IDX_CA!$F$1:$F$1041,SUMPRODUCT(--($E76=IDX_CA!$A$2:$A$1041),--(NXT_COMPO!$P76=IDX_CA!$B$2:$B$1041),--(NXT_COMPO!$Q76=IDX_CA!$C$2:$C$1041),ROW(IDX_CA!$F$2:$F$1041))),""))</f>
        <v>100</v>
      </c>
      <c r="J76" s="62">
        <f>IF($D76&lt;=$B$1-$B$2,IF(INDEX($AA$2:$AA$1048576,MATCH($D76,$AB$2:$AB$1048576,0))="MODIFY",INDEX(IDX_CA!$G$1:$G$1041,SUMPRODUCT(--($E76=IDX_CA!$A$2:$A$1041),--(NXT_COMPO!$P76=IDX_CA!$B$2:$B$1041),--(NXT_COMPO!$Q76=IDX_CA!$C$2:$C$1041),ROW(IDX_CA!$G$2:$G$1041))),INDEX(IDX_COMPOSITION!$F$1:$F$441,SUMPRODUCT(--($E76=IDX_COMPOSITION!$A$2:$A$441),--(NXT_COMPO!$P76=IDX_COMPOSITION!$R$2:$R$441),--(NXT_COMPO!$B$5=IDX_COMPOSITION!$L$2:$L$441),ROW(IDX_COMPOSITION!$F$2:$F$441)))),IF($D76&lt;=$B$4,INDEX(IDX_CA!$G$1:$G$1041,SUMPRODUCT(--($E76=IDX_CA!$A$2:$A$1041),--(NXT_COMPO!$P76=IDX_CA!$B$2:$B$1041),--(NXT_COMPO!$Q76=IDX_CA!$C$2:$C$1041),ROW(IDX_CA!$G$2:$G$1041))),""))</f>
        <v>4000</v>
      </c>
      <c r="K76" s="63" t="str">
        <f>IF($D76&lt;&gt;"",VLOOKUP($E76,STK_REF!$A$2:$J$1048576,7,0),"")</f>
        <v>VND</v>
      </c>
      <c r="L76" s="5">
        <f>IF($D76&lt;&gt;"",VLOOKUP($E76,STK_REF!$A$2:$J$1048576,8,0),"")</f>
        <v>1</v>
      </c>
      <c r="M76" s="8">
        <f>IF($D76&lt;&gt;"",IF($K76=$U76,1,IF(ISNA(VLOOKUP($K76&amp;$U76,CUR_RATES!$A$2:$F$521,4,0)),"",VLOOKUP($K76&amp;$U76,CUR_RATES!$A$2:$F$521,4,0))),"")</f>
        <v>1</v>
      </c>
      <c r="N76" s="61">
        <f t="shared" si="18"/>
        <v>4000</v>
      </c>
      <c r="O76" s="68">
        <f t="shared" si="19"/>
        <v>80000000000</v>
      </c>
      <c r="P76" s="5" t="str">
        <f t="shared" si="14"/>
        <v>VNXHSXPRVND</v>
      </c>
      <c r="Q76" s="75">
        <f t="shared" si="20"/>
        <v>41166</v>
      </c>
      <c r="R76" s="68" t="str">
        <f t="shared" si="21"/>
        <v/>
      </c>
      <c r="S76" s="61" t="str">
        <f t="shared" si="22"/>
        <v/>
      </c>
      <c r="T76" s="62" t="str">
        <f>IF(D76&lt;&gt;"",IF(SUMPRODUCT(--($E76=STK_DIV!$A$2:$A$5),--(NXT_COMPO!$Q76=STK_DIV!$E$2:$E$5),ROW(STK_DIV!$D$2:$D$5))=0,"",INDEX(STK_DIV!$D$1:$D$5,SUMPRODUCT(--($E76=STK_DIV!$A$2:$A$5),--(NXT_COMPO!$Q76=STK_DIV!$E$2:$E$5),ROW(STK_DIV!$D$2:$D$5)))),"")</f>
        <v/>
      </c>
      <c r="U76" s="54" t="str">
        <f>IF($D76&lt;&gt;"",VLOOKUP($P76,IDX_REF!$2:$1048576,4,0),"")</f>
        <v>VND</v>
      </c>
      <c r="W76" s="52">
        <f t="shared" si="15"/>
        <v>75</v>
      </c>
      <c r="X76" s="5" t="str">
        <f>IF(ROW(X76)-ROW($X$1)&lt;=$B$1,INDEX(IDX_COMPO!A:A,ROW(IDX_COMPO!A76)),"")</f>
        <v>PXI</v>
      </c>
      <c r="Y76" s="75">
        <f t="shared" si="16"/>
        <v>41166</v>
      </c>
      <c r="Z76" s="54" t="str">
        <f>IF(ROW(Z76)-ROW($Y$1)&lt;=$B$1,INDEX(IDX_COMPO!F:F,ROW(IDX_COMPO!R76)),"")</f>
        <v>VNXHSXPRVND</v>
      </c>
      <c r="AA76" s="2" t="str">
        <f t="array" ref="AA76">IF(X76&lt;&gt;"",IF(SUMPRODUCT(--(X76=IDX_CA!$A$2:$A$1041),--(NXT_COMPO!Y76=IDX_CA!$C$2:$C$1041),--(Z76=IDX_CA!$B$2:$B$1041))&gt;0,IF(INDEX(IDX_CA!$I:$I,SUMPRODUCT(--(X76=IDX_CA!$A$2:$A$1041),--(NXT_COMPO!Y76=IDX_CA!$C$2:$C$1041),--(Z76=IDX_CA!$B$2:$B$1041),ROW(IDX_CA!$I$2:$I$1041)))=1,"YES","MODIFY"),""),"")</f>
        <v/>
      </c>
      <c r="AB76" s="5">
        <f>IF(X76&lt;&gt;"",IF(AA76="YES","",COUNTIF($AA$2:AA76,"&lt;&gt;YES")),"")</f>
        <v>75</v>
      </c>
      <c r="AC76" s="2"/>
    </row>
    <row r="77" spans="4:29" x14ac:dyDescent="0.2">
      <c r="D77" s="52">
        <f t="shared" si="13"/>
        <v>76</v>
      </c>
      <c r="E77" s="5" t="str">
        <f t="shared" si="17"/>
        <v>PXT</v>
      </c>
      <c r="F77" s="5" t="str">
        <f>IF($D77&lt;&gt;"",VLOOKUP($E77,STK_REF!$A$2:$J$1048576,2,0),"")</f>
        <v>Petroleum Pipeline and Tank Construction Joint Sto</v>
      </c>
      <c r="G77" s="68">
        <f>IF($D77&lt;=$B$1-$B$2,IF(INDEX($AA$2:$AA$1048576,MATCH($D77,$AB$2:$AB$1048576,0))="MODIFY",INDEX(IDX_CA!$D$1:$D$1041,SUMPRODUCT(--($E77=IDX_CA!$A$2:$A$1041),--(NXT_COMPO!$P77=IDX_CA!$B$2:$B$1041),--(NXT_COMPO!$Q77=IDX_CA!$C$2:$C$1041),ROW(IDX_CA!$D$2:$D$1041))),INDEX(IDX_COMPO!$C$1:$C$12000,SUMPRODUCT(--($E77=IDX_COMPO!$A$2:$A$1200),--(NXT_COMPO!$P77=IDX_COMPO!$F$2:$F$1200),--(NXT_COMPO!$B$5=IDX_COMPO!$G$2:$G$1200),ROW(IDX_COMPO!$C$2:$C$1200)))),IF($D77&lt;=$B$4,INDEX(IDX_CA!$D$1:$D$1041,SUMPRODUCT(--($E77=IDX_CA!$A$2:$A$1041),--(NXT_COMPO!$P77=IDX_CA!$B$2:$B$1041),--(NXT_COMPO!$Q77=IDX_CA!$C$2:$C$1041),ROW(IDX_CA!$D$2:$D$1041))),""))</f>
        <v>42900000</v>
      </c>
      <c r="H77" s="55">
        <f>IF($D77&lt;=$B$1-$B$2,IF(INDEX($AA$2:$AA$1048576,MATCH($D77,$AB$2:$AB$1048576,0))="MODIFY",INDEX(IDX_CA!$E$1:$E$1041,SUMPRODUCT(--($E77=IDX_CA!$A$2:$A$1041),--(NXT_COMPO!$P77=IDX_CA!$B$2:$B$1041),--(NXT_COMPO!$Q77=IDX_CA!$C$2:$C$1041),ROW(IDX_CA!$E$2:$E$1041))),INDEX(IDX_COMPO!$D$1:$D$1200,SUMPRODUCT(--($E77=IDX_COMPO!$A$2:$A$1200),--(NXT_COMPO!$P77=IDX_COMPO!$F$2:$F$1200),--(NXT_COMPO!$B$5=IDX_COMPO!$G$2:$G$1200),ROW(IDX_COMPO!$D$2:$D$1200)))),IF($D77&lt;=$B$4,INDEX(IDX_CA!$E$1:$E$1041,SUMPRODUCT(--($E77=IDX_CA!$A$2:$A$1041),--(NXT_COMPO!$P77=IDX_CA!$B$2:$B$1041),--(NXT_COMPO!$Q77=IDX_CA!$C$2:$C$1041),ROW(IDX_CA!$E$2:$E$1041))),""))</f>
        <v>100</v>
      </c>
      <c r="I77" s="55">
        <f>IF($D77&lt;=$B$1-$B$2,IF(INDEX($AA$2:$AA$1048576,MATCH($D77,$AB$2:$AB$1048576,0))="MODIFY",INDEX(IDX_CA!$F$1:$F$1041,SUMPRODUCT(--($E77=IDX_CA!$A$2:$A$1041),--(NXT_COMPO!$P77=IDX_CA!$B$2:$B$1041),--(NXT_COMPO!$Q77=IDX_CA!$C$2:$C$1041),ROW(IDX_CA!$F$2:$F$1041))),INDEX(IDX_COMPO!$E$1:$E$1200,SUMPRODUCT(--($E77=IDX_COMPO!$A$2:$A$1200),--(NXT_COMPO!$P77=IDX_COMPO!$F$2:$F$1200),--(NXT_COMPO!$B$5=IDX_COMPO!$G$2:$G$1200),ROW(IDX_COMPO!$E$2:$E$1200)))),IF($D77&lt;=$B$4,INDEX(IDX_CA!$F$1:$F$1041,SUMPRODUCT(--($E77=IDX_CA!$A$2:$A$1041),--(NXT_COMPO!$P77=IDX_CA!$B$2:$B$1041),--(NXT_COMPO!$Q77=IDX_CA!$C$2:$C$1041),ROW(IDX_CA!$F$2:$F$1041))),""))</f>
        <v>100</v>
      </c>
      <c r="J77" s="62">
        <f>IF($D77&lt;=$B$1-$B$2,IF(INDEX($AA$2:$AA$1048576,MATCH($D77,$AB$2:$AB$1048576,0))="MODIFY",INDEX(IDX_CA!$G$1:$G$1041,SUMPRODUCT(--($E77=IDX_CA!$A$2:$A$1041),--(NXT_COMPO!$P77=IDX_CA!$B$2:$B$1041),--(NXT_COMPO!$Q77=IDX_CA!$C$2:$C$1041),ROW(IDX_CA!$G$2:$G$1041))),INDEX(IDX_COMPOSITION!$F$1:$F$441,SUMPRODUCT(--($E77=IDX_COMPOSITION!$A$2:$A$441),--(NXT_COMPO!$P77=IDX_COMPOSITION!$R$2:$R$441),--(NXT_COMPO!$B$5=IDX_COMPOSITION!$L$2:$L$441),ROW(IDX_COMPOSITION!$F$2:$F$441)))),IF($D77&lt;=$B$4,INDEX(IDX_CA!$G$1:$G$1041,SUMPRODUCT(--($E77=IDX_CA!$A$2:$A$1041),--(NXT_COMPO!$P77=IDX_CA!$B$2:$B$1041),--(NXT_COMPO!$Q77=IDX_CA!$C$2:$C$1041),ROW(IDX_CA!$G$2:$G$1041))),""))</f>
        <v>4200</v>
      </c>
      <c r="K77" s="63" t="str">
        <f>IF($D77&lt;&gt;"",VLOOKUP($E77,STK_REF!$A$2:$J$1048576,7,0),"")</f>
        <v>VND</v>
      </c>
      <c r="L77" s="5">
        <f>IF($D77&lt;&gt;"",VLOOKUP($E77,STK_REF!$A$2:$J$1048576,8,0),"")</f>
        <v>1</v>
      </c>
      <c r="M77" s="8">
        <f>IF($D77&lt;&gt;"",IF($K77=$U77,1,IF(ISNA(VLOOKUP($K77&amp;$U77,CUR_RATES!$A$2:$F$521,4,0)),"",VLOOKUP($K77&amp;$U77,CUR_RATES!$A$2:$F$521,4,0))),"")</f>
        <v>1</v>
      </c>
      <c r="N77" s="61">
        <f t="shared" si="18"/>
        <v>4200</v>
      </c>
      <c r="O77" s="68">
        <f t="shared" si="19"/>
        <v>180180000000</v>
      </c>
      <c r="P77" s="5" t="str">
        <f t="shared" si="14"/>
        <v>VNXHSXPRVND</v>
      </c>
      <c r="Q77" s="75">
        <f t="shared" si="20"/>
        <v>41166</v>
      </c>
      <c r="R77" s="68" t="str">
        <f t="shared" si="21"/>
        <v/>
      </c>
      <c r="S77" s="61" t="str">
        <f t="shared" si="22"/>
        <v/>
      </c>
      <c r="T77" s="62" t="str">
        <f>IF(D77&lt;&gt;"",IF(SUMPRODUCT(--($E77=STK_DIV!$A$2:$A$5),--(NXT_COMPO!$Q77=STK_DIV!$E$2:$E$5),ROW(STK_DIV!$D$2:$D$5))=0,"",INDEX(STK_DIV!$D$1:$D$5,SUMPRODUCT(--($E77=STK_DIV!$A$2:$A$5),--(NXT_COMPO!$Q77=STK_DIV!$E$2:$E$5),ROW(STK_DIV!$D$2:$D$5)))),"")</f>
        <v/>
      </c>
      <c r="U77" s="54" t="str">
        <f>IF($D77&lt;&gt;"",VLOOKUP($P77,IDX_REF!$2:$1048576,4,0),"")</f>
        <v>VND</v>
      </c>
      <c r="W77" s="52">
        <f t="shared" si="15"/>
        <v>76</v>
      </c>
      <c r="X77" s="5" t="str">
        <f>IF(ROW(X77)-ROW($X$1)&lt;=$B$1,INDEX(IDX_COMPO!A:A,ROW(IDX_COMPO!A77)),"")</f>
        <v>PXT</v>
      </c>
      <c r="Y77" s="75">
        <f t="shared" si="16"/>
        <v>41166</v>
      </c>
      <c r="Z77" s="54" t="str">
        <f>IF(ROW(Z77)-ROW($Y$1)&lt;=$B$1,INDEX(IDX_COMPO!F:F,ROW(IDX_COMPO!R77)),"")</f>
        <v>VNXHSXPRVND</v>
      </c>
      <c r="AA77" s="2" t="str">
        <f t="array" ref="AA77">IF(X77&lt;&gt;"",IF(SUMPRODUCT(--(X77=IDX_CA!$A$2:$A$1041),--(NXT_COMPO!Y77=IDX_CA!$C$2:$C$1041),--(Z77=IDX_CA!$B$2:$B$1041))&gt;0,IF(INDEX(IDX_CA!$I:$I,SUMPRODUCT(--(X77=IDX_CA!$A$2:$A$1041),--(NXT_COMPO!Y77=IDX_CA!$C$2:$C$1041),--(Z77=IDX_CA!$B$2:$B$1041),ROW(IDX_CA!$I$2:$I$1041)))=1,"YES","MODIFY"),""),"")</f>
        <v/>
      </c>
      <c r="AB77" s="5">
        <f>IF(X77&lt;&gt;"",IF(AA77="YES","",COUNTIF($AA$2:AA77,"&lt;&gt;YES")),"")</f>
        <v>76</v>
      </c>
      <c r="AC77" s="2"/>
    </row>
    <row r="78" spans="4:29" x14ac:dyDescent="0.2">
      <c r="D78" s="52">
        <f t="shared" si="13"/>
        <v>77</v>
      </c>
      <c r="E78" s="5" t="str">
        <f t="shared" si="17"/>
        <v>PXM</v>
      </c>
      <c r="F78" s="5" t="str">
        <f>IF($D78&lt;&gt;"",VLOOKUP($E78,STK_REF!$A$2:$J$1048576,2,0),"")</f>
        <v>Mientrung Petroleum Construction Joint Stock Compa</v>
      </c>
      <c r="G78" s="68">
        <f>IF($D78&lt;=$B$1-$B$2,IF(INDEX($AA$2:$AA$1048576,MATCH($D78,$AB$2:$AB$1048576,0))="MODIFY",INDEX(IDX_CA!$D$1:$D$1041,SUMPRODUCT(--($E78=IDX_CA!$A$2:$A$1041),--(NXT_COMPO!$P78=IDX_CA!$B$2:$B$1041),--(NXT_COMPO!$Q78=IDX_CA!$C$2:$C$1041),ROW(IDX_CA!$D$2:$D$1041))),INDEX(IDX_COMPO!$C$1:$C$12000,SUMPRODUCT(--($E78=IDX_COMPO!$A$2:$A$1200),--(NXT_COMPO!$P78=IDX_COMPO!$F$2:$F$1200),--(NXT_COMPO!$B$5=IDX_COMPO!$G$2:$G$1200),ROW(IDX_COMPO!$C$2:$C$1200)))),IF($D78&lt;=$B$4,INDEX(IDX_CA!$D$1:$D$1041,SUMPRODUCT(--($E78=IDX_CA!$A$2:$A$1041),--(NXT_COMPO!$P78=IDX_CA!$B$2:$B$1041),--(NXT_COMPO!$Q78=IDX_CA!$C$2:$C$1041),ROW(IDX_CA!$D$2:$D$1041))),""))</f>
        <v>209740215</v>
      </c>
      <c r="H78" s="55">
        <f>IF($D78&lt;=$B$1-$B$2,IF(INDEX($AA$2:$AA$1048576,MATCH($D78,$AB$2:$AB$1048576,0))="MODIFY",INDEX(IDX_CA!$E$1:$E$1041,SUMPRODUCT(--($E78=IDX_CA!$A$2:$A$1041),--(NXT_COMPO!$P78=IDX_CA!$B$2:$B$1041),--(NXT_COMPO!$Q78=IDX_CA!$C$2:$C$1041),ROW(IDX_CA!$E$2:$E$1041))),INDEX(IDX_COMPO!$D$1:$D$1200,SUMPRODUCT(--($E78=IDX_COMPO!$A$2:$A$1200),--(NXT_COMPO!$P78=IDX_COMPO!$F$2:$F$1200),--(NXT_COMPO!$B$5=IDX_COMPO!$G$2:$G$1200),ROW(IDX_COMPO!$D$2:$D$1200)))),IF($D78&lt;=$B$4,INDEX(IDX_CA!$E$1:$E$1041,SUMPRODUCT(--($E78=IDX_CA!$A$2:$A$1041),--(NXT_COMPO!$P78=IDX_CA!$B$2:$B$1041),--(NXT_COMPO!$Q78=IDX_CA!$C$2:$C$1041),ROW(IDX_CA!$E$2:$E$1041))),""))</f>
        <v>100</v>
      </c>
      <c r="I78" s="55">
        <f>IF($D78&lt;=$B$1-$B$2,IF(INDEX($AA$2:$AA$1048576,MATCH($D78,$AB$2:$AB$1048576,0))="MODIFY",INDEX(IDX_CA!$F$1:$F$1041,SUMPRODUCT(--($E78=IDX_CA!$A$2:$A$1041),--(NXT_COMPO!$P78=IDX_CA!$B$2:$B$1041),--(NXT_COMPO!$Q78=IDX_CA!$C$2:$C$1041),ROW(IDX_CA!$F$2:$F$1041))),INDEX(IDX_COMPO!$E$1:$E$1200,SUMPRODUCT(--($E78=IDX_COMPO!$A$2:$A$1200),--(NXT_COMPO!$P78=IDX_COMPO!$F$2:$F$1200),--(NXT_COMPO!$B$5=IDX_COMPO!$G$2:$G$1200),ROW(IDX_COMPO!$E$2:$E$1200)))),IF($D78&lt;=$B$4,INDEX(IDX_CA!$F$1:$F$1041,SUMPRODUCT(--($E78=IDX_CA!$A$2:$A$1041),--(NXT_COMPO!$P78=IDX_CA!$B$2:$B$1041),--(NXT_COMPO!$Q78=IDX_CA!$C$2:$C$1041),ROW(IDX_CA!$F$2:$F$1041))),""))</f>
        <v>100</v>
      </c>
      <c r="J78" s="62">
        <f>IF($D78&lt;=$B$1-$B$2,IF(INDEX($AA$2:$AA$1048576,MATCH($D78,$AB$2:$AB$1048576,0))="MODIFY",INDEX(IDX_CA!$G$1:$G$1041,SUMPRODUCT(--($E78=IDX_CA!$A$2:$A$1041),--(NXT_COMPO!$P78=IDX_CA!$B$2:$B$1041),--(NXT_COMPO!$Q78=IDX_CA!$C$2:$C$1041),ROW(IDX_CA!$G$2:$G$1041))),INDEX(IDX_COMPOSITION!$F$1:$F$441,SUMPRODUCT(--($E78=IDX_COMPOSITION!$A$2:$A$441),--(NXT_COMPO!$P78=IDX_COMPOSITION!$R$2:$R$441),--(NXT_COMPO!$B$5=IDX_COMPOSITION!$L$2:$L$441),ROW(IDX_COMPOSITION!$F$2:$F$441)))),IF($D78&lt;=$B$4,INDEX(IDX_CA!$G$1:$G$1041,SUMPRODUCT(--($E78=IDX_CA!$A$2:$A$1041),--(NXT_COMPO!$P78=IDX_CA!$B$2:$B$1041),--(NXT_COMPO!$Q78=IDX_CA!$C$2:$C$1041),ROW(IDX_CA!$G$2:$G$1041))),""))</f>
        <v>3200</v>
      </c>
      <c r="K78" s="63" t="str">
        <f>IF($D78&lt;&gt;"",VLOOKUP($E78,STK_REF!$A$2:$J$1048576,7,0),"")</f>
        <v>VND</v>
      </c>
      <c r="L78" s="5">
        <f>IF($D78&lt;&gt;"",VLOOKUP($E78,STK_REF!$A$2:$J$1048576,8,0),"")</f>
        <v>1</v>
      </c>
      <c r="M78" s="8">
        <f>IF($D78&lt;&gt;"",IF($K78=$U78,1,IF(ISNA(VLOOKUP($K78&amp;$U78,CUR_RATES!$A$2:$F$521,4,0)),"",VLOOKUP($K78&amp;$U78,CUR_RATES!$A$2:$F$521,4,0))),"")</f>
        <v>1</v>
      </c>
      <c r="N78" s="61">
        <f t="shared" si="18"/>
        <v>3200</v>
      </c>
      <c r="O78" s="68">
        <f t="shared" si="19"/>
        <v>671168688000</v>
      </c>
      <c r="P78" s="5" t="str">
        <f t="shared" si="14"/>
        <v>VNXHSXPRVND</v>
      </c>
      <c r="Q78" s="75">
        <f t="shared" si="20"/>
        <v>41166</v>
      </c>
      <c r="R78" s="68" t="str">
        <f t="shared" si="21"/>
        <v/>
      </c>
      <c r="S78" s="61" t="str">
        <f t="shared" si="22"/>
        <v/>
      </c>
      <c r="T78" s="62" t="str">
        <f>IF(D78&lt;&gt;"",IF(SUMPRODUCT(--($E78=STK_DIV!$A$2:$A$5),--(NXT_COMPO!$Q78=STK_DIV!$E$2:$E$5),ROW(STK_DIV!$D$2:$D$5))=0,"",INDEX(STK_DIV!$D$1:$D$5,SUMPRODUCT(--($E78=STK_DIV!$A$2:$A$5),--(NXT_COMPO!$Q78=STK_DIV!$E$2:$E$5),ROW(STK_DIV!$D$2:$D$5)))),"")</f>
        <v/>
      </c>
      <c r="U78" s="54" t="str">
        <f>IF($D78&lt;&gt;"",VLOOKUP($P78,IDX_REF!$2:$1048576,4,0),"")</f>
        <v>VND</v>
      </c>
      <c r="W78" s="52">
        <f t="shared" si="15"/>
        <v>77</v>
      </c>
      <c r="X78" s="5" t="str">
        <f>IF(ROW(X78)-ROW($X$1)&lt;=$B$1,INDEX(IDX_COMPO!A:A,ROW(IDX_COMPO!A78)),"")</f>
        <v>PXM</v>
      </c>
      <c r="Y78" s="75">
        <f t="shared" si="16"/>
        <v>41166</v>
      </c>
      <c r="Z78" s="54" t="str">
        <f>IF(ROW(Z78)-ROW($Y$1)&lt;=$B$1,INDEX(IDX_COMPO!F:F,ROW(IDX_COMPO!R78)),"")</f>
        <v>VNXHSXPRVND</v>
      </c>
      <c r="AA78" s="2" t="str">
        <f t="array" ref="AA78">IF(X78&lt;&gt;"",IF(SUMPRODUCT(--(X78=IDX_CA!$A$2:$A$1041),--(NXT_COMPO!Y78=IDX_CA!$C$2:$C$1041),--(Z78=IDX_CA!$B$2:$B$1041))&gt;0,IF(INDEX(IDX_CA!$I:$I,SUMPRODUCT(--(X78=IDX_CA!$A$2:$A$1041),--(NXT_COMPO!Y78=IDX_CA!$C$2:$C$1041),--(Z78=IDX_CA!$B$2:$B$1041),ROW(IDX_CA!$I$2:$I$1041)))=1,"YES","MODIFY"),""),"")</f>
        <v/>
      </c>
      <c r="AB78" s="5">
        <f>IF(X78&lt;&gt;"",IF(AA78="YES","",COUNTIF($AA$2:AA78,"&lt;&gt;YES")),"")</f>
        <v>77</v>
      </c>
      <c r="AC78" s="2"/>
    </row>
    <row r="79" spans="4:29" x14ac:dyDescent="0.2">
      <c r="D79" s="52">
        <f t="shared" si="13"/>
        <v>78</v>
      </c>
      <c r="E79" s="5" t="str">
        <f t="shared" si="17"/>
        <v>PVS</v>
      </c>
      <c r="F79" s="5" t="str">
        <f>IF($D79&lt;&gt;"",VLOOKUP($E79,STK_REF!$A$2:$J$1048576,2,0),"")</f>
        <v>VNX Technical Services Corp</v>
      </c>
      <c r="G79" s="68">
        <f>IF($D79&lt;=$B$1-$B$2,IF(INDEX($AA$2:$AA$1048576,MATCH($D79,$AB$2:$AB$1048576,0))="MODIFY",INDEX(IDX_CA!$D$1:$D$1041,SUMPRODUCT(--($E79=IDX_CA!$A$2:$A$1041),--(NXT_COMPO!$P79=IDX_CA!$B$2:$B$1041),--(NXT_COMPO!$Q79=IDX_CA!$C$2:$C$1041),ROW(IDX_CA!$D$2:$D$1041))),INDEX(IDX_COMPO!$C$1:$C$12000,SUMPRODUCT(--($E79=IDX_COMPO!$A$2:$A$1200),--(NXT_COMPO!$P79=IDX_COMPO!$F$2:$F$1200),--(NXT_COMPO!$B$5=IDX_COMPO!$G$2:$G$1200),ROW(IDX_COMPO!$C$2:$C$1200)))),IF($D79&lt;=$B$4,INDEX(IDX_CA!$D$1:$D$1041,SUMPRODUCT(--($E79=IDX_CA!$A$2:$A$1041),--(NXT_COMPO!$P79=IDX_CA!$B$2:$B$1041),--(NXT_COMPO!$Q79=IDX_CA!$C$2:$C$1041),ROW(IDX_CA!$D$2:$D$1041))),""))</f>
        <v>50000000</v>
      </c>
      <c r="H79" s="55">
        <f>IF($D79&lt;=$B$1-$B$2,IF(INDEX($AA$2:$AA$1048576,MATCH($D79,$AB$2:$AB$1048576,0))="MODIFY",INDEX(IDX_CA!$E$1:$E$1041,SUMPRODUCT(--($E79=IDX_CA!$A$2:$A$1041),--(NXT_COMPO!$P79=IDX_CA!$B$2:$B$1041),--(NXT_COMPO!$Q79=IDX_CA!$C$2:$C$1041),ROW(IDX_CA!$E$2:$E$1041))),INDEX(IDX_COMPO!$D$1:$D$1200,SUMPRODUCT(--($E79=IDX_COMPO!$A$2:$A$1200),--(NXT_COMPO!$P79=IDX_COMPO!$F$2:$F$1200),--(NXT_COMPO!$B$5=IDX_COMPO!$G$2:$G$1200),ROW(IDX_COMPO!$D$2:$D$1200)))),IF($D79&lt;=$B$4,INDEX(IDX_CA!$E$1:$E$1041,SUMPRODUCT(--($E79=IDX_CA!$A$2:$A$1041),--(NXT_COMPO!$P79=IDX_CA!$B$2:$B$1041),--(NXT_COMPO!$Q79=IDX_CA!$C$2:$C$1041),ROW(IDX_CA!$E$2:$E$1041))),""))</f>
        <v>100</v>
      </c>
      <c r="I79" s="55">
        <f>IF($D79&lt;=$B$1-$B$2,IF(INDEX($AA$2:$AA$1048576,MATCH($D79,$AB$2:$AB$1048576,0))="MODIFY",INDEX(IDX_CA!$F$1:$F$1041,SUMPRODUCT(--($E79=IDX_CA!$A$2:$A$1041),--(NXT_COMPO!$P79=IDX_CA!$B$2:$B$1041),--(NXT_COMPO!$Q79=IDX_CA!$C$2:$C$1041),ROW(IDX_CA!$F$2:$F$1041))),INDEX(IDX_COMPO!$E$1:$E$1200,SUMPRODUCT(--($E79=IDX_COMPO!$A$2:$A$1200),--(NXT_COMPO!$P79=IDX_COMPO!$F$2:$F$1200),--(NXT_COMPO!$B$5=IDX_COMPO!$G$2:$G$1200),ROW(IDX_COMPO!$E$2:$E$1200)))),IF($D79&lt;=$B$4,INDEX(IDX_CA!$F$1:$F$1041,SUMPRODUCT(--($E79=IDX_CA!$A$2:$A$1041),--(NXT_COMPO!$P79=IDX_CA!$B$2:$B$1041),--(NXT_COMPO!$Q79=IDX_CA!$C$2:$C$1041),ROW(IDX_CA!$F$2:$F$1041))),""))</f>
        <v>100</v>
      </c>
      <c r="J79" s="62">
        <f>IF($D79&lt;=$B$1-$B$2,IF(INDEX($AA$2:$AA$1048576,MATCH($D79,$AB$2:$AB$1048576,0))="MODIFY",INDEX(IDX_CA!$G$1:$G$1041,SUMPRODUCT(--($E79=IDX_CA!$A$2:$A$1041),--(NXT_COMPO!$P79=IDX_CA!$B$2:$B$1041),--(NXT_COMPO!$Q79=IDX_CA!$C$2:$C$1041),ROW(IDX_CA!$G$2:$G$1041))),INDEX(IDX_COMPOSITION!$F$1:$F$441,SUMPRODUCT(--($E79=IDX_COMPOSITION!$A$2:$A$441),--(NXT_COMPO!$P79=IDX_COMPOSITION!$R$2:$R$441),--(NXT_COMPO!$B$5=IDX_COMPOSITION!$L$2:$L$441),ROW(IDX_COMPOSITION!$F$2:$F$441)))),IF($D79&lt;=$B$4,INDEX(IDX_CA!$G$1:$G$1041,SUMPRODUCT(--($E79=IDX_CA!$A$2:$A$1041),--(NXT_COMPO!$P79=IDX_CA!$B$2:$B$1041),--(NXT_COMPO!$Q79=IDX_CA!$C$2:$C$1041),ROW(IDX_CA!$G$2:$G$1041))),""))</f>
        <v>15200</v>
      </c>
      <c r="K79" s="63" t="str">
        <f>IF($D79&lt;&gt;"",VLOOKUP($E79,STK_REF!$A$2:$J$1048576,7,0),"")</f>
        <v>VND</v>
      </c>
      <c r="L79" s="5">
        <f>IF($D79&lt;&gt;"",VLOOKUP($E79,STK_REF!$A$2:$J$1048576,8,0),"")</f>
        <v>1</v>
      </c>
      <c r="M79" s="8">
        <f>IF($D79&lt;&gt;"",IF($K79=$U79,1,IF(ISNA(VLOOKUP($K79&amp;$U79,CUR_RATES!$A$2:$F$521,4,0)),"",VLOOKUP($K79&amp;$U79,CUR_RATES!$A$2:$F$521,4,0))),"")</f>
        <v>1</v>
      </c>
      <c r="N79" s="61">
        <f t="shared" si="18"/>
        <v>15200</v>
      </c>
      <c r="O79" s="68">
        <f t="shared" si="19"/>
        <v>760000000000</v>
      </c>
      <c r="P79" s="5" t="str">
        <f t="shared" si="14"/>
        <v>VNXHNXPRVND</v>
      </c>
      <c r="Q79" s="75">
        <f t="shared" si="20"/>
        <v>41166</v>
      </c>
      <c r="R79" s="68" t="str">
        <f t="shared" si="21"/>
        <v/>
      </c>
      <c r="S79" s="61" t="str">
        <f t="shared" si="22"/>
        <v/>
      </c>
      <c r="T79" s="62" t="str">
        <f>IF(D79&lt;&gt;"",IF(SUMPRODUCT(--($E79=STK_DIV!$A$2:$A$5),--(NXT_COMPO!$Q79=STK_DIV!$E$2:$E$5),ROW(STK_DIV!$D$2:$D$5))=0,"",INDEX(STK_DIV!$D$1:$D$5,SUMPRODUCT(--($E79=STK_DIV!$A$2:$A$5),--(NXT_COMPO!$Q79=STK_DIV!$E$2:$E$5),ROW(STK_DIV!$D$2:$D$5)))),"")</f>
        <v/>
      </c>
      <c r="U79" s="54" t="str">
        <f>IF($D79&lt;&gt;"",VLOOKUP($P79,IDX_REF!$2:$1048576,4,0),"")</f>
        <v>VND</v>
      </c>
      <c r="W79" s="52">
        <f t="shared" si="15"/>
        <v>78</v>
      </c>
      <c r="X79" s="5" t="str">
        <f>IF(ROW(X79)-ROW($X$1)&lt;=$B$1,INDEX(IDX_COMPO!A:A,ROW(IDX_COMPO!A79)),"")</f>
        <v>PVS</v>
      </c>
      <c r="Y79" s="75">
        <f t="shared" si="16"/>
        <v>41166</v>
      </c>
      <c r="Z79" s="54" t="str">
        <f>IF(ROW(Z79)-ROW($Y$1)&lt;=$B$1,INDEX(IDX_COMPO!F:F,ROW(IDX_COMPO!R79)),"")</f>
        <v>VNXHNXPRVND</v>
      </c>
      <c r="AA79" s="2" t="str">
        <f t="array" ref="AA79">IF(X79&lt;&gt;"",IF(SUMPRODUCT(--(X79=IDX_CA!$A$2:$A$1041),--(NXT_COMPO!Y79=IDX_CA!$C$2:$C$1041),--(Z79=IDX_CA!$B$2:$B$1041))&gt;0,IF(INDEX(IDX_CA!$I:$I,SUMPRODUCT(--(X79=IDX_CA!$A$2:$A$1041),--(NXT_COMPO!Y79=IDX_CA!$C$2:$C$1041),--(Z79=IDX_CA!$B$2:$B$1041),ROW(IDX_CA!$I$2:$I$1041)))=1,"YES","MODIFY"),""),"")</f>
        <v/>
      </c>
      <c r="AB79" s="5">
        <f>IF(X79&lt;&gt;"",IF(AA79="YES","",COUNTIF($AA$2:AA79,"&lt;&gt;YES")),"")</f>
        <v>78</v>
      </c>
      <c r="AC79" s="2"/>
    </row>
    <row r="80" spans="4:29" x14ac:dyDescent="0.2">
      <c r="D80" s="52">
        <f t="shared" si="13"/>
        <v>79</v>
      </c>
      <c r="E80" s="5" t="str">
        <f t="shared" si="17"/>
        <v>PVX</v>
      </c>
      <c r="F80" s="5" t="str">
        <f>IF($D80&lt;&gt;"",VLOOKUP($E80,STK_REF!$A$2:$J$1048576,2,0),"")</f>
        <v>VNX Construction</v>
      </c>
      <c r="G80" s="68">
        <f>IF($D80&lt;=$B$1-$B$2,IF(INDEX($AA$2:$AA$1048576,MATCH($D80,$AB$2:$AB$1048576,0))="MODIFY",INDEX(IDX_CA!$D$1:$D$1041,SUMPRODUCT(--($E80=IDX_CA!$A$2:$A$1041),--(NXT_COMPO!$P80=IDX_CA!$B$2:$B$1041),--(NXT_COMPO!$Q80=IDX_CA!$C$2:$C$1041),ROW(IDX_CA!$D$2:$D$1041))),INDEX(IDX_COMPO!$C$1:$C$12000,SUMPRODUCT(--($E80=IDX_COMPO!$A$2:$A$1200),--(NXT_COMPO!$P80=IDX_COMPO!$F$2:$F$1200),--(NXT_COMPO!$B$5=IDX_COMPO!$G$2:$G$1200),ROW(IDX_COMPO!$C$2:$C$1200)))),IF($D80&lt;=$B$4,INDEX(IDX_CA!$D$1:$D$1041,SUMPRODUCT(--($E80=IDX_CA!$A$2:$A$1041),--(NXT_COMPO!$P80=IDX_CA!$B$2:$B$1041),--(NXT_COMPO!$Q80=IDX_CA!$C$2:$C$1041),ROW(IDX_CA!$D$2:$D$1041))),""))</f>
        <v>35000000</v>
      </c>
      <c r="H80" s="55">
        <f>IF($D80&lt;=$B$1-$B$2,IF(INDEX($AA$2:$AA$1048576,MATCH($D80,$AB$2:$AB$1048576,0))="MODIFY",INDEX(IDX_CA!$E$1:$E$1041,SUMPRODUCT(--($E80=IDX_CA!$A$2:$A$1041),--(NXT_COMPO!$P80=IDX_CA!$B$2:$B$1041),--(NXT_COMPO!$Q80=IDX_CA!$C$2:$C$1041),ROW(IDX_CA!$E$2:$E$1041))),INDEX(IDX_COMPO!$D$1:$D$1200,SUMPRODUCT(--($E80=IDX_COMPO!$A$2:$A$1200),--(NXT_COMPO!$P80=IDX_COMPO!$F$2:$F$1200),--(NXT_COMPO!$B$5=IDX_COMPO!$G$2:$G$1200),ROW(IDX_COMPO!$D$2:$D$1200)))),IF($D80&lt;=$B$4,INDEX(IDX_CA!$E$1:$E$1041,SUMPRODUCT(--($E80=IDX_CA!$A$2:$A$1041),--(NXT_COMPO!$P80=IDX_CA!$B$2:$B$1041),--(NXT_COMPO!$Q80=IDX_CA!$C$2:$C$1041),ROW(IDX_CA!$E$2:$E$1041))),""))</f>
        <v>100</v>
      </c>
      <c r="I80" s="55">
        <f>IF($D80&lt;=$B$1-$B$2,IF(INDEX($AA$2:$AA$1048576,MATCH($D80,$AB$2:$AB$1048576,0))="MODIFY",INDEX(IDX_CA!$F$1:$F$1041,SUMPRODUCT(--($E80=IDX_CA!$A$2:$A$1041),--(NXT_COMPO!$P80=IDX_CA!$B$2:$B$1041),--(NXT_COMPO!$Q80=IDX_CA!$C$2:$C$1041),ROW(IDX_CA!$F$2:$F$1041))),INDEX(IDX_COMPO!$E$1:$E$1200,SUMPRODUCT(--($E80=IDX_COMPO!$A$2:$A$1200),--(NXT_COMPO!$P80=IDX_COMPO!$F$2:$F$1200),--(NXT_COMPO!$B$5=IDX_COMPO!$G$2:$G$1200),ROW(IDX_COMPO!$E$2:$E$1200)))),IF($D80&lt;=$B$4,INDEX(IDX_CA!$F$1:$F$1041,SUMPRODUCT(--($E80=IDX_CA!$A$2:$A$1041),--(NXT_COMPO!$P80=IDX_CA!$B$2:$B$1041),--(NXT_COMPO!$Q80=IDX_CA!$C$2:$C$1041),ROW(IDX_CA!$F$2:$F$1041))),""))</f>
        <v>100</v>
      </c>
      <c r="J80" s="62">
        <f>IF($D80&lt;=$B$1-$B$2,IF(INDEX($AA$2:$AA$1048576,MATCH($D80,$AB$2:$AB$1048576,0))="MODIFY",INDEX(IDX_CA!$G$1:$G$1041,SUMPRODUCT(--($E80=IDX_CA!$A$2:$A$1041),--(NXT_COMPO!$P80=IDX_CA!$B$2:$B$1041),--(NXT_COMPO!$Q80=IDX_CA!$C$2:$C$1041),ROW(IDX_CA!$G$2:$G$1041))),INDEX(IDX_COMPOSITION!$F$1:$F$441,SUMPRODUCT(--($E80=IDX_COMPOSITION!$A$2:$A$441),--(NXT_COMPO!$P80=IDX_COMPOSITION!$R$2:$R$441),--(NXT_COMPO!$B$5=IDX_COMPOSITION!$L$2:$L$441),ROW(IDX_COMPOSITION!$F$2:$F$441)))),IF($D80&lt;=$B$4,INDEX(IDX_CA!$G$1:$G$1041,SUMPRODUCT(--($E80=IDX_CA!$A$2:$A$1041),--(NXT_COMPO!$P80=IDX_CA!$B$2:$B$1041),--(NXT_COMPO!$Q80=IDX_CA!$C$2:$C$1041),ROW(IDX_CA!$G$2:$G$1041))),""))</f>
        <v>5200</v>
      </c>
      <c r="K80" s="63" t="str">
        <f>IF($D80&lt;&gt;"",VLOOKUP($E80,STK_REF!$A$2:$J$1048576,7,0),"")</f>
        <v>VND</v>
      </c>
      <c r="L80" s="5">
        <f>IF($D80&lt;&gt;"",VLOOKUP($E80,STK_REF!$A$2:$J$1048576,8,0),"")</f>
        <v>1</v>
      </c>
      <c r="M80" s="8">
        <f>IF($D80&lt;&gt;"",IF($K80=$U80,1,IF(ISNA(VLOOKUP($K80&amp;$U80,CUR_RATES!$A$2:$F$521,4,0)),"",VLOOKUP($K80&amp;$U80,CUR_RATES!$A$2:$F$521,4,0))),"")</f>
        <v>1</v>
      </c>
      <c r="N80" s="61">
        <f t="shared" si="18"/>
        <v>5200</v>
      </c>
      <c r="O80" s="68">
        <f t="shared" si="19"/>
        <v>182000000000</v>
      </c>
      <c r="P80" s="5" t="str">
        <f t="shared" si="14"/>
        <v>VNXHNXPRVND</v>
      </c>
      <c r="Q80" s="75">
        <f t="shared" si="20"/>
        <v>41166</v>
      </c>
      <c r="R80" s="68" t="str">
        <f t="shared" si="21"/>
        <v/>
      </c>
      <c r="S80" s="61" t="str">
        <f t="shared" si="22"/>
        <v/>
      </c>
      <c r="T80" s="62" t="str">
        <f>IF(D80&lt;&gt;"",IF(SUMPRODUCT(--($E80=STK_DIV!$A$2:$A$5),--(NXT_COMPO!$Q80=STK_DIV!$E$2:$E$5),ROW(STK_DIV!$D$2:$D$5))=0,"",INDEX(STK_DIV!$D$1:$D$5,SUMPRODUCT(--($E80=STK_DIV!$A$2:$A$5),--(NXT_COMPO!$Q80=STK_DIV!$E$2:$E$5),ROW(STK_DIV!$D$2:$D$5)))),"")</f>
        <v/>
      </c>
      <c r="U80" s="54" t="str">
        <f>IF($D80&lt;&gt;"",VLOOKUP($P80,IDX_REF!$2:$1048576,4,0),"")</f>
        <v>VND</v>
      </c>
      <c r="W80" s="52">
        <f t="shared" si="15"/>
        <v>79</v>
      </c>
      <c r="X80" s="5" t="str">
        <f>IF(ROW(X80)-ROW($X$1)&lt;=$B$1,INDEX(IDX_COMPO!A:A,ROW(IDX_COMPO!A80)),"")</f>
        <v>PVX</v>
      </c>
      <c r="Y80" s="75">
        <f t="shared" si="16"/>
        <v>41166</v>
      </c>
      <c r="Z80" s="54" t="str">
        <f>IF(ROW(Z80)-ROW($Y$1)&lt;=$B$1,INDEX(IDX_COMPO!F:F,ROW(IDX_COMPO!R80)),"")</f>
        <v>VNXHNXPRVND</v>
      </c>
      <c r="AA80" s="2" t="str">
        <f t="array" ref="AA80">IF(X80&lt;&gt;"",IF(SUMPRODUCT(--(X80=IDX_CA!$A$2:$A$1041),--(NXT_COMPO!Y80=IDX_CA!$C$2:$C$1041),--(Z80=IDX_CA!$B$2:$B$1041))&gt;0,IF(INDEX(IDX_CA!$I:$I,SUMPRODUCT(--(X80=IDX_CA!$A$2:$A$1041),--(NXT_COMPO!Y80=IDX_CA!$C$2:$C$1041),--(Z80=IDX_CA!$B$2:$B$1041),ROW(IDX_CA!$I$2:$I$1041)))=1,"YES","MODIFY"),""),"")</f>
        <v/>
      </c>
      <c r="AB80" s="5">
        <f>IF(X80&lt;&gt;"",IF(AA80="YES","",COUNTIF($AA$2:AA80,"&lt;&gt;YES")),"")</f>
        <v>79</v>
      </c>
      <c r="AC80" s="2"/>
    </row>
    <row r="81" spans="4:29" x14ac:dyDescent="0.2">
      <c r="D81" s="52">
        <f t="shared" si="13"/>
        <v>80</v>
      </c>
      <c r="E81" s="5" t="str">
        <f t="shared" si="17"/>
        <v>PVI</v>
      </c>
      <c r="F81" s="5" t="str">
        <f>IF($D81&lt;&gt;"",VLOOKUP($E81,STK_REF!$A$2:$J$1048576,2,0),"")</f>
        <v>VNX Insurance</v>
      </c>
      <c r="G81" s="68">
        <f>IF($D81&lt;=$B$1-$B$2,IF(INDEX($AA$2:$AA$1048576,MATCH($D81,$AB$2:$AB$1048576,0))="MODIFY",INDEX(IDX_CA!$D$1:$D$1041,SUMPRODUCT(--($E81=IDX_CA!$A$2:$A$1041),--(NXT_COMPO!$P81=IDX_CA!$B$2:$B$1041),--(NXT_COMPO!$Q81=IDX_CA!$C$2:$C$1041),ROW(IDX_CA!$D$2:$D$1041))),INDEX(IDX_COMPO!$C$1:$C$12000,SUMPRODUCT(--($E81=IDX_COMPO!$A$2:$A$1200),--(NXT_COMPO!$P81=IDX_COMPO!$F$2:$F$1200),--(NXT_COMPO!$B$5=IDX_COMPO!$G$2:$G$1200),ROW(IDX_COMPO!$C$2:$C$1200)))),IF($D81&lt;=$B$4,INDEX(IDX_CA!$D$1:$D$1041,SUMPRODUCT(--($E81=IDX_CA!$A$2:$A$1041),--(NXT_COMPO!$P81=IDX_CA!$B$2:$B$1041),--(NXT_COMPO!$Q81=IDX_CA!$C$2:$C$1041),ROW(IDX_CA!$D$2:$D$1041))),""))</f>
        <v>2000000</v>
      </c>
      <c r="H81" s="55">
        <f>IF($D81&lt;=$B$1-$B$2,IF(INDEX($AA$2:$AA$1048576,MATCH($D81,$AB$2:$AB$1048576,0))="MODIFY",INDEX(IDX_CA!$E$1:$E$1041,SUMPRODUCT(--($E81=IDX_CA!$A$2:$A$1041),--(NXT_COMPO!$P81=IDX_CA!$B$2:$B$1041),--(NXT_COMPO!$Q81=IDX_CA!$C$2:$C$1041),ROW(IDX_CA!$E$2:$E$1041))),INDEX(IDX_COMPO!$D$1:$D$1200,SUMPRODUCT(--($E81=IDX_COMPO!$A$2:$A$1200),--(NXT_COMPO!$P81=IDX_COMPO!$F$2:$F$1200),--(NXT_COMPO!$B$5=IDX_COMPO!$G$2:$G$1200),ROW(IDX_COMPO!$D$2:$D$1200)))),IF($D81&lt;=$B$4,INDEX(IDX_CA!$E$1:$E$1041,SUMPRODUCT(--($E81=IDX_CA!$A$2:$A$1041),--(NXT_COMPO!$P81=IDX_CA!$B$2:$B$1041),--(NXT_COMPO!$Q81=IDX_CA!$C$2:$C$1041),ROW(IDX_CA!$E$2:$E$1041))),""))</f>
        <v>100</v>
      </c>
      <c r="I81" s="55">
        <f>IF($D81&lt;=$B$1-$B$2,IF(INDEX($AA$2:$AA$1048576,MATCH($D81,$AB$2:$AB$1048576,0))="MODIFY",INDEX(IDX_CA!$F$1:$F$1041,SUMPRODUCT(--($E81=IDX_CA!$A$2:$A$1041),--(NXT_COMPO!$P81=IDX_CA!$B$2:$B$1041),--(NXT_COMPO!$Q81=IDX_CA!$C$2:$C$1041),ROW(IDX_CA!$F$2:$F$1041))),INDEX(IDX_COMPO!$E$1:$E$1200,SUMPRODUCT(--($E81=IDX_COMPO!$A$2:$A$1200),--(NXT_COMPO!$P81=IDX_COMPO!$F$2:$F$1200),--(NXT_COMPO!$B$5=IDX_COMPO!$G$2:$G$1200),ROW(IDX_COMPO!$E$2:$E$1200)))),IF($D81&lt;=$B$4,INDEX(IDX_CA!$F$1:$F$1041,SUMPRODUCT(--($E81=IDX_CA!$A$2:$A$1041),--(NXT_COMPO!$P81=IDX_CA!$B$2:$B$1041),--(NXT_COMPO!$Q81=IDX_CA!$C$2:$C$1041),ROW(IDX_CA!$F$2:$F$1041))),""))</f>
        <v>100</v>
      </c>
      <c r="J81" s="62">
        <f>IF($D81&lt;=$B$1-$B$2,IF(INDEX($AA$2:$AA$1048576,MATCH($D81,$AB$2:$AB$1048576,0))="MODIFY",INDEX(IDX_CA!$G$1:$G$1041,SUMPRODUCT(--($E81=IDX_CA!$A$2:$A$1041),--(NXT_COMPO!$P81=IDX_CA!$B$2:$B$1041),--(NXT_COMPO!$Q81=IDX_CA!$C$2:$C$1041),ROW(IDX_CA!$G$2:$G$1041))),INDEX(IDX_COMPOSITION!$F$1:$F$441,SUMPRODUCT(--($E81=IDX_COMPOSITION!$A$2:$A$441),--(NXT_COMPO!$P81=IDX_COMPOSITION!$R$2:$R$441),--(NXT_COMPO!$B$5=IDX_COMPOSITION!$L$2:$L$441),ROW(IDX_COMPOSITION!$F$2:$F$441)))),IF($D81&lt;=$B$4,INDEX(IDX_CA!$G$1:$G$1041,SUMPRODUCT(--($E81=IDX_CA!$A$2:$A$1041),--(NXT_COMPO!$P81=IDX_CA!$B$2:$B$1041),--(NXT_COMPO!$Q81=IDX_CA!$C$2:$C$1041),ROW(IDX_CA!$G$2:$G$1041))),""))</f>
        <v>15900</v>
      </c>
      <c r="K81" s="63" t="str">
        <f>IF($D81&lt;&gt;"",VLOOKUP($E81,STK_REF!$A$2:$J$1048576,7,0),"")</f>
        <v>VND</v>
      </c>
      <c r="L81" s="5">
        <f>IF($D81&lt;&gt;"",VLOOKUP($E81,STK_REF!$A$2:$J$1048576,8,0),"")</f>
        <v>1</v>
      </c>
      <c r="M81" s="8">
        <f>IF($D81&lt;&gt;"",IF($K81=$U81,1,IF(ISNA(VLOOKUP($K81&amp;$U81,CUR_RATES!$A$2:$F$521,4,0)),"",VLOOKUP($K81&amp;$U81,CUR_RATES!$A$2:$F$521,4,0))),"")</f>
        <v>1</v>
      </c>
      <c r="N81" s="61">
        <f t="shared" si="18"/>
        <v>15900</v>
      </c>
      <c r="O81" s="68">
        <f t="shared" si="19"/>
        <v>31800000000</v>
      </c>
      <c r="P81" s="5" t="str">
        <f t="shared" si="14"/>
        <v>VNXHNXPRVND</v>
      </c>
      <c r="Q81" s="75">
        <f t="shared" si="20"/>
        <v>41166</v>
      </c>
      <c r="R81" s="68" t="str">
        <f t="shared" si="21"/>
        <v/>
      </c>
      <c r="S81" s="61" t="str">
        <f t="shared" si="22"/>
        <v/>
      </c>
      <c r="T81" s="62" t="str">
        <f>IF(D81&lt;&gt;"",IF(SUMPRODUCT(--($E81=STK_DIV!$A$2:$A$5),--(NXT_COMPO!$Q81=STK_DIV!$E$2:$E$5),ROW(STK_DIV!$D$2:$D$5))=0,"",INDEX(STK_DIV!$D$1:$D$5,SUMPRODUCT(--($E81=STK_DIV!$A$2:$A$5),--(NXT_COMPO!$Q81=STK_DIV!$E$2:$E$5),ROW(STK_DIV!$D$2:$D$5)))),"")</f>
        <v/>
      </c>
      <c r="U81" s="54" t="str">
        <f>IF($D81&lt;&gt;"",VLOOKUP($P81,IDX_REF!$2:$1048576,4,0),"")</f>
        <v>VND</v>
      </c>
      <c r="W81" s="52">
        <f t="shared" si="15"/>
        <v>80</v>
      </c>
      <c r="X81" s="5" t="str">
        <f>IF(ROW(X81)-ROW($X$1)&lt;=$B$1,INDEX(IDX_COMPO!A:A,ROW(IDX_COMPO!A81)),"")</f>
        <v>PVI</v>
      </c>
      <c r="Y81" s="75">
        <f t="shared" si="16"/>
        <v>41166</v>
      </c>
      <c r="Z81" s="54" t="str">
        <f>IF(ROW(Z81)-ROW($Y$1)&lt;=$B$1,INDEX(IDX_COMPO!F:F,ROW(IDX_COMPO!R81)),"")</f>
        <v>VNXHNXPRVND</v>
      </c>
      <c r="AA81" s="2" t="str">
        <f t="array" ref="AA81">IF(X81&lt;&gt;"",IF(SUMPRODUCT(--(X81=IDX_CA!$A$2:$A$1041),--(NXT_COMPO!Y81=IDX_CA!$C$2:$C$1041),--(Z81=IDX_CA!$B$2:$B$1041))&gt;0,IF(INDEX(IDX_CA!$I:$I,SUMPRODUCT(--(X81=IDX_CA!$A$2:$A$1041),--(NXT_COMPO!Y81=IDX_CA!$C$2:$C$1041),--(Z81=IDX_CA!$B$2:$B$1041),ROW(IDX_CA!$I$2:$I$1041)))=1,"YES","MODIFY"),""),"")</f>
        <v/>
      </c>
      <c r="AB81" s="5">
        <f>IF(X81&lt;&gt;"",IF(AA81="YES","",COUNTIF($AA$2:AA81,"&lt;&gt;YES")),"")</f>
        <v>80</v>
      </c>
      <c r="AC81" s="2"/>
    </row>
    <row r="82" spans="4:29" x14ac:dyDescent="0.2">
      <c r="D82" s="52">
        <f t="shared" si="13"/>
        <v>81</v>
      </c>
      <c r="E82" s="5" t="str">
        <f t="shared" si="17"/>
        <v>PGS</v>
      </c>
      <c r="F82" s="5" t="str">
        <f>IF($D82&lt;&gt;"",VLOOKUP($E82,STK_REF!$A$2:$J$1048576,2,0),"")</f>
        <v>VNX Southern Gas Joint Stock Co</v>
      </c>
      <c r="G82" s="68">
        <f>IF($D82&lt;=$B$1-$B$2,IF(INDEX($AA$2:$AA$1048576,MATCH($D82,$AB$2:$AB$1048576,0))="MODIFY",INDEX(IDX_CA!$D$1:$D$1041,SUMPRODUCT(--($E82=IDX_CA!$A$2:$A$1041),--(NXT_COMPO!$P82=IDX_CA!$B$2:$B$1041),--(NXT_COMPO!$Q82=IDX_CA!$C$2:$C$1041),ROW(IDX_CA!$D$2:$D$1041))),INDEX(IDX_COMPO!$C$1:$C$12000,SUMPRODUCT(--($E82=IDX_COMPO!$A$2:$A$1200),--(NXT_COMPO!$P82=IDX_COMPO!$F$2:$F$1200),--(NXT_COMPO!$B$5=IDX_COMPO!$G$2:$G$1200),ROW(IDX_COMPO!$C$2:$C$1200)))),IF($D82&lt;=$B$4,INDEX(IDX_CA!$D$1:$D$1041,SUMPRODUCT(--($E82=IDX_CA!$A$2:$A$1041),--(NXT_COMPO!$P82=IDX_CA!$B$2:$B$1041),--(NXT_COMPO!$Q82=IDX_CA!$C$2:$C$1041),ROW(IDX_CA!$D$2:$D$1041))),""))</f>
        <v>59841300</v>
      </c>
      <c r="H82" s="55">
        <f>IF($D82&lt;=$B$1-$B$2,IF(INDEX($AA$2:$AA$1048576,MATCH($D82,$AB$2:$AB$1048576,0))="MODIFY",INDEX(IDX_CA!$E$1:$E$1041,SUMPRODUCT(--($E82=IDX_CA!$A$2:$A$1041),--(NXT_COMPO!$P82=IDX_CA!$B$2:$B$1041),--(NXT_COMPO!$Q82=IDX_CA!$C$2:$C$1041),ROW(IDX_CA!$E$2:$E$1041))),INDEX(IDX_COMPO!$D$1:$D$1200,SUMPRODUCT(--($E82=IDX_COMPO!$A$2:$A$1200),--(NXT_COMPO!$P82=IDX_COMPO!$F$2:$F$1200),--(NXT_COMPO!$B$5=IDX_COMPO!$G$2:$G$1200),ROW(IDX_COMPO!$D$2:$D$1200)))),IF($D82&lt;=$B$4,INDEX(IDX_CA!$E$1:$E$1041,SUMPRODUCT(--($E82=IDX_CA!$A$2:$A$1041),--(NXT_COMPO!$P82=IDX_CA!$B$2:$B$1041),--(NXT_COMPO!$Q82=IDX_CA!$C$2:$C$1041),ROW(IDX_CA!$E$2:$E$1041))),""))</f>
        <v>100</v>
      </c>
      <c r="I82" s="55">
        <f>IF($D82&lt;=$B$1-$B$2,IF(INDEX($AA$2:$AA$1048576,MATCH($D82,$AB$2:$AB$1048576,0))="MODIFY",INDEX(IDX_CA!$F$1:$F$1041,SUMPRODUCT(--($E82=IDX_CA!$A$2:$A$1041),--(NXT_COMPO!$P82=IDX_CA!$B$2:$B$1041),--(NXT_COMPO!$Q82=IDX_CA!$C$2:$C$1041),ROW(IDX_CA!$F$2:$F$1041))),INDEX(IDX_COMPO!$E$1:$E$1200,SUMPRODUCT(--($E82=IDX_COMPO!$A$2:$A$1200),--(NXT_COMPO!$P82=IDX_COMPO!$F$2:$F$1200),--(NXT_COMPO!$B$5=IDX_COMPO!$G$2:$G$1200),ROW(IDX_COMPO!$E$2:$E$1200)))),IF($D82&lt;=$B$4,INDEX(IDX_CA!$F$1:$F$1041,SUMPRODUCT(--($E82=IDX_CA!$A$2:$A$1041),--(NXT_COMPO!$P82=IDX_CA!$B$2:$B$1041),--(NXT_COMPO!$Q82=IDX_CA!$C$2:$C$1041),ROW(IDX_CA!$F$2:$F$1041))),""))</f>
        <v>100</v>
      </c>
      <c r="J82" s="62">
        <f>IF($D82&lt;=$B$1-$B$2,IF(INDEX($AA$2:$AA$1048576,MATCH($D82,$AB$2:$AB$1048576,0))="MODIFY",INDEX(IDX_CA!$G$1:$G$1041,SUMPRODUCT(--($E82=IDX_CA!$A$2:$A$1041),--(NXT_COMPO!$P82=IDX_CA!$B$2:$B$1041),--(NXT_COMPO!$Q82=IDX_CA!$C$2:$C$1041),ROW(IDX_CA!$G$2:$G$1041))),INDEX(IDX_COMPOSITION!$F$1:$F$441,SUMPRODUCT(--($E82=IDX_COMPOSITION!$A$2:$A$441),--(NXT_COMPO!$P82=IDX_COMPOSITION!$R$2:$R$441),--(NXT_COMPO!$B$5=IDX_COMPOSITION!$L$2:$L$441),ROW(IDX_COMPOSITION!$F$2:$F$441)))),IF($D82&lt;=$B$4,INDEX(IDX_CA!$G$1:$G$1041,SUMPRODUCT(--($E82=IDX_CA!$A$2:$A$1041),--(NXT_COMPO!$P82=IDX_CA!$B$2:$B$1041),--(NXT_COMPO!$Q82=IDX_CA!$C$2:$C$1041),ROW(IDX_CA!$G$2:$G$1041))),""))</f>
        <v>17100</v>
      </c>
      <c r="K82" s="63" t="str">
        <f>IF($D82&lt;&gt;"",VLOOKUP($E82,STK_REF!$A$2:$J$1048576,7,0),"")</f>
        <v>VND</v>
      </c>
      <c r="L82" s="5">
        <f>IF($D82&lt;&gt;"",VLOOKUP($E82,STK_REF!$A$2:$J$1048576,8,0),"")</f>
        <v>1</v>
      </c>
      <c r="M82" s="8">
        <f>IF($D82&lt;&gt;"",IF($K82=$U82,1,IF(ISNA(VLOOKUP($K82&amp;$U82,CUR_RATES!$A$2:$F$521,4,0)),"",VLOOKUP($K82&amp;$U82,CUR_RATES!$A$2:$F$521,4,0))),"")</f>
        <v>1</v>
      </c>
      <c r="N82" s="61">
        <f t="shared" si="18"/>
        <v>17100</v>
      </c>
      <c r="O82" s="68">
        <f t="shared" si="19"/>
        <v>1023286230000</v>
      </c>
      <c r="P82" s="5" t="str">
        <f t="shared" si="14"/>
        <v>VNXHNXPRVND</v>
      </c>
      <c r="Q82" s="75">
        <f t="shared" si="20"/>
        <v>41166</v>
      </c>
      <c r="R82" s="68" t="str">
        <f t="shared" si="21"/>
        <v/>
      </c>
      <c r="S82" s="61" t="str">
        <f t="shared" si="22"/>
        <v/>
      </c>
      <c r="T82" s="62" t="str">
        <f>IF(D82&lt;&gt;"",IF(SUMPRODUCT(--($E82=STK_DIV!$A$2:$A$5),--(NXT_COMPO!$Q82=STK_DIV!$E$2:$E$5),ROW(STK_DIV!$D$2:$D$5))=0,"",INDEX(STK_DIV!$D$1:$D$5,SUMPRODUCT(--($E82=STK_DIV!$A$2:$A$5),--(NXT_COMPO!$Q82=STK_DIV!$E$2:$E$5),ROW(STK_DIV!$D$2:$D$5)))),"")</f>
        <v/>
      </c>
      <c r="U82" s="54" t="str">
        <f>IF($D82&lt;&gt;"",VLOOKUP($P82,IDX_REF!$2:$1048576,4,0),"")</f>
        <v>VND</v>
      </c>
      <c r="W82" s="52">
        <f t="shared" si="15"/>
        <v>81</v>
      </c>
      <c r="X82" s="5" t="str">
        <f>IF(ROW(X82)-ROW($X$1)&lt;=$B$1,INDEX(IDX_COMPO!A:A,ROW(IDX_COMPO!A82)),"")</f>
        <v>PGS</v>
      </c>
      <c r="Y82" s="75">
        <f t="shared" si="16"/>
        <v>41166</v>
      </c>
      <c r="Z82" s="54" t="str">
        <f>IF(ROW(Z82)-ROW($Y$1)&lt;=$B$1,INDEX(IDX_COMPO!F:F,ROW(IDX_COMPO!R82)),"")</f>
        <v>VNXHNXPRVND</v>
      </c>
      <c r="AA82" s="2" t="str">
        <f t="array" ref="AA82">IF(X82&lt;&gt;"",IF(SUMPRODUCT(--(X82=IDX_CA!$A$2:$A$1041),--(NXT_COMPO!Y82=IDX_CA!$C$2:$C$1041),--(Z82=IDX_CA!$B$2:$B$1041))&gt;0,IF(INDEX(IDX_CA!$I:$I,SUMPRODUCT(--(X82=IDX_CA!$A$2:$A$1041),--(NXT_COMPO!Y82=IDX_CA!$C$2:$C$1041),--(Z82=IDX_CA!$B$2:$B$1041),ROW(IDX_CA!$I$2:$I$1041)))=1,"YES","MODIFY"),""),"")</f>
        <v/>
      </c>
      <c r="AB82" s="5">
        <f>IF(X82&lt;&gt;"",IF(AA82="YES","",COUNTIF($AA$2:AA82,"&lt;&gt;YES")),"")</f>
        <v>81</v>
      </c>
      <c r="AC82" s="2"/>
    </row>
    <row r="83" spans="4:29" x14ac:dyDescent="0.2">
      <c r="D83" s="52">
        <f t="shared" si="13"/>
        <v>82</v>
      </c>
      <c r="E83" s="5" t="str">
        <f t="shared" si="17"/>
        <v>PVC</v>
      </c>
      <c r="F83" s="5" t="str">
        <f>IF($D83&lt;&gt;"",VLOOKUP($E83,STK_REF!$A$2:$J$1048576,2,0),"")</f>
        <v>Drilling Mud Corp</v>
      </c>
      <c r="G83" s="68">
        <f>IF($D83&lt;=$B$1-$B$2,IF(INDEX($AA$2:$AA$1048576,MATCH($D83,$AB$2:$AB$1048576,0))="MODIFY",INDEX(IDX_CA!$D$1:$D$1041,SUMPRODUCT(--($E83=IDX_CA!$A$2:$A$1041),--(NXT_COMPO!$P83=IDX_CA!$B$2:$B$1041),--(NXT_COMPO!$Q83=IDX_CA!$C$2:$C$1041),ROW(IDX_CA!$D$2:$D$1041))),INDEX(IDX_COMPO!$C$1:$C$12000,SUMPRODUCT(--($E83=IDX_COMPO!$A$2:$A$1200),--(NXT_COMPO!$P83=IDX_COMPO!$F$2:$F$1200),--(NXT_COMPO!$B$5=IDX_COMPO!$G$2:$G$1200),ROW(IDX_COMPO!$C$2:$C$1200)))),IF($D83&lt;=$B$4,INDEX(IDX_CA!$D$1:$D$1041,SUMPRODUCT(--($E83=IDX_CA!$A$2:$A$1041),--(NXT_COMPO!$P83=IDX_CA!$B$2:$B$1041),--(NXT_COMPO!$Q83=IDX_CA!$C$2:$C$1041),ROW(IDX_CA!$D$2:$D$1041))),""))</f>
        <v>157531264</v>
      </c>
      <c r="H83" s="55">
        <f>IF($D83&lt;=$B$1-$B$2,IF(INDEX($AA$2:$AA$1048576,MATCH($D83,$AB$2:$AB$1048576,0))="MODIFY",INDEX(IDX_CA!$E$1:$E$1041,SUMPRODUCT(--($E83=IDX_CA!$A$2:$A$1041),--(NXT_COMPO!$P83=IDX_CA!$B$2:$B$1041),--(NXT_COMPO!$Q83=IDX_CA!$C$2:$C$1041),ROW(IDX_CA!$E$2:$E$1041))),INDEX(IDX_COMPO!$D$1:$D$1200,SUMPRODUCT(--($E83=IDX_COMPO!$A$2:$A$1200),--(NXT_COMPO!$P83=IDX_COMPO!$F$2:$F$1200),--(NXT_COMPO!$B$5=IDX_COMPO!$G$2:$G$1200),ROW(IDX_COMPO!$D$2:$D$1200)))),IF($D83&lt;=$B$4,INDEX(IDX_CA!$E$1:$E$1041,SUMPRODUCT(--($E83=IDX_CA!$A$2:$A$1041),--(NXT_COMPO!$P83=IDX_CA!$B$2:$B$1041),--(NXT_COMPO!$Q83=IDX_CA!$C$2:$C$1041),ROW(IDX_CA!$E$2:$E$1041))),""))</f>
        <v>100</v>
      </c>
      <c r="I83" s="55">
        <f>IF($D83&lt;=$B$1-$B$2,IF(INDEX($AA$2:$AA$1048576,MATCH($D83,$AB$2:$AB$1048576,0))="MODIFY",INDEX(IDX_CA!$F$1:$F$1041,SUMPRODUCT(--($E83=IDX_CA!$A$2:$A$1041),--(NXT_COMPO!$P83=IDX_CA!$B$2:$B$1041),--(NXT_COMPO!$Q83=IDX_CA!$C$2:$C$1041),ROW(IDX_CA!$F$2:$F$1041))),INDEX(IDX_COMPO!$E$1:$E$1200,SUMPRODUCT(--($E83=IDX_COMPO!$A$2:$A$1200),--(NXT_COMPO!$P83=IDX_COMPO!$F$2:$F$1200),--(NXT_COMPO!$B$5=IDX_COMPO!$G$2:$G$1200),ROW(IDX_COMPO!$E$2:$E$1200)))),IF($D83&lt;=$B$4,INDEX(IDX_CA!$F$1:$F$1041,SUMPRODUCT(--($E83=IDX_CA!$A$2:$A$1041),--(NXT_COMPO!$P83=IDX_CA!$B$2:$B$1041),--(NXT_COMPO!$Q83=IDX_CA!$C$2:$C$1041),ROW(IDX_CA!$F$2:$F$1041))),""))</f>
        <v>100</v>
      </c>
      <c r="J83" s="62">
        <f>IF($D83&lt;=$B$1-$B$2,IF(INDEX($AA$2:$AA$1048576,MATCH($D83,$AB$2:$AB$1048576,0))="MODIFY",INDEX(IDX_CA!$G$1:$G$1041,SUMPRODUCT(--($E83=IDX_CA!$A$2:$A$1041),--(NXT_COMPO!$P83=IDX_CA!$B$2:$B$1041),--(NXT_COMPO!$Q83=IDX_CA!$C$2:$C$1041),ROW(IDX_CA!$G$2:$G$1041))),INDEX(IDX_COMPOSITION!$F$1:$F$441,SUMPRODUCT(--($E83=IDX_COMPOSITION!$A$2:$A$441),--(NXT_COMPO!$P83=IDX_COMPOSITION!$R$2:$R$441),--(NXT_COMPO!$B$5=IDX_COMPOSITION!$L$2:$L$441),ROW(IDX_COMPOSITION!$F$2:$F$441)))),IF($D83&lt;=$B$4,INDEX(IDX_CA!$G$1:$G$1041,SUMPRODUCT(--($E83=IDX_CA!$A$2:$A$1041),--(NXT_COMPO!$P83=IDX_CA!$B$2:$B$1041),--(NXT_COMPO!$Q83=IDX_CA!$C$2:$C$1041),ROW(IDX_CA!$G$2:$G$1041))),""))</f>
        <v>12700</v>
      </c>
      <c r="K83" s="63" t="str">
        <f>IF($D83&lt;&gt;"",VLOOKUP($E83,STK_REF!$A$2:$J$1048576,7,0),"")</f>
        <v>VND</v>
      </c>
      <c r="L83" s="5">
        <f>IF($D83&lt;&gt;"",VLOOKUP($E83,STK_REF!$A$2:$J$1048576,8,0),"")</f>
        <v>1</v>
      </c>
      <c r="M83" s="8">
        <f>IF($D83&lt;&gt;"",IF($K83=$U83,1,IF(ISNA(VLOOKUP($K83&amp;$U83,CUR_RATES!$A$2:$F$521,4,0)),"",VLOOKUP($K83&amp;$U83,CUR_RATES!$A$2:$F$521,4,0))),"")</f>
        <v>1</v>
      </c>
      <c r="N83" s="61">
        <f t="shared" si="18"/>
        <v>12700</v>
      </c>
      <c r="O83" s="68">
        <f t="shared" si="19"/>
        <v>2000647052800</v>
      </c>
      <c r="P83" s="5" t="str">
        <f t="shared" si="14"/>
        <v>VNXHNXPRVND</v>
      </c>
      <c r="Q83" s="75">
        <f t="shared" si="20"/>
        <v>41166</v>
      </c>
      <c r="R83" s="68" t="str">
        <f t="shared" si="21"/>
        <v/>
      </c>
      <c r="S83" s="61" t="str">
        <f t="shared" si="22"/>
        <v/>
      </c>
      <c r="T83" s="62" t="str">
        <f>IF(D83&lt;&gt;"",IF(SUMPRODUCT(--($E83=STK_DIV!$A$2:$A$5),--(NXT_COMPO!$Q83=STK_DIV!$E$2:$E$5),ROW(STK_DIV!$D$2:$D$5))=0,"",INDEX(STK_DIV!$D$1:$D$5,SUMPRODUCT(--($E83=STK_DIV!$A$2:$A$5),--(NXT_COMPO!$Q83=STK_DIV!$E$2:$E$5),ROW(STK_DIV!$D$2:$D$5)))),"")</f>
        <v/>
      </c>
      <c r="U83" s="54" t="str">
        <f>IF($D83&lt;&gt;"",VLOOKUP($P83,IDX_REF!$2:$1048576,4,0),"")</f>
        <v>VND</v>
      </c>
      <c r="W83" s="52">
        <f t="shared" si="15"/>
        <v>82</v>
      </c>
      <c r="X83" s="5" t="str">
        <f>IF(ROW(X83)-ROW($X$1)&lt;=$B$1,INDEX(IDX_COMPO!A:A,ROW(IDX_COMPO!A83)),"")</f>
        <v>PVC</v>
      </c>
      <c r="Y83" s="75">
        <f t="shared" si="16"/>
        <v>41166</v>
      </c>
      <c r="Z83" s="54" t="str">
        <f>IF(ROW(Z83)-ROW($Y$1)&lt;=$B$1,INDEX(IDX_COMPO!F:F,ROW(IDX_COMPO!R83)),"")</f>
        <v>VNXHNXPRVND</v>
      </c>
      <c r="AA83" s="2" t="str">
        <f t="array" ref="AA83">IF(X83&lt;&gt;"",IF(SUMPRODUCT(--(X83=IDX_CA!$A$2:$A$1041),--(NXT_COMPO!Y83=IDX_CA!$C$2:$C$1041),--(Z83=IDX_CA!$B$2:$B$1041))&gt;0,IF(INDEX(IDX_CA!$I:$I,SUMPRODUCT(--(X83=IDX_CA!$A$2:$A$1041),--(NXT_COMPO!Y83=IDX_CA!$C$2:$C$1041),--(Z83=IDX_CA!$B$2:$B$1041),ROW(IDX_CA!$I$2:$I$1041)))=1,"YES","MODIFY"),""),"")</f>
        <v/>
      </c>
      <c r="AB83" s="5">
        <f>IF(X83&lt;&gt;"",IF(AA83="YES","",COUNTIF($AA$2:AA83,"&lt;&gt;YES")),"")</f>
        <v>82</v>
      </c>
      <c r="AC83" s="2"/>
    </row>
    <row r="84" spans="4:29" x14ac:dyDescent="0.2">
      <c r="D84" s="52">
        <f t="shared" si="13"/>
        <v>83</v>
      </c>
      <c r="E84" s="5" t="str">
        <f t="shared" si="17"/>
        <v>PVR</v>
      </c>
      <c r="F84" s="5" t="str">
        <f>IF($D84&lt;&gt;"",VLOOKUP($E84,STK_REF!$A$2:$J$1048576,2,0),"")</f>
        <v>VNX Premier Recreation</v>
      </c>
      <c r="G84" s="68">
        <f>IF($D84&lt;=$B$1-$B$2,IF(INDEX($AA$2:$AA$1048576,MATCH($D84,$AB$2:$AB$1048576,0))="MODIFY",INDEX(IDX_CA!$D$1:$D$1041,SUMPRODUCT(--($E84=IDX_CA!$A$2:$A$1041),--(NXT_COMPO!$P84=IDX_CA!$B$2:$B$1041),--(NXT_COMPO!$Q84=IDX_CA!$C$2:$C$1041),ROW(IDX_CA!$D$2:$D$1041))),INDEX(IDX_COMPO!$C$1:$C$12000,SUMPRODUCT(--($E84=IDX_COMPO!$A$2:$A$1200),--(NXT_COMPO!$P84=IDX_COMPO!$F$2:$F$1200),--(NXT_COMPO!$B$5=IDX_COMPO!$G$2:$G$1200),ROW(IDX_COMPO!$C$2:$C$1200)))),IF($D84&lt;=$B$4,INDEX(IDX_CA!$D$1:$D$1041,SUMPRODUCT(--($E84=IDX_CA!$A$2:$A$1041),--(NXT_COMPO!$P84=IDX_CA!$B$2:$B$1041),--(NXT_COMPO!$Q84=IDX_CA!$C$2:$C$1041),ROW(IDX_CA!$D$2:$D$1041))),""))</f>
        <v>52356713</v>
      </c>
      <c r="H84" s="55">
        <f>IF($D84&lt;=$B$1-$B$2,IF(INDEX($AA$2:$AA$1048576,MATCH($D84,$AB$2:$AB$1048576,0))="MODIFY",INDEX(IDX_CA!$E$1:$E$1041,SUMPRODUCT(--($E84=IDX_CA!$A$2:$A$1041),--(NXT_COMPO!$P84=IDX_CA!$B$2:$B$1041),--(NXT_COMPO!$Q84=IDX_CA!$C$2:$C$1041),ROW(IDX_CA!$E$2:$E$1041))),INDEX(IDX_COMPO!$D$1:$D$1200,SUMPRODUCT(--($E84=IDX_COMPO!$A$2:$A$1200),--(NXT_COMPO!$P84=IDX_COMPO!$F$2:$F$1200),--(NXT_COMPO!$B$5=IDX_COMPO!$G$2:$G$1200),ROW(IDX_COMPO!$D$2:$D$1200)))),IF($D84&lt;=$B$4,INDEX(IDX_CA!$E$1:$E$1041,SUMPRODUCT(--($E84=IDX_CA!$A$2:$A$1041),--(NXT_COMPO!$P84=IDX_CA!$B$2:$B$1041),--(NXT_COMPO!$Q84=IDX_CA!$C$2:$C$1041),ROW(IDX_CA!$E$2:$E$1041))),""))</f>
        <v>100</v>
      </c>
      <c r="I84" s="55">
        <f>IF($D84&lt;=$B$1-$B$2,IF(INDEX($AA$2:$AA$1048576,MATCH($D84,$AB$2:$AB$1048576,0))="MODIFY",INDEX(IDX_CA!$F$1:$F$1041,SUMPRODUCT(--($E84=IDX_CA!$A$2:$A$1041),--(NXT_COMPO!$P84=IDX_CA!$B$2:$B$1041),--(NXT_COMPO!$Q84=IDX_CA!$C$2:$C$1041),ROW(IDX_CA!$F$2:$F$1041))),INDEX(IDX_COMPO!$E$1:$E$1200,SUMPRODUCT(--($E84=IDX_COMPO!$A$2:$A$1200),--(NXT_COMPO!$P84=IDX_COMPO!$F$2:$F$1200),--(NXT_COMPO!$B$5=IDX_COMPO!$G$2:$G$1200),ROW(IDX_COMPO!$E$2:$E$1200)))),IF($D84&lt;=$B$4,INDEX(IDX_CA!$F$1:$F$1041,SUMPRODUCT(--($E84=IDX_CA!$A$2:$A$1041),--(NXT_COMPO!$P84=IDX_CA!$B$2:$B$1041),--(NXT_COMPO!$Q84=IDX_CA!$C$2:$C$1041),ROW(IDX_CA!$F$2:$F$1041))),""))</f>
        <v>100</v>
      </c>
      <c r="J84" s="62">
        <f>IF($D84&lt;=$B$1-$B$2,IF(INDEX($AA$2:$AA$1048576,MATCH($D84,$AB$2:$AB$1048576,0))="MODIFY",INDEX(IDX_CA!$G$1:$G$1041,SUMPRODUCT(--($E84=IDX_CA!$A$2:$A$1041),--(NXT_COMPO!$P84=IDX_CA!$B$2:$B$1041),--(NXT_COMPO!$Q84=IDX_CA!$C$2:$C$1041),ROW(IDX_CA!$G$2:$G$1041))),INDEX(IDX_COMPOSITION!$F$1:$F$441,SUMPRODUCT(--($E84=IDX_COMPOSITION!$A$2:$A$441),--(NXT_COMPO!$P84=IDX_COMPOSITION!$R$2:$R$441),--(NXT_COMPO!$B$5=IDX_COMPOSITION!$L$2:$L$441),ROW(IDX_COMPOSITION!$F$2:$F$441)))),IF($D84&lt;=$B$4,INDEX(IDX_CA!$G$1:$G$1041,SUMPRODUCT(--($E84=IDX_CA!$A$2:$A$1041),--(NXT_COMPO!$P84=IDX_CA!$B$2:$B$1041),--(NXT_COMPO!$Q84=IDX_CA!$C$2:$C$1041),ROW(IDX_CA!$G$2:$G$1041))),""))</f>
        <v>3600</v>
      </c>
      <c r="K84" s="63" t="str">
        <f>IF($D84&lt;&gt;"",VLOOKUP($E84,STK_REF!$A$2:$J$1048576,7,0),"")</f>
        <v>VND</v>
      </c>
      <c r="L84" s="5">
        <f>IF($D84&lt;&gt;"",VLOOKUP($E84,STK_REF!$A$2:$J$1048576,8,0),"")</f>
        <v>1</v>
      </c>
      <c r="M84" s="8">
        <f>IF($D84&lt;&gt;"",IF($K84=$U84,1,IF(ISNA(VLOOKUP($K84&amp;$U84,CUR_RATES!$A$2:$F$521,4,0)),"",VLOOKUP($K84&amp;$U84,CUR_RATES!$A$2:$F$521,4,0))),"")</f>
        <v>1</v>
      </c>
      <c r="N84" s="61">
        <f t="shared" si="18"/>
        <v>3600</v>
      </c>
      <c r="O84" s="68">
        <f t="shared" si="19"/>
        <v>188484166800</v>
      </c>
      <c r="P84" s="5" t="str">
        <f t="shared" si="14"/>
        <v>VNXHNXPRVND</v>
      </c>
      <c r="Q84" s="75">
        <f t="shared" si="20"/>
        <v>41166</v>
      </c>
      <c r="R84" s="68" t="str">
        <f t="shared" si="21"/>
        <v/>
      </c>
      <c r="S84" s="61" t="str">
        <f t="shared" si="22"/>
        <v/>
      </c>
      <c r="T84" s="62" t="str">
        <f>IF(D84&lt;&gt;"",IF(SUMPRODUCT(--($E84=STK_DIV!$A$2:$A$5),--(NXT_COMPO!$Q84=STK_DIV!$E$2:$E$5),ROW(STK_DIV!$D$2:$D$5))=0,"",INDEX(STK_DIV!$D$1:$D$5,SUMPRODUCT(--($E84=STK_DIV!$A$2:$A$5),--(NXT_COMPO!$Q84=STK_DIV!$E$2:$E$5),ROW(STK_DIV!$D$2:$D$5)))),"")</f>
        <v/>
      </c>
      <c r="U84" s="54" t="str">
        <f>IF($D84&lt;&gt;"",VLOOKUP($P84,IDX_REF!$2:$1048576,4,0),"")</f>
        <v>VND</v>
      </c>
      <c r="W84" s="52">
        <f t="shared" si="15"/>
        <v>83</v>
      </c>
      <c r="X84" s="5" t="str">
        <f>IF(ROW(X84)-ROW($X$1)&lt;=$B$1,INDEX(IDX_COMPO!A:A,ROW(IDX_COMPO!A84)),"")</f>
        <v>PVR</v>
      </c>
      <c r="Y84" s="75">
        <f t="shared" si="16"/>
        <v>41166</v>
      </c>
      <c r="Z84" s="54" t="str">
        <f>IF(ROW(Z84)-ROW($Y$1)&lt;=$B$1,INDEX(IDX_COMPO!F:F,ROW(IDX_COMPO!R84)),"")</f>
        <v>VNXHNXPRVND</v>
      </c>
      <c r="AA84" s="2" t="str">
        <f t="array" ref="AA84">IF(X84&lt;&gt;"",IF(SUMPRODUCT(--(X84=IDX_CA!$A$2:$A$1041),--(NXT_COMPO!Y84=IDX_CA!$C$2:$C$1041),--(Z84=IDX_CA!$B$2:$B$1041))&gt;0,IF(INDEX(IDX_CA!$I:$I,SUMPRODUCT(--(X84=IDX_CA!$A$2:$A$1041),--(NXT_COMPO!Y84=IDX_CA!$C$2:$C$1041),--(Z84=IDX_CA!$B$2:$B$1041),ROW(IDX_CA!$I$2:$I$1041)))=1,"YES","MODIFY"),""),"")</f>
        <v/>
      </c>
      <c r="AB84" s="5">
        <f>IF(X84&lt;&gt;"",IF(AA84="YES","",COUNTIF($AA$2:AA84,"&lt;&gt;YES")),"")</f>
        <v>83</v>
      </c>
      <c r="AC84" s="2"/>
    </row>
    <row r="85" spans="4:29" x14ac:dyDescent="0.2">
      <c r="D85" s="52">
        <f t="shared" si="13"/>
        <v>84</v>
      </c>
      <c r="E85" s="5" t="str">
        <f t="shared" si="17"/>
        <v>PVG</v>
      </c>
      <c r="F85" s="5" t="str">
        <f>IF($D85&lt;&gt;"",VLOOKUP($E85,STK_REF!$A$2:$J$1048576,2,0),"")</f>
        <v>VNX Northern Gas Joint Stock Co</v>
      </c>
      <c r="G85" s="68">
        <f>IF($D85&lt;=$B$1-$B$2,IF(INDEX($AA$2:$AA$1048576,MATCH($D85,$AB$2:$AB$1048576,0))="MODIFY",INDEX(IDX_CA!$D$1:$D$1041,SUMPRODUCT(--($E85=IDX_CA!$A$2:$A$1041),--(NXT_COMPO!$P85=IDX_CA!$B$2:$B$1041),--(NXT_COMPO!$Q85=IDX_CA!$C$2:$C$1041),ROW(IDX_CA!$D$2:$D$1041))),INDEX(IDX_COMPO!$C$1:$C$12000,SUMPRODUCT(--($E85=IDX_COMPO!$A$2:$A$1200),--(NXT_COMPO!$P85=IDX_COMPO!$F$2:$F$1200),--(NXT_COMPO!$B$5=IDX_COMPO!$G$2:$G$1200),ROW(IDX_COMPO!$C$2:$C$1200)))),IF($D85&lt;=$B$4,INDEX(IDX_CA!$D$1:$D$1041,SUMPRODUCT(--($E85=IDX_CA!$A$2:$A$1041),--(NXT_COMPO!$P85=IDX_CA!$B$2:$B$1041),--(NXT_COMPO!$Q85=IDX_CA!$C$2:$C$1041),ROW(IDX_CA!$D$2:$D$1041))),""))</f>
        <v>23000000</v>
      </c>
      <c r="H85" s="55">
        <f>IF($D85&lt;=$B$1-$B$2,IF(INDEX($AA$2:$AA$1048576,MATCH($D85,$AB$2:$AB$1048576,0))="MODIFY",INDEX(IDX_CA!$E$1:$E$1041,SUMPRODUCT(--($E85=IDX_CA!$A$2:$A$1041),--(NXT_COMPO!$P85=IDX_CA!$B$2:$B$1041),--(NXT_COMPO!$Q85=IDX_CA!$C$2:$C$1041),ROW(IDX_CA!$E$2:$E$1041))),INDEX(IDX_COMPO!$D$1:$D$1200,SUMPRODUCT(--($E85=IDX_COMPO!$A$2:$A$1200),--(NXT_COMPO!$P85=IDX_COMPO!$F$2:$F$1200),--(NXT_COMPO!$B$5=IDX_COMPO!$G$2:$G$1200),ROW(IDX_COMPO!$D$2:$D$1200)))),IF($D85&lt;=$B$4,INDEX(IDX_CA!$E$1:$E$1041,SUMPRODUCT(--($E85=IDX_CA!$A$2:$A$1041),--(NXT_COMPO!$P85=IDX_CA!$B$2:$B$1041),--(NXT_COMPO!$Q85=IDX_CA!$C$2:$C$1041),ROW(IDX_CA!$E$2:$E$1041))),""))</f>
        <v>100</v>
      </c>
      <c r="I85" s="55">
        <f>IF($D85&lt;=$B$1-$B$2,IF(INDEX($AA$2:$AA$1048576,MATCH($D85,$AB$2:$AB$1048576,0))="MODIFY",INDEX(IDX_CA!$F$1:$F$1041,SUMPRODUCT(--($E85=IDX_CA!$A$2:$A$1041),--(NXT_COMPO!$P85=IDX_CA!$B$2:$B$1041),--(NXT_COMPO!$Q85=IDX_CA!$C$2:$C$1041),ROW(IDX_CA!$F$2:$F$1041))),INDEX(IDX_COMPO!$E$1:$E$1200,SUMPRODUCT(--($E85=IDX_COMPO!$A$2:$A$1200),--(NXT_COMPO!$P85=IDX_COMPO!$F$2:$F$1200),--(NXT_COMPO!$B$5=IDX_COMPO!$G$2:$G$1200),ROW(IDX_COMPO!$E$2:$E$1200)))),IF($D85&lt;=$B$4,INDEX(IDX_CA!$F$1:$F$1041,SUMPRODUCT(--($E85=IDX_CA!$A$2:$A$1041),--(NXT_COMPO!$P85=IDX_CA!$B$2:$B$1041),--(NXT_COMPO!$Q85=IDX_CA!$C$2:$C$1041),ROW(IDX_CA!$F$2:$F$1041))),""))</f>
        <v>100</v>
      </c>
      <c r="J85" s="62">
        <f>IF($D85&lt;=$B$1-$B$2,IF(INDEX($AA$2:$AA$1048576,MATCH($D85,$AB$2:$AB$1048576,0))="MODIFY",INDEX(IDX_CA!$G$1:$G$1041,SUMPRODUCT(--($E85=IDX_CA!$A$2:$A$1041),--(NXT_COMPO!$P85=IDX_CA!$B$2:$B$1041),--(NXT_COMPO!$Q85=IDX_CA!$C$2:$C$1041),ROW(IDX_CA!$G$2:$G$1041))),INDEX(IDX_COMPOSITION!$F$1:$F$441,SUMPRODUCT(--($E85=IDX_COMPOSITION!$A$2:$A$441),--(NXT_COMPO!$P85=IDX_COMPOSITION!$R$2:$R$441),--(NXT_COMPO!$B$5=IDX_COMPOSITION!$L$2:$L$441),ROW(IDX_COMPOSITION!$F$2:$F$441)))),IF($D85&lt;=$B$4,INDEX(IDX_CA!$G$1:$G$1041,SUMPRODUCT(--($E85=IDX_CA!$A$2:$A$1041),--(NXT_COMPO!$P85=IDX_CA!$B$2:$B$1041),--(NXT_COMPO!$Q85=IDX_CA!$C$2:$C$1041),ROW(IDX_CA!$G$2:$G$1041))),""))</f>
        <v>9300</v>
      </c>
      <c r="K85" s="63" t="str">
        <f>IF($D85&lt;&gt;"",VLOOKUP($E85,STK_REF!$A$2:$J$1048576,7,0),"")</f>
        <v>VND</v>
      </c>
      <c r="L85" s="5">
        <f>IF($D85&lt;&gt;"",VLOOKUP($E85,STK_REF!$A$2:$J$1048576,8,0),"")</f>
        <v>1</v>
      </c>
      <c r="M85" s="8">
        <f>IF($D85&lt;&gt;"",IF($K85=$U85,1,IF(ISNA(VLOOKUP($K85&amp;$U85,CUR_RATES!$A$2:$F$521,4,0)),"",VLOOKUP($K85&amp;$U85,CUR_RATES!$A$2:$F$521,4,0))),"")</f>
        <v>1</v>
      </c>
      <c r="N85" s="61">
        <f t="shared" si="18"/>
        <v>9300</v>
      </c>
      <c r="O85" s="68">
        <f t="shared" si="19"/>
        <v>213900000000</v>
      </c>
      <c r="P85" s="5" t="str">
        <f t="shared" si="14"/>
        <v>VNXHNXPRVND</v>
      </c>
      <c r="Q85" s="75">
        <f t="shared" si="20"/>
        <v>41166</v>
      </c>
      <c r="R85" s="68" t="str">
        <f t="shared" si="21"/>
        <v/>
      </c>
      <c r="S85" s="61" t="str">
        <f t="shared" si="22"/>
        <v/>
      </c>
      <c r="T85" s="62" t="str">
        <f>IF(D85&lt;&gt;"",IF(SUMPRODUCT(--($E85=STK_DIV!$A$2:$A$5),--(NXT_COMPO!$Q85=STK_DIV!$E$2:$E$5),ROW(STK_DIV!$D$2:$D$5))=0,"",INDEX(STK_DIV!$D$1:$D$5,SUMPRODUCT(--($E85=STK_DIV!$A$2:$A$5),--(NXT_COMPO!$Q85=STK_DIV!$E$2:$E$5),ROW(STK_DIV!$D$2:$D$5)))),"")</f>
        <v/>
      </c>
      <c r="U85" s="54" t="str">
        <f>IF($D85&lt;&gt;"",VLOOKUP($P85,IDX_REF!$2:$1048576,4,0),"")</f>
        <v>VND</v>
      </c>
      <c r="W85" s="52">
        <f t="shared" si="15"/>
        <v>84</v>
      </c>
      <c r="X85" s="5" t="str">
        <f>IF(ROW(X85)-ROW($X$1)&lt;=$B$1,INDEX(IDX_COMPO!A:A,ROW(IDX_COMPO!A85)),"")</f>
        <v>PVG</v>
      </c>
      <c r="Y85" s="75">
        <f t="shared" si="16"/>
        <v>41166</v>
      </c>
      <c r="Z85" s="54" t="str">
        <f>IF(ROW(Z85)-ROW($Y$1)&lt;=$B$1,INDEX(IDX_COMPO!F:F,ROW(IDX_COMPO!R85)),"")</f>
        <v>VNXHNXPRVND</v>
      </c>
      <c r="AA85" s="2" t="str">
        <f t="array" ref="AA85">IF(X85&lt;&gt;"",IF(SUMPRODUCT(--(X85=IDX_CA!$A$2:$A$1041),--(NXT_COMPO!Y85=IDX_CA!$C$2:$C$1041),--(Z85=IDX_CA!$B$2:$B$1041))&gt;0,IF(INDEX(IDX_CA!$I:$I,SUMPRODUCT(--(X85=IDX_CA!$A$2:$A$1041),--(NXT_COMPO!Y85=IDX_CA!$C$2:$C$1041),--(Z85=IDX_CA!$B$2:$B$1041),ROW(IDX_CA!$I$2:$I$1041)))=1,"YES","MODIFY"),""),"")</f>
        <v/>
      </c>
      <c r="AB85" s="5">
        <f>IF(X85&lt;&gt;"",IF(AA85="YES","",COUNTIF($AA$2:AA85,"&lt;&gt;YES")),"")</f>
        <v>84</v>
      </c>
      <c r="AC85" s="2"/>
    </row>
    <row r="86" spans="4:29" x14ac:dyDescent="0.2">
      <c r="D86" s="52">
        <f t="shared" si="13"/>
        <v>85</v>
      </c>
      <c r="E86" s="5" t="str">
        <f t="shared" si="17"/>
        <v>PSI</v>
      </c>
      <c r="F86" s="5" t="str">
        <f>IF($D86&lt;&gt;"",VLOOKUP($E86,STK_REF!$A$2:$J$1048576,2,0),"")</f>
        <v>VNX Securities Incorporated</v>
      </c>
      <c r="G86" s="68">
        <f>IF($D86&lt;=$B$1-$B$2,IF(INDEX($AA$2:$AA$1048576,MATCH($D86,$AB$2:$AB$1048576,0))="MODIFY",INDEX(IDX_CA!$D$1:$D$1041,SUMPRODUCT(--($E86=IDX_CA!$A$2:$A$1041),--(NXT_COMPO!$P86=IDX_CA!$B$2:$B$1041),--(NXT_COMPO!$Q86=IDX_CA!$C$2:$C$1041),ROW(IDX_CA!$D$2:$D$1041))),INDEX(IDX_COMPO!$C$1:$C$12000,SUMPRODUCT(--($E86=IDX_COMPO!$A$2:$A$1200),--(NXT_COMPO!$P86=IDX_COMPO!$F$2:$F$1200),--(NXT_COMPO!$B$5=IDX_COMPO!$G$2:$G$1200),ROW(IDX_COMPO!$C$2:$C$1200)))),IF($D86&lt;=$B$4,INDEX(IDX_CA!$D$1:$D$1041,SUMPRODUCT(--($E86=IDX_CA!$A$2:$A$1041),--(NXT_COMPO!$P86=IDX_CA!$B$2:$B$1041),--(NXT_COMPO!$Q86=IDX_CA!$C$2:$C$1041),ROW(IDX_CA!$D$2:$D$1041))),""))</f>
        <v>15000000</v>
      </c>
      <c r="H86" s="55">
        <f>IF($D86&lt;=$B$1-$B$2,IF(INDEX($AA$2:$AA$1048576,MATCH($D86,$AB$2:$AB$1048576,0))="MODIFY",INDEX(IDX_CA!$E$1:$E$1041,SUMPRODUCT(--($E86=IDX_CA!$A$2:$A$1041),--(NXT_COMPO!$P86=IDX_CA!$B$2:$B$1041),--(NXT_COMPO!$Q86=IDX_CA!$C$2:$C$1041),ROW(IDX_CA!$E$2:$E$1041))),INDEX(IDX_COMPO!$D$1:$D$1200,SUMPRODUCT(--($E86=IDX_COMPO!$A$2:$A$1200),--(NXT_COMPO!$P86=IDX_COMPO!$F$2:$F$1200),--(NXT_COMPO!$B$5=IDX_COMPO!$G$2:$G$1200),ROW(IDX_COMPO!$D$2:$D$1200)))),IF($D86&lt;=$B$4,INDEX(IDX_CA!$E$1:$E$1041,SUMPRODUCT(--($E86=IDX_CA!$A$2:$A$1041),--(NXT_COMPO!$P86=IDX_CA!$B$2:$B$1041),--(NXT_COMPO!$Q86=IDX_CA!$C$2:$C$1041),ROW(IDX_CA!$E$2:$E$1041))),""))</f>
        <v>100</v>
      </c>
      <c r="I86" s="55">
        <f>IF($D86&lt;=$B$1-$B$2,IF(INDEX($AA$2:$AA$1048576,MATCH($D86,$AB$2:$AB$1048576,0))="MODIFY",INDEX(IDX_CA!$F$1:$F$1041,SUMPRODUCT(--($E86=IDX_CA!$A$2:$A$1041),--(NXT_COMPO!$P86=IDX_CA!$B$2:$B$1041),--(NXT_COMPO!$Q86=IDX_CA!$C$2:$C$1041),ROW(IDX_CA!$F$2:$F$1041))),INDEX(IDX_COMPO!$E$1:$E$1200,SUMPRODUCT(--($E86=IDX_COMPO!$A$2:$A$1200),--(NXT_COMPO!$P86=IDX_COMPO!$F$2:$F$1200),--(NXT_COMPO!$B$5=IDX_COMPO!$G$2:$G$1200),ROW(IDX_COMPO!$E$2:$E$1200)))),IF($D86&lt;=$B$4,INDEX(IDX_CA!$F$1:$F$1041,SUMPRODUCT(--($E86=IDX_CA!$A$2:$A$1041),--(NXT_COMPO!$P86=IDX_CA!$B$2:$B$1041),--(NXT_COMPO!$Q86=IDX_CA!$C$2:$C$1041),ROW(IDX_CA!$F$2:$F$1041))),""))</f>
        <v>100</v>
      </c>
      <c r="J86" s="62">
        <f>IF($D86&lt;=$B$1-$B$2,IF(INDEX($AA$2:$AA$1048576,MATCH($D86,$AB$2:$AB$1048576,0))="MODIFY",INDEX(IDX_CA!$G$1:$G$1041,SUMPRODUCT(--($E86=IDX_CA!$A$2:$A$1041),--(NXT_COMPO!$P86=IDX_CA!$B$2:$B$1041),--(NXT_COMPO!$Q86=IDX_CA!$C$2:$C$1041),ROW(IDX_CA!$G$2:$G$1041))),INDEX(IDX_COMPOSITION!$F$1:$F$441,SUMPRODUCT(--($E86=IDX_COMPOSITION!$A$2:$A$441),--(NXT_COMPO!$P86=IDX_COMPOSITION!$R$2:$R$441),--(NXT_COMPO!$B$5=IDX_COMPOSITION!$L$2:$L$441),ROW(IDX_COMPOSITION!$F$2:$F$441)))),IF($D86&lt;=$B$4,INDEX(IDX_CA!$G$1:$G$1041,SUMPRODUCT(--($E86=IDX_CA!$A$2:$A$1041),--(NXT_COMPO!$P86=IDX_CA!$B$2:$B$1041),--(NXT_COMPO!$Q86=IDX_CA!$C$2:$C$1041),ROW(IDX_CA!$G$2:$G$1041))),""))</f>
        <v>3600</v>
      </c>
      <c r="K86" s="63" t="str">
        <f>IF($D86&lt;&gt;"",VLOOKUP($E86,STK_REF!$A$2:$J$1048576,7,0),"")</f>
        <v>VND</v>
      </c>
      <c r="L86" s="5">
        <f>IF($D86&lt;&gt;"",VLOOKUP($E86,STK_REF!$A$2:$J$1048576,8,0),"")</f>
        <v>1</v>
      </c>
      <c r="M86" s="8">
        <f>IF($D86&lt;&gt;"",IF($K86=$U86,1,IF(ISNA(VLOOKUP($K86&amp;$U86,CUR_RATES!$A$2:$F$521,4,0)),"",VLOOKUP($K86&amp;$U86,CUR_RATES!$A$2:$F$521,4,0))),"")</f>
        <v>1</v>
      </c>
      <c r="N86" s="61">
        <f t="shared" si="18"/>
        <v>3600</v>
      </c>
      <c r="O86" s="68">
        <f t="shared" si="19"/>
        <v>54000000000</v>
      </c>
      <c r="P86" s="5" t="str">
        <f t="shared" si="14"/>
        <v>VNXHNXPRVND</v>
      </c>
      <c r="Q86" s="75">
        <f t="shared" si="20"/>
        <v>41166</v>
      </c>
      <c r="R86" s="68" t="str">
        <f t="shared" si="21"/>
        <v/>
      </c>
      <c r="S86" s="61" t="str">
        <f t="shared" si="22"/>
        <v/>
      </c>
      <c r="T86" s="62" t="str">
        <f>IF(D86&lt;&gt;"",IF(SUMPRODUCT(--($E86=STK_DIV!$A$2:$A$5),--(NXT_COMPO!$Q86=STK_DIV!$E$2:$E$5),ROW(STK_DIV!$D$2:$D$5))=0,"",INDEX(STK_DIV!$D$1:$D$5,SUMPRODUCT(--($E86=STK_DIV!$A$2:$A$5),--(NXT_COMPO!$Q86=STK_DIV!$E$2:$E$5),ROW(STK_DIV!$D$2:$D$5)))),"")</f>
        <v/>
      </c>
      <c r="U86" s="54" t="str">
        <f>IF($D86&lt;&gt;"",VLOOKUP($P86,IDX_REF!$2:$1048576,4,0),"")</f>
        <v>VND</v>
      </c>
      <c r="W86" s="52">
        <f t="shared" si="15"/>
        <v>85</v>
      </c>
      <c r="X86" s="5" t="str">
        <f>IF(ROW(X86)-ROW($X$1)&lt;=$B$1,INDEX(IDX_COMPO!A:A,ROW(IDX_COMPO!A86)),"")</f>
        <v>PSI</v>
      </c>
      <c r="Y86" s="75">
        <f t="shared" si="16"/>
        <v>41166</v>
      </c>
      <c r="Z86" s="54" t="str">
        <f>IF(ROW(Z86)-ROW($Y$1)&lt;=$B$1,INDEX(IDX_COMPO!F:F,ROW(IDX_COMPO!R86)),"")</f>
        <v>VNXHNXPRVND</v>
      </c>
      <c r="AA86" s="2" t="str">
        <f t="array" ref="AA86">IF(X86&lt;&gt;"",IF(SUMPRODUCT(--(X86=IDX_CA!$A$2:$A$1041),--(NXT_COMPO!Y86=IDX_CA!$C$2:$C$1041),--(Z86=IDX_CA!$B$2:$B$1041))&gt;0,IF(INDEX(IDX_CA!$I:$I,SUMPRODUCT(--(X86=IDX_CA!$A$2:$A$1041),--(NXT_COMPO!Y86=IDX_CA!$C$2:$C$1041),--(Z86=IDX_CA!$B$2:$B$1041),ROW(IDX_CA!$I$2:$I$1041)))=1,"YES","MODIFY"),""),"")</f>
        <v/>
      </c>
      <c r="AB86" s="5">
        <f>IF(X86&lt;&gt;"",IF(AA86="YES","",COUNTIF($AA$2:AA86,"&lt;&gt;YES")),"")</f>
        <v>85</v>
      </c>
      <c r="AC86" s="2"/>
    </row>
    <row r="87" spans="4:29" x14ac:dyDescent="0.2">
      <c r="D87" s="52">
        <f t="shared" si="13"/>
        <v>86</v>
      </c>
      <c r="E87" s="5" t="str">
        <f t="shared" si="17"/>
        <v>PFL</v>
      </c>
      <c r="F87" s="5" t="str">
        <f>IF($D87&lt;&gt;"",VLOOKUP($E87,STK_REF!$A$2:$J$1048576,2,0),"")</f>
        <v>Petro Dong Do Joint Stock Company</v>
      </c>
      <c r="G87" s="68">
        <f>IF($D87&lt;=$B$1-$B$2,IF(INDEX($AA$2:$AA$1048576,MATCH($D87,$AB$2:$AB$1048576,0))="MODIFY",INDEX(IDX_CA!$D$1:$D$1041,SUMPRODUCT(--($E87=IDX_CA!$A$2:$A$1041),--(NXT_COMPO!$P87=IDX_CA!$B$2:$B$1041),--(NXT_COMPO!$Q87=IDX_CA!$C$2:$C$1041),ROW(IDX_CA!$D$2:$D$1041))),INDEX(IDX_COMPO!$C$1:$C$12000,SUMPRODUCT(--($E87=IDX_COMPO!$A$2:$A$1200),--(NXT_COMPO!$P87=IDX_COMPO!$F$2:$F$1200),--(NXT_COMPO!$B$5=IDX_COMPO!$G$2:$G$1200),ROW(IDX_COMPO!$C$2:$C$1200)))),IF($D87&lt;=$B$4,INDEX(IDX_CA!$D$1:$D$1041,SUMPRODUCT(--($E87=IDX_CA!$A$2:$A$1041),--(NXT_COMPO!$P87=IDX_CA!$B$2:$B$1041),--(NXT_COMPO!$Q87=IDX_CA!$C$2:$C$1041),ROW(IDX_CA!$D$2:$D$1041))),""))</f>
        <v>18000000</v>
      </c>
      <c r="H87" s="55">
        <f>IF($D87&lt;=$B$1-$B$2,IF(INDEX($AA$2:$AA$1048576,MATCH($D87,$AB$2:$AB$1048576,0))="MODIFY",INDEX(IDX_CA!$E$1:$E$1041,SUMPRODUCT(--($E87=IDX_CA!$A$2:$A$1041),--(NXT_COMPO!$P87=IDX_CA!$B$2:$B$1041),--(NXT_COMPO!$Q87=IDX_CA!$C$2:$C$1041),ROW(IDX_CA!$E$2:$E$1041))),INDEX(IDX_COMPO!$D$1:$D$1200,SUMPRODUCT(--($E87=IDX_COMPO!$A$2:$A$1200),--(NXT_COMPO!$P87=IDX_COMPO!$F$2:$F$1200),--(NXT_COMPO!$B$5=IDX_COMPO!$G$2:$G$1200),ROW(IDX_COMPO!$D$2:$D$1200)))),IF($D87&lt;=$B$4,INDEX(IDX_CA!$E$1:$E$1041,SUMPRODUCT(--($E87=IDX_CA!$A$2:$A$1041),--(NXT_COMPO!$P87=IDX_CA!$B$2:$B$1041),--(NXT_COMPO!$Q87=IDX_CA!$C$2:$C$1041),ROW(IDX_CA!$E$2:$E$1041))),""))</f>
        <v>100</v>
      </c>
      <c r="I87" s="55">
        <f>IF($D87&lt;=$B$1-$B$2,IF(INDEX($AA$2:$AA$1048576,MATCH($D87,$AB$2:$AB$1048576,0))="MODIFY",INDEX(IDX_CA!$F$1:$F$1041,SUMPRODUCT(--($E87=IDX_CA!$A$2:$A$1041),--(NXT_COMPO!$P87=IDX_CA!$B$2:$B$1041),--(NXT_COMPO!$Q87=IDX_CA!$C$2:$C$1041),ROW(IDX_CA!$F$2:$F$1041))),INDEX(IDX_COMPO!$E$1:$E$1200,SUMPRODUCT(--($E87=IDX_COMPO!$A$2:$A$1200),--(NXT_COMPO!$P87=IDX_COMPO!$F$2:$F$1200),--(NXT_COMPO!$B$5=IDX_COMPO!$G$2:$G$1200),ROW(IDX_COMPO!$E$2:$E$1200)))),IF($D87&lt;=$B$4,INDEX(IDX_CA!$F$1:$F$1041,SUMPRODUCT(--($E87=IDX_CA!$A$2:$A$1041),--(NXT_COMPO!$P87=IDX_CA!$B$2:$B$1041),--(NXT_COMPO!$Q87=IDX_CA!$C$2:$C$1041),ROW(IDX_CA!$F$2:$F$1041))),""))</f>
        <v>100</v>
      </c>
      <c r="J87" s="62">
        <f>IF($D87&lt;=$B$1-$B$2,IF(INDEX($AA$2:$AA$1048576,MATCH($D87,$AB$2:$AB$1048576,0))="MODIFY",INDEX(IDX_CA!$G$1:$G$1041,SUMPRODUCT(--($E87=IDX_CA!$A$2:$A$1041),--(NXT_COMPO!$P87=IDX_CA!$B$2:$B$1041),--(NXT_COMPO!$Q87=IDX_CA!$C$2:$C$1041),ROW(IDX_CA!$G$2:$G$1041))),INDEX(IDX_COMPOSITION!$F$1:$F$441,SUMPRODUCT(--($E87=IDX_COMPOSITION!$A$2:$A$441),--(NXT_COMPO!$P87=IDX_COMPOSITION!$R$2:$R$441),--(NXT_COMPO!$B$5=IDX_COMPOSITION!$L$2:$L$441),ROW(IDX_COMPOSITION!$F$2:$F$441)))),IF($D87&lt;=$B$4,INDEX(IDX_CA!$G$1:$G$1041,SUMPRODUCT(--($E87=IDX_CA!$A$2:$A$1041),--(NXT_COMPO!$P87=IDX_CA!$B$2:$B$1041),--(NXT_COMPO!$Q87=IDX_CA!$C$2:$C$1041),ROW(IDX_CA!$G$2:$G$1041))),""))</f>
        <v>2700</v>
      </c>
      <c r="K87" s="63" t="str">
        <f>IF($D87&lt;&gt;"",VLOOKUP($E87,STK_REF!$A$2:$J$1048576,7,0),"")</f>
        <v>VND</v>
      </c>
      <c r="L87" s="5">
        <f>IF($D87&lt;&gt;"",VLOOKUP($E87,STK_REF!$A$2:$J$1048576,8,0),"")</f>
        <v>1</v>
      </c>
      <c r="M87" s="8">
        <f>IF($D87&lt;&gt;"",IF($K87=$U87,1,IF(ISNA(VLOOKUP($K87&amp;$U87,CUR_RATES!$A$2:$F$521,4,0)),"",VLOOKUP($K87&amp;$U87,CUR_RATES!$A$2:$F$521,4,0))),"")</f>
        <v>1</v>
      </c>
      <c r="N87" s="61">
        <f t="shared" si="18"/>
        <v>2700</v>
      </c>
      <c r="O87" s="68">
        <f t="shared" si="19"/>
        <v>48600000000</v>
      </c>
      <c r="P87" s="5" t="str">
        <f t="shared" si="14"/>
        <v>VNXHNXPRVND</v>
      </c>
      <c r="Q87" s="75">
        <f t="shared" si="20"/>
        <v>41166</v>
      </c>
      <c r="R87" s="68" t="str">
        <f t="shared" si="21"/>
        <v/>
      </c>
      <c r="S87" s="61" t="str">
        <f t="shared" si="22"/>
        <v/>
      </c>
      <c r="T87" s="62" t="str">
        <f>IF(D87&lt;&gt;"",IF(SUMPRODUCT(--($E87=STK_DIV!$A$2:$A$5),--(NXT_COMPO!$Q87=STK_DIV!$E$2:$E$5),ROW(STK_DIV!$D$2:$D$5))=0,"",INDEX(STK_DIV!$D$1:$D$5,SUMPRODUCT(--($E87=STK_DIV!$A$2:$A$5),--(NXT_COMPO!$Q87=STK_DIV!$E$2:$E$5),ROW(STK_DIV!$D$2:$D$5)))),"")</f>
        <v/>
      </c>
      <c r="U87" s="54" t="str">
        <f>IF($D87&lt;&gt;"",VLOOKUP($P87,IDX_REF!$2:$1048576,4,0),"")</f>
        <v>VND</v>
      </c>
      <c r="W87" s="52">
        <f t="shared" si="15"/>
        <v>86</v>
      </c>
      <c r="X87" s="5" t="str">
        <f>IF(ROW(X87)-ROW($X$1)&lt;=$B$1,INDEX(IDX_COMPO!A:A,ROW(IDX_COMPO!A87)),"")</f>
        <v>PFL</v>
      </c>
      <c r="Y87" s="75">
        <f t="shared" si="16"/>
        <v>41166</v>
      </c>
      <c r="Z87" s="54" t="str">
        <f>IF(ROW(Z87)-ROW($Y$1)&lt;=$B$1,INDEX(IDX_COMPO!F:F,ROW(IDX_COMPO!R87)),"")</f>
        <v>VNXHNXPRVND</v>
      </c>
      <c r="AA87" s="2" t="str">
        <f t="array" ref="AA87">IF(X87&lt;&gt;"",IF(SUMPRODUCT(--(X87=IDX_CA!$A$2:$A$1041),--(NXT_COMPO!Y87=IDX_CA!$C$2:$C$1041),--(Z87=IDX_CA!$B$2:$B$1041))&gt;0,IF(INDEX(IDX_CA!$I:$I,SUMPRODUCT(--(X87=IDX_CA!$A$2:$A$1041),--(NXT_COMPO!Y87=IDX_CA!$C$2:$C$1041),--(Z87=IDX_CA!$B$2:$B$1041),ROW(IDX_CA!$I$2:$I$1041)))=1,"YES","MODIFY"),""),"")</f>
        <v/>
      </c>
      <c r="AB87" s="5">
        <f>IF(X87&lt;&gt;"",IF(AA87="YES","",COUNTIF($AA$2:AA87,"&lt;&gt;YES")),"")</f>
        <v>86</v>
      </c>
      <c r="AC87" s="2"/>
    </row>
    <row r="88" spans="4:29" x14ac:dyDescent="0.2">
      <c r="D88" s="52">
        <f t="shared" si="13"/>
        <v>87</v>
      </c>
      <c r="E88" s="5" t="str">
        <f t="shared" si="17"/>
        <v>PSG</v>
      </c>
      <c r="F88" s="5" t="str">
        <f>IF($D88&lt;&gt;"",VLOOKUP($E88,STK_REF!$A$2:$J$1048576,2,0),"")</f>
        <v>Saigon Petroleum Constrution And Investment JSC</v>
      </c>
      <c r="G88" s="68">
        <f>IF($D88&lt;=$B$1-$B$2,IF(INDEX($AA$2:$AA$1048576,MATCH($D88,$AB$2:$AB$1048576,0))="MODIFY",INDEX(IDX_CA!$D$1:$D$1041,SUMPRODUCT(--($E88=IDX_CA!$A$2:$A$1041),--(NXT_COMPO!$P88=IDX_CA!$B$2:$B$1041),--(NXT_COMPO!$Q88=IDX_CA!$C$2:$C$1041),ROW(IDX_CA!$D$2:$D$1041))),INDEX(IDX_COMPO!$C$1:$C$12000,SUMPRODUCT(--($E88=IDX_COMPO!$A$2:$A$1200),--(NXT_COMPO!$P88=IDX_COMPO!$F$2:$F$1200),--(NXT_COMPO!$B$5=IDX_COMPO!$G$2:$G$1200),ROW(IDX_COMPO!$C$2:$C$1200)))),IF($D88&lt;=$B$4,INDEX(IDX_CA!$D$1:$D$1041,SUMPRODUCT(--($E88=IDX_CA!$A$2:$A$1041),--(NXT_COMPO!$P88=IDX_CA!$B$2:$B$1041),--(NXT_COMPO!$Q88=IDX_CA!$C$2:$C$1041),ROW(IDX_CA!$D$2:$D$1041))),""))</f>
        <v>250000000</v>
      </c>
      <c r="H88" s="55">
        <f>IF($D88&lt;=$B$1-$B$2,IF(INDEX($AA$2:$AA$1048576,MATCH($D88,$AB$2:$AB$1048576,0))="MODIFY",INDEX(IDX_CA!$E$1:$E$1041,SUMPRODUCT(--($E88=IDX_CA!$A$2:$A$1041),--(NXT_COMPO!$P88=IDX_CA!$B$2:$B$1041),--(NXT_COMPO!$Q88=IDX_CA!$C$2:$C$1041),ROW(IDX_CA!$E$2:$E$1041))),INDEX(IDX_COMPO!$D$1:$D$1200,SUMPRODUCT(--($E88=IDX_COMPO!$A$2:$A$1200),--(NXT_COMPO!$P88=IDX_COMPO!$F$2:$F$1200),--(NXT_COMPO!$B$5=IDX_COMPO!$G$2:$G$1200),ROW(IDX_COMPO!$D$2:$D$1200)))),IF($D88&lt;=$B$4,INDEX(IDX_CA!$E$1:$E$1041,SUMPRODUCT(--($E88=IDX_CA!$A$2:$A$1041),--(NXT_COMPO!$P88=IDX_CA!$B$2:$B$1041),--(NXT_COMPO!$Q88=IDX_CA!$C$2:$C$1041),ROW(IDX_CA!$E$2:$E$1041))),""))</f>
        <v>100</v>
      </c>
      <c r="I88" s="55">
        <f>IF($D88&lt;=$B$1-$B$2,IF(INDEX($AA$2:$AA$1048576,MATCH($D88,$AB$2:$AB$1048576,0))="MODIFY",INDEX(IDX_CA!$F$1:$F$1041,SUMPRODUCT(--($E88=IDX_CA!$A$2:$A$1041),--(NXT_COMPO!$P88=IDX_CA!$B$2:$B$1041),--(NXT_COMPO!$Q88=IDX_CA!$C$2:$C$1041),ROW(IDX_CA!$F$2:$F$1041))),INDEX(IDX_COMPO!$E$1:$E$1200,SUMPRODUCT(--($E88=IDX_COMPO!$A$2:$A$1200),--(NXT_COMPO!$P88=IDX_COMPO!$F$2:$F$1200),--(NXT_COMPO!$B$5=IDX_COMPO!$G$2:$G$1200),ROW(IDX_COMPO!$E$2:$E$1200)))),IF($D88&lt;=$B$4,INDEX(IDX_CA!$F$1:$F$1041,SUMPRODUCT(--($E88=IDX_CA!$A$2:$A$1041),--(NXT_COMPO!$P88=IDX_CA!$B$2:$B$1041),--(NXT_COMPO!$Q88=IDX_CA!$C$2:$C$1041),ROW(IDX_CA!$F$2:$F$1041))),""))</f>
        <v>100</v>
      </c>
      <c r="J88" s="62">
        <f>IF($D88&lt;=$B$1-$B$2,IF(INDEX($AA$2:$AA$1048576,MATCH($D88,$AB$2:$AB$1048576,0))="MODIFY",INDEX(IDX_CA!$G$1:$G$1041,SUMPRODUCT(--($E88=IDX_CA!$A$2:$A$1041),--(NXT_COMPO!$P88=IDX_CA!$B$2:$B$1041),--(NXT_COMPO!$Q88=IDX_CA!$C$2:$C$1041),ROW(IDX_CA!$G$2:$G$1041))),INDEX(IDX_COMPOSITION!$F$1:$F$441,SUMPRODUCT(--($E88=IDX_COMPOSITION!$A$2:$A$441),--(NXT_COMPO!$P88=IDX_COMPOSITION!$R$2:$R$441),--(NXT_COMPO!$B$5=IDX_COMPOSITION!$L$2:$L$441),ROW(IDX_COMPOSITION!$F$2:$F$441)))),IF($D88&lt;=$B$4,INDEX(IDX_CA!$G$1:$G$1041,SUMPRODUCT(--($E88=IDX_CA!$A$2:$A$1041),--(NXT_COMPO!$P88=IDX_CA!$B$2:$B$1041),--(NXT_COMPO!$Q88=IDX_CA!$C$2:$C$1041),ROW(IDX_CA!$G$2:$G$1041))),""))</f>
        <v>1300</v>
      </c>
      <c r="K88" s="63" t="str">
        <f>IF($D88&lt;&gt;"",VLOOKUP($E88,STK_REF!$A$2:$J$1048576,7,0),"")</f>
        <v>VND</v>
      </c>
      <c r="L88" s="5">
        <f>IF($D88&lt;&gt;"",VLOOKUP($E88,STK_REF!$A$2:$J$1048576,8,0),"")</f>
        <v>1</v>
      </c>
      <c r="M88" s="8">
        <f>IF($D88&lt;&gt;"",IF($K88=$U88,1,IF(ISNA(VLOOKUP($K88&amp;$U88,CUR_RATES!$A$2:$F$521,4,0)),"",VLOOKUP($K88&amp;$U88,CUR_RATES!$A$2:$F$521,4,0))),"")</f>
        <v>1</v>
      </c>
      <c r="N88" s="61">
        <f t="shared" si="18"/>
        <v>1300</v>
      </c>
      <c r="O88" s="68">
        <f t="shared" si="19"/>
        <v>325000000000</v>
      </c>
      <c r="P88" s="5" t="str">
        <f t="shared" si="14"/>
        <v>VNXHNXPRVND</v>
      </c>
      <c r="Q88" s="75">
        <f t="shared" si="20"/>
        <v>41166</v>
      </c>
      <c r="R88" s="68" t="str">
        <f t="shared" si="21"/>
        <v/>
      </c>
      <c r="S88" s="61" t="str">
        <f t="shared" si="22"/>
        <v/>
      </c>
      <c r="T88" s="62" t="str">
        <f>IF(D88&lt;&gt;"",IF(SUMPRODUCT(--($E88=STK_DIV!$A$2:$A$5),--(NXT_COMPO!$Q88=STK_DIV!$E$2:$E$5),ROW(STK_DIV!$D$2:$D$5))=0,"",INDEX(STK_DIV!$D$1:$D$5,SUMPRODUCT(--($E88=STK_DIV!$A$2:$A$5),--(NXT_COMPO!$Q88=STK_DIV!$E$2:$E$5),ROW(STK_DIV!$D$2:$D$5)))),"")</f>
        <v/>
      </c>
      <c r="U88" s="54" t="str">
        <f>IF($D88&lt;&gt;"",VLOOKUP($P88,IDX_REF!$2:$1048576,4,0),"")</f>
        <v>VND</v>
      </c>
      <c r="W88" s="52">
        <f t="shared" si="15"/>
        <v>87</v>
      </c>
      <c r="X88" s="5" t="str">
        <f>IF(ROW(X88)-ROW($X$1)&lt;=$B$1,INDEX(IDX_COMPO!A:A,ROW(IDX_COMPO!A88)),"")</f>
        <v>PSG</v>
      </c>
      <c r="Y88" s="75">
        <f t="shared" si="16"/>
        <v>41166</v>
      </c>
      <c r="Z88" s="54" t="str">
        <f>IF(ROW(Z88)-ROW($Y$1)&lt;=$B$1,INDEX(IDX_COMPO!F:F,ROW(IDX_COMPO!R88)),"")</f>
        <v>VNXHNXPRVND</v>
      </c>
      <c r="AA88" s="2" t="str">
        <f t="array" ref="AA88">IF(X88&lt;&gt;"",IF(SUMPRODUCT(--(X88=IDX_CA!$A$2:$A$1041),--(NXT_COMPO!Y88=IDX_CA!$C$2:$C$1041),--(Z88=IDX_CA!$B$2:$B$1041))&gt;0,IF(INDEX(IDX_CA!$I:$I,SUMPRODUCT(--(X88=IDX_CA!$A$2:$A$1041),--(NXT_COMPO!Y88=IDX_CA!$C$2:$C$1041),--(Z88=IDX_CA!$B$2:$B$1041),ROW(IDX_CA!$I$2:$I$1041)))=1,"YES","MODIFY"),""),"")</f>
        <v/>
      </c>
      <c r="AB88" s="5">
        <f>IF(X88&lt;&gt;"",IF(AA88="YES","",COUNTIF($AA$2:AA88,"&lt;&gt;YES")),"")</f>
        <v>87</v>
      </c>
      <c r="AC88" s="2"/>
    </row>
    <row r="89" spans="4:29" x14ac:dyDescent="0.2">
      <c r="D89" s="52">
        <f t="shared" si="13"/>
        <v>88</v>
      </c>
      <c r="E89" s="5" t="str">
        <f t="shared" si="17"/>
        <v>PVE</v>
      </c>
      <c r="F89" s="5" t="str">
        <f>IF($D89&lt;&gt;"",VLOOKUP($E89,STK_REF!$A$2:$J$1048576,2,0),"")</f>
        <v>VNX Investment Consultancy and Engineerin</v>
      </c>
      <c r="G89" s="68">
        <f>IF($D89&lt;=$B$1-$B$2,IF(INDEX($AA$2:$AA$1048576,MATCH($D89,$AB$2:$AB$1048576,0))="MODIFY",INDEX(IDX_CA!$D$1:$D$1041,SUMPRODUCT(--($E89=IDX_CA!$A$2:$A$1041),--(NXT_COMPO!$P89=IDX_CA!$B$2:$B$1041),--(NXT_COMPO!$Q89=IDX_CA!$C$2:$C$1041),ROW(IDX_CA!$D$2:$D$1041))),INDEX(IDX_COMPO!$C$1:$C$12000,SUMPRODUCT(--($E89=IDX_COMPO!$A$2:$A$1200),--(NXT_COMPO!$P89=IDX_COMPO!$F$2:$F$1200),--(NXT_COMPO!$B$5=IDX_COMPO!$G$2:$G$1200),ROW(IDX_COMPO!$C$2:$C$1200)))),IF($D89&lt;=$B$4,INDEX(IDX_CA!$D$1:$D$1041,SUMPRODUCT(--($E89=IDX_CA!$A$2:$A$1041),--(NXT_COMPO!$P89=IDX_CA!$B$2:$B$1041),--(NXT_COMPO!$Q89=IDX_CA!$C$2:$C$1041),ROW(IDX_CA!$D$2:$D$1041))),""))</f>
        <v>18870000</v>
      </c>
      <c r="H89" s="55">
        <f>IF($D89&lt;=$B$1-$B$2,IF(INDEX($AA$2:$AA$1048576,MATCH($D89,$AB$2:$AB$1048576,0))="MODIFY",INDEX(IDX_CA!$E$1:$E$1041,SUMPRODUCT(--($E89=IDX_CA!$A$2:$A$1041),--(NXT_COMPO!$P89=IDX_CA!$B$2:$B$1041),--(NXT_COMPO!$Q89=IDX_CA!$C$2:$C$1041),ROW(IDX_CA!$E$2:$E$1041))),INDEX(IDX_COMPO!$D$1:$D$1200,SUMPRODUCT(--($E89=IDX_COMPO!$A$2:$A$1200),--(NXT_COMPO!$P89=IDX_COMPO!$F$2:$F$1200),--(NXT_COMPO!$B$5=IDX_COMPO!$G$2:$G$1200),ROW(IDX_COMPO!$D$2:$D$1200)))),IF($D89&lt;=$B$4,INDEX(IDX_CA!$E$1:$E$1041,SUMPRODUCT(--($E89=IDX_CA!$A$2:$A$1041),--(NXT_COMPO!$P89=IDX_CA!$B$2:$B$1041),--(NXT_COMPO!$Q89=IDX_CA!$C$2:$C$1041),ROW(IDX_CA!$E$2:$E$1041))),""))</f>
        <v>100</v>
      </c>
      <c r="I89" s="55">
        <f>IF($D89&lt;=$B$1-$B$2,IF(INDEX($AA$2:$AA$1048576,MATCH($D89,$AB$2:$AB$1048576,0))="MODIFY",INDEX(IDX_CA!$F$1:$F$1041,SUMPRODUCT(--($E89=IDX_CA!$A$2:$A$1041),--(NXT_COMPO!$P89=IDX_CA!$B$2:$B$1041),--(NXT_COMPO!$Q89=IDX_CA!$C$2:$C$1041),ROW(IDX_CA!$F$2:$F$1041))),INDEX(IDX_COMPO!$E$1:$E$1200,SUMPRODUCT(--($E89=IDX_COMPO!$A$2:$A$1200),--(NXT_COMPO!$P89=IDX_COMPO!$F$2:$F$1200),--(NXT_COMPO!$B$5=IDX_COMPO!$G$2:$G$1200),ROW(IDX_COMPO!$E$2:$E$1200)))),IF($D89&lt;=$B$4,INDEX(IDX_CA!$F$1:$F$1041,SUMPRODUCT(--($E89=IDX_CA!$A$2:$A$1041),--(NXT_COMPO!$P89=IDX_CA!$B$2:$B$1041),--(NXT_COMPO!$Q89=IDX_CA!$C$2:$C$1041),ROW(IDX_CA!$F$2:$F$1041))),""))</f>
        <v>100</v>
      </c>
      <c r="J89" s="62">
        <f>IF($D89&lt;=$B$1-$B$2,IF(INDEX($AA$2:$AA$1048576,MATCH($D89,$AB$2:$AB$1048576,0))="MODIFY",INDEX(IDX_CA!$G$1:$G$1041,SUMPRODUCT(--($E89=IDX_CA!$A$2:$A$1041),--(NXT_COMPO!$P89=IDX_CA!$B$2:$B$1041),--(NXT_COMPO!$Q89=IDX_CA!$C$2:$C$1041),ROW(IDX_CA!$G$2:$G$1041))),INDEX(IDX_COMPOSITION!$F$1:$F$441,SUMPRODUCT(--($E89=IDX_COMPOSITION!$A$2:$A$441),--(NXT_COMPO!$P89=IDX_COMPOSITION!$R$2:$R$441),--(NXT_COMPO!$B$5=IDX_COMPOSITION!$L$2:$L$441),ROW(IDX_COMPOSITION!$F$2:$F$441)))),IF($D89&lt;=$B$4,INDEX(IDX_CA!$G$1:$G$1041,SUMPRODUCT(--($E89=IDX_CA!$A$2:$A$1041),--(NXT_COMPO!$P89=IDX_CA!$B$2:$B$1041),--(NXT_COMPO!$Q89=IDX_CA!$C$2:$C$1041),ROW(IDX_CA!$G$2:$G$1041))),""))</f>
        <v>9600</v>
      </c>
      <c r="K89" s="63" t="str">
        <f>IF($D89&lt;&gt;"",VLOOKUP($E89,STK_REF!$A$2:$J$1048576,7,0),"")</f>
        <v>VND</v>
      </c>
      <c r="L89" s="5">
        <f>IF($D89&lt;&gt;"",VLOOKUP($E89,STK_REF!$A$2:$J$1048576,8,0),"")</f>
        <v>1</v>
      </c>
      <c r="M89" s="8">
        <f>IF($D89&lt;&gt;"",IF($K89=$U89,1,IF(ISNA(VLOOKUP($K89&amp;$U89,CUR_RATES!$A$2:$F$521,4,0)),"",VLOOKUP($K89&amp;$U89,CUR_RATES!$A$2:$F$521,4,0))),"")</f>
        <v>1</v>
      </c>
      <c r="N89" s="61">
        <f t="shared" si="18"/>
        <v>9600</v>
      </c>
      <c r="O89" s="68">
        <f t="shared" si="19"/>
        <v>181152000000</v>
      </c>
      <c r="P89" s="5" t="str">
        <f t="shared" si="14"/>
        <v>VNXHNXPRVND</v>
      </c>
      <c r="Q89" s="75">
        <f t="shared" si="20"/>
        <v>41166</v>
      </c>
      <c r="R89" s="68" t="str">
        <f t="shared" si="21"/>
        <v/>
      </c>
      <c r="S89" s="61" t="str">
        <f t="shared" si="22"/>
        <v/>
      </c>
      <c r="T89" s="62" t="str">
        <f>IF(D89&lt;&gt;"",IF(SUMPRODUCT(--($E89=STK_DIV!$A$2:$A$5),--(NXT_COMPO!$Q89=STK_DIV!$E$2:$E$5),ROW(STK_DIV!$D$2:$D$5))=0,"",INDEX(STK_DIV!$D$1:$D$5,SUMPRODUCT(--($E89=STK_DIV!$A$2:$A$5),--(NXT_COMPO!$Q89=STK_DIV!$E$2:$E$5),ROW(STK_DIV!$D$2:$D$5)))),"")</f>
        <v/>
      </c>
      <c r="U89" s="54" t="str">
        <f>IF($D89&lt;&gt;"",VLOOKUP($P89,IDX_REF!$2:$1048576,4,0),"")</f>
        <v>VND</v>
      </c>
      <c r="W89" s="52">
        <f t="shared" si="15"/>
        <v>88</v>
      </c>
      <c r="X89" s="5" t="str">
        <f>IF(ROW(X89)-ROW($X$1)&lt;=$B$1,INDEX(IDX_COMPO!A:A,ROW(IDX_COMPO!A89)),"")</f>
        <v>PVE</v>
      </c>
      <c r="Y89" s="75">
        <f t="shared" si="16"/>
        <v>41166</v>
      </c>
      <c r="Z89" s="54" t="str">
        <f>IF(ROW(Z89)-ROW($Y$1)&lt;=$B$1,INDEX(IDX_COMPO!F:F,ROW(IDX_COMPO!R89)),"")</f>
        <v>VNXHNXPRVND</v>
      </c>
      <c r="AA89" s="2" t="str">
        <f t="array" ref="AA89">IF(X89&lt;&gt;"",IF(SUMPRODUCT(--(X89=IDX_CA!$A$2:$A$1041),--(NXT_COMPO!Y89=IDX_CA!$C$2:$C$1041),--(Z89=IDX_CA!$B$2:$B$1041))&gt;0,IF(INDEX(IDX_CA!$I:$I,SUMPRODUCT(--(X89=IDX_CA!$A$2:$A$1041),--(NXT_COMPO!Y89=IDX_CA!$C$2:$C$1041),--(Z89=IDX_CA!$B$2:$B$1041),ROW(IDX_CA!$I$2:$I$1041)))=1,"YES","MODIFY"),""),"")</f>
        <v/>
      </c>
      <c r="AB89" s="5">
        <f>IF(X89&lt;&gt;"",IF(AA89="YES","",COUNTIF($AA$2:AA89,"&lt;&gt;YES")),"")</f>
        <v>88</v>
      </c>
      <c r="AC89" s="2"/>
    </row>
    <row r="90" spans="4:29" x14ac:dyDescent="0.2">
      <c r="D90" s="52">
        <f t="shared" si="13"/>
        <v>89</v>
      </c>
      <c r="E90" s="5" t="str">
        <f t="shared" si="17"/>
        <v>PPS</v>
      </c>
      <c r="F90" s="5" t="str">
        <f>IF($D90&lt;&gt;"",VLOOKUP($E90,STK_REF!$A$2:$J$1048576,2,0),"")</f>
        <v>Petro Vietnam Power Services Joint Stock Company</v>
      </c>
      <c r="G90" s="68">
        <f>IF($D90&lt;=$B$1-$B$2,IF(INDEX($AA$2:$AA$1048576,MATCH($D90,$AB$2:$AB$1048576,0))="MODIFY",INDEX(IDX_CA!$D$1:$D$1041,SUMPRODUCT(--($E90=IDX_CA!$A$2:$A$1041),--(NXT_COMPO!$P90=IDX_CA!$B$2:$B$1041),--(NXT_COMPO!$Q90=IDX_CA!$C$2:$C$1041),ROW(IDX_CA!$D$2:$D$1041))),INDEX(IDX_COMPO!$C$1:$C$12000,SUMPRODUCT(--($E90=IDX_COMPO!$A$2:$A$1200),--(NXT_COMPO!$P90=IDX_COMPO!$F$2:$F$1200),--(NXT_COMPO!$B$5=IDX_COMPO!$G$2:$G$1200),ROW(IDX_COMPO!$C$2:$C$1200)))),IF($D90&lt;=$B$4,INDEX(IDX_CA!$D$1:$D$1041,SUMPRODUCT(--($E90=IDX_CA!$A$2:$A$1041),--(NXT_COMPO!$P90=IDX_CA!$B$2:$B$1041),--(NXT_COMPO!$Q90=IDX_CA!$C$2:$C$1041),ROW(IDX_CA!$D$2:$D$1041))),""))</f>
        <v>35000000</v>
      </c>
      <c r="H90" s="55">
        <f>IF($D90&lt;=$B$1-$B$2,IF(INDEX($AA$2:$AA$1048576,MATCH($D90,$AB$2:$AB$1048576,0))="MODIFY",INDEX(IDX_CA!$E$1:$E$1041,SUMPRODUCT(--($E90=IDX_CA!$A$2:$A$1041),--(NXT_COMPO!$P90=IDX_CA!$B$2:$B$1041),--(NXT_COMPO!$Q90=IDX_CA!$C$2:$C$1041),ROW(IDX_CA!$E$2:$E$1041))),INDEX(IDX_COMPO!$D$1:$D$1200,SUMPRODUCT(--($E90=IDX_COMPO!$A$2:$A$1200),--(NXT_COMPO!$P90=IDX_COMPO!$F$2:$F$1200),--(NXT_COMPO!$B$5=IDX_COMPO!$G$2:$G$1200),ROW(IDX_COMPO!$D$2:$D$1200)))),IF($D90&lt;=$B$4,INDEX(IDX_CA!$E$1:$E$1041,SUMPRODUCT(--($E90=IDX_CA!$A$2:$A$1041),--(NXT_COMPO!$P90=IDX_CA!$B$2:$B$1041),--(NXT_COMPO!$Q90=IDX_CA!$C$2:$C$1041),ROW(IDX_CA!$E$2:$E$1041))),""))</f>
        <v>100</v>
      </c>
      <c r="I90" s="55">
        <f>IF($D90&lt;=$B$1-$B$2,IF(INDEX($AA$2:$AA$1048576,MATCH($D90,$AB$2:$AB$1048576,0))="MODIFY",INDEX(IDX_CA!$F$1:$F$1041,SUMPRODUCT(--($E90=IDX_CA!$A$2:$A$1041),--(NXT_COMPO!$P90=IDX_CA!$B$2:$B$1041),--(NXT_COMPO!$Q90=IDX_CA!$C$2:$C$1041),ROW(IDX_CA!$F$2:$F$1041))),INDEX(IDX_COMPO!$E$1:$E$1200,SUMPRODUCT(--($E90=IDX_COMPO!$A$2:$A$1200),--(NXT_COMPO!$P90=IDX_COMPO!$F$2:$F$1200),--(NXT_COMPO!$B$5=IDX_COMPO!$G$2:$G$1200),ROW(IDX_COMPO!$E$2:$E$1200)))),IF($D90&lt;=$B$4,INDEX(IDX_CA!$F$1:$F$1041,SUMPRODUCT(--($E90=IDX_CA!$A$2:$A$1041),--(NXT_COMPO!$P90=IDX_CA!$B$2:$B$1041),--(NXT_COMPO!$Q90=IDX_CA!$C$2:$C$1041),ROW(IDX_CA!$F$2:$F$1041))),""))</f>
        <v>100</v>
      </c>
      <c r="J90" s="62">
        <f>IF($D90&lt;=$B$1-$B$2,IF(INDEX($AA$2:$AA$1048576,MATCH($D90,$AB$2:$AB$1048576,0))="MODIFY",INDEX(IDX_CA!$G$1:$G$1041,SUMPRODUCT(--($E90=IDX_CA!$A$2:$A$1041),--(NXT_COMPO!$P90=IDX_CA!$B$2:$B$1041),--(NXT_COMPO!$Q90=IDX_CA!$C$2:$C$1041),ROW(IDX_CA!$G$2:$G$1041))),INDEX(IDX_COMPOSITION!$F$1:$F$441,SUMPRODUCT(--($E90=IDX_COMPOSITION!$A$2:$A$441),--(NXT_COMPO!$P90=IDX_COMPOSITION!$R$2:$R$441),--(NXT_COMPO!$B$5=IDX_COMPOSITION!$L$2:$L$441),ROW(IDX_COMPOSITION!$F$2:$F$441)))),IF($D90&lt;=$B$4,INDEX(IDX_CA!$G$1:$G$1041,SUMPRODUCT(--($E90=IDX_CA!$A$2:$A$1041),--(NXT_COMPO!$P90=IDX_CA!$B$2:$B$1041),--(NXT_COMPO!$Q90=IDX_CA!$C$2:$C$1041),ROW(IDX_CA!$G$2:$G$1041))),""))</f>
        <v>7200</v>
      </c>
      <c r="K90" s="63" t="str">
        <f>IF($D90&lt;&gt;"",VLOOKUP($E90,STK_REF!$A$2:$J$1048576,7,0),"")</f>
        <v>VND</v>
      </c>
      <c r="L90" s="5">
        <f>IF($D90&lt;&gt;"",VLOOKUP($E90,STK_REF!$A$2:$J$1048576,8,0),"")</f>
        <v>1</v>
      </c>
      <c r="M90" s="8">
        <f>IF($D90&lt;&gt;"",IF($K90=$U90,1,IF(ISNA(VLOOKUP($K90&amp;$U90,CUR_RATES!$A$2:$F$521,4,0)),"",VLOOKUP($K90&amp;$U90,CUR_RATES!$A$2:$F$521,4,0))),"")</f>
        <v>1</v>
      </c>
      <c r="N90" s="61">
        <f t="shared" si="18"/>
        <v>7200</v>
      </c>
      <c r="O90" s="68">
        <f t="shared" si="19"/>
        <v>252000000000</v>
      </c>
      <c r="P90" s="5" t="str">
        <f t="shared" si="14"/>
        <v>VNXHNXPRVND</v>
      </c>
      <c r="Q90" s="75">
        <f t="shared" si="20"/>
        <v>41166</v>
      </c>
      <c r="R90" s="68" t="str">
        <f t="shared" si="21"/>
        <v/>
      </c>
      <c r="S90" s="61" t="str">
        <f t="shared" si="22"/>
        <v/>
      </c>
      <c r="T90" s="62" t="str">
        <f>IF(D90&lt;&gt;"",IF(SUMPRODUCT(--($E90=STK_DIV!$A$2:$A$5),--(NXT_COMPO!$Q90=STK_DIV!$E$2:$E$5),ROW(STK_DIV!$D$2:$D$5))=0,"",INDEX(STK_DIV!$D$1:$D$5,SUMPRODUCT(--($E90=STK_DIV!$A$2:$A$5),--(NXT_COMPO!$Q90=STK_DIV!$E$2:$E$5),ROW(STK_DIV!$D$2:$D$5)))),"")</f>
        <v/>
      </c>
      <c r="U90" s="54" t="str">
        <f>IF($D90&lt;&gt;"",VLOOKUP($P90,IDX_REF!$2:$1048576,4,0),"")</f>
        <v>VND</v>
      </c>
      <c r="W90" s="52">
        <f t="shared" si="15"/>
        <v>89</v>
      </c>
      <c r="X90" s="5" t="str">
        <f>IF(ROW(X90)-ROW($X$1)&lt;=$B$1,INDEX(IDX_COMPO!A:A,ROW(IDX_COMPO!A90)),"")</f>
        <v>PPS</v>
      </c>
      <c r="Y90" s="75">
        <f t="shared" si="16"/>
        <v>41166</v>
      </c>
      <c r="Z90" s="54" t="str">
        <f>IF(ROW(Z90)-ROW($Y$1)&lt;=$B$1,INDEX(IDX_COMPO!F:F,ROW(IDX_COMPO!R90)),"")</f>
        <v>VNXHNXPRVND</v>
      </c>
      <c r="AA90" s="2" t="str">
        <f t="array" ref="AA90">IF(X90&lt;&gt;"",IF(SUMPRODUCT(--(X90=IDX_CA!$A$2:$A$1041),--(NXT_COMPO!Y90=IDX_CA!$C$2:$C$1041),--(Z90=IDX_CA!$B$2:$B$1041))&gt;0,IF(INDEX(IDX_CA!$I:$I,SUMPRODUCT(--(X90=IDX_CA!$A$2:$A$1041),--(NXT_COMPO!Y90=IDX_CA!$C$2:$C$1041),--(Z90=IDX_CA!$B$2:$B$1041),ROW(IDX_CA!$I$2:$I$1041)))=1,"YES","MODIFY"),""),"")</f>
        <v/>
      </c>
      <c r="AB90" s="5">
        <f>IF(X90&lt;&gt;"",IF(AA90="YES","",COUNTIF($AA$2:AA90,"&lt;&gt;YES")),"")</f>
        <v>89</v>
      </c>
      <c r="AC90" s="2"/>
    </row>
    <row r="91" spans="4:29" x14ac:dyDescent="0.2">
      <c r="D91" s="52">
        <f t="shared" si="13"/>
        <v>90</v>
      </c>
      <c r="E91" s="5" t="str">
        <f t="shared" si="17"/>
        <v>PCG</v>
      </c>
      <c r="F91" s="5" t="str">
        <f>IF($D91&lt;&gt;"",VLOOKUP($E91,STK_REF!$A$2:$J$1048576,2,0),"")</f>
        <v>PetroVietnam Gas City Investment and Development JSC</v>
      </c>
      <c r="G91" s="68">
        <f>IF($D91&lt;=$B$1-$B$2,IF(INDEX($AA$2:$AA$1048576,MATCH($D91,$AB$2:$AB$1048576,0))="MODIFY",INDEX(IDX_CA!$D$1:$D$1041,SUMPRODUCT(--($E91=IDX_CA!$A$2:$A$1041),--(NXT_COMPO!$P91=IDX_CA!$B$2:$B$1041),--(NXT_COMPO!$Q91=IDX_CA!$C$2:$C$1041),ROW(IDX_CA!$D$2:$D$1041))),INDEX(IDX_COMPO!$C$1:$C$12000,SUMPRODUCT(--($E91=IDX_COMPO!$A$2:$A$1200),--(NXT_COMPO!$P91=IDX_COMPO!$F$2:$F$1200),--(NXT_COMPO!$B$5=IDX_COMPO!$G$2:$G$1200),ROW(IDX_COMPO!$C$2:$C$1200)))),IF($D91&lt;=$B$4,INDEX(IDX_CA!$D$1:$D$1041,SUMPRODUCT(--($E91=IDX_CA!$A$2:$A$1041),--(NXT_COMPO!$P91=IDX_CA!$B$2:$B$1041),--(NXT_COMPO!$Q91=IDX_CA!$C$2:$C$1041),ROW(IDX_CA!$D$2:$D$1041))),""))</f>
        <v>297802094</v>
      </c>
      <c r="H91" s="55">
        <f>IF($D91&lt;=$B$1-$B$2,IF(INDEX($AA$2:$AA$1048576,MATCH($D91,$AB$2:$AB$1048576,0))="MODIFY",INDEX(IDX_CA!$E$1:$E$1041,SUMPRODUCT(--($E91=IDX_CA!$A$2:$A$1041),--(NXT_COMPO!$P91=IDX_CA!$B$2:$B$1041),--(NXT_COMPO!$Q91=IDX_CA!$C$2:$C$1041),ROW(IDX_CA!$E$2:$E$1041))),INDEX(IDX_COMPO!$D$1:$D$1200,SUMPRODUCT(--($E91=IDX_COMPO!$A$2:$A$1200),--(NXT_COMPO!$P91=IDX_COMPO!$F$2:$F$1200),--(NXT_COMPO!$B$5=IDX_COMPO!$G$2:$G$1200),ROW(IDX_COMPO!$D$2:$D$1200)))),IF($D91&lt;=$B$4,INDEX(IDX_CA!$E$1:$E$1041,SUMPRODUCT(--($E91=IDX_CA!$A$2:$A$1041),--(NXT_COMPO!$P91=IDX_CA!$B$2:$B$1041),--(NXT_COMPO!$Q91=IDX_CA!$C$2:$C$1041),ROW(IDX_CA!$E$2:$E$1041))),""))</f>
        <v>100</v>
      </c>
      <c r="I91" s="55">
        <f>IF($D91&lt;=$B$1-$B$2,IF(INDEX($AA$2:$AA$1048576,MATCH($D91,$AB$2:$AB$1048576,0))="MODIFY",INDEX(IDX_CA!$F$1:$F$1041,SUMPRODUCT(--($E91=IDX_CA!$A$2:$A$1041),--(NXT_COMPO!$P91=IDX_CA!$B$2:$B$1041),--(NXT_COMPO!$Q91=IDX_CA!$C$2:$C$1041),ROW(IDX_CA!$F$2:$F$1041))),INDEX(IDX_COMPO!$E$1:$E$1200,SUMPRODUCT(--($E91=IDX_COMPO!$A$2:$A$1200),--(NXT_COMPO!$P91=IDX_COMPO!$F$2:$F$1200),--(NXT_COMPO!$B$5=IDX_COMPO!$G$2:$G$1200),ROW(IDX_COMPO!$E$2:$E$1200)))),IF($D91&lt;=$B$4,INDEX(IDX_CA!$F$1:$F$1041,SUMPRODUCT(--($E91=IDX_CA!$A$2:$A$1041),--(NXT_COMPO!$P91=IDX_CA!$B$2:$B$1041),--(NXT_COMPO!$Q91=IDX_CA!$C$2:$C$1041),ROW(IDX_CA!$F$2:$F$1041))),""))</f>
        <v>100</v>
      </c>
      <c r="J91" s="62">
        <f>IF($D91&lt;=$B$1-$B$2,IF(INDEX($AA$2:$AA$1048576,MATCH($D91,$AB$2:$AB$1048576,0))="MODIFY",INDEX(IDX_CA!$G$1:$G$1041,SUMPRODUCT(--($E91=IDX_CA!$A$2:$A$1041),--(NXT_COMPO!$P91=IDX_CA!$B$2:$B$1041),--(NXT_COMPO!$Q91=IDX_CA!$C$2:$C$1041),ROW(IDX_CA!$G$2:$G$1041))),INDEX(IDX_COMPOSITION!$F$1:$F$441,SUMPRODUCT(--($E91=IDX_COMPOSITION!$A$2:$A$441),--(NXT_COMPO!$P91=IDX_COMPOSITION!$R$2:$R$441),--(NXT_COMPO!$B$5=IDX_COMPOSITION!$L$2:$L$441),ROW(IDX_COMPOSITION!$F$2:$F$441)))),IF($D91&lt;=$B$4,INDEX(IDX_CA!$G$1:$G$1041,SUMPRODUCT(--($E91=IDX_CA!$A$2:$A$1041),--(NXT_COMPO!$P91=IDX_CA!$B$2:$B$1041),--(NXT_COMPO!$Q91=IDX_CA!$C$2:$C$1041),ROW(IDX_CA!$G$2:$G$1041))),""))</f>
        <v>6100</v>
      </c>
      <c r="K91" s="63" t="str">
        <f>IF($D91&lt;&gt;"",VLOOKUP($E91,STK_REF!$A$2:$J$1048576,7,0),"")</f>
        <v>VND</v>
      </c>
      <c r="L91" s="5">
        <f>IF($D91&lt;&gt;"",VLOOKUP($E91,STK_REF!$A$2:$J$1048576,8,0),"")</f>
        <v>1</v>
      </c>
      <c r="M91" s="8">
        <f>IF($D91&lt;&gt;"",IF($K91=$U91,1,IF(ISNA(VLOOKUP($K91&amp;$U91,CUR_RATES!$A$2:$F$521,4,0)),"",VLOOKUP($K91&amp;$U91,CUR_RATES!$A$2:$F$521,4,0))),"")</f>
        <v>1</v>
      </c>
      <c r="N91" s="61">
        <f t="shared" si="18"/>
        <v>6100</v>
      </c>
      <c r="O91" s="68">
        <f t="shared" si="19"/>
        <v>1816592773400</v>
      </c>
      <c r="P91" s="5" t="str">
        <f t="shared" si="14"/>
        <v>VNXHNXPRVND</v>
      </c>
      <c r="Q91" s="75">
        <f t="shared" si="20"/>
        <v>41166</v>
      </c>
      <c r="R91" s="68" t="str">
        <f t="shared" si="21"/>
        <v/>
      </c>
      <c r="S91" s="61" t="str">
        <f t="shared" si="22"/>
        <v/>
      </c>
      <c r="T91" s="62" t="str">
        <f>IF(D91&lt;&gt;"",IF(SUMPRODUCT(--($E91=STK_DIV!$A$2:$A$5),--(NXT_COMPO!$Q91=STK_DIV!$E$2:$E$5),ROW(STK_DIV!$D$2:$D$5))=0,"",INDEX(STK_DIV!$D$1:$D$5,SUMPRODUCT(--($E91=STK_DIV!$A$2:$A$5),--(NXT_COMPO!$Q91=STK_DIV!$E$2:$E$5),ROW(STK_DIV!$D$2:$D$5)))),"")</f>
        <v/>
      </c>
      <c r="U91" s="54" t="str">
        <f>IF($D91&lt;&gt;"",VLOOKUP($P91,IDX_REF!$2:$1048576,4,0),"")</f>
        <v>VND</v>
      </c>
      <c r="W91" s="52">
        <f t="shared" si="15"/>
        <v>90</v>
      </c>
      <c r="X91" s="5" t="str">
        <f>IF(ROW(X91)-ROW($X$1)&lt;=$B$1,INDEX(IDX_COMPO!A:A,ROW(IDX_COMPO!A91)),"")</f>
        <v>PCG</v>
      </c>
      <c r="Y91" s="75">
        <f t="shared" si="16"/>
        <v>41166</v>
      </c>
      <c r="Z91" s="54" t="str">
        <f>IF(ROW(Z91)-ROW($Y$1)&lt;=$B$1,INDEX(IDX_COMPO!F:F,ROW(IDX_COMPO!R91)),"")</f>
        <v>VNXHNXPRVND</v>
      </c>
      <c r="AA91" s="2" t="str">
        <f t="array" ref="AA91">IF(X91&lt;&gt;"",IF(SUMPRODUCT(--(X91=IDX_CA!$A$2:$A$1041),--(NXT_COMPO!Y91=IDX_CA!$C$2:$C$1041),--(Z91=IDX_CA!$B$2:$B$1041))&gt;0,IF(INDEX(IDX_CA!$I:$I,SUMPRODUCT(--(X91=IDX_CA!$A$2:$A$1041),--(NXT_COMPO!Y91=IDX_CA!$C$2:$C$1041),--(Z91=IDX_CA!$B$2:$B$1041),ROW(IDX_CA!$I$2:$I$1041)))=1,"YES","MODIFY"),""),"")</f>
        <v/>
      </c>
      <c r="AB91" s="5">
        <f>IF(X91&lt;&gt;"",IF(AA91="YES","",COUNTIF($AA$2:AA91,"&lt;&gt;YES")),"")</f>
        <v>90</v>
      </c>
      <c r="AC91" s="2"/>
    </row>
    <row r="92" spans="4:29" x14ac:dyDescent="0.2">
      <c r="D92" s="52">
        <f t="shared" si="13"/>
        <v>91</v>
      </c>
      <c r="E92" s="5" t="str">
        <f t="shared" si="17"/>
        <v>PCT</v>
      </c>
      <c r="F92" s="5" t="str">
        <f>IF($D92&lt;&gt;"",VLOOKUP($E92,STK_REF!$A$2:$J$1048576,2,0),"")</f>
        <v>Cuu Long Petro Gas Service Transportation JSC</v>
      </c>
      <c r="G92" s="68">
        <f>IF($D92&lt;=$B$1-$B$2,IF(INDEX($AA$2:$AA$1048576,MATCH($D92,$AB$2:$AB$1048576,0))="MODIFY",INDEX(IDX_CA!$D$1:$D$1041,SUMPRODUCT(--($E92=IDX_CA!$A$2:$A$1041),--(NXT_COMPO!$P92=IDX_CA!$B$2:$B$1041),--(NXT_COMPO!$Q92=IDX_CA!$C$2:$C$1041),ROW(IDX_CA!$D$2:$D$1041))),INDEX(IDX_COMPO!$C$1:$C$12000,SUMPRODUCT(--($E92=IDX_COMPO!$A$2:$A$1200),--(NXT_COMPO!$P92=IDX_COMPO!$F$2:$F$1200),--(NXT_COMPO!$B$5=IDX_COMPO!$G$2:$G$1200),ROW(IDX_COMPO!$C$2:$C$1200)))),IF($D92&lt;=$B$4,INDEX(IDX_CA!$D$1:$D$1041,SUMPRODUCT(--($E92=IDX_CA!$A$2:$A$1041),--(NXT_COMPO!$P92=IDX_CA!$B$2:$B$1041),--(NXT_COMPO!$Q92=IDX_CA!$C$2:$C$1041),ROW(IDX_CA!$D$2:$D$1041))),""))</f>
        <v>38000000</v>
      </c>
      <c r="H92" s="55">
        <f>IF($D92&lt;=$B$1-$B$2,IF(INDEX($AA$2:$AA$1048576,MATCH($D92,$AB$2:$AB$1048576,0))="MODIFY",INDEX(IDX_CA!$E$1:$E$1041,SUMPRODUCT(--($E92=IDX_CA!$A$2:$A$1041),--(NXT_COMPO!$P92=IDX_CA!$B$2:$B$1041),--(NXT_COMPO!$Q92=IDX_CA!$C$2:$C$1041),ROW(IDX_CA!$E$2:$E$1041))),INDEX(IDX_COMPO!$D$1:$D$1200,SUMPRODUCT(--($E92=IDX_COMPO!$A$2:$A$1200),--(NXT_COMPO!$P92=IDX_COMPO!$F$2:$F$1200),--(NXT_COMPO!$B$5=IDX_COMPO!$G$2:$G$1200),ROW(IDX_COMPO!$D$2:$D$1200)))),IF($D92&lt;=$B$4,INDEX(IDX_CA!$E$1:$E$1041,SUMPRODUCT(--($E92=IDX_CA!$A$2:$A$1041),--(NXT_COMPO!$P92=IDX_CA!$B$2:$B$1041),--(NXT_COMPO!$Q92=IDX_CA!$C$2:$C$1041),ROW(IDX_CA!$E$2:$E$1041))),""))</f>
        <v>100</v>
      </c>
      <c r="I92" s="55">
        <f>IF($D92&lt;=$B$1-$B$2,IF(INDEX($AA$2:$AA$1048576,MATCH($D92,$AB$2:$AB$1048576,0))="MODIFY",INDEX(IDX_CA!$F$1:$F$1041,SUMPRODUCT(--($E92=IDX_CA!$A$2:$A$1041),--(NXT_COMPO!$P92=IDX_CA!$B$2:$B$1041),--(NXT_COMPO!$Q92=IDX_CA!$C$2:$C$1041),ROW(IDX_CA!$F$2:$F$1041))),INDEX(IDX_COMPO!$E$1:$E$1200,SUMPRODUCT(--($E92=IDX_COMPO!$A$2:$A$1200),--(NXT_COMPO!$P92=IDX_COMPO!$F$2:$F$1200),--(NXT_COMPO!$B$5=IDX_COMPO!$G$2:$G$1200),ROW(IDX_COMPO!$E$2:$E$1200)))),IF($D92&lt;=$B$4,INDEX(IDX_CA!$F$1:$F$1041,SUMPRODUCT(--($E92=IDX_CA!$A$2:$A$1041),--(NXT_COMPO!$P92=IDX_CA!$B$2:$B$1041),--(NXT_COMPO!$Q92=IDX_CA!$C$2:$C$1041),ROW(IDX_CA!$F$2:$F$1041))),""))</f>
        <v>100</v>
      </c>
      <c r="J92" s="62">
        <f>IF($D92&lt;=$B$1-$B$2,IF(INDEX($AA$2:$AA$1048576,MATCH($D92,$AB$2:$AB$1048576,0))="MODIFY",INDEX(IDX_CA!$G$1:$G$1041,SUMPRODUCT(--($E92=IDX_CA!$A$2:$A$1041),--(NXT_COMPO!$P92=IDX_CA!$B$2:$B$1041),--(NXT_COMPO!$Q92=IDX_CA!$C$2:$C$1041),ROW(IDX_CA!$G$2:$G$1041))),INDEX(IDX_COMPOSITION!$F$1:$F$441,SUMPRODUCT(--($E92=IDX_COMPOSITION!$A$2:$A$441),--(NXT_COMPO!$P92=IDX_COMPOSITION!$R$2:$R$441),--(NXT_COMPO!$B$5=IDX_COMPOSITION!$L$2:$L$441),ROW(IDX_COMPOSITION!$F$2:$F$441)))),IF($D92&lt;=$B$4,INDEX(IDX_CA!$G$1:$G$1041,SUMPRODUCT(--($E92=IDX_CA!$A$2:$A$1041),--(NXT_COMPO!$P92=IDX_CA!$B$2:$B$1041),--(NXT_COMPO!$Q92=IDX_CA!$C$2:$C$1041),ROW(IDX_CA!$G$2:$G$1041))),""))</f>
        <v>2900</v>
      </c>
      <c r="K92" s="63" t="str">
        <f>IF($D92&lt;&gt;"",VLOOKUP($E92,STK_REF!$A$2:$J$1048576,7,0),"")</f>
        <v>VND</v>
      </c>
      <c r="L92" s="5">
        <f>IF($D92&lt;&gt;"",VLOOKUP($E92,STK_REF!$A$2:$J$1048576,8,0),"")</f>
        <v>1</v>
      </c>
      <c r="M92" s="8">
        <f>IF($D92&lt;&gt;"",IF($K92=$U92,1,IF(ISNA(VLOOKUP($K92&amp;$U92,CUR_RATES!$A$2:$F$521,4,0)),"",VLOOKUP($K92&amp;$U92,CUR_RATES!$A$2:$F$521,4,0))),"")</f>
        <v>1</v>
      </c>
      <c r="N92" s="61">
        <f t="shared" si="18"/>
        <v>2900</v>
      </c>
      <c r="O92" s="68">
        <f t="shared" si="19"/>
        <v>110200000000</v>
      </c>
      <c r="P92" s="5" t="str">
        <f t="shared" si="14"/>
        <v>VNXHNXPRVND</v>
      </c>
      <c r="Q92" s="75">
        <f t="shared" si="20"/>
        <v>41166</v>
      </c>
      <c r="R92" s="68" t="str">
        <f t="shared" si="21"/>
        <v/>
      </c>
      <c r="S92" s="61" t="str">
        <f t="shared" si="22"/>
        <v/>
      </c>
      <c r="T92" s="62" t="str">
        <f>IF(D92&lt;&gt;"",IF(SUMPRODUCT(--($E92=STK_DIV!$A$2:$A$5),--(NXT_COMPO!$Q92=STK_DIV!$E$2:$E$5),ROW(STK_DIV!$D$2:$D$5))=0,"",INDEX(STK_DIV!$D$1:$D$5,SUMPRODUCT(--($E92=STK_DIV!$A$2:$A$5),--(NXT_COMPO!$Q92=STK_DIV!$E$2:$E$5),ROW(STK_DIV!$D$2:$D$5)))),"")</f>
        <v/>
      </c>
      <c r="U92" s="54" t="str">
        <f>IF($D92&lt;&gt;"",VLOOKUP($P92,IDX_REF!$2:$1048576,4,0),"")</f>
        <v>VND</v>
      </c>
      <c r="W92" s="52">
        <f t="shared" si="15"/>
        <v>91</v>
      </c>
      <c r="X92" s="5" t="str">
        <f>IF(ROW(X92)-ROW($X$1)&lt;=$B$1,INDEX(IDX_COMPO!A:A,ROW(IDX_COMPO!A92)),"")</f>
        <v>PCT</v>
      </c>
      <c r="Y92" s="75">
        <f t="shared" si="16"/>
        <v>41166</v>
      </c>
      <c r="Z92" s="54" t="str">
        <f>IF(ROW(Z92)-ROW($Y$1)&lt;=$B$1,INDEX(IDX_COMPO!F:F,ROW(IDX_COMPO!R92)),"")</f>
        <v>VNXHNXPRVND</v>
      </c>
      <c r="AA92" s="2" t="str">
        <f t="array" ref="AA92">IF(X92&lt;&gt;"",IF(SUMPRODUCT(--(X92=IDX_CA!$A$2:$A$1041),--(NXT_COMPO!Y92=IDX_CA!$C$2:$C$1041),--(Z92=IDX_CA!$B$2:$B$1041))&gt;0,IF(INDEX(IDX_CA!$I:$I,SUMPRODUCT(--(X92=IDX_CA!$A$2:$A$1041),--(NXT_COMPO!Y92=IDX_CA!$C$2:$C$1041),--(Z92=IDX_CA!$B$2:$B$1041),ROW(IDX_CA!$I$2:$I$1041)))=1,"YES","MODIFY"),""),"")</f>
        <v/>
      </c>
      <c r="AB92" s="5">
        <f>IF(X92&lt;&gt;"",IF(AA92="YES","",COUNTIF($AA$2:AA92,"&lt;&gt;YES")),"")</f>
        <v>91</v>
      </c>
      <c r="AC92" s="2"/>
    </row>
    <row r="93" spans="4:29" x14ac:dyDescent="0.2">
      <c r="D93" s="52">
        <f t="shared" si="13"/>
        <v>92</v>
      </c>
      <c r="E93" s="5" t="str">
        <f t="shared" si="17"/>
        <v>PPE</v>
      </c>
      <c r="F93" s="5" t="str">
        <f>IF($D93&lt;&gt;"",VLOOKUP($E93,STK_REF!$A$2:$J$1048576,2,0),"")</f>
        <v>PetroVietnam Power Engineering Consulting JSC</v>
      </c>
      <c r="G93" s="68">
        <f>IF($D93&lt;=$B$1-$B$2,IF(INDEX($AA$2:$AA$1048576,MATCH($D93,$AB$2:$AB$1048576,0))="MODIFY",INDEX(IDX_CA!$D$1:$D$1041,SUMPRODUCT(--($E93=IDX_CA!$A$2:$A$1041),--(NXT_COMPO!$P93=IDX_CA!$B$2:$B$1041),--(NXT_COMPO!$Q93=IDX_CA!$C$2:$C$1041),ROW(IDX_CA!$D$2:$D$1041))),INDEX(IDX_COMPO!$C$1:$C$12000,SUMPRODUCT(--($E93=IDX_COMPO!$A$2:$A$1200),--(NXT_COMPO!$P93=IDX_COMPO!$F$2:$F$1200),--(NXT_COMPO!$B$5=IDX_COMPO!$G$2:$G$1200),ROW(IDX_COMPO!$C$2:$C$1200)))),IF($D93&lt;=$B$4,INDEX(IDX_CA!$D$1:$D$1041,SUMPRODUCT(--($E93=IDX_CA!$A$2:$A$1041),--(NXT_COMPO!$P93=IDX_CA!$B$2:$B$1041),--(NXT_COMPO!$Q93=IDX_CA!$C$2:$C$1041),ROW(IDX_CA!$D$2:$D$1041))),""))</f>
        <v>27719850</v>
      </c>
      <c r="H93" s="55">
        <f>IF($D93&lt;=$B$1-$B$2,IF(INDEX($AA$2:$AA$1048576,MATCH($D93,$AB$2:$AB$1048576,0))="MODIFY",INDEX(IDX_CA!$E$1:$E$1041,SUMPRODUCT(--($E93=IDX_CA!$A$2:$A$1041),--(NXT_COMPO!$P93=IDX_CA!$B$2:$B$1041),--(NXT_COMPO!$Q93=IDX_CA!$C$2:$C$1041),ROW(IDX_CA!$E$2:$E$1041))),INDEX(IDX_COMPO!$D$1:$D$1200,SUMPRODUCT(--($E93=IDX_COMPO!$A$2:$A$1200),--(NXT_COMPO!$P93=IDX_COMPO!$F$2:$F$1200),--(NXT_COMPO!$B$5=IDX_COMPO!$G$2:$G$1200),ROW(IDX_COMPO!$D$2:$D$1200)))),IF($D93&lt;=$B$4,INDEX(IDX_CA!$E$1:$E$1041,SUMPRODUCT(--($E93=IDX_CA!$A$2:$A$1041),--(NXT_COMPO!$P93=IDX_CA!$B$2:$B$1041),--(NXT_COMPO!$Q93=IDX_CA!$C$2:$C$1041),ROW(IDX_CA!$E$2:$E$1041))),""))</f>
        <v>100</v>
      </c>
      <c r="I93" s="55">
        <f>IF($D93&lt;=$B$1-$B$2,IF(INDEX($AA$2:$AA$1048576,MATCH($D93,$AB$2:$AB$1048576,0))="MODIFY",INDEX(IDX_CA!$F$1:$F$1041,SUMPRODUCT(--($E93=IDX_CA!$A$2:$A$1041),--(NXT_COMPO!$P93=IDX_CA!$B$2:$B$1041),--(NXT_COMPO!$Q93=IDX_CA!$C$2:$C$1041),ROW(IDX_CA!$F$2:$F$1041))),INDEX(IDX_COMPO!$E$1:$E$1200,SUMPRODUCT(--($E93=IDX_COMPO!$A$2:$A$1200),--(NXT_COMPO!$P93=IDX_COMPO!$F$2:$F$1200),--(NXT_COMPO!$B$5=IDX_COMPO!$G$2:$G$1200),ROW(IDX_COMPO!$E$2:$E$1200)))),IF($D93&lt;=$B$4,INDEX(IDX_CA!$F$1:$F$1041,SUMPRODUCT(--($E93=IDX_CA!$A$2:$A$1041),--(NXT_COMPO!$P93=IDX_CA!$B$2:$B$1041),--(NXT_COMPO!$Q93=IDX_CA!$C$2:$C$1041),ROW(IDX_CA!$F$2:$F$1041))),""))</f>
        <v>100</v>
      </c>
      <c r="J93" s="62">
        <f>IF($D93&lt;=$B$1-$B$2,IF(INDEX($AA$2:$AA$1048576,MATCH($D93,$AB$2:$AB$1048576,0))="MODIFY",INDEX(IDX_CA!$G$1:$G$1041,SUMPRODUCT(--($E93=IDX_CA!$A$2:$A$1041),--(NXT_COMPO!$P93=IDX_CA!$B$2:$B$1041),--(NXT_COMPO!$Q93=IDX_CA!$C$2:$C$1041),ROW(IDX_CA!$G$2:$G$1041))),INDEX(IDX_COMPOSITION!$F$1:$F$441,SUMPRODUCT(--($E93=IDX_COMPOSITION!$A$2:$A$441),--(NXT_COMPO!$P93=IDX_COMPOSITION!$R$2:$R$441),--(NXT_COMPO!$B$5=IDX_COMPOSITION!$L$2:$L$441),ROW(IDX_COMPOSITION!$F$2:$F$441)))),IF($D93&lt;=$B$4,INDEX(IDX_CA!$G$1:$G$1041,SUMPRODUCT(--($E93=IDX_CA!$A$2:$A$1041),--(NXT_COMPO!$P93=IDX_CA!$B$2:$B$1041),--(NXT_COMPO!$Q93=IDX_CA!$C$2:$C$1041),ROW(IDX_CA!$G$2:$G$1041))),""))</f>
        <v>35400</v>
      </c>
      <c r="K93" s="63" t="str">
        <f>IF($D93&lt;&gt;"",VLOOKUP($E93,STK_REF!$A$2:$J$1048576,7,0),"")</f>
        <v>VND</v>
      </c>
      <c r="L93" s="5">
        <f>IF($D93&lt;&gt;"",VLOOKUP($E93,STK_REF!$A$2:$J$1048576,8,0),"")</f>
        <v>1</v>
      </c>
      <c r="M93" s="8">
        <f>IF($D93&lt;&gt;"",IF($K93=$U93,1,IF(ISNA(VLOOKUP($K93&amp;$U93,CUR_RATES!$A$2:$F$521,4,0)),"",VLOOKUP($K93&amp;$U93,CUR_RATES!$A$2:$F$521,4,0))),"")</f>
        <v>1</v>
      </c>
      <c r="N93" s="61">
        <f t="shared" si="18"/>
        <v>35400</v>
      </c>
      <c r="O93" s="68">
        <f t="shared" si="19"/>
        <v>981282690000</v>
      </c>
      <c r="P93" s="5" t="str">
        <f t="shared" si="14"/>
        <v>VNXHNXPRVND</v>
      </c>
      <c r="Q93" s="75">
        <f t="shared" si="20"/>
        <v>41166</v>
      </c>
      <c r="R93" s="68" t="str">
        <f t="shared" si="21"/>
        <v/>
      </c>
      <c r="S93" s="61" t="str">
        <f t="shared" si="22"/>
        <v/>
      </c>
      <c r="T93" s="62" t="str">
        <f>IF(D93&lt;&gt;"",IF(SUMPRODUCT(--($E93=STK_DIV!$A$2:$A$5),--(NXT_COMPO!$Q93=STK_DIV!$E$2:$E$5),ROW(STK_DIV!$D$2:$D$5))=0,"",INDEX(STK_DIV!$D$1:$D$5,SUMPRODUCT(--($E93=STK_DIV!$A$2:$A$5),--(NXT_COMPO!$Q93=STK_DIV!$E$2:$E$5),ROW(STK_DIV!$D$2:$D$5)))),"")</f>
        <v/>
      </c>
      <c r="U93" s="54" t="str">
        <f>IF($D93&lt;&gt;"",VLOOKUP($P93,IDX_REF!$2:$1048576,4,0),"")</f>
        <v>VND</v>
      </c>
      <c r="W93" s="52">
        <f t="shared" si="15"/>
        <v>92</v>
      </c>
      <c r="X93" s="5" t="str">
        <f>IF(ROW(X93)-ROW($X$1)&lt;=$B$1,INDEX(IDX_COMPO!A:A,ROW(IDX_COMPO!A93)),"")</f>
        <v>PPE</v>
      </c>
      <c r="Y93" s="75">
        <f t="shared" si="16"/>
        <v>41166</v>
      </c>
      <c r="Z93" s="54" t="str">
        <f>IF(ROW(Z93)-ROW($Y$1)&lt;=$B$1,INDEX(IDX_COMPO!F:F,ROW(IDX_COMPO!R93)),"")</f>
        <v>VNXHNXPRVND</v>
      </c>
      <c r="AA93" s="2" t="str">
        <f t="array" ref="AA93">IF(X93&lt;&gt;"",IF(SUMPRODUCT(--(X93=IDX_CA!$A$2:$A$1041),--(NXT_COMPO!Y93=IDX_CA!$C$2:$C$1041),--(Z93=IDX_CA!$B$2:$B$1041))&gt;0,IF(INDEX(IDX_CA!$I:$I,SUMPRODUCT(--(X93=IDX_CA!$A$2:$A$1041),--(NXT_COMPO!Y93=IDX_CA!$C$2:$C$1041),--(Z93=IDX_CA!$B$2:$B$1041),ROW(IDX_CA!$I$2:$I$1041)))=1,"YES","MODIFY"),""),"")</f>
        <v/>
      </c>
      <c r="AB93" s="5">
        <f>IF(X93&lt;&gt;"",IF(AA93="YES","",COUNTIF($AA$2:AA93,"&lt;&gt;YES")),"")</f>
        <v>92</v>
      </c>
      <c r="AC93" s="2"/>
    </row>
    <row r="94" spans="4:29" x14ac:dyDescent="0.2">
      <c r="D94" s="52">
        <f t="shared" si="13"/>
        <v>93</v>
      </c>
      <c r="E94" s="5" t="str">
        <f t="shared" si="17"/>
        <v>DPM</v>
      </c>
      <c r="F94" s="5" t="str">
        <f>IF($D94&lt;&gt;"",VLOOKUP($E94,STK_REF!$A$2:$J$1048576,2,0),"")</f>
        <v>VNX Fertilizer and Chemicals Corp</v>
      </c>
      <c r="G94" s="68">
        <f>IF($D94&lt;=$B$1-$B$2,IF(INDEX($AA$2:$AA$1048576,MATCH($D94,$AB$2:$AB$1048576,0))="MODIFY",INDEX(IDX_CA!$D$1:$D$1041,SUMPRODUCT(--($E94=IDX_CA!$A$2:$A$1041),--(NXT_COMPO!$P94=IDX_CA!$B$2:$B$1041),--(NXT_COMPO!$Q94=IDX_CA!$C$2:$C$1041),ROW(IDX_CA!$D$2:$D$1041))),INDEX(IDX_COMPO!$C$1:$C$12000,SUMPRODUCT(--($E94=IDX_COMPO!$A$2:$A$1200),--(NXT_COMPO!$P94=IDX_COMPO!$F$2:$F$1200),--(NXT_COMPO!$B$5=IDX_COMPO!$G$2:$G$1200),ROW(IDX_COMPO!$C$2:$C$1200)))),IF($D94&lt;=$B$4,INDEX(IDX_CA!$D$1:$D$1041,SUMPRODUCT(--($E94=IDX_CA!$A$2:$A$1041),--(NXT_COMPO!$P94=IDX_CA!$B$2:$B$1041),--(NXT_COMPO!$Q94=IDX_CA!$C$2:$C$1041),ROW(IDX_CA!$D$2:$D$1041))),""))</f>
        <v>377647740</v>
      </c>
      <c r="H94" s="55">
        <f>IF($D94&lt;=$B$1-$B$2,IF(INDEX($AA$2:$AA$1048576,MATCH($D94,$AB$2:$AB$1048576,0))="MODIFY",INDEX(IDX_CA!$E$1:$E$1041,SUMPRODUCT(--($E94=IDX_CA!$A$2:$A$1041),--(NXT_COMPO!$P94=IDX_CA!$B$2:$B$1041),--(NXT_COMPO!$Q94=IDX_CA!$C$2:$C$1041),ROW(IDX_CA!$E$2:$E$1041))),INDEX(IDX_COMPO!$D$1:$D$1200,SUMPRODUCT(--($E94=IDX_COMPO!$A$2:$A$1200),--(NXT_COMPO!$P94=IDX_COMPO!$F$2:$F$1200),--(NXT_COMPO!$B$5=IDX_COMPO!$G$2:$G$1200),ROW(IDX_COMPO!$D$2:$D$1200)))),IF($D94&lt;=$B$4,INDEX(IDX_CA!$E$1:$E$1041,SUMPRODUCT(--($E94=IDX_CA!$A$2:$A$1041),--(NXT_COMPO!$P94=IDX_CA!$B$2:$B$1041),--(NXT_COMPO!$Q94=IDX_CA!$C$2:$C$1041),ROW(IDX_CA!$E$2:$E$1041))),""))</f>
        <v>100</v>
      </c>
      <c r="I94" s="55">
        <f>IF($D94&lt;=$B$1-$B$2,IF(INDEX($AA$2:$AA$1048576,MATCH($D94,$AB$2:$AB$1048576,0))="MODIFY",INDEX(IDX_CA!$F$1:$F$1041,SUMPRODUCT(--($E94=IDX_CA!$A$2:$A$1041),--(NXT_COMPO!$P94=IDX_CA!$B$2:$B$1041),--(NXT_COMPO!$Q94=IDX_CA!$C$2:$C$1041),ROW(IDX_CA!$F$2:$F$1041))),INDEX(IDX_COMPO!$E$1:$E$1200,SUMPRODUCT(--($E94=IDX_COMPO!$A$2:$A$1200),--(NXT_COMPO!$P94=IDX_COMPO!$F$2:$F$1200),--(NXT_COMPO!$B$5=IDX_COMPO!$G$2:$G$1200),ROW(IDX_COMPO!$E$2:$E$1200)))),IF($D94&lt;=$B$4,INDEX(IDX_CA!$F$1:$F$1041,SUMPRODUCT(--($E94=IDX_CA!$A$2:$A$1041),--(NXT_COMPO!$P94=IDX_CA!$B$2:$B$1041),--(NXT_COMPO!$Q94=IDX_CA!$C$2:$C$1041),ROW(IDX_CA!$F$2:$F$1041))),""))</f>
        <v>100</v>
      </c>
      <c r="J94" s="62">
        <f>IF($D94&lt;=$B$1-$B$2,IF(INDEX($AA$2:$AA$1048576,MATCH($D94,$AB$2:$AB$1048576,0))="MODIFY",INDEX(IDX_CA!$G$1:$G$1041,SUMPRODUCT(--($E94=IDX_CA!$A$2:$A$1041),--(NXT_COMPO!$P94=IDX_CA!$B$2:$B$1041),--(NXT_COMPO!$Q94=IDX_CA!$C$2:$C$1041),ROW(IDX_CA!$G$2:$G$1041))),INDEX(IDX_COMPOSITION!$F$1:$F$441,SUMPRODUCT(--($E94=IDX_COMPOSITION!$A$2:$A$441),--(NXT_COMPO!$P94=IDX_COMPOSITION!$R$2:$R$441),--(NXT_COMPO!$B$5=IDX_COMPOSITION!$L$2:$L$441),ROW(IDX_COMPOSITION!$F$2:$F$441)))),IF($D94&lt;=$B$4,INDEX(IDX_CA!$G$1:$G$1041,SUMPRODUCT(--($E94=IDX_CA!$A$2:$A$1041),--(NXT_COMPO!$P94=IDX_CA!$B$2:$B$1041),--(NXT_COMPO!$Q94=IDX_CA!$C$2:$C$1041),ROW(IDX_CA!$G$2:$G$1041))),""))</f>
        <v>39200</v>
      </c>
      <c r="K94" s="63" t="str">
        <f>IF($D94&lt;&gt;"",VLOOKUP($E94,STK_REF!$A$2:$J$1048576,7,0),"")</f>
        <v>VND</v>
      </c>
      <c r="L94" s="5">
        <f>IF($D94&lt;&gt;"",VLOOKUP($E94,STK_REF!$A$2:$J$1048576,8,0),"")</f>
        <v>1</v>
      </c>
      <c r="M94" s="8">
        <f>IF($D94&lt;&gt;"",IF($K94=$U94,1,IF(ISNA(VLOOKUP($K94&amp;$U94,CUR_RATES!$A$2:$F$521,4,0)),"",VLOOKUP($K94&amp;$U94,CUR_RATES!$A$2:$F$521,4,0))),"")</f>
        <v>1</v>
      </c>
      <c r="N94" s="61">
        <f t="shared" si="18"/>
        <v>39200</v>
      </c>
      <c r="O94" s="68">
        <f t="shared" si="19"/>
        <v>14803791408000</v>
      </c>
      <c r="P94" s="5" t="str">
        <f t="shared" si="14"/>
        <v>VNXBMPRVND</v>
      </c>
      <c r="Q94" s="75">
        <f t="shared" si="20"/>
        <v>41166</v>
      </c>
      <c r="R94" s="68" t="str">
        <f t="shared" si="21"/>
        <v/>
      </c>
      <c r="S94" s="61" t="str">
        <f t="shared" si="22"/>
        <v/>
      </c>
      <c r="T94" s="62" t="str">
        <f>IF(D94&lt;&gt;"",IF(SUMPRODUCT(--($E94=STK_DIV!$A$2:$A$5),--(NXT_COMPO!$Q94=STK_DIV!$E$2:$E$5),ROW(STK_DIV!$D$2:$D$5))=0,"",INDEX(STK_DIV!$D$1:$D$5,SUMPRODUCT(--($E94=STK_DIV!$A$2:$A$5),--(NXT_COMPO!$Q94=STK_DIV!$E$2:$E$5),ROW(STK_DIV!$D$2:$D$5)))),"")</f>
        <v/>
      </c>
      <c r="U94" s="54" t="str">
        <f>IF($D94&lt;&gt;"",VLOOKUP($P94,IDX_REF!$2:$1048576,4,0),"")</f>
        <v>VND</v>
      </c>
      <c r="W94" s="52">
        <f t="shared" si="15"/>
        <v>93</v>
      </c>
      <c r="X94" s="5" t="str">
        <f>IF(ROW(X94)-ROW($X$1)&lt;=$B$1,INDEX(IDX_COMPO!A:A,ROW(IDX_COMPO!A94)),"")</f>
        <v>DPM</v>
      </c>
      <c r="Y94" s="75">
        <f t="shared" si="16"/>
        <v>41166</v>
      </c>
      <c r="Z94" s="54" t="str">
        <f>IF(ROW(Z94)-ROW($Y$1)&lt;=$B$1,INDEX(IDX_COMPO!F:F,ROW(IDX_COMPO!R94)),"")</f>
        <v>VNXBMPRVND</v>
      </c>
      <c r="AA94" s="2" t="str">
        <f t="array" ref="AA94">IF(X94&lt;&gt;"",IF(SUMPRODUCT(--(X94=IDX_CA!$A$2:$A$1041),--(NXT_COMPO!Y94=IDX_CA!$C$2:$C$1041),--(Z94=IDX_CA!$B$2:$B$1041))&gt;0,IF(INDEX(IDX_CA!$I:$I,SUMPRODUCT(--(X94=IDX_CA!$A$2:$A$1041),--(NXT_COMPO!Y94=IDX_CA!$C$2:$C$1041),--(Z94=IDX_CA!$B$2:$B$1041),ROW(IDX_CA!$I$2:$I$1041)))=1,"YES","MODIFY"),""),"")</f>
        <v/>
      </c>
      <c r="AB94" s="5">
        <f>IF(X94&lt;&gt;"",IF(AA94="YES","",COUNTIF($AA$2:AA94,"&lt;&gt;YES")),"")</f>
        <v>93</v>
      </c>
      <c r="AC94" s="2"/>
    </row>
    <row r="95" spans="4:29" x14ac:dyDescent="0.2">
      <c r="D95" s="52">
        <f t="shared" si="13"/>
        <v>94</v>
      </c>
      <c r="E95" s="5" t="str">
        <f t="shared" si="17"/>
        <v>PET</v>
      </c>
      <c r="F95" s="5" t="str">
        <f>IF($D95&lt;&gt;"",VLOOKUP($E95,STK_REF!$A$2:$J$1048576,2,0),"")</f>
        <v>VNX General Services Joint Stock Corp</v>
      </c>
      <c r="G95" s="68">
        <f>IF($D95&lt;=$B$1-$B$2,IF(INDEX($AA$2:$AA$1048576,MATCH($D95,$AB$2:$AB$1048576,0))="MODIFY",INDEX(IDX_CA!$D$1:$D$1041,SUMPRODUCT(--($E95=IDX_CA!$A$2:$A$1041),--(NXT_COMPO!$P95=IDX_CA!$B$2:$B$1041),--(NXT_COMPO!$Q95=IDX_CA!$C$2:$C$1041),ROW(IDX_CA!$D$2:$D$1041))),INDEX(IDX_COMPO!$C$1:$C$12000,SUMPRODUCT(--($E95=IDX_COMPO!$A$2:$A$1200),--(NXT_COMPO!$P95=IDX_COMPO!$F$2:$F$1200),--(NXT_COMPO!$B$5=IDX_COMPO!$G$2:$G$1200),ROW(IDX_COMPO!$C$2:$C$1200)))),IF($D95&lt;=$B$4,INDEX(IDX_CA!$D$1:$D$1041,SUMPRODUCT(--($E95=IDX_CA!$A$2:$A$1041),--(NXT_COMPO!$P95=IDX_CA!$B$2:$B$1041),--(NXT_COMPO!$Q95=IDX_CA!$C$2:$C$1041),ROW(IDX_CA!$D$2:$D$1041))),""))</f>
        <v>70371300</v>
      </c>
      <c r="H95" s="55">
        <f>IF($D95&lt;=$B$1-$B$2,IF(INDEX($AA$2:$AA$1048576,MATCH($D95,$AB$2:$AB$1048576,0))="MODIFY",INDEX(IDX_CA!$E$1:$E$1041,SUMPRODUCT(--($E95=IDX_CA!$A$2:$A$1041),--(NXT_COMPO!$P95=IDX_CA!$B$2:$B$1041),--(NXT_COMPO!$Q95=IDX_CA!$C$2:$C$1041),ROW(IDX_CA!$E$2:$E$1041))),INDEX(IDX_COMPO!$D$1:$D$1200,SUMPRODUCT(--($E95=IDX_COMPO!$A$2:$A$1200),--(NXT_COMPO!$P95=IDX_COMPO!$F$2:$F$1200),--(NXT_COMPO!$B$5=IDX_COMPO!$G$2:$G$1200),ROW(IDX_COMPO!$D$2:$D$1200)))),IF($D95&lt;=$B$4,INDEX(IDX_CA!$E$1:$E$1041,SUMPRODUCT(--($E95=IDX_CA!$A$2:$A$1041),--(NXT_COMPO!$P95=IDX_CA!$B$2:$B$1041),--(NXT_COMPO!$Q95=IDX_CA!$C$2:$C$1041),ROW(IDX_CA!$E$2:$E$1041))),""))</f>
        <v>100</v>
      </c>
      <c r="I95" s="55">
        <f>IF($D95&lt;=$B$1-$B$2,IF(INDEX($AA$2:$AA$1048576,MATCH($D95,$AB$2:$AB$1048576,0))="MODIFY",INDEX(IDX_CA!$F$1:$F$1041,SUMPRODUCT(--($E95=IDX_CA!$A$2:$A$1041),--(NXT_COMPO!$P95=IDX_CA!$B$2:$B$1041),--(NXT_COMPO!$Q95=IDX_CA!$C$2:$C$1041),ROW(IDX_CA!$F$2:$F$1041))),INDEX(IDX_COMPO!$E$1:$E$1200,SUMPRODUCT(--($E95=IDX_COMPO!$A$2:$A$1200),--(NXT_COMPO!$P95=IDX_COMPO!$F$2:$F$1200),--(NXT_COMPO!$B$5=IDX_COMPO!$G$2:$G$1200),ROW(IDX_COMPO!$E$2:$E$1200)))),IF($D95&lt;=$B$4,INDEX(IDX_CA!$F$1:$F$1041,SUMPRODUCT(--($E95=IDX_CA!$A$2:$A$1041),--(NXT_COMPO!$P95=IDX_CA!$B$2:$B$1041),--(NXT_COMPO!$Q95=IDX_CA!$C$2:$C$1041),ROW(IDX_CA!$F$2:$F$1041))),""))</f>
        <v>100</v>
      </c>
      <c r="J95" s="62">
        <f>IF($D95&lt;=$B$1-$B$2,IF(INDEX($AA$2:$AA$1048576,MATCH($D95,$AB$2:$AB$1048576,0))="MODIFY",INDEX(IDX_CA!$G$1:$G$1041,SUMPRODUCT(--($E95=IDX_CA!$A$2:$A$1041),--(NXT_COMPO!$P95=IDX_CA!$B$2:$B$1041),--(NXT_COMPO!$Q95=IDX_CA!$C$2:$C$1041),ROW(IDX_CA!$G$2:$G$1041))),INDEX(IDX_COMPOSITION!$F$1:$F$441,SUMPRODUCT(--($E95=IDX_COMPOSITION!$A$2:$A$441),--(NXT_COMPO!$P95=IDX_COMPOSITION!$R$2:$R$441),--(NXT_COMPO!$B$5=IDX_COMPOSITION!$L$2:$L$441),ROW(IDX_COMPOSITION!$F$2:$F$441)))),IF($D95&lt;=$B$4,INDEX(IDX_CA!$G$1:$G$1041,SUMPRODUCT(--($E95=IDX_CA!$A$2:$A$1041),--(NXT_COMPO!$P95=IDX_CA!$B$2:$B$1041),--(NXT_COMPO!$Q95=IDX_CA!$C$2:$C$1041),ROW(IDX_CA!$G$2:$G$1041))),""))</f>
        <v>11200</v>
      </c>
      <c r="K95" s="63" t="str">
        <f>IF($D95&lt;&gt;"",VLOOKUP($E95,STK_REF!$A$2:$J$1048576,7,0),"")</f>
        <v>VND</v>
      </c>
      <c r="L95" s="5">
        <f>IF($D95&lt;&gt;"",VLOOKUP($E95,STK_REF!$A$2:$J$1048576,8,0),"")</f>
        <v>1</v>
      </c>
      <c r="M95" s="8">
        <f>IF($D95&lt;&gt;"",IF($K95=$U95,1,IF(ISNA(VLOOKUP($K95&amp;$U95,CUR_RATES!$A$2:$F$521,4,0)),"",VLOOKUP($K95&amp;$U95,CUR_RATES!$A$2:$F$521,4,0))),"")</f>
        <v>1</v>
      </c>
      <c r="N95" s="61">
        <f t="shared" si="18"/>
        <v>11200</v>
      </c>
      <c r="O95" s="68">
        <f t="shared" si="19"/>
        <v>788158560000</v>
      </c>
      <c r="P95" s="5" t="str">
        <f t="shared" si="14"/>
        <v>VNXCSPRVND</v>
      </c>
      <c r="Q95" s="75">
        <f t="shared" si="20"/>
        <v>41166</v>
      </c>
      <c r="R95" s="68" t="str">
        <f t="shared" si="21"/>
        <v/>
      </c>
      <c r="S95" s="61" t="str">
        <f t="shared" si="22"/>
        <v/>
      </c>
      <c r="T95" s="62" t="str">
        <f>IF(D95&lt;&gt;"",IF(SUMPRODUCT(--($E95=STK_DIV!$A$2:$A$5),--(NXT_COMPO!$Q95=STK_DIV!$E$2:$E$5),ROW(STK_DIV!$D$2:$D$5))=0,"",INDEX(STK_DIV!$D$1:$D$5,SUMPRODUCT(--($E95=STK_DIV!$A$2:$A$5),--(NXT_COMPO!$Q95=STK_DIV!$E$2:$E$5),ROW(STK_DIV!$D$2:$D$5)))),"")</f>
        <v/>
      </c>
      <c r="U95" s="54" t="str">
        <f>IF($D95&lt;&gt;"",VLOOKUP($P95,IDX_REF!$2:$1048576,4,0),"")</f>
        <v>VND</v>
      </c>
      <c r="W95" s="52">
        <f t="shared" si="15"/>
        <v>94</v>
      </c>
      <c r="X95" s="5" t="str">
        <f>IF(ROW(X95)-ROW($X$1)&lt;=$B$1,INDEX(IDX_COMPO!A:A,ROW(IDX_COMPO!A95)),"")</f>
        <v>PET</v>
      </c>
      <c r="Y95" s="75">
        <f t="shared" si="16"/>
        <v>41166</v>
      </c>
      <c r="Z95" s="54" t="str">
        <f>IF(ROW(Z95)-ROW($Y$1)&lt;=$B$1,INDEX(IDX_COMPO!F:F,ROW(IDX_COMPO!R95)),"")</f>
        <v>VNXCSPRVND</v>
      </c>
      <c r="AA95" s="2" t="str">
        <f t="array" ref="AA95">IF(X95&lt;&gt;"",IF(SUMPRODUCT(--(X95=IDX_CA!$A$2:$A$1041),--(NXT_COMPO!Y95=IDX_CA!$C$2:$C$1041),--(Z95=IDX_CA!$B$2:$B$1041))&gt;0,IF(INDEX(IDX_CA!$I:$I,SUMPRODUCT(--(X95=IDX_CA!$A$2:$A$1041),--(NXT_COMPO!Y95=IDX_CA!$C$2:$C$1041),--(Z95=IDX_CA!$B$2:$B$1041),ROW(IDX_CA!$I$2:$I$1041)))=1,"YES","MODIFY"),""),"")</f>
        <v/>
      </c>
      <c r="AB95" s="5">
        <f>IF(X95&lt;&gt;"",IF(AA95="YES","",COUNTIF($AA$2:AA95,"&lt;&gt;YES")),"")</f>
        <v>94</v>
      </c>
      <c r="AC95" s="2"/>
    </row>
    <row r="96" spans="4:29" x14ac:dyDescent="0.2">
      <c r="D96" s="52">
        <f t="shared" si="13"/>
        <v>95</v>
      </c>
      <c r="E96" s="5" t="str">
        <f t="shared" si="17"/>
        <v>PVF</v>
      </c>
      <c r="F96" s="5" t="str">
        <f>IF($D96&lt;&gt;"",VLOOKUP($E96,STK_REF!$A$2:$J$1048576,2,0),"")</f>
        <v>VNX Finance Joint Stock Corp</v>
      </c>
      <c r="G96" s="68">
        <f>IF($D96&lt;=$B$1-$B$2,IF(INDEX($AA$2:$AA$1048576,MATCH($D96,$AB$2:$AB$1048576,0))="MODIFY",INDEX(IDX_CA!$D$1:$D$1041,SUMPRODUCT(--($E96=IDX_CA!$A$2:$A$1041),--(NXT_COMPO!$P96=IDX_CA!$B$2:$B$1041),--(NXT_COMPO!$Q96=IDX_CA!$C$2:$C$1041),ROW(IDX_CA!$D$2:$D$1041))),INDEX(IDX_COMPO!$C$1:$C$12000,SUMPRODUCT(--($E96=IDX_COMPO!$A$2:$A$1200),--(NXT_COMPO!$P96=IDX_COMPO!$F$2:$F$1200),--(NXT_COMPO!$B$5=IDX_COMPO!$G$2:$G$1200),ROW(IDX_COMPO!$C$2:$C$1200)))),IF($D96&lt;=$B$4,INDEX(IDX_CA!$D$1:$D$1041,SUMPRODUCT(--($E96=IDX_CA!$A$2:$A$1041),--(NXT_COMPO!$P96=IDX_CA!$B$2:$B$1041),--(NXT_COMPO!$Q96=IDX_CA!$C$2:$C$1041),ROW(IDX_CA!$D$2:$D$1041))),""))</f>
        <v>100000000</v>
      </c>
      <c r="H96" s="55">
        <f>IF($D96&lt;=$B$1-$B$2,IF(INDEX($AA$2:$AA$1048576,MATCH($D96,$AB$2:$AB$1048576,0))="MODIFY",INDEX(IDX_CA!$E$1:$E$1041,SUMPRODUCT(--($E96=IDX_CA!$A$2:$A$1041),--(NXT_COMPO!$P96=IDX_CA!$B$2:$B$1041),--(NXT_COMPO!$Q96=IDX_CA!$C$2:$C$1041),ROW(IDX_CA!$E$2:$E$1041))),INDEX(IDX_COMPO!$D$1:$D$1200,SUMPRODUCT(--($E96=IDX_COMPO!$A$2:$A$1200),--(NXT_COMPO!$P96=IDX_COMPO!$F$2:$F$1200),--(NXT_COMPO!$B$5=IDX_COMPO!$G$2:$G$1200),ROW(IDX_COMPO!$D$2:$D$1200)))),IF($D96&lt;=$B$4,INDEX(IDX_CA!$E$1:$E$1041,SUMPRODUCT(--($E96=IDX_CA!$A$2:$A$1041),--(NXT_COMPO!$P96=IDX_CA!$B$2:$B$1041),--(NXT_COMPO!$Q96=IDX_CA!$C$2:$C$1041),ROW(IDX_CA!$E$2:$E$1041))),""))</f>
        <v>100</v>
      </c>
      <c r="I96" s="55">
        <f>IF($D96&lt;=$B$1-$B$2,IF(INDEX($AA$2:$AA$1048576,MATCH($D96,$AB$2:$AB$1048576,0))="MODIFY",INDEX(IDX_CA!$F$1:$F$1041,SUMPRODUCT(--($E96=IDX_CA!$A$2:$A$1041),--(NXT_COMPO!$P96=IDX_CA!$B$2:$B$1041),--(NXT_COMPO!$Q96=IDX_CA!$C$2:$C$1041),ROW(IDX_CA!$F$2:$F$1041))),INDEX(IDX_COMPO!$E$1:$E$1200,SUMPRODUCT(--($E96=IDX_COMPO!$A$2:$A$1200),--(NXT_COMPO!$P96=IDX_COMPO!$F$2:$F$1200),--(NXT_COMPO!$B$5=IDX_COMPO!$G$2:$G$1200),ROW(IDX_COMPO!$E$2:$E$1200)))),IF($D96&lt;=$B$4,INDEX(IDX_CA!$F$1:$F$1041,SUMPRODUCT(--($E96=IDX_CA!$A$2:$A$1041),--(NXT_COMPO!$P96=IDX_CA!$B$2:$B$1041),--(NXT_COMPO!$Q96=IDX_CA!$C$2:$C$1041),ROW(IDX_CA!$F$2:$F$1041))),""))</f>
        <v>100</v>
      </c>
      <c r="J96" s="62">
        <f>IF($D96&lt;=$B$1-$B$2,IF(INDEX($AA$2:$AA$1048576,MATCH($D96,$AB$2:$AB$1048576,0))="MODIFY",INDEX(IDX_CA!$G$1:$G$1041,SUMPRODUCT(--($E96=IDX_CA!$A$2:$A$1041),--(NXT_COMPO!$P96=IDX_CA!$B$2:$B$1041),--(NXT_COMPO!$Q96=IDX_CA!$C$2:$C$1041),ROW(IDX_CA!$G$2:$G$1041))),INDEX(IDX_COMPOSITION!$F$1:$F$441,SUMPRODUCT(--($E96=IDX_COMPOSITION!$A$2:$A$441),--(NXT_COMPO!$P96=IDX_COMPOSITION!$R$2:$R$441),--(NXT_COMPO!$B$5=IDX_COMPOSITION!$L$2:$L$441),ROW(IDX_COMPOSITION!$F$2:$F$441)))),IF($D96&lt;=$B$4,INDEX(IDX_CA!$G$1:$G$1041,SUMPRODUCT(--($E96=IDX_CA!$A$2:$A$1041),--(NXT_COMPO!$P96=IDX_CA!$B$2:$B$1041),--(NXT_COMPO!$Q96=IDX_CA!$C$2:$C$1041),ROW(IDX_CA!$G$2:$G$1041))),""))</f>
        <v>8300</v>
      </c>
      <c r="K96" s="63" t="str">
        <f>IF($D96&lt;&gt;"",VLOOKUP($E96,STK_REF!$A$2:$J$1048576,7,0),"")</f>
        <v>VND</v>
      </c>
      <c r="L96" s="5">
        <f>IF($D96&lt;&gt;"",VLOOKUP($E96,STK_REF!$A$2:$J$1048576,8,0),"")</f>
        <v>1</v>
      </c>
      <c r="M96" s="8">
        <f>IF($D96&lt;&gt;"",IF($K96=$U96,1,IF(ISNA(VLOOKUP($K96&amp;$U96,CUR_RATES!$A$2:$F$521,4,0)),"",VLOOKUP($K96&amp;$U96,CUR_RATES!$A$2:$F$521,4,0))),"")</f>
        <v>1</v>
      </c>
      <c r="N96" s="61">
        <f t="shared" si="18"/>
        <v>8300</v>
      </c>
      <c r="O96" s="68">
        <f t="shared" si="19"/>
        <v>830000000000</v>
      </c>
      <c r="P96" s="5" t="str">
        <f t="shared" si="14"/>
        <v>VNXFIPRVND</v>
      </c>
      <c r="Q96" s="75">
        <f t="shared" si="20"/>
        <v>41166</v>
      </c>
      <c r="R96" s="68" t="str">
        <f t="shared" si="21"/>
        <v/>
      </c>
      <c r="S96" s="61" t="str">
        <f t="shared" si="22"/>
        <v/>
      </c>
      <c r="T96" s="62" t="str">
        <f>IF(D96&lt;&gt;"",IF(SUMPRODUCT(--($E96=STK_DIV!$A$2:$A$5),--(NXT_COMPO!$Q96=STK_DIV!$E$2:$E$5),ROW(STK_DIV!$D$2:$D$5))=0,"",INDEX(STK_DIV!$D$1:$D$5,SUMPRODUCT(--($E96=STK_DIV!$A$2:$A$5),--(NXT_COMPO!$Q96=STK_DIV!$E$2:$E$5),ROW(STK_DIV!$D$2:$D$5)))),"")</f>
        <v/>
      </c>
      <c r="U96" s="54" t="str">
        <f>IF($D96&lt;&gt;"",VLOOKUP($P96,IDX_REF!$2:$1048576,4,0),"")</f>
        <v>VND</v>
      </c>
      <c r="W96" s="52">
        <f t="shared" si="15"/>
        <v>95</v>
      </c>
      <c r="X96" s="5" t="str">
        <f>IF(ROW(X96)-ROW($X$1)&lt;=$B$1,INDEX(IDX_COMPO!A:A,ROW(IDX_COMPO!A96)),"")</f>
        <v>PVF</v>
      </c>
      <c r="Y96" s="75">
        <f t="shared" si="16"/>
        <v>41166</v>
      </c>
      <c r="Z96" s="54" t="str">
        <f>IF(ROW(Z96)-ROW($Y$1)&lt;=$B$1,INDEX(IDX_COMPO!F:F,ROW(IDX_COMPO!R96)),"")</f>
        <v>VNXFIPRVND</v>
      </c>
      <c r="AA96" s="2" t="str">
        <f t="array" ref="AA96">IF(X96&lt;&gt;"",IF(SUMPRODUCT(--(X96=IDX_CA!$A$2:$A$1041),--(NXT_COMPO!Y96=IDX_CA!$C$2:$C$1041),--(Z96=IDX_CA!$B$2:$B$1041))&gt;0,IF(INDEX(IDX_CA!$I:$I,SUMPRODUCT(--(X96=IDX_CA!$A$2:$A$1041),--(NXT_COMPO!Y96=IDX_CA!$C$2:$C$1041),--(Z96=IDX_CA!$B$2:$B$1041),ROW(IDX_CA!$I$2:$I$1041)))=1,"YES","MODIFY"),""),"")</f>
        <v/>
      </c>
      <c r="AB96" s="5">
        <f>IF(X96&lt;&gt;"",IF(AA96="YES","",COUNTIF($AA$2:AA96,"&lt;&gt;YES")),"")</f>
        <v>95</v>
      </c>
      <c r="AC96" s="2"/>
    </row>
    <row r="97" spans="4:29" x14ac:dyDescent="0.2">
      <c r="D97" s="52">
        <f t="shared" si="13"/>
        <v>96</v>
      </c>
      <c r="E97" s="5" t="str">
        <f t="shared" si="17"/>
        <v>PVI</v>
      </c>
      <c r="F97" s="5" t="str">
        <f>IF($D97&lt;&gt;"",VLOOKUP($E97,STK_REF!$A$2:$J$1048576,2,0),"")</f>
        <v>VNX Insurance</v>
      </c>
      <c r="G97" s="68">
        <f>IF($D97&lt;=$B$1-$B$2,IF(INDEX($AA$2:$AA$1048576,MATCH($D97,$AB$2:$AB$1048576,0))="MODIFY",INDEX(IDX_CA!$D$1:$D$1041,SUMPRODUCT(--($E97=IDX_CA!$A$2:$A$1041),--(NXT_COMPO!$P97=IDX_CA!$B$2:$B$1041),--(NXT_COMPO!$Q97=IDX_CA!$C$2:$C$1041),ROW(IDX_CA!$D$2:$D$1041))),INDEX(IDX_COMPO!$C$1:$C$12000,SUMPRODUCT(--($E97=IDX_COMPO!$A$2:$A$1200),--(NXT_COMPO!$P97=IDX_COMPO!$F$2:$F$1200),--(NXT_COMPO!$B$5=IDX_COMPO!$G$2:$G$1200),ROW(IDX_COMPO!$C$2:$C$1200)))),IF($D97&lt;=$B$4,INDEX(IDX_CA!$D$1:$D$1041,SUMPRODUCT(--($E97=IDX_CA!$A$2:$A$1041),--(NXT_COMPO!$P97=IDX_CA!$B$2:$B$1041),--(NXT_COMPO!$Q97=IDX_CA!$C$2:$C$1041),ROW(IDX_CA!$D$2:$D$1041))),""))</f>
        <v>600000000</v>
      </c>
      <c r="H97" s="55">
        <f>IF($D97&lt;=$B$1-$B$2,IF(INDEX($AA$2:$AA$1048576,MATCH($D97,$AB$2:$AB$1048576,0))="MODIFY",INDEX(IDX_CA!$E$1:$E$1041,SUMPRODUCT(--($E97=IDX_CA!$A$2:$A$1041),--(NXT_COMPO!$P97=IDX_CA!$B$2:$B$1041),--(NXT_COMPO!$Q97=IDX_CA!$C$2:$C$1041),ROW(IDX_CA!$E$2:$E$1041))),INDEX(IDX_COMPO!$D$1:$D$1200,SUMPRODUCT(--($E97=IDX_COMPO!$A$2:$A$1200),--(NXT_COMPO!$P97=IDX_COMPO!$F$2:$F$1200),--(NXT_COMPO!$B$5=IDX_COMPO!$G$2:$G$1200),ROW(IDX_COMPO!$D$2:$D$1200)))),IF($D97&lt;=$B$4,INDEX(IDX_CA!$E$1:$E$1041,SUMPRODUCT(--($E97=IDX_CA!$A$2:$A$1041),--(NXT_COMPO!$P97=IDX_CA!$B$2:$B$1041),--(NXT_COMPO!$Q97=IDX_CA!$C$2:$C$1041),ROW(IDX_CA!$E$2:$E$1041))),""))</f>
        <v>100</v>
      </c>
      <c r="I97" s="55">
        <f>IF($D97&lt;=$B$1-$B$2,IF(INDEX($AA$2:$AA$1048576,MATCH($D97,$AB$2:$AB$1048576,0))="MODIFY",INDEX(IDX_CA!$F$1:$F$1041,SUMPRODUCT(--($E97=IDX_CA!$A$2:$A$1041),--(NXT_COMPO!$P97=IDX_CA!$B$2:$B$1041),--(NXT_COMPO!$Q97=IDX_CA!$C$2:$C$1041),ROW(IDX_CA!$F$2:$F$1041))),INDEX(IDX_COMPO!$E$1:$E$1200,SUMPRODUCT(--($E97=IDX_COMPO!$A$2:$A$1200),--(NXT_COMPO!$P97=IDX_COMPO!$F$2:$F$1200),--(NXT_COMPO!$B$5=IDX_COMPO!$G$2:$G$1200),ROW(IDX_COMPO!$E$2:$E$1200)))),IF($D97&lt;=$B$4,INDEX(IDX_CA!$F$1:$F$1041,SUMPRODUCT(--($E97=IDX_CA!$A$2:$A$1041),--(NXT_COMPO!$P97=IDX_CA!$B$2:$B$1041),--(NXT_COMPO!$Q97=IDX_CA!$C$2:$C$1041),ROW(IDX_CA!$F$2:$F$1041))),""))</f>
        <v>100</v>
      </c>
      <c r="J97" s="62">
        <f>IF($D97&lt;=$B$1-$B$2,IF(INDEX($AA$2:$AA$1048576,MATCH($D97,$AB$2:$AB$1048576,0))="MODIFY",INDEX(IDX_CA!$G$1:$G$1041,SUMPRODUCT(--($E97=IDX_CA!$A$2:$A$1041),--(NXT_COMPO!$P97=IDX_CA!$B$2:$B$1041),--(NXT_COMPO!$Q97=IDX_CA!$C$2:$C$1041),ROW(IDX_CA!$G$2:$G$1041))),INDEX(IDX_COMPOSITION!$F$1:$F$441,SUMPRODUCT(--($E97=IDX_COMPOSITION!$A$2:$A$441),--(NXT_COMPO!$P97=IDX_COMPOSITION!$R$2:$R$441),--(NXT_COMPO!$B$5=IDX_COMPOSITION!$L$2:$L$441),ROW(IDX_COMPOSITION!$F$2:$F$441)))),IF($D97&lt;=$B$4,INDEX(IDX_CA!$G$1:$G$1041,SUMPRODUCT(--($E97=IDX_CA!$A$2:$A$1041),--(NXT_COMPO!$P97=IDX_CA!$B$2:$B$1041),--(NXT_COMPO!$Q97=IDX_CA!$C$2:$C$1041),ROW(IDX_CA!$G$2:$G$1041))),""))</f>
        <v>15900</v>
      </c>
      <c r="K97" s="63" t="str">
        <f>IF($D97&lt;&gt;"",VLOOKUP($E97,STK_REF!$A$2:$J$1048576,7,0),"")</f>
        <v>VND</v>
      </c>
      <c r="L97" s="5">
        <f>IF($D97&lt;&gt;"",VLOOKUP($E97,STK_REF!$A$2:$J$1048576,8,0),"")</f>
        <v>1</v>
      </c>
      <c r="M97" s="8">
        <f>IF($D97&lt;&gt;"",IF($K97=$U97,1,IF(ISNA(VLOOKUP($K97&amp;$U97,CUR_RATES!$A$2:$F$521,4,0)),"",VLOOKUP($K97&amp;$U97,CUR_RATES!$A$2:$F$521,4,0))),"")</f>
        <v>1</v>
      </c>
      <c r="N97" s="61">
        <f t="shared" si="18"/>
        <v>15900</v>
      </c>
      <c r="O97" s="68">
        <f t="shared" si="19"/>
        <v>9540000000000</v>
      </c>
      <c r="P97" s="5" t="str">
        <f t="shared" si="14"/>
        <v>VNXFIPRVND</v>
      </c>
      <c r="Q97" s="75">
        <f t="shared" si="20"/>
        <v>41166</v>
      </c>
      <c r="R97" s="68" t="str">
        <f t="shared" si="21"/>
        <v/>
      </c>
      <c r="S97" s="61" t="str">
        <f t="shared" si="22"/>
        <v/>
      </c>
      <c r="T97" s="62" t="str">
        <f>IF(D97&lt;&gt;"",IF(SUMPRODUCT(--($E97=STK_DIV!$A$2:$A$5),--(NXT_COMPO!$Q97=STK_DIV!$E$2:$E$5),ROW(STK_DIV!$D$2:$D$5))=0,"",INDEX(STK_DIV!$D$1:$D$5,SUMPRODUCT(--($E97=STK_DIV!$A$2:$A$5),--(NXT_COMPO!$Q97=STK_DIV!$E$2:$E$5),ROW(STK_DIV!$D$2:$D$5)))),"")</f>
        <v/>
      </c>
      <c r="U97" s="54" t="str">
        <f>IF($D97&lt;&gt;"",VLOOKUP($P97,IDX_REF!$2:$1048576,4,0),"")</f>
        <v>VND</v>
      </c>
      <c r="W97" s="52">
        <f t="shared" si="15"/>
        <v>96</v>
      </c>
      <c r="X97" s="5" t="str">
        <f>IF(ROW(X97)-ROW($X$1)&lt;=$B$1,INDEX(IDX_COMPO!A:A,ROW(IDX_COMPO!A97)),"")</f>
        <v>PVI</v>
      </c>
      <c r="Y97" s="75">
        <f t="shared" si="16"/>
        <v>41166</v>
      </c>
      <c r="Z97" s="54" t="str">
        <f>IF(ROW(Z97)-ROW($Y$1)&lt;=$B$1,INDEX(IDX_COMPO!F:F,ROW(IDX_COMPO!R97)),"")</f>
        <v>VNXFIPRVND</v>
      </c>
      <c r="AA97" s="2" t="str">
        <f t="array" ref="AA97">IF(X97&lt;&gt;"",IF(SUMPRODUCT(--(X97=IDX_CA!$A$2:$A$1041),--(NXT_COMPO!Y97=IDX_CA!$C$2:$C$1041),--(Z97=IDX_CA!$B$2:$B$1041))&gt;0,IF(INDEX(IDX_CA!$I:$I,SUMPRODUCT(--(X97=IDX_CA!$A$2:$A$1041),--(NXT_COMPO!Y97=IDX_CA!$C$2:$C$1041),--(Z97=IDX_CA!$B$2:$B$1041),ROW(IDX_CA!$I$2:$I$1041)))=1,"YES","MODIFY"),""),"")</f>
        <v/>
      </c>
      <c r="AB97" s="5">
        <f>IF(X97&lt;&gt;"",IF(AA97="YES","",COUNTIF($AA$2:AA97,"&lt;&gt;YES")),"")</f>
        <v>96</v>
      </c>
      <c r="AC97" s="2"/>
    </row>
    <row r="98" spans="4:29" x14ac:dyDescent="0.2">
      <c r="D98" s="52">
        <f t="shared" si="13"/>
        <v>97</v>
      </c>
      <c r="E98" s="5" t="str">
        <f t="shared" si="17"/>
        <v>PTL</v>
      </c>
      <c r="F98" s="5" t="str">
        <f>IF($D98&lt;&gt;"",VLOOKUP($E98,STK_REF!$A$2:$J$1048576,2,0),"")</f>
        <v xml:space="preserve">Petro Capital and Infrastructure Investment Joint </v>
      </c>
      <c r="G98" s="68">
        <f>IF($D98&lt;=$B$1-$B$2,IF(INDEX($AA$2:$AA$1048576,MATCH($D98,$AB$2:$AB$1048576,0))="MODIFY",INDEX(IDX_CA!$D$1:$D$1041,SUMPRODUCT(--($E98=IDX_CA!$A$2:$A$1041),--(NXT_COMPO!$P98=IDX_CA!$B$2:$B$1041),--(NXT_COMPO!$Q98=IDX_CA!$C$2:$C$1041),ROW(IDX_CA!$D$2:$D$1041))),INDEX(IDX_COMPO!$C$1:$C$12000,SUMPRODUCT(--($E98=IDX_COMPO!$A$2:$A$1200),--(NXT_COMPO!$P98=IDX_COMPO!$F$2:$F$1200),--(NXT_COMPO!$B$5=IDX_COMPO!$G$2:$G$1200),ROW(IDX_COMPO!$C$2:$C$1200)))),IF($D98&lt;=$B$4,INDEX(IDX_CA!$D$1:$D$1041,SUMPRODUCT(--($E98=IDX_CA!$A$2:$A$1041),--(NXT_COMPO!$P98=IDX_CA!$B$2:$B$1041),--(NXT_COMPO!$Q98=IDX_CA!$C$2:$C$1041),ROW(IDX_CA!$D$2:$D$1041))),""))</f>
        <v>50000000</v>
      </c>
      <c r="H98" s="55">
        <f>IF($D98&lt;=$B$1-$B$2,IF(INDEX($AA$2:$AA$1048576,MATCH($D98,$AB$2:$AB$1048576,0))="MODIFY",INDEX(IDX_CA!$E$1:$E$1041,SUMPRODUCT(--($E98=IDX_CA!$A$2:$A$1041),--(NXT_COMPO!$P98=IDX_CA!$B$2:$B$1041),--(NXT_COMPO!$Q98=IDX_CA!$C$2:$C$1041),ROW(IDX_CA!$E$2:$E$1041))),INDEX(IDX_COMPO!$D$1:$D$1200,SUMPRODUCT(--($E98=IDX_COMPO!$A$2:$A$1200),--(NXT_COMPO!$P98=IDX_COMPO!$F$2:$F$1200),--(NXT_COMPO!$B$5=IDX_COMPO!$G$2:$G$1200),ROW(IDX_COMPO!$D$2:$D$1200)))),IF($D98&lt;=$B$4,INDEX(IDX_CA!$E$1:$E$1041,SUMPRODUCT(--($E98=IDX_CA!$A$2:$A$1041),--(NXT_COMPO!$P98=IDX_CA!$B$2:$B$1041),--(NXT_COMPO!$Q98=IDX_CA!$C$2:$C$1041),ROW(IDX_CA!$E$2:$E$1041))),""))</f>
        <v>100</v>
      </c>
      <c r="I98" s="55">
        <f>IF($D98&lt;=$B$1-$B$2,IF(INDEX($AA$2:$AA$1048576,MATCH($D98,$AB$2:$AB$1048576,0))="MODIFY",INDEX(IDX_CA!$F$1:$F$1041,SUMPRODUCT(--($E98=IDX_CA!$A$2:$A$1041),--(NXT_COMPO!$P98=IDX_CA!$B$2:$B$1041),--(NXT_COMPO!$Q98=IDX_CA!$C$2:$C$1041),ROW(IDX_CA!$F$2:$F$1041))),INDEX(IDX_COMPO!$E$1:$E$1200,SUMPRODUCT(--($E98=IDX_COMPO!$A$2:$A$1200),--(NXT_COMPO!$P98=IDX_COMPO!$F$2:$F$1200),--(NXT_COMPO!$B$5=IDX_COMPO!$G$2:$G$1200),ROW(IDX_COMPO!$E$2:$E$1200)))),IF($D98&lt;=$B$4,INDEX(IDX_CA!$F$1:$F$1041,SUMPRODUCT(--($E98=IDX_CA!$A$2:$A$1041),--(NXT_COMPO!$P98=IDX_CA!$B$2:$B$1041),--(NXT_COMPO!$Q98=IDX_CA!$C$2:$C$1041),ROW(IDX_CA!$F$2:$F$1041))),""))</f>
        <v>100</v>
      </c>
      <c r="J98" s="62">
        <f>IF($D98&lt;=$B$1-$B$2,IF(INDEX($AA$2:$AA$1048576,MATCH($D98,$AB$2:$AB$1048576,0))="MODIFY",INDEX(IDX_CA!$G$1:$G$1041,SUMPRODUCT(--($E98=IDX_CA!$A$2:$A$1041),--(NXT_COMPO!$P98=IDX_CA!$B$2:$B$1041),--(NXT_COMPO!$Q98=IDX_CA!$C$2:$C$1041),ROW(IDX_CA!$G$2:$G$1041))),INDEX(IDX_COMPOSITION!$F$1:$F$441,SUMPRODUCT(--($E98=IDX_COMPOSITION!$A$2:$A$441),--(NXT_COMPO!$P98=IDX_COMPOSITION!$R$2:$R$441),--(NXT_COMPO!$B$5=IDX_COMPOSITION!$L$2:$L$441),ROW(IDX_COMPOSITION!$F$2:$F$441)))),IF($D98&lt;=$B$4,INDEX(IDX_CA!$G$1:$G$1041,SUMPRODUCT(--($E98=IDX_CA!$A$2:$A$1041),--(NXT_COMPO!$P98=IDX_CA!$B$2:$B$1041),--(NXT_COMPO!$Q98=IDX_CA!$C$2:$C$1041),ROW(IDX_CA!$G$2:$G$1041))),""))</f>
        <v>2900</v>
      </c>
      <c r="K98" s="63" t="str">
        <f>IF($D98&lt;&gt;"",VLOOKUP($E98,STK_REF!$A$2:$J$1048576,7,0),"")</f>
        <v>VND</v>
      </c>
      <c r="L98" s="5">
        <f>IF($D98&lt;&gt;"",VLOOKUP($E98,STK_REF!$A$2:$J$1048576,8,0),"")</f>
        <v>1</v>
      </c>
      <c r="M98" s="8">
        <f>IF($D98&lt;&gt;"",IF($K98=$U98,1,IF(ISNA(VLOOKUP($K98&amp;$U98,CUR_RATES!$A$2:$F$521,4,0)),"",VLOOKUP($K98&amp;$U98,CUR_RATES!$A$2:$F$521,4,0))),"")</f>
        <v>1</v>
      </c>
      <c r="N98" s="61">
        <f t="shared" si="18"/>
        <v>2900</v>
      </c>
      <c r="O98" s="68">
        <f t="shared" si="19"/>
        <v>145000000000</v>
      </c>
      <c r="P98" s="5" t="str">
        <f t="shared" ref="P98:P129" si="23">IF($D98&lt;=$B$1-$B$2,INDEX($Z$2:$Z$1048576,MATCH($D98,$AB$2:$AB$1048576,0)),IF($D98&lt;=$B$4,INDEX($AG$2:$AG$1048576,MATCH($D98-$B$1+$B$2,$AI$2:$AI$1048576,0)),""))</f>
        <v>VNXFIPRVND</v>
      </c>
      <c r="Q98" s="75">
        <f t="shared" si="20"/>
        <v>41166</v>
      </c>
      <c r="R98" s="68" t="str">
        <f t="shared" si="21"/>
        <v/>
      </c>
      <c r="S98" s="61" t="str">
        <f t="shared" si="22"/>
        <v/>
      </c>
      <c r="T98" s="62" t="str">
        <f>IF(D98&lt;&gt;"",IF(SUMPRODUCT(--($E98=STK_DIV!$A$2:$A$5),--(NXT_COMPO!$Q98=STK_DIV!$E$2:$E$5),ROW(STK_DIV!$D$2:$D$5))=0,"",INDEX(STK_DIV!$D$1:$D$5,SUMPRODUCT(--($E98=STK_DIV!$A$2:$A$5),--(NXT_COMPO!$Q98=STK_DIV!$E$2:$E$5),ROW(STK_DIV!$D$2:$D$5)))),"")</f>
        <v/>
      </c>
      <c r="U98" s="54" t="str">
        <f>IF($D98&lt;&gt;"",VLOOKUP($P98,IDX_REF!$2:$1048576,4,0),"")</f>
        <v>VND</v>
      </c>
      <c r="W98" s="52">
        <f t="shared" ref="W98:W129" si="24">IF(ROW(W98)-ROW($W$1)&lt;=$B$1,ROW(W98)-ROW($W$1),"")</f>
        <v>97</v>
      </c>
      <c r="X98" s="5" t="str">
        <f>IF(ROW(X98)-ROW($X$1)&lt;=$B$1,INDEX(IDX_COMPO!A:A,ROW(IDX_COMPO!A98)),"")</f>
        <v>PTL</v>
      </c>
      <c r="Y98" s="75">
        <f t="shared" ref="Y98:Y129" si="25">IF(ROW(Y98)-ROW($Y$1)&lt;=$B$1,$B$6,"")</f>
        <v>41166</v>
      </c>
      <c r="Z98" s="54" t="str">
        <f>IF(ROW(Z98)-ROW($Y$1)&lt;=$B$1,INDEX(IDX_COMPO!F:F,ROW(IDX_COMPO!R98)),"")</f>
        <v>VNXFIPRVND</v>
      </c>
      <c r="AA98" s="2" t="str">
        <f t="array" ref="AA98">IF(X98&lt;&gt;"",IF(SUMPRODUCT(--(X98=IDX_CA!$A$2:$A$1041),--(NXT_COMPO!Y98=IDX_CA!$C$2:$C$1041),--(Z98=IDX_CA!$B$2:$B$1041))&gt;0,IF(INDEX(IDX_CA!$I:$I,SUMPRODUCT(--(X98=IDX_CA!$A$2:$A$1041),--(NXT_COMPO!Y98=IDX_CA!$C$2:$C$1041),--(Z98=IDX_CA!$B$2:$B$1041),ROW(IDX_CA!$I$2:$I$1041)))=1,"YES","MODIFY"),""),"")</f>
        <v/>
      </c>
      <c r="AB98" s="5">
        <f>IF(X98&lt;&gt;"",IF(AA98="YES","",COUNTIF($AA$2:AA98,"&lt;&gt;YES")),"")</f>
        <v>97</v>
      </c>
      <c r="AC98" s="2"/>
    </row>
    <row r="99" spans="4:29" x14ac:dyDescent="0.2">
      <c r="D99" s="52">
        <f t="shared" si="13"/>
        <v>98</v>
      </c>
      <c r="E99" s="5" t="str">
        <f t="shared" si="17"/>
        <v>PSI</v>
      </c>
      <c r="F99" s="5" t="str">
        <f>IF($D99&lt;&gt;"",VLOOKUP($E99,STK_REF!$A$2:$J$1048576,2,0),"")</f>
        <v>VNX Securities Incorporated</v>
      </c>
      <c r="G99" s="68">
        <f>IF($D99&lt;=$B$1-$B$2,IF(INDEX($AA$2:$AA$1048576,MATCH($D99,$AB$2:$AB$1048576,0))="MODIFY",INDEX(IDX_CA!$D$1:$D$1041,SUMPRODUCT(--($E99=IDX_CA!$A$2:$A$1041),--(NXT_COMPO!$P99=IDX_CA!$B$2:$B$1041),--(NXT_COMPO!$Q99=IDX_CA!$C$2:$C$1041),ROW(IDX_CA!$D$2:$D$1041))),INDEX(IDX_COMPO!$C$1:$C$12000,SUMPRODUCT(--($E99=IDX_COMPO!$A$2:$A$1200),--(NXT_COMPO!$P99=IDX_COMPO!$F$2:$F$1200),--(NXT_COMPO!$B$5=IDX_COMPO!$G$2:$G$1200),ROW(IDX_COMPO!$C$2:$C$1200)))),IF($D99&lt;=$B$4,INDEX(IDX_CA!$D$1:$D$1041,SUMPRODUCT(--($E99=IDX_CA!$A$2:$A$1041),--(NXT_COMPO!$P99=IDX_CA!$B$2:$B$1041),--(NXT_COMPO!$Q99=IDX_CA!$C$2:$C$1041),ROW(IDX_CA!$D$2:$D$1041))),""))</f>
        <v>2000000</v>
      </c>
      <c r="H99" s="55">
        <f>IF($D99&lt;=$B$1-$B$2,IF(INDEX($AA$2:$AA$1048576,MATCH($D99,$AB$2:$AB$1048576,0))="MODIFY",INDEX(IDX_CA!$E$1:$E$1041,SUMPRODUCT(--($E99=IDX_CA!$A$2:$A$1041),--(NXT_COMPO!$P99=IDX_CA!$B$2:$B$1041),--(NXT_COMPO!$Q99=IDX_CA!$C$2:$C$1041),ROW(IDX_CA!$E$2:$E$1041))),INDEX(IDX_COMPO!$D$1:$D$1200,SUMPRODUCT(--($E99=IDX_COMPO!$A$2:$A$1200),--(NXT_COMPO!$P99=IDX_COMPO!$F$2:$F$1200),--(NXT_COMPO!$B$5=IDX_COMPO!$G$2:$G$1200),ROW(IDX_COMPO!$D$2:$D$1200)))),IF($D99&lt;=$B$4,INDEX(IDX_CA!$E$1:$E$1041,SUMPRODUCT(--($E99=IDX_CA!$A$2:$A$1041),--(NXT_COMPO!$P99=IDX_CA!$B$2:$B$1041),--(NXT_COMPO!$Q99=IDX_CA!$C$2:$C$1041),ROW(IDX_CA!$E$2:$E$1041))),""))</f>
        <v>100</v>
      </c>
      <c r="I99" s="55">
        <f>IF($D99&lt;=$B$1-$B$2,IF(INDEX($AA$2:$AA$1048576,MATCH($D99,$AB$2:$AB$1048576,0))="MODIFY",INDEX(IDX_CA!$F$1:$F$1041,SUMPRODUCT(--($E99=IDX_CA!$A$2:$A$1041),--(NXT_COMPO!$P99=IDX_CA!$B$2:$B$1041),--(NXT_COMPO!$Q99=IDX_CA!$C$2:$C$1041),ROW(IDX_CA!$F$2:$F$1041))),INDEX(IDX_COMPO!$E$1:$E$1200,SUMPRODUCT(--($E99=IDX_COMPO!$A$2:$A$1200),--(NXT_COMPO!$P99=IDX_COMPO!$F$2:$F$1200),--(NXT_COMPO!$B$5=IDX_COMPO!$G$2:$G$1200),ROW(IDX_COMPO!$E$2:$E$1200)))),IF($D99&lt;=$B$4,INDEX(IDX_CA!$F$1:$F$1041,SUMPRODUCT(--($E99=IDX_CA!$A$2:$A$1041),--(NXT_COMPO!$P99=IDX_CA!$B$2:$B$1041),--(NXT_COMPO!$Q99=IDX_CA!$C$2:$C$1041),ROW(IDX_CA!$F$2:$F$1041))),""))</f>
        <v>100</v>
      </c>
      <c r="J99" s="62">
        <f>IF($D99&lt;=$B$1-$B$2,IF(INDEX($AA$2:$AA$1048576,MATCH($D99,$AB$2:$AB$1048576,0))="MODIFY",INDEX(IDX_CA!$G$1:$G$1041,SUMPRODUCT(--($E99=IDX_CA!$A$2:$A$1041),--(NXT_COMPO!$P99=IDX_CA!$B$2:$B$1041),--(NXT_COMPO!$Q99=IDX_CA!$C$2:$C$1041),ROW(IDX_CA!$G$2:$G$1041))),INDEX(IDX_COMPOSITION!$F$1:$F$441,SUMPRODUCT(--($E99=IDX_COMPOSITION!$A$2:$A$441),--(NXT_COMPO!$P99=IDX_COMPOSITION!$R$2:$R$441),--(NXT_COMPO!$B$5=IDX_COMPOSITION!$L$2:$L$441),ROW(IDX_COMPOSITION!$F$2:$F$441)))),IF($D99&lt;=$B$4,INDEX(IDX_CA!$G$1:$G$1041,SUMPRODUCT(--($E99=IDX_CA!$A$2:$A$1041),--(NXT_COMPO!$P99=IDX_CA!$B$2:$B$1041),--(NXT_COMPO!$Q99=IDX_CA!$C$2:$C$1041),ROW(IDX_CA!$G$2:$G$1041))),""))</f>
        <v>3600</v>
      </c>
      <c r="K99" s="63" t="str">
        <f>IF($D99&lt;&gt;"",VLOOKUP($E99,STK_REF!$A$2:$J$1048576,7,0),"")</f>
        <v>VND</v>
      </c>
      <c r="L99" s="5">
        <f>IF($D99&lt;&gt;"",VLOOKUP($E99,STK_REF!$A$2:$J$1048576,8,0),"")</f>
        <v>1</v>
      </c>
      <c r="M99" s="8">
        <f>IF($D99&lt;&gt;"",IF($K99=$U99,1,IF(ISNA(VLOOKUP($K99&amp;$U99,CUR_RATES!$A$2:$F$521,4,0)),"",VLOOKUP($K99&amp;$U99,CUR_RATES!$A$2:$F$521,4,0))),"")</f>
        <v>1</v>
      </c>
      <c r="N99" s="61">
        <f t="shared" si="18"/>
        <v>3600</v>
      </c>
      <c r="O99" s="68">
        <f t="shared" si="19"/>
        <v>7200000000</v>
      </c>
      <c r="P99" s="5" t="str">
        <f t="shared" si="23"/>
        <v>VNXFIPRVND</v>
      </c>
      <c r="Q99" s="75">
        <f t="shared" si="20"/>
        <v>41166</v>
      </c>
      <c r="R99" s="68" t="str">
        <f t="shared" si="21"/>
        <v/>
      </c>
      <c r="S99" s="61" t="str">
        <f t="shared" si="22"/>
        <v/>
      </c>
      <c r="T99" s="62" t="str">
        <f>IF(D99&lt;&gt;"",IF(SUMPRODUCT(--($E99=STK_DIV!$A$2:$A$5),--(NXT_COMPO!$Q99=STK_DIV!$E$2:$E$5),ROW(STK_DIV!$D$2:$D$5))=0,"",INDEX(STK_DIV!$D$1:$D$5,SUMPRODUCT(--($E99=STK_DIV!$A$2:$A$5),--(NXT_COMPO!$Q99=STK_DIV!$E$2:$E$5),ROW(STK_DIV!$D$2:$D$5)))),"")</f>
        <v/>
      </c>
      <c r="U99" s="54" t="str">
        <f>IF($D99&lt;&gt;"",VLOOKUP($P99,IDX_REF!$2:$1048576,4,0),"")</f>
        <v>VND</v>
      </c>
      <c r="W99" s="52">
        <f t="shared" si="24"/>
        <v>98</v>
      </c>
      <c r="X99" s="5" t="str">
        <f>IF(ROW(X99)-ROW($X$1)&lt;=$B$1,INDEX(IDX_COMPO!A:A,ROW(IDX_COMPO!A99)),"")</f>
        <v>PSI</v>
      </c>
      <c r="Y99" s="75">
        <f t="shared" si="25"/>
        <v>41166</v>
      </c>
      <c r="Z99" s="54" t="str">
        <f>IF(ROW(Z99)-ROW($Y$1)&lt;=$B$1,INDEX(IDX_COMPO!F:F,ROW(IDX_COMPO!R99)),"")</f>
        <v>VNXFIPRVND</v>
      </c>
      <c r="AA99" s="2" t="str">
        <f t="array" ref="AA99">IF(X99&lt;&gt;"",IF(SUMPRODUCT(--(X99=IDX_CA!$A$2:$A$1041),--(NXT_COMPO!Y99=IDX_CA!$C$2:$C$1041),--(Z99=IDX_CA!$B$2:$B$1041))&gt;0,IF(INDEX(IDX_CA!$I:$I,SUMPRODUCT(--(X99=IDX_CA!$A$2:$A$1041),--(NXT_COMPO!Y99=IDX_CA!$C$2:$C$1041),--(Z99=IDX_CA!$B$2:$B$1041),ROW(IDX_CA!$I$2:$I$1041)))=1,"YES","MODIFY"),""),"")</f>
        <v/>
      </c>
      <c r="AB99" s="5">
        <f>IF(X99&lt;&gt;"",IF(AA99="YES","",COUNTIF($AA$2:AA99,"&lt;&gt;YES")),"")</f>
        <v>98</v>
      </c>
      <c r="AC99" s="2"/>
    </row>
    <row r="100" spans="4:29" x14ac:dyDescent="0.2">
      <c r="D100" s="52">
        <f t="shared" si="13"/>
        <v>99</v>
      </c>
      <c r="E100" s="5" t="str">
        <f t="shared" si="17"/>
        <v>PFL</v>
      </c>
      <c r="F100" s="5" t="str">
        <f>IF($D100&lt;&gt;"",VLOOKUP($E100,STK_REF!$A$2:$J$1048576,2,0),"")</f>
        <v>Petro Dong Do Joint Stock Company</v>
      </c>
      <c r="G100" s="68">
        <f>IF($D100&lt;=$B$1-$B$2,IF(INDEX($AA$2:$AA$1048576,MATCH($D100,$AB$2:$AB$1048576,0))="MODIFY",INDEX(IDX_CA!$D$1:$D$1041,SUMPRODUCT(--($E100=IDX_CA!$A$2:$A$1041),--(NXT_COMPO!$P100=IDX_CA!$B$2:$B$1041),--(NXT_COMPO!$Q100=IDX_CA!$C$2:$C$1041),ROW(IDX_CA!$D$2:$D$1041))),INDEX(IDX_COMPO!$C$1:$C$12000,SUMPRODUCT(--($E100=IDX_COMPO!$A$2:$A$1200),--(NXT_COMPO!$P100=IDX_COMPO!$F$2:$F$1200),--(NXT_COMPO!$B$5=IDX_COMPO!$G$2:$G$1200),ROW(IDX_COMPO!$C$2:$C$1200)))),IF($D100&lt;=$B$4,INDEX(IDX_CA!$D$1:$D$1041,SUMPRODUCT(--($E100=IDX_CA!$A$2:$A$1041),--(NXT_COMPO!$P100=IDX_CA!$B$2:$B$1041),--(NXT_COMPO!$Q100=IDX_CA!$C$2:$C$1041),ROW(IDX_CA!$D$2:$D$1041))),""))</f>
        <v>59841300</v>
      </c>
      <c r="H100" s="55">
        <f>IF($D100&lt;=$B$1-$B$2,IF(INDEX($AA$2:$AA$1048576,MATCH($D100,$AB$2:$AB$1048576,0))="MODIFY",INDEX(IDX_CA!$E$1:$E$1041,SUMPRODUCT(--($E100=IDX_CA!$A$2:$A$1041),--(NXT_COMPO!$P100=IDX_CA!$B$2:$B$1041),--(NXT_COMPO!$Q100=IDX_CA!$C$2:$C$1041),ROW(IDX_CA!$E$2:$E$1041))),INDEX(IDX_COMPO!$D$1:$D$1200,SUMPRODUCT(--($E100=IDX_COMPO!$A$2:$A$1200),--(NXT_COMPO!$P100=IDX_COMPO!$F$2:$F$1200),--(NXT_COMPO!$B$5=IDX_COMPO!$G$2:$G$1200),ROW(IDX_COMPO!$D$2:$D$1200)))),IF($D100&lt;=$B$4,INDEX(IDX_CA!$E$1:$E$1041,SUMPRODUCT(--($E100=IDX_CA!$A$2:$A$1041),--(NXT_COMPO!$P100=IDX_CA!$B$2:$B$1041),--(NXT_COMPO!$Q100=IDX_CA!$C$2:$C$1041),ROW(IDX_CA!$E$2:$E$1041))),""))</f>
        <v>100</v>
      </c>
      <c r="I100" s="55">
        <f>IF($D100&lt;=$B$1-$B$2,IF(INDEX($AA$2:$AA$1048576,MATCH($D100,$AB$2:$AB$1048576,0))="MODIFY",INDEX(IDX_CA!$F$1:$F$1041,SUMPRODUCT(--($E100=IDX_CA!$A$2:$A$1041),--(NXT_COMPO!$P100=IDX_CA!$B$2:$B$1041),--(NXT_COMPO!$Q100=IDX_CA!$C$2:$C$1041),ROW(IDX_CA!$F$2:$F$1041))),INDEX(IDX_COMPO!$E$1:$E$1200,SUMPRODUCT(--($E100=IDX_COMPO!$A$2:$A$1200),--(NXT_COMPO!$P100=IDX_COMPO!$F$2:$F$1200),--(NXT_COMPO!$B$5=IDX_COMPO!$G$2:$G$1200),ROW(IDX_COMPO!$E$2:$E$1200)))),IF($D100&lt;=$B$4,INDEX(IDX_CA!$F$1:$F$1041,SUMPRODUCT(--($E100=IDX_CA!$A$2:$A$1041),--(NXT_COMPO!$P100=IDX_CA!$B$2:$B$1041),--(NXT_COMPO!$Q100=IDX_CA!$C$2:$C$1041),ROW(IDX_CA!$F$2:$F$1041))),""))</f>
        <v>100</v>
      </c>
      <c r="J100" s="62">
        <f>IF($D100&lt;=$B$1-$B$2,IF(INDEX($AA$2:$AA$1048576,MATCH($D100,$AB$2:$AB$1048576,0))="MODIFY",INDEX(IDX_CA!$G$1:$G$1041,SUMPRODUCT(--($E100=IDX_CA!$A$2:$A$1041),--(NXT_COMPO!$P100=IDX_CA!$B$2:$B$1041),--(NXT_COMPO!$Q100=IDX_CA!$C$2:$C$1041),ROW(IDX_CA!$G$2:$G$1041))),INDEX(IDX_COMPOSITION!$F$1:$F$441,SUMPRODUCT(--($E100=IDX_COMPOSITION!$A$2:$A$441),--(NXT_COMPO!$P100=IDX_COMPOSITION!$R$2:$R$441),--(NXT_COMPO!$B$5=IDX_COMPOSITION!$L$2:$L$441),ROW(IDX_COMPOSITION!$F$2:$F$441)))),IF($D100&lt;=$B$4,INDEX(IDX_CA!$G$1:$G$1041,SUMPRODUCT(--($E100=IDX_CA!$A$2:$A$1041),--(NXT_COMPO!$P100=IDX_CA!$B$2:$B$1041),--(NXT_COMPO!$Q100=IDX_CA!$C$2:$C$1041),ROW(IDX_CA!$G$2:$G$1041))),""))</f>
        <v>2700</v>
      </c>
      <c r="K100" s="63" t="str">
        <f>IF($D100&lt;&gt;"",VLOOKUP($E100,STK_REF!$A$2:$J$1048576,7,0),"")</f>
        <v>VND</v>
      </c>
      <c r="L100" s="5">
        <f>IF($D100&lt;&gt;"",VLOOKUP($E100,STK_REF!$A$2:$J$1048576,8,0),"")</f>
        <v>1</v>
      </c>
      <c r="M100" s="8">
        <f>IF($D100&lt;&gt;"",IF($K100=$U100,1,IF(ISNA(VLOOKUP($K100&amp;$U100,CUR_RATES!$A$2:$F$521,4,0)),"",VLOOKUP($K100&amp;$U100,CUR_RATES!$A$2:$F$521,4,0))),"")</f>
        <v>1</v>
      </c>
      <c r="N100" s="61">
        <f t="shared" si="18"/>
        <v>2700</v>
      </c>
      <c r="O100" s="68">
        <f t="shared" si="19"/>
        <v>161571510000</v>
      </c>
      <c r="P100" s="5" t="str">
        <f t="shared" si="23"/>
        <v>VNXFIPRVND</v>
      </c>
      <c r="Q100" s="75">
        <f t="shared" si="20"/>
        <v>41166</v>
      </c>
      <c r="R100" s="68" t="str">
        <f t="shared" si="21"/>
        <v/>
      </c>
      <c r="S100" s="61" t="str">
        <f t="shared" si="22"/>
        <v/>
      </c>
      <c r="T100" s="62" t="str">
        <f>IF(D100&lt;&gt;"",IF(SUMPRODUCT(--($E100=STK_DIV!$A$2:$A$5),--(NXT_COMPO!$Q100=STK_DIV!$E$2:$E$5),ROW(STK_DIV!$D$2:$D$5))=0,"",INDEX(STK_DIV!$D$1:$D$5,SUMPRODUCT(--($E100=STK_DIV!$A$2:$A$5),--(NXT_COMPO!$Q100=STK_DIV!$E$2:$E$5),ROW(STK_DIV!$D$2:$D$5)))),"")</f>
        <v/>
      </c>
      <c r="U100" s="54" t="str">
        <f>IF($D100&lt;&gt;"",VLOOKUP($P100,IDX_REF!$2:$1048576,4,0),"")</f>
        <v>VND</v>
      </c>
      <c r="W100" s="52">
        <f t="shared" si="24"/>
        <v>99</v>
      </c>
      <c r="X100" s="5" t="str">
        <f>IF(ROW(X100)-ROW($X$1)&lt;=$B$1,INDEX(IDX_COMPO!A:A,ROW(IDX_COMPO!A100)),"")</f>
        <v>PFL</v>
      </c>
      <c r="Y100" s="75">
        <f t="shared" si="25"/>
        <v>41166</v>
      </c>
      <c r="Z100" s="54" t="str">
        <f>IF(ROW(Z100)-ROW($Y$1)&lt;=$B$1,INDEX(IDX_COMPO!F:F,ROW(IDX_COMPO!R100)),"")</f>
        <v>VNXFIPRVND</v>
      </c>
      <c r="AA100" s="2" t="str">
        <f t="array" ref="AA100">IF(X100&lt;&gt;"",IF(SUMPRODUCT(--(X100=IDX_CA!$A$2:$A$1041),--(NXT_COMPO!Y100=IDX_CA!$C$2:$C$1041),--(Z100=IDX_CA!$B$2:$B$1041))&gt;0,IF(INDEX(IDX_CA!$I:$I,SUMPRODUCT(--(X100=IDX_CA!$A$2:$A$1041),--(NXT_COMPO!Y100=IDX_CA!$C$2:$C$1041),--(Z100=IDX_CA!$B$2:$B$1041),ROW(IDX_CA!$I$2:$I$1041)))=1,"YES","MODIFY"),""),"")</f>
        <v/>
      </c>
      <c r="AB100" s="5">
        <f>IF(X100&lt;&gt;"",IF(AA100="YES","",COUNTIF($AA$2:AA100,"&lt;&gt;YES")),"")</f>
        <v>99</v>
      </c>
      <c r="AC100" s="2"/>
    </row>
    <row r="101" spans="4:29" x14ac:dyDescent="0.2">
      <c r="D101" s="52">
        <f t="shared" si="13"/>
        <v>100</v>
      </c>
      <c r="E101" s="5" t="str">
        <f t="shared" si="17"/>
        <v>PVT</v>
      </c>
      <c r="F101" s="5" t="str">
        <f>IF($D101&lt;&gt;"",VLOOKUP($E101,STK_REF!$A$2:$J$1048576,2,0),"")</f>
        <v>VNX Transportation Corp</v>
      </c>
      <c r="G101" s="68">
        <f>IF($D101&lt;=$B$1-$B$2,IF(INDEX($AA$2:$AA$1048576,MATCH($D101,$AB$2:$AB$1048576,0))="MODIFY",INDEX(IDX_CA!$D$1:$D$1041,SUMPRODUCT(--($E101=IDX_CA!$A$2:$A$1041),--(NXT_COMPO!$P101=IDX_CA!$B$2:$B$1041),--(NXT_COMPO!$Q101=IDX_CA!$C$2:$C$1041),ROW(IDX_CA!$D$2:$D$1041))),INDEX(IDX_COMPO!$C$1:$C$12000,SUMPRODUCT(--($E101=IDX_COMPO!$A$2:$A$1200),--(NXT_COMPO!$P101=IDX_COMPO!$F$2:$F$1200),--(NXT_COMPO!$B$5=IDX_COMPO!$G$2:$G$1200),ROW(IDX_COMPO!$C$2:$C$1200)))),IF($D101&lt;=$B$4,INDEX(IDX_CA!$D$1:$D$1041,SUMPRODUCT(--($E101=IDX_CA!$A$2:$A$1041),--(NXT_COMPO!$P101=IDX_CA!$B$2:$B$1041),--(NXT_COMPO!$Q101=IDX_CA!$C$2:$C$1041),ROW(IDX_CA!$D$2:$D$1041))),""))</f>
        <v>232600000</v>
      </c>
      <c r="H101" s="55">
        <f>IF($D101&lt;=$B$1-$B$2,IF(INDEX($AA$2:$AA$1048576,MATCH($D101,$AB$2:$AB$1048576,0))="MODIFY",INDEX(IDX_CA!$E$1:$E$1041,SUMPRODUCT(--($E101=IDX_CA!$A$2:$A$1041),--(NXT_COMPO!$P101=IDX_CA!$B$2:$B$1041),--(NXT_COMPO!$Q101=IDX_CA!$C$2:$C$1041),ROW(IDX_CA!$E$2:$E$1041))),INDEX(IDX_COMPO!$D$1:$D$1200,SUMPRODUCT(--($E101=IDX_COMPO!$A$2:$A$1200),--(NXT_COMPO!$P101=IDX_COMPO!$F$2:$F$1200),--(NXT_COMPO!$B$5=IDX_COMPO!$G$2:$G$1200),ROW(IDX_COMPO!$D$2:$D$1200)))),IF($D101&lt;=$B$4,INDEX(IDX_CA!$E$1:$E$1041,SUMPRODUCT(--($E101=IDX_CA!$A$2:$A$1041),--(NXT_COMPO!$P101=IDX_CA!$B$2:$B$1041),--(NXT_COMPO!$Q101=IDX_CA!$C$2:$C$1041),ROW(IDX_CA!$E$2:$E$1041))),""))</f>
        <v>100</v>
      </c>
      <c r="I101" s="55">
        <f>IF($D101&lt;=$B$1-$B$2,IF(INDEX($AA$2:$AA$1048576,MATCH($D101,$AB$2:$AB$1048576,0))="MODIFY",INDEX(IDX_CA!$F$1:$F$1041,SUMPRODUCT(--($E101=IDX_CA!$A$2:$A$1041),--(NXT_COMPO!$P101=IDX_CA!$B$2:$B$1041),--(NXT_COMPO!$Q101=IDX_CA!$C$2:$C$1041),ROW(IDX_CA!$F$2:$F$1041))),INDEX(IDX_COMPO!$E$1:$E$1200,SUMPRODUCT(--($E101=IDX_COMPO!$A$2:$A$1200),--(NXT_COMPO!$P101=IDX_COMPO!$F$2:$F$1200),--(NXT_COMPO!$B$5=IDX_COMPO!$G$2:$G$1200),ROW(IDX_COMPO!$E$2:$E$1200)))),IF($D101&lt;=$B$4,INDEX(IDX_CA!$F$1:$F$1041,SUMPRODUCT(--($E101=IDX_CA!$A$2:$A$1041),--(NXT_COMPO!$P101=IDX_CA!$B$2:$B$1041),--(NXT_COMPO!$Q101=IDX_CA!$C$2:$C$1041),ROW(IDX_CA!$F$2:$F$1041))),""))</f>
        <v>100</v>
      </c>
      <c r="J101" s="62">
        <f>IF($D101&lt;=$B$1-$B$2,IF(INDEX($AA$2:$AA$1048576,MATCH($D101,$AB$2:$AB$1048576,0))="MODIFY",INDEX(IDX_CA!$G$1:$G$1041,SUMPRODUCT(--($E101=IDX_CA!$A$2:$A$1041),--(NXT_COMPO!$P101=IDX_CA!$B$2:$B$1041),--(NXT_COMPO!$Q101=IDX_CA!$C$2:$C$1041),ROW(IDX_CA!$G$2:$G$1041))),INDEX(IDX_COMPOSITION!$F$1:$F$441,SUMPRODUCT(--($E101=IDX_COMPOSITION!$A$2:$A$441),--(NXT_COMPO!$P101=IDX_COMPOSITION!$R$2:$R$441),--(NXT_COMPO!$B$5=IDX_COMPOSITION!$L$2:$L$441),ROW(IDX_COMPOSITION!$F$2:$F$441)))),IF($D101&lt;=$B$4,INDEX(IDX_CA!$G$1:$G$1041,SUMPRODUCT(--($E101=IDX_CA!$A$2:$A$1041),--(NXT_COMPO!$P101=IDX_CA!$B$2:$B$1041),--(NXT_COMPO!$Q101=IDX_CA!$C$2:$C$1041),ROW(IDX_CA!$G$2:$G$1041))),""))</f>
        <v>4300</v>
      </c>
      <c r="K101" s="63" t="str">
        <f>IF($D101&lt;&gt;"",VLOOKUP($E101,STK_REF!$A$2:$J$1048576,7,0),"")</f>
        <v>VND</v>
      </c>
      <c r="L101" s="5">
        <f>IF($D101&lt;&gt;"",VLOOKUP($E101,STK_REF!$A$2:$J$1048576,8,0),"")</f>
        <v>1</v>
      </c>
      <c r="M101" s="8">
        <f>IF($D101&lt;&gt;"",IF($K101=$U101,1,IF(ISNA(VLOOKUP($K101&amp;$U101,CUR_RATES!$A$2:$F$521,4,0)),"",VLOOKUP($K101&amp;$U101,CUR_RATES!$A$2:$F$521,4,0))),"")</f>
        <v>1</v>
      </c>
      <c r="N101" s="61">
        <f t="shared" si="18"/>
        <v>4300</v>
      </c>
      <c r="O101" s="68">
        <f t="shared" si="19"/>
        <v>1000180000000</v>
      </c>
      <c r="P101" s="5" t="str">
        <f t="shared" si="23"/>
        <v>VNXINPRVND</v>
      </c>
      <c r="Q101" s="75">
        <f t="shared" si="20"/>
        <v>41166</v>
      </c>
      <c r="R101" s="68" t="str">
        <f t="shared" si="21"/>
        <v/>
      </c>
      <c r="S101" s="61" t="str">
        <f t="shared" si="22"/>
        <v/>
      </c>
      <c r="T101" s="62" t="str">
        <f>IF(D101&lt;&gt;"",IF(SUMPRODUCT(--($E101=STK_DIV!$A$2:$A$5),--(NXT_COMPO!$Q101=STK_DIV!$E$2:$E$5),ROW(STK_DIV!$D$2:$D$5))=0,"",INDEX(STK_DIV!$D$1:$D$5,SUMPRODUCT(--($E101=STK_DIV!$A$2:$A$5),--(NXT_COMPO!$Q101=STK_DIV!$E$2:$E$5),ROW(STK_DIV!$D$2:$D$5)))),"")</f>
        <v/>
      </c>
      <c r="U101" s="54" t="str">
        <f>IF($D101&lt;&gt;"",VLOOKUP($P101,IDX_REF!$2:$1048576,4,0),"")</f>
        <v>VND</v>
      </c>
      <c r="W101" s="52">
        <f t="shared" si="24"/>
        <v>100</v>
      </c>
      <c r="X101" s="5" t="str">
        <f>IF(ROW(X101)-ROW($X$1)&lt;=$B$1,INDEX(IDX_COMPO!A:A,ROW(IDX_COMPO!A101)),"")</f>
        <v>PVT</v>
      </c>
      <c r="Y101" s="75">
        <f t="shared" si="25"/>
        <v>41166</v>
      </c>
      <c r="Z101" s="54" t="str">
        <f>IF(ROW(Z101)-ROW($Y$1)&lt;=$B$1,INDEX(IDX_COMPO!F:F,ROW(IDX_COMPO!R101)),"")</f>
        <v>VNXINPRVND</v>
      </c>
      <c r="AA101" s="2" t="str">
        <f t="array" ref="AA101">IF(X101&lt;&gt;"",IF(SUMPRODUCT(--(X101=IDX_CA!$A$2:$A$1041),--(NXT_COMPO!Y101=IDX_CA!$C$2:$C$1041),--(Z101=IDX_CA!$B$2:$B$1041))&gt;0,IF(INDEX(IDX_CA!$I:$I,SUMPRODUCT(--(X101=IDX_CA!$A$2:$A$1041),--(NXT_COMPO!Y101=IDX_CA!$C$2:$C$1041),--(Z101=IDX_CA!$B$2:$B$1041),ROW(IDX_CA!$I$2:$I$1041)))=1,"YES","MODIFY"),""),"")</f>
        <v/>
      </c>
      <c r="AB101" s="5">
        <f>IF(X101&lt;&gt;"",IF(AA101="YES","",COUNTIF($AA$2:AA101,"&lt;&gt;YES")),"")</f>
        <v>100</v>
      </c>
      <c r="AC101" s="2"/>
    </row>
    <row r="102" spans="4:29" x14ac:dyDescent="0.2">
      <c r="D102" s="52">
        <f t="shared" si="13"/>
        <v>101</v>
      </c>
      <c r="E102" s="5" t="str">
        <f t="shared" si="17"/>
        <v>PXI</v>
      </c>
      <c r="F102" s="5" t="str">
        <f>IF($D102&lt;&gt;"",VLOOKUP($E102,STK_REF!$A$2:$J$1048576,2,0),"")</f>
        <v xml:space="preserve">Petroleum Industrial and Civil Construction Joint </v>
      </c>
      <c r="G102" s="68">
        <f>IF($D102&lt;=$B$1-$B$2,IF(INDEX($AA$2:$AA$1048576,MATCH($D102,$AB$2:$AB$1048576,0))="MODIFY",INDEX(IDX_CA!$D$1:$D$1041,SUMPRODUCT(--($E102=IDX_CA!$A$2:$A$1041),--(NXT_COMPO!$P102=IDX_CA!$B$2:$B$1041),--(NXT_COMPO!$Q102=IDX_CA!$C$2:$C$1041),ROW(IDX_CA!$D$2:$D$1041))),INDEX(IDX_COMPO!$C$1:$C$12000,SUMPRODUCT(--($E102=IDX_COMPO!$A$2:$A$1200),--(NXT_COMPO!$P102=IDX_COMPO!$F$2:$F$1200),--(NXT_COMPO!$B$5=IDX_COMPO!$G$2:$G$1200),ROW(IDX_COMPO!$C$2:$C$1200)))),IF($D102&lt;=$B$4,INDEX(IDX_CA!$D$1:$D$1041,SUMPRODUCT(--($E102=IDX_CA!$A$2:$A$1041),--(NXT_COMPO!$P102=IDX_CA!$B$2:$B$1041),--(NXT_COMPO!$Q102=IDX_CA!$C$2:$C$1041),ROW(IDX_CA!$D$2:$D$1041))),""))</f>
        <v>30000000</v>
      </c>
      <c r="H102" s="55">
        <f>IF($D102&lt;=$B$1-$B$2,IF(INDEX($AA$2:$AA$1048576,MATCH($D102,$AB$2:$AB$1048576,0))="MODIFY",INDEX(IDX_CA!$E$1:$E$1041,SUMPRODUCT(--($E102=IDX_CA!$A$2:$A$1041),--(NXT_COMPO!$P102=IDX_CA!$B$2:$B$1041),--(NXT_COMPO!$Q102=IDX_CA!$C$2:$C$1041),ROW(IDX_CA!$E$2:$E$1041))),INDEX(IDX_COMPO!$D$1:$D$1200,SUMPRODUCT(--($E102=IDX_COMPO!$A$2:$A$1200),--(NXT_COMPO!$P102=IDX_COMPO!$F$2:$F$1200),--(NXT_COMPO!$B$5=IDX_COMPO!$G$2:$G$1200),ROW(IDX_COMPO!$D$2:$D$1200)))),IF($D102&lt;=$B$4,INDEX(IDX_CA!$E$1:$E$1041,SUMPRODUCT(--($E102=IDX_CA!$A$2:$A$1041),--(NXT_COMPO!$P102=IDX_CA!$B$2:$B$1041),--(NXT_COMPO!$Q102=IDX_CA!$C$2:$C$1041),ROW(IDX_CA!$E$2:$E$1041))),""))</f>
        <v>100</v>
      </c>
      <c r="I102" s="55">
        <f>IF($D102&lt;=$B$1-$B$2,IF(INDEX($AA$2:$AA$1048576,MATCH($D102,$AB$2:$AB$1048576,0))="MODIFY",INDEX(IDX_CA!$F$1:$F$1041,SUMPRODUCT(--($E102=IDX_CA!$A$2:$A$1041),--(NXT_COMPO!$P102=IDX_CA!$B$2:$B$1041),--(NXT_COMPO!$Q102=IDX_CA!$C$2:$C$1041),ROW(IDX_CA!$F$2:$F$1041))),INDEX(IDX_COMPO!$E$1:$E$1200,SUMPRODUCT(--($E102=IDX_COMPO!$A$2:$A$1200),--(NXT_COMPO!$P102=IDX_COMPO!$F$2:$F$1200),--(NXT_COMPO!$B$5=IDX_COMPO!$G$2:$G$1200),ROW(IDX_COMPO!$E$2:$E$1200)))),IF($D102&lt;=$B$4,INDEX(IDX_CA!$F$1:$F$1041,SUMPRODUCT(--($E102=IDX_CA!$A$2:$A$1041),--(NXT_COMPO!$P102=IDX_CA!$B$2:$B$1041),--(NXT_COMPO!$Q102=IDX_CA!$C$2:$C$1041),ROW(IDX_CA!$F$2:$F$1041))),""))</f>
        <v>100</v>
      </c>
      <c r="J102" s="62">
        <f>IF($D102&lt;=$B$1-$B$2,IF(INDEX($AA$2:$AA$1048576,MATCH($D102,$AB$2:$AB$1048576,0))="MODIFY",INDEX(IDX_CA!$G$1:$G$1041,SUMPRODUCT(--($E102=IDX_CA!$A$2:$A$1041),--(NXT_COMPO!$P102=IDX_CA!$B$2:$B$1041),--(NXT_COMPO!$Q102=IDX_CA!$C$2:$C$1041),ROW(IDX_CA!$G$2:$G$1041))),INDEX(IDX_COMPOSITION!$F$1:$F$441,SUMPRODUCT(--($E102=IDX_COMPOSITION!$A$2:$A$441),--(NXT_COMPO!$P102=IDX_COMPOSITION!$R$2:$R$441),--(NXT_COMPO!$B$5=IDX_COMPOSITION!$L$2:$L$441),ROW(IDX_COMPOSITION!$F$2:$F$441)))),IF($D102&lt;=$B$4,INDEX(IDX_CA!$G$1:$G$1041,SUMPRODUCT(--($E102=IDX_CA!$A$2:$A$1041),--(NXT_COMPO!$P102=IDX_CA!$B$2:$B$1041),--(NXT_COMPO!$Q102=IDX_CA!$C$2:$C$1041),ROW(IDX_CA!$G$2:$G$1041))),""))</f>
        <v>4000</v>
      </c>
      <c r="K102" s="63" t="str">
        <f>IF($D102&lt;&gt;"",VLOOKUP($E102,STK_REF!$A$2:$J$1048576,7,0),"")</f>
        <v>VND</v>
      </c>
      <c r="L102" s="5">
        <f>IF($D102&lt;&gt;"",VLOOKUP($E102,STK_REF!$A$2:$J$1048576,8,0),"")</f>
        <v>1</v>
      </c>
      <c r="M102" s="8">
        <f>IF($D102&lt;&gt;"",IF($K102=$U102,1,IF(ISNA(VLOOKUP($K102&amp;$U102,CUR_RATES!$A$2:$F$521,4,0)),"",VLOOKUP($K102&amp;$U102,CUR_RATES!$A$2:$F$521,4,0))),"")</f>
        <v>1</v>
      </c>
      <c r="N102" s="61">
        <f t="shared" si="18"/>
        <v>4000</v>
      </c>
      <c r="O102" s="68">
        <f t="shared" si="19"/>
        <v>120000000000</v>
      </c>
      <c r="P102" s="5" t="str">
        <f t="shared" si="23"/>
        <v>VNXINPRVND</v>
      </c>
      <c r="Q102" s="75">
        <f t="shared" si="20"/>
        <v>41166</v>
      </c>
      <c r="R102" s="68" t="str">
        <f t="shared" si="21"/>
        <v/>
      </c>
      <c r="S102" s="61" t="str">
        <f t="shared" si="22"/>
        <v/>
      </c>
      <c r="T102" s="62" t="str">
        <f>IF(D102&lt;&gt;"",IF(SUMPRODUCT(--($E102=STK_DIV!$A$2:$A$5),--(NXT_COMPO!$Q102=STK_DIV!$E$2:$E$5),ROW(STK_DIV!$D$2:$D$5))=0,"",INDEX(STK_DIV!$D$1:$D$5,SUMPRODUCT(--($E102=STK_DIV!$A$2:$A$5),--(NXT_COMPO!$Q102=STK_DIV!$E$2:$E$5),ROW(STK_DIV!$D$2:$D$5)))),"")</f>
        <v/>
      </c>
      <c r="U102" s="54" t="str">
        <f>IF($D102&lt;&gt;"",VLOOKUP($P102,IDX_REF!$2:$1048576,4,0),"")</f>
        <v>VND</v>
      </c>
      <c r="W102" s="52">
        <f t="shared" si="24"/>
        <v>101</v>
      </c>
      <c r="X102" s="5" t="str">
        <f>IF(ROW(X102)-ROW($X$1)&lt;=$B$1,INDEX(IDX_COMPO!A:A,ROW(IDX_COMPO!A102)),"")</f>
        <v>PXI</v>
      </c>
      <c r="Y102" s="75">
        <f t="shared" si="25"/>
        <v>41166</v>
      </c>
      <c r="Z102" s="54" t="str">
        <f>IF(ROW(Z102)-ROW($Y$1)&lt;=$B$1,INDEX(IDX_COMPO!F:F,ROW(IDX_COMPO!R102)),"")</f>
        <v>VNXINPRVND</v>
      </c>
      <c r="AA102" s="2" t="str">
        <f t="array" ref="AA102">IF(X102&lt;&gt;"",IF(SUMPRODUCT(--(X102=IDX_CA!$A$2:$A$1041),--(NXT_COMPO!Y102=IDX_CA!$C$2:$C$1041),--(Z102=IDX_CA!$B$2:$B$1041))&gt;0,IF(INDEX(IDX_CA!$I:$I,SUMPRODUCT(--(X102=IDX_CA!$A$2:$A$1041),--(NXT_COMPO!Y102=IDX_CA!$C$2:$C$1041),--(Z102=IDX_CA!$B$2:$B$1041),ROW(IDX_CA!$I$2:$I$1041)))=1,"YES","MODIFY"),""),"")</f>
        <v/>
      </c>
      <c r="AB102" s="5">
        <f>IF(X102&lt;&gt;"",IF(AA102="YES","",COUNTIF($AA$2:AA102,"&lt;&gt;YES")),"")</f>
        <v>101</v>
      </c>
      <c r="AC102" s="2"/>
    </row>
    <row r="103" spans="4:29" x14ac:dyDescent="0.2">
      <c r="D103" s="52">
        <f t="shared" si="13"/>
        <v>102</v>
      </c>
      <c r="E103" s="5" t="str">
        <f t="shared" si="17"/>
        <v>PXM</v>
      </c>
      <c r="F103" s="5" t="str">
        <f>IF($D103&lt;&gt;"",VLOOKUP($E103,STK_REF!$A$2:$J$1048576,2,0),"")</f>
        <v>Mientrung Petroleum Construction Joint Stock Compa</v>
      </c>
      <c r="G103" s="68">
        <f>IF($D103&lt;=$B$1-$B$2,IF(INDEX($AA$2:$AA$1048576,MATCH($D103,$AB$2:$AB$1048576,0))="MODIFY",INDEX(IDX_CA!$D$1:$D$1041,SUMPRODUCT(--($E103=IDX_CA!$A$2:$A$1041),--(NXT_COMPO!$P103=IDX_CA!$B$2:$B$1041),--(NXT_COMPO!$Q103=IDX_CA!$C$2:$C$1041),ROW(IDX_CA!$D$2:$D$1041))),INDEX(IDX_COMPO!$C$1:$C$12000,SUMPRODUCT(--($E103=IDX_COMPO!$A$2:$A$1200),--(NXT_COMPO!$P103=IDX_COMPO!$F$2:$F$1200),--(NXT_COMPO!$B$5=IDX_COMPO!$G$2:$G$1200),ROW(IDX_COMPO!$C$2:$C$1200)))),IF($D103&lt;=$B$4,INDEX(IDX_CA!$D$1:$D$1041,SUMPRODUCT(--($E103=IDX_CA!$A$2:$A$1041),--(NXT_COMPO!$P103=IDX_CA!$B$2:$B$1041),--(NXT_COMPO!$Q103=IDX_CA!$C$2:$C$1041),ROW(IDX_CA!$D$2:$D$1041))),""))</f>
        <v>15000000</v>
      </c>
      <c r="H103" s="55">
        <f>IF($D103&lt;=$B$1-$B$2,IF(INDEX($AA$2:$AA$1048576,MATCH($D103,$AB$2:$AB$1048576,0))="MODIFY",INDEX(IDX_CA!$E$1:$E$1041,SUMPRODUCT(--($E103=IDX_CA!$A$2:$A$1041),--(NXT_COMPO!$P103=IDX_CA!$B$2:$B$1041),--(NXT_COMPO!$Q103=IDX_CA!$C$2:$C$1041),ROW(IDX_CA!$E$2:$E$1041))),INDEX(IDX_COMPO!$D$1:$D$1200,SUMPRODUCT(--($E103=IDX_COMPO!$A$2:$A$1200),--(NXT_COMPO!$P103=IDX_COMPO!$F$2:$F$1200),--(NXT_COMPO!$B$5=IDX_COMPO!$G$2:$G$1200),ROW(IDX_COMPO!$D$2:$D$1200)))),IF($D103&lt;=$B$4,INDEX(IDX_CA!$E$1:$E$1041,SUMPRODUCT(--($E103=IDX_CA!$A$2:$A$1041),--(NXT_COMPO!$P103=IDX_CA!$B$2:$B$1041),--(NXT_COMPO!$Q103=IDX_CA!$C$2:$C$1041),ROW(IDX_CA!$E$2:$E$1041))),""))</f>
        <v>100</v>
      </c>
      <c r="I103" s="55">
        <f>IF($D103&lt;=$B$1-$B$2,IF(INDEX($AA$2:$AA$1048576,MATCH($D103,$AB$2:$AB$1048576,0))="MODIFY",INDEX(IDX_CA!$F$1:$F$1041,SUMPRODUCT(--($E103=IDX_CA!$A$2:$A$1041),--(NXT_COMPO!$P103=IDX_CA!$B$2:$B$1041),--(NXT_COMPO!$Q103=IDX_CA!$C$2:$C$1041),ROW(IDX_CA!$F$2:$F$1041))),INDEX(IDX_COMPO!$E$1:$E$1200,SUMPRODUCT(--($E103=IDX_COMPO!$A$2:$A$1200),--(NXT_COMPO!$P103=IDX_COMPO!$F$2:$F$1200),--(NXT_COMPO!$B$5=IDX_COMPO!$G$2:$G$1200),ROW(IDX_COMPO!$E$2:$E$1200)))),IF($D103&lt;=$B$4,INDEX(IDX_CA!$F$1:$F$1041,SUMPRODUCT(--($E103=IDX_CA!$A$2:$A$1041),--(NXT_COMPO!$P103=IDX_CA!$B$2:$B$1041),--(NXT_COMPO!$Q103=IDX_CA!$C$2:$C$1041),ROW(IDX_CA!$F$2:$F$1041))),""))</f>
        <v>100</v>
      </c>
      <c r="J103" s="62">
        <f>IF($D103&lt;=$B$1-$B$2,IF(INDEX($AA$2:$AA$1048576,MATCH($D103,$AB$2:$AB$1048576,0))="MODIFY",INDEX(IDX_CA!$G$1:$G$1041,SUMPRODUCT(--($E103=IDX_CA!$A$2:$A$1041),--(NXT_COMPO!$P103=IDX_CA!$B$2:$B$1041),--(NXT_COMPO!$Q103=IDX_CA!$C$2:$C$1041),ROW(IDX_CA!$G$2:$G$1041))),INDEX(IDX_COMPOSITION!$F$1:$F$441,SUMPRODUCT(--($E103=IDX_COMPOSITION!$A$2:$A$441),--(NXT_COMPO!$P103=IDX_COMPOSITION!$R$2:$R$441),--(NXT_COMPO!$B$5=IDX_COMPOSITION!$L$2:$L$441),ROW(IDX_COMPOSITION!$F$2:$F$441)))),IF($D103&lt;=$B$4,INDEX(IDX_CA!$G$1:$G$1041,SUMPRODUCT(--($E103=IDX_CA!$A$2:$A$1041),--(NXT_COMPO!$P103=IDX_CA!$B$2:$B$1041),--(NXT_COMPO!$Q103=IDX_CA!$C$2:$C$1041),ROW(IDX_CA!$G$2:$G$1041))),""))</f>
        <v>3200</v>
      </c>
      <c r="K103" s="63" t="str">
        <f>IF($D103&lt;&gt;"",VLOOKUP($E103,STK_REF!$A$2:$J$1048576,7,0),"")</f>
        <v>VND</v>
      </c>
      <c r="L103" s="5">
        <f>IF($D103&lt;&gt;"",VLOOKUP($E103,STK_REF!$A$2:$J$1048576,8,0),"")</f>
        <v>1</v>
      </c>
      <c r="M103" s="8">
        <f>IF($D103&lt;&gt;"",IF($K103=$U103,1,IF(ISNA(VLOOKUP($K103&amp;$U103,CUR_RATES!$A$2:$F$521,4,0)),"",VLOOKUP($K103&amp;$U103,CUR_RATES!$A$2:$F$521,4,0))),"")</f>
        <v>1</v>
      </c>
      <c r="N103" s="61">
        <f t="shared" si="18"/>
        <v>3200</v>
      </c>
      <c r="O103" s="68">
        <f t="shared" si="19"/>
        <v>48000000000</v>
      </c>
      <c r="P103" s="5" t="str">
        <f t="shared" si="23"/>
        <v>VNXINPRVND</v>
      </c>
      <c r="Q103" s="75">
        <f t="shared" si="20"/>
        <v>41166</v>
      </c>
      <c r="R103" s="68" t="str">
        <f t="shared" si="21"/>
        <v/>
      </c>
      <c r="S103" s="61" t="str">
        <f t="shared" si="22"/>
        <v/>
      </c>
      <c r="T103" s="62" t="str">
        <f>IF(D103&lt;&gt;"",IF(SUMPRODUCT(--($E103=STK_DIV!$A$2:$A$5),--(NXT_COMPO!$Q103=STK_DIV!$E$2:$E$5),ROW(STK_DIV!$D$2:$D$5))=0,"",INDEX(STK_DIV!$D$1:$D$5,SUMPRODUCT(--($E103=STK_DIV!$A$2:$A$5),--(NXT_COMPO!$Q103=STK_DIV!$E$2:$E$5),ROW(STK_DIV!$D$2:$D$5)))),"")</f>
        <v/>
      </c>
      <c r="U103" s="54" t="str">
        <f>IF($D103&lt;&gt;"",VLOOKUP($P103,IDX_REF!$2:$1048576,4,0),"")</f>
        <v>VND</v>
      </c>
      <c r="W103" s="52">
        <f t="shared" si="24"/>
        <v>102</v>
      </c>
      <c r="X103" s="5" t="str">
        <f>IF(ROW(X103)-ROW($X$1)&lt;=$B$1,INDEX(IDX_COMPO!A:A,ROW(IDX_COMPO!A103)),"")</f>
        <v>PXM</v>
      </c>
      <c r="Y103" s="75">
        <f t="shared" si="25"/>
        <v>41166</v>
      </c>
      <c r="Z103" s="54" t="str">
        <f>IF(ROW(Z103)-ROW($Y$1)&lt;=$B$1,INDEX(IDX_COMPO!F:F,ROW(IDX_COMPO!R103)),"")</f>
        <v>VNXINPRVND</v>
      </c>
      <c r="AA103" s="2" t="str">
        <f t="array" ref="AA103">IF(X103&lt;&gt;"",IF(SUMPRODUCT(--(X103=IDX_CA!$A$2:$A$1041),--(NXT_COMPO!Y103=IDX_CA!$C$2:$C$1041),--(Z103=IDX_CA!$B$2:$B$1041))&gt;0,IF(INDEX(IDX_CA!$I:$I,SUMPRODUCT(--(X103=IDX_CA!$A$2:$A$1041),--(NXT_COMPO!Y103=IDX_CA!$C$2:$C$1041),--(Z103=IDX_CA!$B$2:$B$1041),ROW(IDX_CA!$I$2:$I$1041)))=1,"YES","MODIFY"),""),"")</f>
        <v/>
      </c>
      <c r="AB103" s="5">
        <f>IF(X103&lt;&gt;"",IF(AA103="YES","",COUNTIF($AA$2:AA103,"&lt;&gt;YES")),"")</f>
        <v>102</v>
      </c>
      <c r="AC103" s="2"/>
    </row>
    <row r="104" spans="4:29" x14ac:dyDescent="0.2">
      <c r="D104" s="52">
        <f t="shared" si="13"/>
        <v>103</v>
      </c>
      <c r="E104" s="5" t="str">
        <f t="shared" si="17"/>
        <v>PXS</v>
      </c>
      <c r="F104" s="5" t="str">
        <f>IF($D104&lt;&gt;"",VLOOKUP($E104,STK_REF!$A$2:$J$1048576,2,0),"")</f>
        <v>Petroleum Equipment Assembly and Metal Structure J</v>
      </c>
      <c r="G104" s="68">
        <f>IF($D104&lt;=$B$1-$B$2,IF(INDEX($AA$2:$AA$1048576,MATCH($D104,$AB$2:$AB$1048576,0))="MODIFY",INDEX(IDX_CA!$D$1:$D$1041,SUMPRODUCT(--($E104=IDX_CA!$A$2:$A$1041),--(NXT_COMPO!$P104=IDX_CA!$B$2:$B$1041),--(NXT_COMPO!$Q104=IDX_CA!$C$2:$C$1041),ROW(IDX_CA!$D$2:$D$1041))),INDEX(IDX_COMPO!$C$1:$C$12000,SUMPRODUCT(--($E104=IDX_COMPO!$A$2:$A$1200),--(NXT_COMPO!$P104=IDX_COMPO!$F$2:$F$1200),--(NXT_COMPO!$B$5=IDX_COMPO!$G$2:$G$1200),ROW(IDX_COMPO!$C$2:$C$1200)))),IF($D104&lt;=$B$4,INDEX(IDX_CA!$D$1:$D$1041,SUMPRODUCT(--($E104=IDX_CA!$A$2:$A$1041),--(NXT_COMPO!$P104=IDX_CA!$B$2:$B$1041),--(NXT_COMPO!$Q104=IDX_CA!$C$2:$C$1041),ROW(IDX_CA!$D$2:$D$1041))),""))</f>
        <v>37518001</v>
      </c>
      <c r="H104" s="55">
        <f>IF($D104&lt;=$B$1-$B$2,IF(INDEX($AA$2:$AA$1048576,MATCH($D104,$AB$2:$AB$1048576,0))="MODIFY",INDEX(IDX_CA!$E$1:$E$1041,SUMPRODUCT(--($E104=IDX_CA!$A$2:$A$1041),--(NXT_COMPO!$P104=IDX_CA!$B$2:$B$1041),--(NXT_COMPO!$Q104=IDX_CA!$C$2:$C$1041),ROW(IDX_CA!$E$2:$E$1041))),INDEX(IDX_COMPO!$D$1:$D$1200,SUMPRODUCT(--($E104=IDX_COMPO!$A$2:$A$1200),--(NXT_COMPO!$P104=IDX_COMPO!$F$2:$F$1200),--(NXT_COMPO!$B$5=IDX_COMPO!$G$2:$G$1200),ROW(IDX_COMPO!$D$2:$D$1200)))),IF($D104&lt;=$B$4,INDEX(IDX_CA!$E$1:$E$1041,SUMPRODUCT(--($E104=IDX_CA!$A$2:$A$1041),--(NXT_COMPO!$P104=IDX_CA!$B$2:$B$1041),--(NXT_COMPO!$Q104=IDX_CA!$C$2:$C$1041),ROW(IDX_CA!$E$2:$E$1041))),""))</f>
        <v>100</v>
      </c>
      <c r="I104" s="55">
        <f>IF($D104&lt;=$B$1-$B$2,IF(INDEX($AA$2:$AA$1048576,MATCH($D104,$AB$2:$AB$1048576,0))="MODIFY",INDEX(IDX_CA!$F$1:$F$1041,SUMPRODUCT(--($E104=IDX_CA!$A$2:$A$1041),--(NXT_COMPO!$P104=IDX_CA!$B$2:$B$1041),--(NXT_COMPO!$Q104=IDX_CA!$C$2:$C$1041),ROW(IDX_CA!$F$2:$F$1041))),INDEX(IDX_COMPO!$E$1:$E$1200,SUMPRODUCT(--($E104=IDX_COMPO!$A$2:$A$1200),--(NXT_COMPO!$P104=IDX_COMPO!$F$2:$F$1200),--(NXT_COMPO!$B$5=IDX_COMPO!$G$2:$G$1200),ROW(IDX_COMPO!$E$2:$E$1200)))),IF($D104&lt;=$B$4,INDEX(IDX_CA!$F$1:$F$1041,SUMPRODUCT(--($E104=IDX_CA!$A$2:$A$1041),--(NXT_COMPO!$P104=IDX_CA!$B$2:$B$1041),--(NXT_COMPO!$Q104=IDX_CA!$C$2:$C$1041),ROW(IDX_CA!$F$2:$F$1041))),""))</f>
        <v>100</v>
      </c>
      <c r="J104" s="62">
        <f>IF($D104&lt;=$B$1-$B$2,IF(INDEX($AA$2:$AA$1048576,MATCH($D104,$AB$2:$AB$1048576,0))="MODIFY",INDEX(IDX_CA!$G$1:$G$1041,SUMPRODUCT(--($E104=IDX_CA!$A$2:$A$1041),--(NXT_COMPO!$P104=IDX_CA!$B$2:$B$1041),--(NXT_COMPO!$Q104=IDX_CA!$C$2:$C$1041),ROW(IDX_CA!$G$2:$G$1041))),INDEX(IDX_COMPOSITION!$F$1:$F$441,SUMPRODUCT(--($E104=IDX_COMPOSITION!$A$2:$A$441),--(NXT_COMPO!$P104=IDX_COMPOSITION!$R$2:$R$441),--(NXT_COMPO!$B$5=IDX_COMPOSITION!$L$2:$L$441),ROW(IDX_COMPOSITION!$F$2:$F$441)))),IF($D104&lt;=$B$4,INDEX(IDX_CA!$G$1:$G$1041,SUMPRODUCT(--($E104=IDX_CA!$A$2:$A$1041),--(NXT_COMPO!$P104=IDX_CA!$B$2:$B$1041),--(NXT_COMPO!$Q104=IDX_CA!$C$2:$C$1041),ROW(IDX_CA!$G$2:$G$1041))),""))</f>
        <v>9400</v>
      </c>
      <c r="K104" s="63" t="str">
        <f>IF($D104&lt;&gt;"",VLOOKUP($E104,STK_REF!$A$2:$J$1048576,7,0),"")</f>
        <v>VND</v>
      </c>
      <c r="L104" s="5">
        <f>IF($D104&lt;&gt;"",VLOOKUP($E104,STK_REF!$A$2:$J$1048576,8,0),"")</f>
        <v>1</v>
      </c>
      <c r="M104" s="8">
        <f>IF($D104&lt;&gt;"",IF($K104=$U104,1,IF(ISNA(VLOOKUP($K104&amp;$U104,CUR_RATES!$A$2:$F$521,4,0)),"",VLOOKUP($K104&amp;$U104,CUR_RATES!$A$2:$F$521,4,0))),"")</f>
        <v>1</v>
      </c>
      <c r="N104" s="61">
        <f t="shared" si="18"/>
        <v>9400</v>
      </c>
      <c r="O104" s="68">
        <f t="shared" si="19"/>
        <v>352669209400</v>
      </c>
      <c r="P104" s="5" t="str">
        <f t="shared" si="23"/>
        <v>VNXINPRVND</v>
      </c>
      <c r="Q104" s="75">
        <f t="shared" si="20"/>
        <v>41166</v>
      </c>
      <c r="R104" s="68" t="str">
        <f t="shared" si="21"/>
        <v/>
      </c>
      <c r="S104" s="61" t="str">
        <f t="shared" si="22"/>
        <v/>
      </c>
      <c r="T104" s="62" t="str">
        <f>IF(D104&lt;&gt;"",IF(SUMPRODUCT(--($E104=STK_DIV!$A$2:$A$5),--(NXT_COMPO!$Q104=STK_DIV!$E$2:$E$5),ROW(STK_DIV!$D$2:$D$5))=0,"",INDEX(STK_DIV!$D$1:$D$5,SUMPRODUCT(--($E104=STK_DIV!$A$2:$A$5),--(NXT_COMPO!$Q104=STK_DIV!$E$2:$E$5),ROW(STK_DIV!$D$2:$D$5)))),"")</f>
        <v/>
      </c>
      <c r="U104" s="54" t="str">
        <f>IF($D104&lt;&gt;"",VLOOKUP($P104,IDX_REF!$2:$1048576,4,0),"")</f>
        <v>VND</v>
      </c>
      <c r="W104" s="52">
        <f t="shared" si="24"/>
        <v>103</v>
      </c>
      <c r="X104" s="5" t="str">
        <f>IF(ROW(X104)-ROW($X$1)&lt;=$B$1,INDEX(IDX_COMPO!A:A,ROW(IDX_COMPO!A104)),"")</f>
        <v>PXS</v>
      </c>
      <c r="Y104" s="75">
        <f t="shared" si="25"/>
        <v>41166</v>
      </c>
      <c r="Z104" s="54" t="str">
        <f>IF(ROW(Z104)-ROW($Y$1)&lt;=$B$1,INDEX(IDX_COMPO!F:F,ROW(IDX_COMPO!R104)),"")</f>
        <v>VNXINPRVND</v>
      </c>
      <c r="AA104" s="2" t="str">
        <f t="array" ref="AA104">IF(X104&lt;&gt;"",IF(SUMPRODUCT(--(X104=IDX_CA!$A$2:$A$1041),--(NXT_COMPO!Y104=IDX_CA!$C$2:$C$1041),--(Z104=IDX_CA!$B$2:$B$1041))&gt;0,IF(INDEX(IDX_CA!$I:$I,SUMPRODUCT(--(X104=IDX_CA!$A$2:$A$1041),--(NXT_COMPO!Y104=IDX_CA!$C$2:$C$1041),--(Z104=IDX_CA!$B$2:$B$1041),ROW(IDX_CA!$I$2:$I$1041)))=1,"YES","MODIFY"),""),"")</f>
        <v/>
      </c>
      <c r="AB104" s="5">
        <f>IF(X104&lt;&gt;"",IF(AA104="YES","",COUNTIF($AA$2:AA104,"&lt;&gt;YES")),"")</f>
        <v>103</v>
      </c>
      <c r="AC104" s="2"/>
    </row>
    <row r="105" spans="4:29" x14ac:dyDescent="0.2">
      <c r="D105" s="52">
        <f t="shared" si="13"/>
        <v>104</v>
      </c>
      <c r="E105" s="5" t="str">
        <f t="shared" si="17"/>
        <v>PXT</v>
      </c>
      <c r="F105" s="5" t="str">
        <f>IF($D105&lt;&gt;"",VLOOKUP($E105,STK_REF!$A$2:$J$1048576,2,0),"")</f>
        <v>Petroleum Pipeline and Tank Construction Joint Sto</v>
      </c>
      <c r="G105" s="68">
        <f>IF($D105&lt;=$B$1-$B$2,IF(INDEX($AA$2:$AA$1048576,MATCH($D105,$AB$2:$AB$1048576,0))="MODIFY",INDEX(IDX_CA!$D$1:$D$1041,SUMPRODUCT(--($E105=IDX_CA!$A$2:$A$1041),--(NXT_COMPO!$P105=IDX_CA!$B$2:$B$1041),--(NXT_COMPO!$Q105=IDX_CA!$C$2:$C$1041),ROW(IDX_CA!$D$2:$D$1041))),INDEX(IDX_COMPO!$C$1:$C$12000,SUMPRODUCT(--($E105=IDX_COMPO!$A$2:$A$1200),--(NXT_COMPO!$P105=IDX_COMPO!$F$2:$F$1200),--(NXT_COMPO!$B$5=IDX_COMPO!$G$2:$G$1200),ROW(IDX_COMPO!$C$2:$C$1200)))),IF($D105&lt;=$B$4,INDEX(IDX_CA!$D$1:$D$1041,SUMPRODUCT(--($E105=IDX_CA!$A$2:$A$1041),--(NXT_COMPO!$P105=IDX_CA!$B$2:$B$1041),--(NXT_COMPO!$Q105=IDX_CA!$C$2:$C$1041),ROW(IDX_CA!$D$2:$D$1041))),""))</f>
        <v>20000000</v>
      </c>
      <c r="H105" s="55">
        <f>IF($D105&lt;=$B$1-$B$2,IF(INDEX($AA$2:$AA$1048576,MATCH($D105,$AB$2:$AB$1048576,0))="MODIFY",INDEX(IDX_CA!$E$1:$E$1041,SUMPRODUCT(--($E105=IDX_CA!$A$2:$A$1041),--(NXT_COMPO!$P105=IDX_CA!$B$2:$B$1041),--(NXT_COMPO!$Q105=IDX_CA!$C$2:$C$1041),ROW(IDX_CA!$E$2:$E$1041))),INDEX(IDX_COMPO!$D$1:$D$1200,SUMPRODUCT(--($E105=IDX_COMPO!$A$2:$A$1200),--(NXT_COMPO!$P105=IDX_COMPO!$F$2:$F$1200),--(NXT_COMPO!$B$5=IDX_COMPO!$G$2:$G$1200),ROW(IDX_COMPO!$D$2:$D$1200)))),IF($D105&lt;=$B$4,INDEX(IDX_CA!$E$1:$E$1041,SUMPRODUCT(--($E105=IDX_CA!$A$2:$A$1041),--(NXT_COMPO!$P105=IDX_CA!$B$2:$B$1041),--(NXT_COMPO!$Q105=IDX_CA!$C$2:$C$1041),ROW(IDX_CA!$E$2:$E$1041))),""))</f>
        <v>100</v>
      </c>
      <c r="I105" s="55">
        <f>IF($D105&lt;=$B$1-$B$2,IF(INDEX($AA$2:$AA$1048576,MATCH($D105,$AB$2:$AB$1048576,0))="MODIFY",INDEX(IDX_CA!$F$1:$F$1041,SUMPRODUCT(--($E105=IDX_CA!$A$2:$A$1041),--(NXT_COMPO!$P105=IDX_CA!$B$2:$B$1041),--(NXT_COMPO!$Q105=IDX_CA!$C$2:$C$1041),ROW(IDX_CA!$F$2:$F$1041))),INDEX(IDX_COMPO!$E$1:$E$1200,SUMPRODUCT(--($E105=IDX_COMPO!$A$2:$A$1200),--(NXT_COMPO!$P105=IDX_COMPO!$F$2:$F$1200),--(NXT_COMPO!$B$5=IDX_COMPO!$G$2:$G$1200),ROW(IDX_COMPO!$E$2:$E$1200)))),IF($D105&lt;=$B$4,INDEX(IDX_CA!$F$1:$F$1041,SUMPRODUCT(--($E105=IDX_CA!$A$2:$A$1041),--(NXT_COMPO!$P105=IDX_CA!$B$2:$B$1041),--(NXT_COMPO!$Q105=IDX_CA!$C$2:$C$1041),ROW(IDX_CA!$F$2:$F$1041))),""))</f>
        <v>100</v>
      </c>
      <c r="J105" s="62">
        <f>IF($D105&lt;=$B$1-$B$2,IF(INDEX($AA$2:$AA$1048576,MATCH($D105,$AB$2:$AB$1048576,0))="MODIFY",INDEX(IDX_CA!$G$1:$G$1041,SUMPRODUCT(--($E105=IDX_CA!$A$2:$A$1041),--(NXT_COMPO!$P105=IDX_CA!$B$2:$B$1041),--(NXT_COMPO!$Q105=IDX_CA!$C$2:$C$1041),ROW(IDX_CA!$G$2:$G$1041))),INDEX(IDX_COMPOSITION!$F$1:$F$441,SUMPRODUCT(--($E105=IDX_COMPOSITION!$A$2:$A$441),--(NXT_COMPO!$P105=IDX_COMPOSITION!$R$2:$R$441),--(NXT_COMPO!$B$5=IDX_COMPOSITION!$L$2:$L$441),ROW(IDX_COMPOSITION!$F$2:$F$441)))),IF($D105&lt;=$B$4,INDEX(IDX_CA!$G$1:$G$1041,SUMPRODUCT(--($E105=IDX_CA!$A$2:$A$1041),--(NXT_COMPO!$P105=IDX_CA!$B$2:$B$1041),--(NXT_COMPO!$Q105=IDX_CA!$C$2:$C$1041),ROW(IDX_CA!$G$2:$G$1041))),""))</f>
        <v>4200</v>
      </c>
      <c r="K105" s="63" t="str">
        <f>IF($D105&lt;&gt;"",VLOOKUP($E105,STK_REF!$A$2:$J$1048576,7,0),"")</f>
        <v>VND</v>
      </c>
      <c r="L105" s="5">
        <f>IF($D105&lt;&gt;"",VLOOKUP($E105,STK_REF!$A$2:$J$1048576,8,0),"")</f>
        <v>1</v>
      </c>
      <c r="M105" s="8">
        <f>IF($D105&lt;&gt;"",IF($K105=$U105,1,IF(ISNA(VLOOKUP($K105&amp;$U105,CUR_RATES!$A$2:$F$521,4,0)),"",VLOOKUP($K105&amp;$U105,CUR_RATES!$A$2:$F$521,4,0))),"")</f>
        <v>1</v>
      </c>
      <c r="N105" s="61">
        <f t="shared" si="18"/>
        <v>4200</v>
      </c>
      <c r="O105" s="68">
        <f t="shared" si="19"/>
        <v>84000000000</v>
      </c>
      <c r="P105" s="5" t="str">
        <f t="shared" si="23"/>
        <v>VNXINPRVND</v>
      </c>
      <c r="Q105" s="75">
        <f t="shared" si="20"/>
        <v>41166</v>
      </c>
      <c r="R105" s="68" t="str">
        <f t="shared" si="21"/>
        <v/>
      </c>
      <c r="S105" s="61" t="str">
        <f t="shared" si="22"/>
        <v/>
      </c>
      <c r="T105" s="62" t="str">
        <f>IF(D105&lt;&gt;"",IF(SUMPRODUCT(--($E105=STK_DIV!$A$2:$A$5),--(NXT_COMPO!$Q105=STK_DIV!$E$2:$E$5),ROW(STK_DIV!$D$2:$D$5))=0,"",INDEX(STK_DIV!$D$1:$D$5,SUMPRODUCT(--($E105=STK_DIV!$A$2:$A$5),--(NXT_COMPO!$Q105=STK_DIV!$E$2:$E$5),ROW(STK_DIV!$D$2:$D$5)))),"")</f>
        <v/>
      </c>
      <c r="U105" s="54" t="str">
        <f>IF($D105&lt;&gt;"",VLOOKUP($P105,IDX_REF!$2:$1048576,4,0),"")</f>
        <v>VND</v>
      </c>
      <c r="W105" s="52">
        <f t="shared" si="24"/>
        <v>104</v>
      </c>
      <c r="X105" s="5" t="str">
        <f>IF(ROW(X105)-ROW($X$1)&lt;=$B$1,INDEX(IDX_COMPO!A:A,ROW(IDX_COMPO!A105)),"")</f>
        <v>PXT</v>
      </c>
      <c r="Y105" s="75">
        <f t="shared" si="25"/>
        <v>41166</v>
      </c>
      <c r="Z105" s="54" t="str">
        <f>IF(ROW(Z105)-ROW($Y$1)&lt;=$B$1,INDEX(IDX_COMPO!F:F,ROW(IDX_COMPO!R105)),"")</f>
        <v>VNXINPRVND</v>
      </c>
      <c r="AA105" s="2" t="str">
        <f t="array" ref="AA105">IF(X105&lt;&gt;"",IF(SUMPRODUCT(--(X105=IDX_CA!$A$2:$A$1041),--(NXT_COMPO!Y105=IDX_CA!$C$2:$C$1041),--(Z105=IDX_CA!$B$2:$B$1041))&gt;0,IF(INDEX(IDX_CA!$I:$I,SUMPRODUCT(--(X105=IDX_CA!$A$2:$A$1041),--(NXT_COMPO!Y105=IDX_CA!$C$2:$C$1041),--(Z105=IDX_CA!$B$2:$B$1041),ROW(IDX_CA!$I$2:$I$1041)))=1,"YES","MODIFY"),""),"")</f>
        <v/>
      </c>
      <c r="AB105" s="5">
        <f>IF(X105&lt;&gt;"",IF(AA105="YES","",COUNTIF($AA$2:AA105,"&lt;&gt;YES")),"")</f>
        <v>104</v>
      </c>
      <c r="AC105" s="2"/>
    </row>
    <row r="106" spans="4:29" x14ac:dyDescent="0.2">
      <c r="D106" s="52">
        <f t="shared" si="13"/>
        <v>105</v>
      </c>
      <c r="E106" s="5" t="str">
        <f t="shared" si="17"/>
        <v>PCT</v>
      </c>
      <c r="F106" s="5" t="str">
        <f>IF($D106&lt;&gt;"",VLOOKUP($E106,STK_REF!$A$2:$J$1048576,2,0),"")</f>
        <v>Cuu Long Petro Gas Service Transportation JSC</v>
      </c>
      <c r="G106" s="68">
        <f>IF($D106&lt;=$B$1-$B$2,IF(INDEX($AA$2:$AA$1048576,MATCH($D106,$AB$2:$AB$1048576,0))="MODIFY",INDEX(IDX_CA!$D$1:$D$1041,SUMPRODUCT(--($E106=IDX_CA!$A$2:$A$1041),--(NXT_COMPO!$P106=IDX_CA!$B$2:$B$1041),--(NXT_COMPO!$Q106=IDX_CA!$C$2:$C$1041),ROW(IDX_CA!$D$2:$D$1041))),INDEX(IDX_COMPO!$C$1:$C$12000,SUMPRODUCT(--($E106=IDX_COMPO!$A$2:$A$1200),--(NXT_COMPO!$P106=IDX_COMPO!$F$2:$F$1200),--(NXT_COMPO!$B$5=IDX_COMPO!$G$2:$G$1200),ROW(IDX_COMPO!$C$2:$C$1200)))),IF($D106&lt;=$B$4,INDEX(IDX_CA!$D$1:$D$1041,SUMPRODUCT(--($E106=IDX_CA!$A$2:$A$1041),--(NXT_COMPO!$P106=IDX_CA!$B$2:$B$1041),--(NXT_COMPO!$Q106=IDX_CA!$C$2:$C$1041),ROW(IDX_CA!$D$2:$D$1041))),""))</f>
        <v>23000000</v>
      </c>
      <c r="H106" s="55">
        <f>IF($D106&lt;=$B$1-$B$2,IF(INDEX($AA$2:$AA$1048576,MATCH($D106,$AB$2:$AB$1048576,0))="MODIFY",INDEX(IDX_CA!$E$1:$E$1041,SUMPRODUCT(--($E106=IDX_CA!$A$2:$A$1041),--(NXT_COMPO!$P106=IDX_CA!$B$2:$B$1041),--(NXT_COMPO!$Q106=IDX_CA!$C$2:$C$1041),ROW(IDX_CA!$E$2:$E$1041))),INDEX(IDX_COMPO!$D$1:$D$1200,SUMPRODUCT(--($E106=IDX_COMPO!$A$2:$A$1200),--(NXT_COMPO!$P106=IDX_COMPO!$F$2:$F$1200),--(NXT_COMPO!$B$5=IDX_COMPO!$G$2:$G$1200),ROW(IDX_COMPO!$D$2:$D$1200)))),IF($D106&lt;=$B$4,INDEX(IDX_CA!$E$1:$E$1041,SUMPRODUCT(--($E106=IDX_CA!$A$2:$A$1041),--(NXT_COMPO!$P106=IDX_CA!$B$2:$B$1041),--(NXT_COMPO!$Q106=IDX_CA!$C$2:$C$1041),ROW(IDX_CA!$E$2:$E$1041))),""))</f>
        <v>100</v>
      </c>
      <c r="I106" s="55">
        <f>IF($D106&lt;=$B$1-$B$2,IF(INDEX($AA$2:$AA$1048576,MATCH($D106,$AB$2:$AB$1048576,0))="MODIFY",INDEX(IDX_CA!$F$1:$F$1041,SUMPRODUCT(--($E106=IDX_CA!$A$2:$A$1041),--(NXT_COMPO!$P106=IDX_CA!$B$2:$B$1041),--(NXT_COMPO!$Q106=IDX_CA!$C$2:$C$1041),ROW(IDX_CA!$F$2:$F$1041))),INDEX(IDX_COMPO!$E$1:$E$1200,SUMPRODUCT(--($E106=IDX_COMPO!$A$2:$A$1200),--(NXT_COMPO!$P106=IDX_COMPO!$F$2:$F$1200),--(NXT_COMPO!$B$5=IDX_COMPO!$G$2:$G$1200),ROW(IDX_COMPO!$E$2:$E$1200)))),IF($D106&lt;=$B$4,INDEX(IDX_CA!$F$1:$F$1041,SUMPRODUCT(--($E106=IDX_CA!$A$2:$A$1041),--(NXT_COMPO!$P106=IDX_CA!$B$2:$B$1041),--(NXT_COMPO!$Q106=IDX_CA!$C$2:$C$1041),ROW(IDX_CA!$F$2:$F$1041))),""))</f>
        <v>100</v>
      </c>
      <c r="J106" s="62">
        <f>IF($D106&lt;=$B$1-$B$2,IF(INDEX($AA$2:$AA$1048576,MATCH($D106,$AB$2:$AB$1048576,0))="MODIFY",INDEX(IDX_CA!$G$1:$G$1041,SUMPRODUCT(--($E106=IDX_CA!$A$2:$A$1041),--(NXT_COMPO!$P106=IDX_CA!$B$2:$B$1041),--(NXT_COMPO!$Q106=IDX_CA!$C$2:$C$1041),ROW(IDX_CA!$G$2:$G$1041))),INDEX(IDX_COMPOSITION!$F$1:$F$441,SUMPRODUCT(--($E106=IDX_COMPOSITION!$A$2:$A$441),--(NXT_COMPO!$P106=IDX_COMPOSITION!$R$2:$R$441),--(NXT_COMPO!$B$5=IDX_COMPOSITION!$L$2:$L$441),ROW(IDX_COMPOSITION!$F$2:$F$441)))),IF($D106&lt;=$B$4,INDEX(IDX_CA!$G$1:$G$1041,SUMPRODUCT(--($E106=IDX_CA!$A$2:$A$1041),--(NXT_COMPO!$P106=IDX_CA!$B$2:$B$1041),--(NXT_COMPO!$Q106=IDX_CA!$C$2:$C$1041),ROW(IDX_CA!$G$2:$G$1041))),""))</f>
        <v>2900</v>
      </c>
      <c r="K106" s="63" t="str">
        <f>IF($D106&lt;&gt;"",VLOOKUP($E106,STK_REF!$A$2:$J$1048576,7,0),"")</f>
        <v>VND</v>
      </c>
      <c r="L106" s="5">
        <f>IF($D106&lt;&gt;"",VLOOKUP($E106,STK_REF!$A$2:$J$1048576,8,0),"")</f>
        <v>1</v>
      </c>
      <c r="M106" s="8">
        <f>IF($D106&lt;&gt;"",IF($K106=$U106,1,IF(ISNA(VLOOKUP($K106&amp;$U106,CUR_RATES!$A$2:$F$521,4,0)),"",VLOOKUP($K106&amp;$U106,CUR_RATES!$A$2:$F$521,4,0))),"")</f>
        <v>1</v>
      </c>
      <c r="N106" s="61">
        <f t="shared" si="18"/>
        <v>2900</v>
      </c>
      <c r="O106" s="68">
        <f t="shared" si="19"/>
        <v>66700000000</v>
      </c>
      <c r="P106" s="5" t="str">
        <f t="shared" si="23"/>
        <v>VNXINPRVND</v>
      </c>
      <c r="Q106" s="75">
        <f t="shared" si="20"/>
        <v>41166</v>
      </c>
      <c r="R106" s="68" t="str">
        <f t="shared" si="21"/>
        <v/>
      </c>
      <c r="S106" s="61" t="str">
        <f t="shared" si="22"/>
        <v/>
      </c>
      <c r="T106" s="62" t="str">
        <f>IF(D106&lt;&gt;"",IF(SUMPRODUCT(--($E106=STK_DIV!$A$2:$A$5),--(NXT_COMPO!$Q106=STK_DIV!$E$2:$E$5),ROW(STK_DIV!$D$2:$D$5))=0,"",INDEX(STK_DIV!$D$1:$D$5,SUMPRODUCT(--($E106=STK_DIV!$A$2:$A$5),--(NXT_COMPO!$Q106=STK_DIV!$E$2:$E$5),ROW(STK_DIV!$D$2:$D$5)))),"")</f>
        <v/>
      </c>
      <c r="U106" s="54" t="str">
        <f>IF($D106&lt;&gt;"",VLOOKUP($P106,IDX_REF!$2:$1048576,4,0),"")</f>
        <v>VND</v>
      </c>
      <c r="W106" s="52">
        <f t="shared" si="24"/>
        <v>105</v>
      </c>
      <c r="X106" s="5" t="str">
        <f>IF(ROW(X106)-ROW($X$1)&lt;=$B$1,INDEX(IDX_COMPO!A:A,ROW(IDX_COMPO!A106)),"")</f>
        <v>PCT</v>
      </c>
      <c r="Y106" s="75">
        <f t="shared" si="25"/>
        <v>41166</v>
      </c>
      <c r="Z106" s="54" t="str">
        <f>IF(ROW(Z106)-ROW($Y$1)&lt;=$B$1,INDEX(IDX_COMPO!F:F,ROW(IDX_COMPO!R106)),"")</f>
        <v>VNXINPRVND</v>
      </c>
      <c r="AA106" s="2" t="str">
        <f t="array" ref="AA106">IF(X106&lt;&gt;"",IF(SUMPRODUCT(--(X106=IDX_CA!$A$2:$A$1041),--(NXT_COMPO!Y106=IDX_CA!$C$2:$C$1041),--(Z106=IDX_CA!$B$2:$B$1041))&gt;0,IF(INDEX(IDX_CA!$I:$I,SUMPRODUCT(--(X106=IDX_CA!$A$2:$A$1041),--(NXT_COMPO!Y106=IDX_CA!$C$2:$C$1041),--(Z106=IDX_CA!$B$2:$B$1041),ROW(IDX_CA!$I$2:$I$1041)))=1,"YES","MODIFY"),""),"")</f>
        <v/>
      </c>
      <c r="AB106" s="5">
        <f>IF(X106&lt;&gt;"",IF(AA106="YES","",COUNTIF($AA$2:AA106,"&lt;&gt;YES")),"")</f>
        <v>105</v>
      </c>
      <c r="AC106" s="2"/>
    </row>
    <row r="107" spans="4:29" x14ac:dyDescent="0.2">
      <c r="D107" s="52">
        <f t="shared" si="13"/>
        <v>106</v>
      </c>
      <c r="E107" s="5" t="str">
        <f t="shared" si="17"/>
        <v>PPS</v>
      </c>
      <c r="F107" s="5" t="str">
        <f>IF($D107&lt;&gt;"",VLOOKUP($E107,STK_REF!$A$2:$J$1048576,2,0),"")</f>
        <v>Petro Vietnam Power Services Joint Stock Company</v>
      </c>
      <c r="G107" s="68">
        <f>IF($D107&lt;=$B$1-$B$2,IF(INDEX($AA$2:$AA$1048576,MATCH($D107,$AB$2:$AB$1048576,0))="MODIFY",INDEX(IDX_CA!$D$1:$D$1041,SUMPRODUCT(--($E107=IDX_CA!$A$2:$A$1041),--(NXT_COMPO!$P107=IDX_CA!$B$2:$B$1041),--(NXT_COMPO!$Q107=IDX_CA!$C$2:$C$1041),ROW(IDX_CA!$D$2:$D$1041))),INDEX(IDX_COMPO!$C$1:$C$12000,SUMPRODUCT(--($E107=IDX_COMPO!$A$2:$A$1200),--(NXT_COMPO!$P107=IDX_COMPO!$F$2:$F$1200),--(NXT_COMPO!$B$5=IDX_COMPO!$G$2:$G$1200),ROW(IDX_COMPO!$C$2:$C$1200)))),IF($D107&lt;=$B$4,INDEX(IDX_CA!$D$1:$D$1041,SUMPRODUCT(--($E107=IDX_CA!$A$2:$A$1041),--(NXT_COMPO!$P107=IDX_CA!$B$2:$B$1041),--(NXT_COMPO!$Q107=IDX_CA!$C$2:$C$1041),ROW(IDX_CA!$D$2:$D$1041))),""))</f>
        <v>15000000</v>
      </c>
      <c r="H107" s="55">
        <f>IF($D107&lt;=$B$1-$B$2,IF(INDEX($AA$2:$AA$1048576,MATCH($D107,$AB$2:$AB$1048576,0))="MODIFY",INDEX(IDX_CA!$E$1:$E$1041,SUMPRODUCT(--($E107=IDX_CA!$A$2:$A$1041),--(NXT_COMPO!$P107=IDX_CA!$B$2:$B$1041),--(NXT_COMPO!$Q107=IDX_CA!$C$2:$C$1041),ROW(IDX_CA!$E$2:$E$1041))),INDEX(IDX_COMPO!$D$1:$D$1200,SUMPRODUCT(--($E107=IDX_COMPO!$A$2:$A$1200),--(NXT_COMPO!$P107=IDX_COMPO!$F$2:$F$1200),--(NXT_COMPO!$B$5=IDX_COMPO!$G$2:$G$1200),ROW(IDX_COMPO!$D$2:$D$1200)))),IF($D107&lt;=$B$4,INDEX(IDX_CA!$E$1:$E$1041,SUMPRODUCT(--($E107=IDX_CA!$A$2:$A$1041),--(NXT_COMPO!$P107=IDX_CA!$B$2:$B$1041),--(NXT_COMPO!$Q107=IDX_CA!$C$2:$C$1041),ROW(IDX_CA!$E$2:$E$1041))),""))</f>
        <v>100</v>
      </c>
      <c r="I107" s="55">
        <f>IF($D107&lt;=$B$1-$B$2,IF(INDEX($AA$2:$AA$1048576,MATCH($D107,$AB$2:$AB$1048576,0))="MODIFY",INDEX(IDX_CA!$F$1:$F$1041,SUMPRODUCT(--($E107=IDX_CA!$A$2:$A$1041),--(NXT_COMPO!$P107=IDX_CA!$B$2:$B$1041),--(NXT_COMPO!$Q107=IDX_CA!$C$2:$C$1041),ROW(IDX_CA!$F$2:$F$1041))),INDEX(IDX_COMPO!$E$1:$E$1200,SUMPRODUCT(--($E107=IDX_COMPO!$A$2:$A$1200),--(NXT_COMPO!$P107=IDX_COMPO!$F$2:$F$1200),--(NXT_COMPO!$B$5=IDX_COMPO!$G$2:$G$1200),ROW(IDX_COMPO!$E$2:$E$1200)))),IF($D107&lt;=$B$4,INDEX(IDX_CA!$F$1:$F$1041,SUMPRODUCT(--($E107=IDX_CA!$A$2:$A$1041),--(NXT_COMPO!$P107=IDX_CA!$B$2:$B$1041),--(NXT_COMPO!$Q107=IDX_CA!$C$2:$C$1041),ROW(IDX_CA!$F$2:$F$1041))),""))</f>
        <v>100</v>
      </c>
      <c r="J107" s="62">
        <f>IF($D107&lt;=$B$1-$B$2,IF(INDEX($AA$2:$AA$1048576,MATCH($D107,$AB$2:$AB$1048576,0))="MODIFY",INDEX(IDX_CA!$G$1:$G$1041,SUMPRODUCT(--($E107=IDX_CA!$A$2:$A$1041),--(NXT_COMPO!$P107=IDX_CA!$B$2:$B$1041),--(NXT_COMPO!$Q107=IDX_CA!$C$2:$C$1041),ROW(IDX_CA!$G$2:$G$1041))),INDEX(IDX_COMPOSITION!$F$1:$F$441,SUMPRODUCT(--($E107=IDX_COMPOSITION!$A$2:$A$441),--(NXT_COMPO!$P107=IDX_COMPOSITION!$R$2:$R$441),--(NXT_COMPO!$B$5=IDX_COMPOSITION!$L$2:$L$441),ROW(IDX_COMPOSITION!$F$2:$F$441)))),IF($D107&lt;=$B$4,INDEX(IDX_CA!$G$1:$G$1041,SUMPRODUCT(--($E107=IDX_CA!$A$2:$A$1041),--(NXT_COMPO!$P107=IDX_CA!$B$2:$B$1041),--(NXT_COMPO!$Q107=IDX_CA!$C$2:$C$1041),ROW(IDX_CA!$G$2:$G$1041))),""))</f>
        <v>7200</v>
      </c>
      <c r="K107" s="63" t="str">
        <f>IF($D107&lt;&gt;"",VLOOKUP($E107,STK_REF!$A$2:$J$1048576,7,0),"")</f>
        <v>VND</v>
      </c>
      <c r="L107" s="5">
        <f>IF($D107&lt;&gt;"",VLOOKUP($E107,STK_REF!$A$2:$J$1048576,8,0),"")</f>
        <v>1</v>
      </c>
      <c r="M107" s="8">
        <f>IF($D107&lt;&gt;"",IF($K107=$U107,1,IF(ISNA(VLOOKUP($K107&amp;$U107,CUR_RATES!$A$2:$F$521,4,0)),"",VLOOKUP($K107&amp;$U107,CUR_RATES!$A$2:$F$521,4,0))),"")</f>
        <v>1</v>
      </c>
      <c r="N107" s="61">
        <f t="shared" si="18"/>
        <v>7200</v>
      </c>
      <c r="O107" s="68">
        <f t="shared" si="19"/>
        <v>108000000000</v>
      </c>
      <c r="P107" s="5" t="str">
        <f t="shared" si="23"/>
        <v>VNXINPRVND</v>
      </c>
      <c r="Q107" s="75">
        <f t="shared" si="20"/>
        <v>41166</v>
      </c>
      <c r="R107" s="68" t="str">
        <f t="shared" si="21"/>
        <v/>
      </c>
      <c r="S107" s="61" t="str">
        <f t="shared" si="22"/>
        <v/>
      </c>
      <c r="T107" s="62" t="str">
        <f>IF(D107&lt;&gt;"",IF(SUMPRODUCT(--($E107=STK_DIV!$A$2:$A$5),--(NXT_COMPO!$Q107=STK_DIV!$E$2:$E$5),ROW(STK_DIV!$D$2:$D$5))=0,"",INDEX(STK_DIV!$D$1:$D$5,SUMPRODUCT(--($E107=STK_DIV!$A$2:$A$5),--(NXT_COMPO!$Q107=STK_DIV!$E$2:$E$5),ROW(STK_DIV!$D$2:$D$5)))),"")</f>
        <v/>
      </c>
      <c r="U107" s="54" t="str">
        <f>IF($D107&lt;&gt;"",VLOOKUP($P107,IDX_REF!$2:$1048576,4,0),"")</f>
        <v>VND</v>
      </c>
      <c r="W107" s="52">
        <f t="shared" si="24"/>
        <v>106</v>
      </c>
      <c r="X107" s="5" t="str">
        <f>IF(ROW(X107)-ROW($X$1)&lt;=$B$1,INDEX(IDX_COMPO!A:A,ROW(IDX_COMPO!A107)),"")</f>
        <v>PPS</v>
      </c>
      <c r="Y107" s="75">
        <f t="shared" si="25"/>
        <v>41166</v>
      </c>
      <c r="Z107" s="54" t="str">
        <f>IF(ROW(Z107)-ROW($Y$1)&lt;=$B$1,INDEX(IDX_COMPO!F:F,ROW(IDX_COMPO!R107)),"")</f>
        <v>VNXINPRVND</v>
      </c>
      <c r="AA107" s="2" t="str">
        <f t="array" ref="AA107">IF(X107&lt;&gt;"",IF(SUMPRODUCT(--(X107=IDX_CA!$A$2:$A$1041),--(NXT_COMPO!Y107=IDX_CA!$C$2:$C$1041),--(Z107=IDX_CA!$B$2:$B$1041))&gt;0,IF(INDEX(IDX_CA!$I:$I,SUMPRODUCT(--(X107=IDX_CA!$A$2:$A$1041),--(NXT_COMPO!Y107=IDX_CA!$C$2:$C$1041),--(Z107=IDX_CA!$B$2:$B$1041),ROW(IDX_CA!$I$2:$I$1041)))=1,"YES","MODIFY"),""),"")</f>
        <v/>
      </c>
      <c r="AB107" s="5">
        <f>IF(X107&lt;&gt;"",IF(AA107="YES","",COUNTIF($AA$2:AA107,"&lt;&gt;YES")),"")</f>
        <v>106</v>
      </c>
      <c r="AC107" s="2"/>
    </row>
    <row r="108" spans="4:29" x14ac:dyDescent="0.2">
      <c r="D108" s="52">
        <f t="shared" si="13"/>
        <v>107</v>
      </c>
      <c r="E108" s="5" t="str">
        <f t="shared" si="17"/>
        <v>PVE</v>
      </c>
      <c r="F108" s="5" t="str">
        <f>IF($D108&lt;&gt;"",VLOOKUP($E108,STK_REF!$A$2:$J$1048576,2,0),"")</f>
        <v>VNX Investment Consultancy and Engineerin</v>
      </c>
      <c r="G108" s="68">
        <f>IF($D108&lt;=$B$1-$B$2,IF(INDEX($AA$2:$AA$1048576,MATCH($D108,$AB$2:$AB$1048576,0))="MODIFY",INDEX(IDX_CA!$D$1:$D$1041,SUMPRODUCT(--($E108=IDX_CA!$A$2:$A$1041),--(NXT_COMPO!$P108=IDX_CA!$B$2:$B$1041),--(NXT_COMPO!$Q108=IDX_CA!$C$2:$C$1041),ROW(IDX_CA!$D$2:$D$1041))),INDEX(IDX_COMPO!$C$1:$C$12000,SUMPRODUCT(--($E108=IDX_COMPO!$A$2:$A$1200),--(NXT_COMPO!$P108=IDX_COMPO!$F$2:$F$1200),--(NXT_COMPO!$B$5=IDX_COMPO!$G$2:$G$1200),ROW(IDX_COMPO!$C$2:$C$1200)))),IF($D108&lt;=$B$4,INDEX(IDX_CA!$D$1:$D$1041,SUMPRODUCT(--($E108=IDX_CA!$A$2:$A$1041),--(NXT_COMPO!$P108=IDX_CA!$B$2:$B$1041),--(NXT_COMPO!$Q108=IDX_CA!$C$2:$C$1041),ROW(IDX_CA!$D$2:$D$1041))),""))</f>
        <v>18000000</v>
      </c>
      <c r="H108" s="55">
        <f>IF($D108&lt;=$B$1-$B$2,IF(INDEX($AA$2:$AA$1048576,MATCH($D108,$AB$2:$AB$1048576,0))="MODIFY",INDEX(IDX_CA!$E$1:$E$1041,SUMPRODUCT(--($E108=IDX_CA!$A$2:$A$1041),--(NXT_COMPO!$P108=IDX_CA!$B$2:$B$1041),--(NXT_COMPO!$Q108=IDX_CA!$C$2:$C$1041),ROW(IDX_CA!$E$2:$E$1041))),INDEX(IDX_COMPO!$D$1:$D$1200,SUMPRODUCT(--($E108=IDX_COMPO!$A$2:$A$1200),--(NXT_COMPO!$P108=IDX_COMPO!$F$2:$F$1200),--(NXT_COMPO!$B$5=IDX_COMPO!$G$2:$G$1200),ROW(IDX_COMPO!$D$2:$D$1200)))),IF($D108&lt;=$B$4,INDEX(IDX_CA!$E$1:$E$1041,SUMPRODUCT(--($E108=IDX_CA!$A$2:$A$1041),--(NXT_COMPO!$P108=IDX_CA!$B$2:$B$1041),--(NXT_COMPO!$Q108=IDX_CA!$C$2:$C$1041),ROW(IDX_CA!$E$2:$E$1041))),""))</f>
        <v>100</v>
      </c>
      <c r="I108" s="55">
        <f>IF($D108&lt;=$B$1-$B$2,IF(INDEX($AA$2:$AA$1048576,MATCH($D108,$AB$2:$AB$1048576,0))="MODIFY",INDEX(IDX_CA!$F$1:$F$1041,SUMPRODUCT(--($E108=IDX_CA!$A$2:$A$1041),--(NXT_COMPO!$P108=IDX_CA!$B$2:$B$1041),--(NXT_COMPO!$Q108=IDX_CA!$C$2:$C$1041),ROW(IDX_CA!$F$2:$F$1041))),INDEX(IDX_COMPO!$E$1:$E$1200,SUMPRODUCT(--($E108=IDX_COMPO!$A$2:$A$1200),--(NXT_COMPO!$P108=IDX_COMPO!$F$2:$F$1200),--(NXT_COMPO!$B$5=IDX_COMPO!$G$2:$G$1200),ROW(IDX_COMPO!$E$2:$E$1200)))),IF($D108&lt;=$B$4,INDEX(IDX_CA!$F$1:$F$1041,SUMPRODUCT(--($E108=IDX_CA!$A$2:$A$1041),--(NXT_COMPO!$P108=IDX_CA!$B$2:$B$1041),--(NXT_COMPO!$Q108=IDX_CA!$C$2:$C$1041),ROW(IDX_CA!$F$2:$F$1041))),""))</f>
        <v>100</v>
      </c>
      <c r="J108" s="62">
        <f>IF($D108&lt;=$B$1-$B$2,IF(INDEX($AA$2:$AA$1048576,MATCH($D108,$AB$2:$AB$1048576,0))="MODIFY",INDEX(IDX_CA!$G$1:$G$1041,SUMPRODUCT(--($E108=IDX_CA!$A$2:$A$1041),--(NXT_COMPO!$P108=IDX_CA!$B$2:$B$1041),--(NXT_COMPO!$Q108=IDX_CA!$C$2:$C$1041),ROW(IDX_CA!$G$2:$G$1041))),INDEX(IDX_COMPOSITION!$F$1:$F$441,SUMPRODUCT(--($E108=IDX_COMPOSITION!$A$2:$A$441),--(NXT_COMPO!$P108=IDX_COMPOSITION!$R$2:$R$441),--(NXT_COMPO!$B$5=IDX_COMPOSITION!$L$2:$L$441),ROW(IDX_COMPOSITION!$F$2:$F$441)))),IF($D108&lt;=$B$4,INDEX(IDX_CA!$G$1:$G$1041,SUMPRODUCT(--($E108=IDX_CA!$A$2:$A$1041),--(NXT_COMPO!$P108=IDX_CA!$B$2:$B$1041),--(NXT_COMPO!$Q108=IDX_CA!$C$2:$C$1041),ROW(IDX_CA!$G$2:$G$1041))),""))</f>
        <v>9600</v>
      </c>
      <c r="K108" s="63" t="str">
        <f>IF($D108&lt;&gt;"",VLOOKUP($E108,STK_REF!$A$2:$J$1048576,7,0),"")</f>
        <v>VND</v>
      </c>
      <c r="L108" s="5">
        <f>IF($D108&lt;&gt;"",VLOOKUP($E108,STK_REF!$A$2:$J$1048576,8,0),"")</f>
        <v>1</v>
      </c>
      <c r="M108" s="8">
        <f>IF($D108&lt;&gt;"",IF($K108=$U108,1,IF(ISNA(VLOOKUP($K108&amp;$U108,CUR_RATES!$A$2:$F$521,4,0)),"",VLOOKUP($K108&amp;$U108,CUR_RATES!$A$2:$F$521,4,0))),"")</f>
        <v>1</v>
      </c>
      <c r="N108" s="61">
        <f t="shared" si="18"/>
        <v>9600</v>
      </c>
      <c r="O108" s="68">
        <f t="shared" si="19"/>
        <v>172800000000</v>
      </c>
      <c r="P108" s="5" t="str">
        <f t="shared" si="23"/>
        <v>VNXINPRVND</v>
      </c>
      <c r="Q108" s="75">
        <f t="shared" si="20"/>
        <v>41166</v>
      </c>
      <c r="R108" s="68" t="str">
        <f t="shared" si="21"/>
        <v/>
      </c>
      <c r="S108" s="61" t="str">
        <f t="shared" si="22"/>
        <v/>
      </c>
      <c r="T108" s="62" t="str">
        <f>IF(D108&lt;&gt;"",IF(SUMPRODUCT(--($E108=STK_DIV!$A$2:$A$5),--(NXT_COMPO!$Q108=STK_DIV!$E$2:$E$5),ROW(STK_DIV!$D$2:$D$5))=0,"",INDEX(STK_DIV!$D$1:$D$5,SUMPRODUCT(--($E108=STK_DIV!$A$2:$A$5),--(NXT_COMPO!$Q108=STK_DIV!$E$2:$E$5),ROW(STK_DIV!$D$2:$D$5)))),"")</f>
        <v/>
      </c>
      <c r="U108" s="54" t="str">
        <f>IF($D108&lt;&gt;"",VLOOKUP($P108,IDX_REF!$2:$1048576,4,0),"")</f>
        <v>VND</v>
      </c>
      <c r="W108" s="52">
        <f t="shared" si="24"/>
        <v>107</v>
      </c>
      <c r="X108" s="5" t="str">
        <f>IF(ROW(X108)-ROW($X$1)&lt;=$B$1,INDEX(IDX_COMPO!A:A,ROW(IDX_COMPO!A108)),"")</f>
        <v>PVE</v>
      </c>
      <c r="Y108" s="75">
        <f t="shared" si="25"/>
        <v>41166</v>
      </c>
      <c r="Z108" s="54" t="str">
        <f>IF(ROW(Z108)-ROW($Y$1)&lt;=$B$1,INDEX(IDX_COMPO!F:F,ROW(IDX_COMPO!R108)),"")</f>
        <v>VNXINPRVND</v>
      </c>
      <c r="AA108" s="2" t="str">
        <f t="array" ref="AA108">IF(X108&lt;&gt;"",IF(SUMPRODUCT(--(X108=IDX_CA!$A$2:$A$1041),--(NXT_COMPO!Y108=IDX_CA!$C$2:$C$1041),--(Z108=IDX_CA!$B$2:$B$1041))&gt;0,IF(INDEX(IDX_CA!$I:$I,SUMPRODUCT(--(X108=IDX_CA!$A$2:$A$1041),--(NXT_COMPO!Y108=IDX_CA!$C$2:$C$1041),--(Z108=IDX_CA!$B$2:$B$1041),ROW(IDX_CA!$I$2:$I$1041)))=1,"YES","MODIFY"),""),"")</f>
        <v/>
      </c>
      <c r="AB108" s="5">
        <f>IF(X108&lt;&gt;"",IF(AA108="YES","",COUNTIF($AA$2:AA108,"&lt;&gt;YES")),"")</f>
        <v>107</v>
      </c>
      <c r="AC108" s="2"/>
    </row>
    <row r="109" spans="4:29" x14ac:dyDescent="0.2">
      <c r="D109" s="52">
        <f t="shared" si="13"/>
        <v>108</v>
      </c>
      <c r="E109" s="5" t="str">
        <f t="shared" si="17"/>
        <v>PVX</v>
      </c>
      <c r="F109" s="5" t="str">
        <f>IF($D109&lt;&gt;"",VLOOKUP($E109,STK_REF!$A$2:$J$1048576,2,0),"")</f>
        <v>VNX Construction</v>
      </c>
      <c r="G109" s="68">
        <f>IF($D109&lt;=$B$1-$B$2,IF(INDEX($AA$2:$AA$1048576,MATCH($D109,$AB$2:$AB$1048576,0))="MODIFY",INDEX(IDX_CA!$D$1:$D$1041,SUMPRODUCT(--($E109=IDX_CA!$A$2:$A$1041),--(NXT_COMPO!$P109=IDX_CA!$B$2:$B$1041),--(NXT_COMPO!$Q109=IDX_CA!$C$2:$C$1041),ROW(IDX_CA!$D$2:$D$1041))),INDEX(IDX_COMPO!$C$1:$C$12000,SUMPRODUCT(--($E109=IDX_COMPO!$A$2:$A$1200),--(NXT_COMPO!$P109=IDX_COMPO!$F$2:$F$1200),--(NXT_COMPO!$B$5=IDX_COMPO!$G$2:$G$1200),ROW(IDX_COMPO!$C$2:$C$1200)))),IF($D109&lt;=$B$4,INDEX(IDX_CA!$D$1:$D$1041,SUMPRODUCT(--($E109=IDX_CA!$A$2:$A$1041),--(NXT_COMPO!$P109=IDX_CA!$B$2:$B$1041),--(NXT_COMPO!$Q109=IDX_CA!$C$2:$C$1041),ROW(IDX_CA!$D$2:$D$1041))),""))</f>
        <v>250000000</v>
      </c>
      <c r="H109" s="55">
        <f>IF($D109&lt;=$B$1-$B$2,IF(INDEX($AA$2:$AA$1048576,MATCH($D109,$AB$2:$AB$1048576,0))="MODIFY",INDEX(IDX_CA!$E$1:$E$1041,SUMPRODUCT(--($E109=IDX_CA!$A$2:$A$1041),--(NXT_COMPO!$P109=IDX_CA!$B$2:$B$1041),--(NXT_COMPO!$Q109=IDX_CA!$C$2:$C$1041),ROW(IDX_CA!$E$2:$E$1041))),INDEX(IDX_COMPO!$D$1:$D$1200,SUMPRODUCT(--($E109=IDX_COMPO!$A$2:$A$1200),--(NXT_COMPO!$P109=IDX_COMPO!$F$2:$F$1200),--(NXT_COMPO!$B$5=IDX_COMPO!$G$2:$G$1200),ROW(IDX_COMPO!$D$2:$D$1200)))),IF($D109&lt;=$B$4,INDEX(IDX_CA!$E$1:$E$1041,SUMPRODUCT(--($E109=IDX_CA!$A$2:$A$1041),--(NXT_COMPO!$P109=IDX_CA!$B$2:$B$1041),--(NXT_COMPO!$Q109=IDX_CA!$C$2:$C$1041),ROW(IDX_CA!$E$2:$E$1041))),""))</f>
        <v>100</v>
      </c>
      <c r="I109" s="55">
        <f>IF($D109&lt;=$B$1-$B$2,IF(INDEX($AA$2:$AA$1048576,MATCH($D109,$AB$2:$AB$1048576,0))="MODIFY",INDEX(IDX_CA!$F$1:$F$1041,SUMPRODUCT(--($E109=IDX_CA!$A$2:$A$1041),--(NXT_COMPO!$P109=IDX_CA!$B$2:$B$1041),--(NXT_COMPO!$Q109=IDX_CA!$C$2:$C$1041),ROW(IDX_CA!$F$2:$F$1041))),INDEX(IDX_COMPO!$E$1:$E$1200,SUMPRODUCT(--($E109=IDX_COMPO!$A$2:$A$1200),--(NXT_COMPO!$P109=IDX_COMPO!$F$2:$F$1200),--(NXT_COMPO!$B$5=IDX_COMPO!$G$2:$G$1200),ROW(IDX_COMPO!$E$2:$E$1200)))),IF($D109&lt;=$B$4,INDEX(IDX_CA!$F$1:$F$1041,SUMPRODUCT(--($E109=IDX_CA!$A$2:$A$1041),--(NXT_COMPO!$P109=IDX_CA!$B$2:$B$1041),--(NXT_COMPO!$Q109=IDX_CA!$C$2:$C$1041),ROW(IDX_CA!$F$2:$F$1041))),""))</f>
        <v>100</v>
      </c>
      <c r="J109" s="62">
        <f>IF($D109&lt;=$B$1-$B$2,IF(INDEX($AA$2:$AA$1048576,MATCH($D109,$AB$2:$AB$1048576,0))="MODIFY",INDEX(IDX_CA!$G$1:$G$1041,SUMPRODUCT(--($E109=IDX_CA!$A$2:$A$1041),--(NXT_COMPO!$P109=IDX_CA!$B$2:$B$1041),--(NXT_COMPO!$Q109=IDX_CA!$C$2:$C$1041),ROW(IDX_CA!$G$2:$G$1041))),INDEX(IDX_COMPOSITION!$F$1:$F$441,SUMPRODUCT(--($E109=IDX_COMPOSITION!$A$2:$A$441),--(NXT_COMPO!$P109=IDX_COMPOSITION!$R$2:$R$441),--(NXT_COMPO!$B$5=IDX_COMPOSITION!$L$2:$L$441),ROW(IDX_COMPOSITION!$F$2:$F$441)))),IF($D109&lt;=$B$4,INDEX(IDX_CA!$G$1:$G$1041,SUMPRODUCT(--($E109=IDX_CA!$A$2:$A$1041),--(NXT_COMPO!$P109=IDX_CA!$B$2:$B$1041),--(NXT_COMPO!$Q109=IDX_CA!$C$2:$C$1041),ROW(IDX_CA!$G$2:$G$1041))),""))</f>
        <v>5200</v>
      </c>
      <c r="K109" s="63" t="str">
        <f>IF($D109&lt;&gt;"",VLOOKUP($E109,STK_REF!$A$2:$J$1048576,7,0),"")</f>
        <v>VND</v>
      </c>
      <c r="L109" s="5">
        <f>IF($D109&lt;&gt;"",VLOOKUP($E109,STK_REF!$A$2:$J$1048576,8,0),"")</f>
        <v>1</v>
      </c>
      <c r="M109" s="8">
        <f>IF($D109&lt;&gt;"",IF($K109=$U109,1,IF(ISNA(VLOOKUP($K109&amp;$U109,CUR_RATES!$A$2:$F$521,4,0)),"",VLOOKUP($K109&amp;$U109,CUR_RATES!$A$2:$F$521,4,0))),"")</f>
        <v>1</v>
      </c>
      <c r="N109" s="61">
        <f t="shared" si="18"/>
        <v>5200</v>
      </c>
      <c r="O109" s="68">
        <f t="shared" si="19"/>
        <v>1300000000000</v>
      </c>
      <c r="P109" s="5" t="str">
        <f t="shared" si="23"/>
        <v>VNXINPRVND</v>
      </c>
      <c r="Q109" s="75">
        <f t="shared" si="20"/>
        <v>41166</v>
      </c>
      <c r="R109" s="68" t="str">
        <f t="shared" si="21"/>
        <v/>
      </c>
      <c r="S109" s="61" t="str">
        <f t="shared" si="22"/>
        <v/>
      </c>
      <c r="T109" s="62" t="str">
        <f>IF(D109&lt;&gt;"",IF(SUMPRODUCT(--($E109=STK_DIV!$A$2:$A$5),--(NXT_COMPO!$Q109=STK_DIV!$E$2:$E$5),ROW(STK_DIV!$D$2:$D$5))=0,"",INDEX(STK_DIV!$D$1:$D$5,SUMPRODUCT(--($E109=STK_DIV!$A$2:$A$5),--(NXT_COMPO!$Q109=STK_DIV!$E$2:$E$5),ROW(STK_DIV!$D$2:$D$5)))),"")</f>
        <v/>
      </c>
      <c r="U109" s="54" t="str">
        <f>IF($D109&lt;&gt;"",VLOOKUP($P109,IDX_REF!$2:$1048576,4,0),"")</f>
        <v>VND</v>
      </c>
      <c r="W109" s="52">
        <f t="shared" si="24"/>
        <v>108</v>
      </c>
      <c r="X109" s="5" t="str">
        <f>IF(ROW(X109)-ROW($X$1)&lt;=$B$1,INDEX(IDX_COMPO!A:A,ROW(IDX_COMPO!A109)),"")</f>
        <v>PVX</v>
      </c>
      <c r="Y109" s="75">
        <f t="shared" si="25"/>
        <v>41166</v>
      </c>
      <c r="Z109" s="54" t="str">
        <f>IF(ROW(Z109)-ROW($Y$1)&lt;=$B$1,INDEX(IDX_COMPO!F:F,ROW(IDX_COMPO!R109)),"")</f>
        <v>VNXINPRVND</v>
      </c>
      <c r="AA109" s="2" t="str">
        <f t="array" ref="AA109">IF(X109&lt;&gt;"",IF(SUMPRODUCT(--(X109=IDX_CA!$A$2:$A$1041),--(NXT_COMPO!Y109=IDX_CA!$C$2:$C$1041),--(Z109=IDX_CA!$B$2:$B$1041))&gt;0,IF(INDEX(IDX_CA!$I:$I,SUMPRODUCT(--(X109=IDX_CA!$A$2:$A$1041),--(NXT_COMPO!Y109=IDX_CA!$C$2:$C$1041),--(Z109=IDX_CA!$B$2:$B$1041),ROW(IDX_CA!$I$2:$I$1041)))=1,"YES","MODIFY"),""),"")</f>
        <v/>
      </c>
      <c r="AB109" s="5">
        <f>IF(X109&lt;&gt;"",IF(AA109="YES","",COUNTIF($AA$2:AA109,"&lt;&gt;YES")),"")</f>
        <v>108</v>
      </c>
      <c r="AC109" s="2"/>
    </row>
    <row r="110" spans="4:29" x14ac:dyDescent="0.2">
      <c r="D110" s="52">
        <f t="shared" si="13"/>
        <v>109</v>
      </c>
      <c r="E110" s="5" t="str">
        <f t="shared" si="17"/>
        <v>PSP</v>
      </c>
      <c r="F110" s="5" t="str">
        <f>IF($D110&lt;&gt;"",VLOOKUP($E110,STK_REF!$A$2:$J$1048576,2,0),"")</f>
        <v>Dinh Vu Petroleum Service Port Joint Stock Co</v>
      </c>
      <c r="G110" s="68">
        <f>IF($D110&lt;=$B$1-$B$2,IF(INDEX($AA$2:$AA$1048576,MATCH($D110,$AB$2:$AB$1048576,0))="MODIFY",INDEX(IDX_CA!$D$1:$D$1041,SUMPRODUCT(--($E110=IDX_CA!$A$2:$A$1041),--(NXT_COMPO!$P110=IDX_CA!$B$2:$B$1041),--(NXT_COMPO!$Q110=IDX_CA!$C$2:$C$1041),ROW(IDX_CA!$D$2:$D$1041))),INDEX(IDX_COMPO!$C$1:$C$12000,SUMPRODUCT(--($E110=IDX_COMPO!$A$2:$A$1200),--(NXT_COMPO!$P110=IDX_COMPO!$F$2:$F$1200),--(NXT_COMPO!$B$5=IDX_COMPO!$G$2:$G$1200),ROW(IDX_COMPO!$C$2:$C$1200)))),IF($D110&lt;=$B$4,INDEX(IDX_CA!$D$1:$D$1041,SUMPRODUCT(--($E110=IDX_CA!$A$2:$A$1041),--(NXT_COMPO!$P110=IDX_CA!$B$2:$B$1041),--(NXT_COMPO!$Q110=IDX_CA!$C$2:$C$1041),ROW(IDX_CA!$D$2:$D$1041))),""))</f>
        <v>22500000</v>
      </c>
      <c r="H110" s="55">
        <f>IF($D110&lt;=$B$1-$B$2,IF(INDEX($AA$2:$AA$1048576,MATCH($D110,$AB$2:$AB$1048576,0))="MODIFY",INDEX(IDX_CA!$E$1:$E$1041,SUMPRODUCT(--($E110=IDX_CA!$A$2:$A$1041),--(NXT_COMPO!$P110=IDX_CA!$B$2:$B$1041),--(NXT_COMPO!$Q110=IDX_CA!$C$2:$C$1041),ROW(IDX_CA!$E$2:$E$1041))),INDEX(IDX_COMPO!$D$1:$D$1200,SUMPRODUCT(--($E110=IDX_COMPO!$A$2:$A$1200),--(NXT_COMPO!$P110=IDX_COMPO!$F$2:$F$1200),--(NXT_COMPO!$B$5=IDX_COMPO!$G$2:$G$1200),ROW(IDX_COMPO!$D$2:$D$1200)))),IF($D110&lt;=$B$4,INDEX(IDX_CA!$E$1:$E$1041,SUMPRODUCT(--($E110=IDX_CA!$A$2:$A$1041),--(NXT_COMPO!$P110=IDX_CA!$B$2:$B$1041),--(NXT_COMPO!$Q110=IDX_CA!$C$2:$C$1041),ROW(IDX_CA!$E$2:$E$1041))),""))</f>
        <v>100</v>
      </c>
      <c r="I110" s="55">
        <f>IF($D110&lt;=$B$1-$B$2,IF(INDEX($AA$2:$AA$1048576,MATCH($D110,$AB$2:$AB$1048576,0))="MODIFY",INDEX(IDX_CA!$F$1:$F$1041,SUMPRODUCT(--($E110=IDX_CA!$A$2:$A$1041),--(NXT_COMPO!$P110=IDX_CA!$B$2:$B$1041),--(NXT_COMPO!$Q110=IDX_CA!$C$2:$C$1041),ROW(IDX_CA!$F$2:$F$1041))),INDEX(IDX_COMPO!$E$1:$E$1200,SUMPRODUCT(--($E110=IDX_COMPO!$A$2:$A$1200),--(NXT_COMPO!$P110=IDX_COMPO!$F$2:$F$1200),--(NXT_COMPO!$B$5=IDX_COMPO!$G$2:$G$1200),ROW(IDX_COMPO!$E$2:$E$1200)))),IF($D110&lt;=$B$4,INDEX(IDX_CA!$F$1:$F$1041,SUMPRODUCT(--($E110=IDX_CA!$A$2:$A$1041),--(NXT_COMPO!$P110=IDX_CA!$B$2:$B$1041),--(NXT_COMPO!$Q110=IDX_CA!$C$2:$C$1041),ROW(IDX_CA!$F$2:$F$1041))),""))</f>
        <v>100</v>
      </c>
      <c r="J110" s="62">
        <f>IF($D110&lt;=$B$1-$B$2,IF(INDEX($AA$2:$AA$1048576,MATCH($D110,$AB$2:$AB$1048576,0))="MODIFY",INDEX(IDX_CA!$G$1:$G$1041,SUMPRODUCT(--($E110=IDX_CA!$A$2:$A$1041),--(NXT_COMPO!$P110=IDX_CA!$B$2:$B$1041),--(NXT_COMPO!$Q110=IDX_CA!$C$2:$C$1041),ROW(IDX_CA!$G$2:$G$1041))),INDEX(IDX_COMPOSITION!$F$1:$F$441,SUMPRODUCT(--($E110=IDX_COMPOSITION!$A$2:$A$441),--(NXT_COMPO!$P110=IDX_COMPOSITION!$R$2:$R$441),--(NXT_COMPO!$B$5=IDX_COMPOSITION!$L$2:$L$441),ROW(IDX_COMPOSITION!$F$2:$F$441)))),IF($D110&lt;=$B$4,INDEX(IDX_CA!$G$1:$G$1041,SUMPRODUCT(--($E110=IDX_CA!$A$2:$A$1041),--(NXT_COMPO!$P110=IDX_CA!$B$2:$B$1041),--(NXT_COMPO!$Q110=IDX_CA!$C$2:$C$1041),ROW(IDX_CA!$G$2:$G$1041))),""))</f>
        <v>5300</v>
      </c>
      <c r="K110" s="63" t="str">
        <f>IF($D110&lt;&gt;"",VLOOKUP($E110,STK_REF!$A$2:$J$1048576,7,0),"")</f>
        <v>VND</v>
      </c>
      <c r="L110" s="5">
        <f>IF($D110&lt;&gt;"",VLOOKUP($E110,STK_REF!$A$2:$J$1048576,8,0),"")</f>
        <v>1</v>
      </c>
      <c r="M110" s="8">
        <f>IF($D110&lt;&gt;"",IF($K110=$U110,1,IF(ISNA(VLOOKUP($K110&amp;$U110,CUR_RATES!$A$2:$F$521,4,0)),"",VLOOKUP($K110&amp;$U110,CUR_RATES!$A$2:$F$521,4,0))),"")</f>
        <v>1</v>
      </c>
      <c r="N110" s="61">
        <f t="shared" si="18"/>
        <v>5300</v>
      </c>
      <c r="O110" s="68">
        <f t="shared" si="19"/>
        <v>119250000000</v>
      </c>
      <c r="P110" s="5" t="str">
        <f t="shared" si="23"/>
        <v>VNXINPRVND</v>
      </c>
      <c r="Q110" s="75">
        <f t="shared" si="20"/>
        <v>41166</v>
      </c>
      <c r="R110" s="68" t="str">
        <f t="shared" si="21"/>
        <v/>
      </c>
      <c r="S110" s="61" t="str">
        <f t="shared" si="22"/>
        <v/>
      </c>
      <c r="T110" s="62" t="str">
        <f>IF(D110&lt;&gt;"",IF(SUMPRODUCT(--($E110=STK_DIV!$A$2:$A$5),--(NXT_COMPO!$Q110=STK_DIV!$E$2:$E$5),ROW(STK_DIV!$D$2:$D$5))=0,"",INDEX(STK_DIV!$D$1:$D$5,SUMPRODUCT(--($E110=STK_DIV!$A$2:$A$5),--(NXT_COMPO!$Q110=STK_DIV!$E$2:$E$5),ROW(STK_DIV!$D$2:$D$5)))),"")</f>
        <v/>
      </c>
      <c r="U110" s="54" t="str">
        <f>IF($D110&lt;&gt;"",VLOOKUP($P110,IDX_REF!$2:$1048576,4,0),"")</f>
        <v>VND</v>
      </c>
      <c r="W110" s="52">
        <f t="shared" si="24"/>
        <v>109</v>
      </c>
      <c r="X110" s="5" t="str">
        <f>IF(ROW(X110)-ROW($X$1)&lt;=$B$1,INDEX(IDX_COMPO!A:A,ROW(IDX_COMPO!A110)),"")</f>
        <v>PSP</v>
      </c>
      <c r="Y110" s="75">
        <f t="shared" si="25"/>
        <v>41166</v>
      </c>
      <c r="Z110" s="54" t="str">
        <f>IF(ROW(Z110)-ROW($Y$1)&lt;=$B$1,INDEX(IDX_COMPO!F:F,ROW(IDX_COMPO!R110)),"")</f>
        <v>VNXINPRVND</v>
      </c>
      <c r="AA110" s="2" t="str">
        <f t="array" ref="AA110">IF(X110&lt;&gt;"",IF(SUMPRODUCT(--(X110=IDX_CA!$A$2:$A$1041),--(NXT_COMPO!Y110=IDX_CA!$C$2:$C$1041),--(Z110=IDX_CA!$B$2:$B$1041))&gt;0,IF(INDEX(IDX_CA!$I:$I,SUMPRODUCT(--(X110=IDX_CA!$A$2:$A$1041),--(NXT_COMPO!Y110=IDX_CA!$C$2:$C$1041),--(Z110=IDX_CA!$B$2:$B$1041),ROW(IDX_CA!$I$2:$I$1041)))=1,"YES","MODIFY"),""),"")</f>
        <v/>
      </c>
      <c r="AB110" s="5">
        <f>IF(X110&lt;&gt;"",IF(AA110="YES","",COUNTIF($AA$2:AA110,"&lt;&gt;YES")),"")</f>
        <v>109</v>
      </c>
      <c r="AC110" s="2"/>
    </row>
    <row r="111" spans="4:29" x14ac:dyDescent="0.2">
      <c r="D111" s="52">
        <f t="shared" si="13"/>
        <v>110</v>
      </c>
      <c r="E111" s="5" t="str">
        <f t="shared" si="17"/>
        <v>PTT</v>
      </c>
      <c r="F111" s="5" t="str">
        <f>IF($D111&lt;&gt;"",VLOOKUP($E111,STK_REF!$A$2:$J$1048576,2,0),"")</f>
        <v>Indochina Petroleum Transportation Joint Stock Com</v>
      </c>
      <c r="G111" s="68">
        <f>IF($D111&lt;=$B$1-$B$2,IF(INDEX($AA$2:$AA$1048576,MATCH($D111,$AB$2:$AB$1048576,0))="MODIFY",INDEX(IDX_CA!$D$1:$D$1041,SUMPRODUCT(--($E111=IDX_CA!$A$2:$A$1041),--(NXT_COMPO!$P111=IDX_CA!$B$2:$B$1041),--(NXT_COMPO!$Q111=IDX_CA!$C$2:$C$1041),ROW(IDX_CA!$D$2:$D$1041))),INDEX(IDX_COMPO!$C$1:$C$12000,SUMPRODUCT(--($E111=IDX_COMPO!$A$2:$A$1200),--(NXT_COMPO!$P111=IDX_COMPO!$F$2:$F$1200),--(NXT_COMPO!$B$5=IDX_COMPO!$G$2:$G$1200),ROW(IDX_COMPO!$C$2:$C$1200)))),IF($D111&lt;=$B$4,INDEX(IDX_CA!$D$1:$D$1041,SUMPRODUCT(--($E111=IDX_CA!$A$2:$A$1041),--(NXT_COMPO!$P111=IDX_CA!$B$2:$B$1041),--(NXT_COMPO!$Q111=IDX_CA!$C$2:$C$1041),ROW(IDX_CA!$D$2:$D$1041))),""))</f>
        <v>10000000</v>
      </c>
      <c r="H111" s="55">
        <f>IF($D111&lt;=$B$1-$B$2,IF(INDEX($AA$2:$AA$1048576,MATCH($D111,$AB$2:$AB$1048576,0))="MODIFY",INDEX(IDX_CA!$E$1:$E$1041,SUMPRODUCT(--($E111=IDX_CA!$A$2:$A$1041),--(NXT_COMPO!$P111=IDX_CA!$B$2:$B$1041),--(NXT_COMPO!$Q111=IDX_CA!$C$2:$C$1041),ROW(IDX_CA!$E$2:$E$1041))),INDEX(IDX_COMPO!$D$1:$D$1200,SUMPRODUCT(--($E111=IDX_COMPO!$A$2:$A$1200),--(NXT_COMPO!$P111=IDX_COMPO!$F$2:$F$1200),--(NXT_COMPO!$B$5=IDX_COMPO!$G$2:$G$1200),ROW(IDX_COMPO!$D$2:$D$1200)))),IF($D111&lt;=$B$4,INDEX(IDX_CA!$E$1:$E$1041,SUMPRODUCT(--($E111=IDX_CA!$A$2:$A$1041),--(NXT_COMPO!$P111=IDX_CA!$B$2:$B$1041),--(NXT_COMPO!$Q111=IDX_CA!$C$2:$C$1041),ROW(IDX_CA!$E$2:$E$1041))),""))</f>
        <v>100</v>
      </c>
      <c r="I111" s="55">
        <f>IF($D111&lt;=$B$1-$B$2,IF(INDEX($AA$2:$AA$1048576,MATCH($D111,$AB$2:$AB$1048576,0))="MODIFY",INDEX(IDX_CA!$F$1:$F$1041,SUMPRODUCT(--($E111=IDX_CA!$A$2:$A$1041),--(NXT_COMPO!$P111=IDX_CA!$B$2:$B$1041),--(NXT_COMPO!$Q111=IDX_CA!$C$2:$C$1041),ROW(IDX_CA!$F$2:$F$1041))),INDEX(IDX_COMPO!$E$1:$E$1200,SUMPRODUCT(--($E111=IDX_COMPO!$A$2:$A$1200),--(NXT_COMPO!$P111=IDX_COMPO!$F$2:$F$1200),--(NXT_COMPO!$B$5=IDX_COMPO!$G$2:$G$1200),ROW(IDX_COMPO!$E$2:$E$1200)))),IF($D111&lt;=$B$4,INDEX(IDX_CA!$F$1:$F$1041,SUMPRODUCT(--($E111=IDX_CA!$A$2:$A$1041),--(NXT_COMPO!$P111=IDX_CA!$B$2:$B$1041),--(NXT_COMPO!$Q111=IDX_CA!$C$2:$C$1041),ROW(IDX_CA!$F$2:$F$1041))),""))</f>
        <v>100</v>
      </c>
      <c r="J111" s="62">
        <f>IF($D111&lt;=$B$1-$B$2,IF(INDEX($AA$2:$AA$1048576,MATCH($D111,$AB$2:$AB$1048576,0))="MODIFY",INDEX(IDX_CA!$G$1:$G$1041,SUMPRODUCT(--($E111=IDX_CA!$A$2:$A$1041),--(NXT_COMPO!$P111=IDX_CA!$B$2:$B$1041),--(NXT_COMPO!$Q111=IDX_CA!$C$2:$C$1041),ROW(IDX_CA!$G$2:$G$1041))),INDEX(IDX_COMPOSITION!$F$1:$F$441,SUMPRODUCT(--($E111=IDX_COMPOSITION!$A$2:$A$441),--(NXT_COMPO!$P111=IDX_COMPOSITION!$R$2:$R$441),--(NXT_COMPO!$B$5=IDX_COMPOSITION!$L$2:$L$441),ROW(IDX_COMPOSITION!$F$2:$F$441)))),IF($D111&lt;=$B$4,INDEX(IDX_CA!$G$1:$G$1041,SUMPRODUCT(--($E111=IDX_CA!$A$2:$A$1041),--(NXT_COMPO!$P111=IDX_CA!$B$2:$B$1041),--(NXT_COMPO!$Q111=IDX_CA!$C$2:$C$1041),ROW(IDX_CA!$G$2:$G$1041))),""))</f>
        <v>1800</v>
      </c>
      <c r="K111" s="63" t="str">
        <f>IF($D111&lt;&gt;"",VLOOKUP($E111,STK_REF!$A$2:$J$1048576,7,0),"")</f>
        <v>VND</v>
      </c>
      <c r="L111" s="5">
        <f>IF($D111&lt;&gt;"",VLOOKUP($E111,STK_REF!$A$2:$J$1048576,8,0),"")</f>
        <v>1</v>
      </c>
      <c r="M111" s="8">
        <f>IF($D111&lt;&gt;"",IF($K111=$U111,1,IF(ISNA(VLOOKUP($K111&amp;$U111,CUR_RATES!$A$2:$F$521,4,0)),"",VLOOKUP($K111&amp;$U111,CUR_RATES!$A$2:$F$521,4,0))),"")</f>
        <v>1</v>
      </c>
      <c r="N111" s="61">
        <f t="shared" si="18"/>
        <v>1800</v>
      </c>
      <c r="O111" s="68">
        <f t="shared" si="19"/>
        <v>18000000000</v>
      </c>
      <c r="P111" s="5" t="str">
        <f t="shared" si="23"/>
        <v>VNXINPRVND</v>
      </c>
      <c r="Q111" s="75">
        <f t="shared" si="20"/>
        <v>41166</v>
      </c>
      <c r="R111" s="68" t="str">
        <f t="shared" si="21"/>
        <v/>
      </c>
      <c r="S111" s="61" t="str">
        <f t="shared" si="22"/>
        <v/>
      </c>
      <c r="T111" s="62" t="str">
        <f>IF(D111&lt;&gt;"",IF(SUMPRODUCT(--($E111=STK_DIV!$A$2:$A$5),--(NXT_COMPO!$Q111=STK_DIV!$E$2:$E$5),ROW(STK_DIV!$D$2:$D$5))=0,"",INDEX(STK_DIV!$D$1:$D$5,SUMPRODUCT(--($E111=STK_DIV!$A$2:$A$5),--(NXT_COMPO!$Q111=STK_DIV!$E$2:$E$5),ROW(STK_DIV!$D$2:$D$5)))),"")</f>
        <v/>
      </c>
      <c r="U111" s="54" t="str">
        <f>IF($D111&lt;&gt;"",VLOOKUP($P111,IDX_REF!$2:$1048576,4,0),"")</f>
        <v>VND</v>
      </c>
      <c r="W111" s="52">
        <f t="shared" si="24"/>
        <v>110</v>
      </c>
      <c r="X111" s="5" t="str">
        <f>IF(ROW(X111)-ROW($X$1)&lt;=$B$1,INDEX(IDX_COMPO!A:A,ROW(IDX_COMPO!A111)),"")</f>
        <v>PTT</v>
      </c>
      <c r="Y111" s="75">
        <f t="shared" si="25"/>
        <v>41166</v>
      </c>
      <c r="Z111" s="54" t="str">
        <f>IF(ROW(Z111)-ROW($Y$1)&lt;=$B$1,INDEX(IDX_COMPO!F:F,ROW(IDX_COMPO!R111)),"")</f>
        <v>VNXINPRVND</v>
      </c>
      <c r="AA111" s="2" t="str">
        <f t="array" ref="AA111">IF(X111&lt;&gt;"",IF(SUMPRODUCT(--(X111=IDX_CA!$A$2:$A$1041),--(NXT_COMPO!Y111=IDX_CA!$C$2:$C$1041),--(Z111=IDX_CA!$B$2:$B$1041))&gt;0,IF(INDEX(IDX_CA!$I:$I,SUMPRODUCT(--(X111=IDX_CA!$A$2:$A$1041),--(NXT_COMPO!Y111=IDX_CA!$C$2:$C$1041),--(Z111=IDX_CA!$B$2:$B$1041),ROW(IDX_CA!$I$2:$I$1041)))=1,"YES","MODIFY"),""),"")</f>
        <v/>
      </c>
      <c r="AB111" s="5">
        <f>IF(X111&lt;&gt;"",IF(AA111="YES","",COUNTIF($AA$2:AA111,"&lt;&gt;YES")),"")</f>
        <v>110</v>
      </c>
      <c r="AC111" s="2"/>
    </row>
    <row r="112" spans="4:29" x14ac:dyDescent="0.2">
      <c r="D112" s="52">
        <f t="shared" si="13"/>
        <v>111</v>
      </c>
      <c r="E112" s="5" t="str">
        <f t="shared" si="17"/>
        <v>PGD</v>
      </c>
      <c r="F112" s="5" t="str">
        <f>IF($D112&lt;&gt;"",VLOOKUP($E112,STK_REF!$A$2:$J$1048576,2,0),"")</f>
        <v>VNX Low Pressure Gas Distribution Joint S</v>
      </c>
      <c r="G112" s="68">
        <f>IF($D112&lt;=$B$1-$B$2,IF(INDEX($AA$2:$AA$1048576,MATCH($D112,$AB$2:$AB$1048576,0))="MODIFY",INDEX(IDX_CA!$D$1:$D$1041,SUMPRODUCT(--($E112=IDX_CA!$A$2:$A$1041),--(NXT_COMPO!$P112=IDX_CA!$B$2:$B$1041),--(NXT_COMPO!$Q112=IDX_CA!$C$2:$C$1041),ROW(IDX_CA!$D$2:$D$1041))),INDEX(IDX_COMPO!$C$1:$C$12000,SUMPRODUCT(--($E112=IDX_COMPO!$A$2:$A$1200),--(NXT_COMPO!$P112=IDX_COMPO!$F$2:$F$1200),--(NXT_COMPO!$B$5=IDX_COMPO!$G$2:$G$1200),ROW(IDX_COMPO!$C$2:$C$1200)))),IF($D112&lt;=$B$4,INDEX(IDX_CA!$D$1:$D$1041,SUMPRODUCT(--($E112=IDX_CA!$A$2:$A$1041),--(NXT_COMPO!$P112=IDX_CA!$B$2:$B$1041),--(NXT_COMPO!$Q112=IDX_CA!$C$2:$C$1041),ROW(IDX_CA!$D$2:$D$1041))),""))</f>
        <v>42900000</v>
      </c>
      <c r="H112" s="55">
        <f>IF($D112&lt;=$B$1-$B$2,IF(INDEX($AA$2:$AA$1048576,MATCH($D112,$AB$2:$AB$1048576,0))="MODIFY",INDEX(IDX_CA!$E$1:$E$1041,SUMPRODUCT(--($E112=IDX_CA!$A$2:$A$1041),--(NXT_COMPO!$P112=IDX_CA!$B$2:$B$1041),--(NXT_COMPO!$Q112=IDX_CA!$C$2:$C$1041),ROW(IDX_CA!$E$2:$E$1041))),INDEX(IDX_COMPO!$D$1:$D$1200,SUMPRODUCT(--($E112=IDX_COMPO!$A$2:$A$1200),--(NXT_COMPO!$P112=IDX_COMPO!$F$2:$F$1200),--(NXT_COMPO!$B$5=IDX_COMPO!$G$2:$G$1200),ROW(IDX_COMPO!$D$2:$D$1200)))),IF($D112&lt;=$B$4,INDEX(IDX_CA!$E$1:$E$1041,SUMPRODUCT(--($E112=IDX_CA!$A$2:$A$1041),--(NXT_COMPO!$P112=IDX_CA!$B$2:$B$1041),--(NXT_COMPO!$Q112=IDX_CA!$C$2:$C$1041),ROW(IDX_CA!$E$2:$E$1041))),""))</f>
        <v>100</v>
      </c>
      <c r="I112" s="55">
        <f>IF($D112&lt;=$B$1-$B$2,IF(INDEX($AA$2:$AA$1048576,MATCH($D112,$AB$2:$AB$1048576,0))="MODIFY",INDEX(IDX_CA!$F$1:$F$1041,SUMPRODUCT(--($E112=IDX_CA!$A$2:$A$1041),--(NXT_COMPO!$P112=IDX_CA!$B$2:$B$1041),--(NXT_COMPO!$Q112=IDX_CA!$C$2:$C$1041),ROW(IDX_CA!$F$2:$F$1041))),INDEX(IDX_COMPO!$E$1:$E$1200,SUMPRODUCT(--($E112=IDX_COMPO!$A$2:$A$1200),--(NXT_COMPO!$P112=IDX_COMPO!$F$2:$F$1200),--(NXT_COMPO!$B$5=IDX_COMPO!$G$2:$G$1200),ROW(IDX_COMPO!$E$2:$E$1200)))),IF($D112&lt;=$B$4,INDEX(IDX_CA!$F$1:$F$1041,SUMPRODUCT(--($E112=IDX_CA!$A$2:$A$1041),--(NXT_COMPO!$P112=IDX_CA!$B$2:$B$1041),--(NXT_COMPO!$Q112=IDX_CA!$C$2:$C$1041),ROW(IDX_CA!$F$2:$F$1041))),""))</f>
        <v>100</v>
      </c>
      <c r="J112" s="62">
        <f>IF($D112&lt;=$B$1-$B$2,IF(INDEX($AA$2:$AA$1048576,MATCH($D112,$AB$2:$AB$1048576,0))="MODIFY",INDEX(IDX_CA!$G$1:$G$1041,SUMPRODUCT(--($E112=IDX_CA!$A$2:$A$1041),--(NXT_COMPO!$P112=IDX_CA!$B$2:$B$1041),--(NXT_COMPO!$Q112=IDX_CA!$C$2:$C$1041),ROW(IDX_CA!$G$2:$G$1041))),INDEX(IDX_COMPOSITION!$F$1:$F$441,SUMPRODUCT(--($E112=IDX_COMPOSITION!$A$2:$A$441),--(NXT_COMPO!$P112=IDX_COMPOSITION!$R$2:$R$441),--(NXT_COMPO!$B$5=IDX_COMPOSITION!$L$2:$L$441),ROW(IDX_COMPOSITION!$F$2:$F$441)))),IF($D112&lt;=$B$4,INDEX(IDX_CA!$G$1:$G$1041,SUMPRODUCT(--($E112=IDX_CA!$A$2:$A$1041),--(NXT_COMPO!$P112=IDX_CA!$B$2:$B$1041),--(NXT_COMPO!$Q112=IDX_CA!$C$2:$C$1041),ROW(IDX_CA!$G$2:$G$1041))),""))</f>
        <v>38800</v>
      </c>
      <c r="K112" s="63" t="str">
        <f>IF($D112&lt;&gt;"",VLOOKUP($E112,STK_REF!$A$2:$J$1048576,7,0),"")</f>
        <v>VND</v>
      </c>
      <c r="L112" s="5">
        <f>IF($D112&lt;&gt;"",VLOOKUP($E112,STK_REF!$A$2:$J$1048576,8,0),"")</f>
        <v>1</v>
      </c>
      <c r="M112" s="8">
        <f>IF($D112&lt;&gt;"",IF($K112=$U112,1,IF(ISNA(VLOOKUP($K112&amp;$U112,CUR_RATES!$A$2:$F$521,4,0)),"",VLOOKUP($K112&amp;$U112,CUR_RATES!$A$2:$F$521,4,0))),"")</f>
        <v>1</v>
      </c>
      <c r="N112" s="61">
        <f t="shared" si="18"/>
        <v>38800</v>
      </c>
      <c r="O112" s="68">
        <f t="shared" si="19"/>
        <v>1664520000000</v>
      </c>
      <c r="P112" s="5" t="str">
        <f t="shared" si="23"/>
        <v>VNXINPRVND</v>
      </c>
      <c r="Q112" s="75">
        <f t="shared" si="20"/>
        <v>41166</v>
      </c>
      <c r="R112" s="68" t="str">
        <f t="shared" si="21"/>
        <v/>
      </c>
      <c r="S112" s="61" t="str">
        <f t="shared" si="22"/>
        <v/>
      </c>
      <c r="T112" s="62" t="str">
        <f>IF(D112&lt;&gt;"",IF(SUMPRODUCT(--($E112=STK_DIV!$A$2:$A$5),--(NXT_COMPO!$Q112=STK_DIV!$E$2:$E$5),ROW(STK_DIV!$D$2:$D$5))=0,"",INDEX(STK_DIV!$D$1:$D$5,SUMPRODUCT(--($E112=STK_DIV!$A$2:$A$5),--(NXT_COMPO!$Q112=STK_DIV!$E$2:$E$5),ROW(STK_DIV!$D$2:$D$5)))),"")</f>
        <v/>
      </c>
      <c r="U112" s="54" t="str">
        <f>IF($D112&lt;&gt;"",VLOOKUP($P112,IDX_REF!$2:$1048576,4,0),"")</f>
        <v>VND</v>
      </c>
      <c r="W112" s="52">
        <f t="shared" si="24"/>
        <v>111</v>
      </c>
      <c r="X112" s="5" t="str">
        <f>IF(ROW(X112)-ROW($X$1)&lt;=$B$1,INDEX(IDX_COMPO!A:A,ROW(IDX_COMPO!A112)),"")</f>
        <v>PGD</v>
      </c>
      <c r="Y112" s="75">
        <f t="shared" si="25"/>
        <v>41166</v>
      </c>
      <c r="Z112" s="54" t="str">
        <f>IF(ROW(Z112)-ROW($Y$1)&lt;=$B$1,INDEX(IDX_COMPO!F:F,ROW(IDX_COMPO!R112)),"")</f>
        <v>VNXINPRVND</v>
      </c>
      <c r="AA112" s="2" t="str">
        <f t="array" ref="AA112">IF(X112&lt;&gt;"",IF(SUMPRODUCT(--(X112=IDX_CA!$A$2:$A$1041),--(NXT_COMPO!Y112=IDX_CA!$C$2:$C$1041),--(Z112=IDX_CA!$B$2:$B$1041))&gt;0,IF(INDEX(IDX_CA!$I:$I,SUMPRODUCT(--(X112=IDX_CA!$A$2:$A$1041),--(NXT_COMPO!Y112=IDX_CA!$C$2:$C$1041),--(Z112=IDX_CA!$B$2:$B$1041),ROW(IDX_CA!$I$2:$I$1041)))=1,"YES","MODIFY"),""),"")</f>
        <v/>
      </c>
      <c r="AB112" s="5">
        <f>IF(X112&lt;&gt;"",IF(AA112="YES","",COUNTIF($AA$2:AA112,"&lt;&gt;YES")),"")</f>
        <v>111</v>
      </c>
      <c r="AC112" s="2"/>
    </row>
    <row r="113" spans="4:29" x14ac:dyDescent="0.2">
      <c r="D113" s="52">
        <f t="shared" si="13"/>
        <v>112</v>
      </c>
      <c r="E113" s="5" t="str">
        <f t="shared" si="17"/>
        <v>PVD</v>
      </c>
      <c r="F113" s="5" t="str">
        <f>IF($D113&lt;&gt;"",VLOOKUP($E113,STK_REF!$A$2:$J$1048576,2,0),"")</f>
        <v xml:space="preserve">VNX Drilling &amp; Well Services Joint Stock </v>
      </c>
      <c r="G113" s="68">
        <f>IF($D113&lt;=$B$1-$B$2,IF(INDEX($AA$2:$AA$1048576,MATCH($D113,$AB$2:$AB$1048576,0))="MODIFY",INDEX(IDX_CA!$D$1:$D$1041,SUMPRODUCT(--($E113=IDX_CA!$A$2:$A$1041),--(NXT_COMPO!$P113=IDX_CA!$B$2:$B$1041),--(NXT_COMPO!$Q113=IDX_CA!$C$2:$C$1041),ROW(IDX_CA!$D$2:$D$1041))),INDEX(IDX_COMPO!$C$1:$C$12000,SUMPRODUCT(--($E113=IDX_COMPO!$A$2:$A$1200),--(NXT_COMPO!$P113=IDX_COMPO!$F$2:$F$1200),--(NXT_COMPO!$B$5=IDX_COMPO!$G$2:$G$1200),ROW(IDX_COMPO!$C$2:$C$1200)))),IF($D113&lt;=$B$4,INDEX(IDX_CA!$D$1:$D$1041,SUMPRODUCT(--($E113=IDX_CA!$A$2:$A$1041),--(NXT_COMPO!$P113=IDX_CA!$B$2:$B$1041),--(NXT_COMPO!$Q113=IDX_CA!$C$2:$C$1041),ROW(IDX_CA!$D$2:$D$1041))),""))</f>
        <v>209740215</v>
      </c>
      <c r="H113" s="55">
        <f>IF($D113&lt;=$B$1-$B$2,IF(INDEX($AA$2:$AA$1048576,MATCH($D113,$AB$2:$AB$1048576,0))="MODIFY",INDEX(IDX_CA!$E$1:$E$1041,SUMPRODUCT(--($E113=IDX_CA!$A$2:$A$1041),--(NXT_COMPO!$P113=IDX_CA!$B$2:$B$1041),--(NXT_COMPO!$Q113=IDX_CA!$C$2:$C$1041),ROW(IDX_CA!$E$2:$E$1041))),INDEX(IDX_COMPO!$D$1:$D$1200,SUMPRODUCT(--($E113=IDX_COMPO!$A$2:$A$1200),--(NXT_COMPO!$P113=IDX_COMPO!$F$2:$F$1200),--(NXT_COMPO!$B$5=IDX_COMPO!$G$2:$G$1200),ROW(IDX_COMPO!$D$2:$D$1200)))),IF($D113&lt;=$B$4,INDEX(IDX_CA!$E$1:$E$1041,SUMPRODUCT(--($E113=IDX_CA!$A$2:$A$1041),--(NXT_COMPO!$P113=IDX_CA!$B$2:$B$1041),--(NXT_COMPO!$Q113=IDX_CA!$C$2:$C$1041),ROW(IDX_CA!$E$2:$E$1041))),""))</f>
        <v>100</v>
      </c>
      <c r="I113" s="55">
        <f>IF($D113&lt;=$B$1-$B$2,IF(INDEX($AA$2:$AA$1048576,MATCH($D113,$AB$2:$AB$1048576,0))="MODIFY",INDEX(IDX_CA!$F$1:$F$1041,SUMPRODUCT(--($E113=IDX_CA!$A$2:$A$1041),--(NXT_COMPO!$P113=IDX_CA!$B$2:$B$1041),--(NXT_COMPO!$Q113=IDX_CA!$C$2:$C$1041),ROW(IDX_CA!$F$2:$F$1041))),INDEX(IDX_COMPO!$E$1:$E$1200,SUMPRODUCT(--($E113=IDX_COMPO!$A$2:$A$1200),--(NXT_COMPO!$P113=IDX_COMPO!$F$2:$F$1200),--(NXT_COMPO!$B$5=IDX_COMPO!$G$2:$G$1200),ROW(IDX_COMPO!$E$2:$E$1200)))),IF($D113&lt;=$B$4,INDEX(IDX_CA!$F$1:$F$1041,SUMPRODUCT(--($E113=IDX_CA!$A$2:$A$1041),--(NXT_COMPO!$P113=IDX_CA!$B$2:$B$1041),--(NXT_COMPO!$Q113=IDX_CA!$C$2:$C$1041),ROW(IDX_CA!$F$2:$F$1041))),""))</f>
        <v>100</v>
      </c>
      <c r="J113" s="62">
        <f>IF($D113&lt;=$B$1-$B$2,IF(INDEX($AA$2:$AA$1048576,MATCH($D113,$AB$2:$AB$1048576,0))="MODIFY",INDEX(IDX_CA!$G$1:$G$1041,SUMPRODUCT(--($E113=IDX_CA!$A$2:$A$1041),--(NXT_COMPO!$P113=IDX_CA!$B$2:$B$1041),--(NXT_COMPO!$Q113=IDX_CA!$C$2:$C$1041),ROW(IDX_CA!$G$2:$G$1041))),INDEX(IDX_COMPOSITION!$F$1:$F$441,SUMPRODUCT(--($E113=IDX_COMPOSITION!$A$2:$A$441),--(NXT_COMPO!$P113=IDX_COMPOSITION!$R$2:$R$441),--(NXT_COMPO!$B$5=IDX_COMPOSITION!$L$2:$L$441),ROW(IDX_COMPOSITION!$F$2:$F$441)))),IF($D113&lt;=$B$4,INDEX(IDX_CA!$G$1:$G$1041,SUMPRODUCT(--($E113=IDX_CA!$A$2:$A$1041),--(NXT_COMPO!$P113=IDX_CA!$B$2:$B$1041),--(NXT_COMPO!$Q113=IDX_CA!$C$2:$C$1041),ROW(IDX_CA!$G$2:$G$1041))),""))</f>
        <v>35000</v>
      </c>
      <c r="K113" s="63" t="str">
        <f>IF($D113&lt;&gt;"",VLOOKUP($E113,STK_REF!$A$2:$J$1048576,7,0),"")</f>
        <v>VND</v>
      </c>
      <c r="L113" s="5">
        <f>IF($D113&lt;&gt;"",VLOOKUP($E113,STK_REF!$A$2:$J$1048576,8,0),"")</f>
        <v>1</v>
      </c>
      <c r="M113" s="8">
        <f>IF($D113&lt;&gt;"",IF($K113=$U113,1,IF(ISNA(VLOOKUP($K113&amp;$U113,CUR_RATES!$A$2:$F$521,4,0)),"",VLOOKUP($K113&amp;$U113,CUR_RATES!$A$2:$F$521,4,0))),"")</f>
        <v>1</v>
      </c>
      <c r="N113" s="61">
        <f t="shared" si="18"/>
        <v>35000</v>
      </c>
      <c r="O113" s="68">
        <f t="shared" si="19"/>
        <v>7340907525000</v>
      </c>
      <c r="P113" s="5" t="str">
        <f t="shared" si="23"/>
        <v>VNXINPRVND</v>
      </c>
      <c r="Q113" s="75">
        <f t="shared" si="20"/>
        <v>41166</v>
      </c>
      <c r="R113" s="68" t="str">
        <f t="shared" si="21"/>
        <v/>
      </c>
      <c r="S113" s="61" t="str">
        <f t="shared" si="22"/>
        <v/>
      </c>
      <c r="T113" s="62" t="str">
        <f>IF(D113&lt;&gt;"",IF(SUMPRODUCT(--($E113=STK_DIV!$A$2:$A$5),--(NXT_COMPO!$Q113=STK_DIV!$E$2:$E$5),ROW(STK_DIV!$D$2:$D$5))=0,"",INDEX(STK_DIV!$D$1:$D$5,SUMPRODUCT(--($E113=STK_DIV!$A$2:$A$5),--(NXT_COMPO!$Q113=STK_DIV!$E$2:$E$5),ROW(STK_DIV!$D$2:$D$5)))),"")</f>
        <v/>
      </c>
      <c r="U113" s="54" t="str">
        <f>IF($D113&lt;&gt;"",VLOOKUP($P113,IDX_REF!$2:$1048576,4,0),"")</f>
        <v>VND</v>
      </c>
      <c r="W113" s="52">
        <f t="shared" si="24"/>
        <v>112</v>
      </c>
      <c r="X113" s="5" t="str">
        <f>IF(ROW(X113)-ROW($X$1)&lt;=$B$1,INDEX(IDX_COMPO!A:A,ROW(IDX_COMPO!A113)),"")</f>
        <v>PVD</v>
      </c>
      <c r="Y113" s="75">
        <f t="shared" si="25"/>
        <v>41166</v>
      </c>
      <c r="Z113" s="54" t="str">
        <f>IF(ROW(Z113)-ROW($Y$1)&lt;=$B$1,INDEX(IDX_COMPO!F:F,ROW(IDX_COMPO!R113)),"")</f>
        <v>VNXINPRVND</v>
      </c>
      <c r="AA113" s="2" t="str">
        <f t="array" ref="AA113">IF(X113&lt;&gt;"",IF(SUMPRODUCT(--(X113=IDX_CA!$A$2:$A$1041),--(NXT_COMPO!Y113=IDX_CA!$C$2:$C$1041),--(Z113=IDX_CA!$B$2:$B$1041))&gt;0,IF(INDEX(IDX_CA!$I:$I,SUMPRODUCT(--(X113=IDX_CA!$A$2:$A$1041),--(NXT_COMPO!Y113=IDX_CA!$C$2:$C$1041),--(Z113=IDX_CA!$B$2:$B$1041),ROW(IDX_CA!$I$2:$I$1041)))=1,"YES","MODIFY"),""),"")</f>
        <v/>
      </c>
      <c r="AB113" s="5">
        <f>IF(X113&lt;&gt;"",IF(AA113="YES","",COUNTIF($AA$2:AA113,"&lt;&gt;YES")),"")</f>
        <v>112</v>
      </c>
      <c r="AC113" s="2"/>
    </row>
    <row r="114" spans="4:29" x14ac:dyDescent="0.2">
      <c r="D114" s="52">
        <f t="shared" si="13"/>
        <v>113</v>
      </c>
      <c r="E114" s="5" t="str">
        <f t="shared" si="17"/>
        <v>PCG</v>
      </c>
      <c r="F114" s="5" t="str">
        <f>IF($D114&lt;&gt;"",VLOOKUP($E114,STK_REF!$A$2:$J$1048576,2,0),"")</f>
        <v>PetroVietnam Gas City Investment and Development JSC</v>
      </c>
      <c r="G114" s="68">
        <f>IF($D114&lt;=$B$1-$B$2,IF(INDEX($AA$2:$AA$1048576,MATCH($D114,$AB$2:$AB$1048576,0))="MODIFY",INDEX(IDX_CA!$D$1:$D$1041,SUMPRODUCT(--($E114=IDX_CA!$A$2:$A$1041),--(NXT_COMPO!$P114=IDX_CA!$B$2:$B$1041),--(NXT_COMPO!$Q114=IDX_CA!$C$2:$C$1041),ROW(IDX_CA!$D$2:$D$1041))),INDEX(IDX_COMPO!$C$1:$C$12000,SUMPRODUCT(--($E114=IDX_COMPO!$A$2:$A$1200),--(NXT_COMPO!$P114=IDX_COMPO!$F$2:$F$1200),--(NXT_COMPO!$B$5=IDX_COMPO!$G$2:$G$1200),ROW(IDX_COMPO!$C$2:$C$1200)))),IF($D114&lt;=$B$4,INDEX(IDX_CA!$D$1:$D$1041,SUMPRODUCT(--($E114=IDX_CA!$A$2:$A$1041),--(NXT_COMPO!$P114=IDX_CA!$B$2:$B$1041),--(NXT_COMPO!$Q114=IDX_CA!$C$2:$C$1041),ROW(IDX_CA!$D$2:$D$1041))),""))</f>
        <v>18870000</v>
      </c>
      <c r="H114" s="55">
        <f>IF($D114&lt;=$B$1-$B$2,IF(INDEX($AA$2:$AA$1048576,MATCH($D114,$AB$2:$AB$1048576,0))="MODIFY",INDEX(IDX_CA!$E$1:$E$1041,SUMPRODUCT(--($E114=IDX_CA!$A$2:$A$1041),--(NXT_COMPO!$P114=IDX_CA!$B$2:$B$1041),--(NXT_COMPO!$Q114=IDX_CA!$C$2:$C$1041),ROW(IDX_CA!$E$2:$E$1041))),INDEX(IDX_COMPO!$D$1:$D$1200,SUMPRODUCT(--($E114=IDX_COMPO!$A$2:$A$1200),--(NXT_COMPO!$P114=IDX_COMPO!$F$2:$F$1200),--(NXT_COMPO!$B$5=IDX_COMPO!$G$2:$G$1200),ROW(IDX_COMPO!$D$2:$D$1200)))),IF($D114&lt;=$B$4,INDEX(IDX_CA!$E$1:$E$1041,SUMPRODUCT(--($E114=IDX_CA!$A$2:$A$1041),--(NXT_COMPO!$P114=IDX_CA!$B$2:$B$1041),--(NXT_COMPO!$Q114=IDX_CA!$C$2:$C$1041),ROW(IDX_CA!$E$2:$E$1041))),""))</f>
        <v>100</v>
      </c>
      <c r="I114" s="55">
        <f>IF($D114&lt;=$B$1-$B$2,IF(INDEX($AA$2:$AA$1048576,MATCH($D114,$AB$2:$AB$1048576,0))="MODIFY",INDEX(IDX_CA!$F$1:$F$1041,SUMPRODUCT(--($E114=IDX_CA!$A$2:$A$1041),--(NXT_COMPO!$P114=IDX_CA!$B$2:$B$1041),--(NXT_COMPO!$Q114=IDX_CA!$C$2:$C$1041),ROW(IDX_CA!$F$2:$F$1041))),INDEX(IDX_COMPO!$E$1:$E$1200,SUMPRODUCT(--($E114=IDX_COMPO!$A$2:$A$1200),--(NXT_COMPO!$P114=IDX_COMPO!$F$2:$F$1200),--(NXT_COMPO!$B$5=IDX_COMPO!$G$2:$G$1200),ROW(IDX_COMPO!$E$2:$E$1200)))),IF($D114&lt;=$B$4,INDEX(IDX_CA!$F$1:$F$1041,SUMPRODUCT(--($E114=IDX_CA!$A$2:$A$1041),--(NXT_COMPO!$P114=IDX_CA!$B$2:$B$1041),--(NXT_COMPO!$Q114=IDX_CA!$C$2:$C$1041),ROW(IDX_CA!$F$2:$F$1041))),""))</f>
        <v>100</v>
      </c>
      <c r="J114" s="62">
        <f>IF($D114&lt;=$B$1-$B$2,IF(INDEX($AA$2:$AA$1048576,MATCH($D114,$AB$2:$AB$1048576,0))="MODIFY",INDEX(IDX_CA!$G$1:$G$1041,SUMPRODUCT(--($E114=IDX_CA!$A$2:$A$1041),--(NXT_COMPO!$P114=IDX_CA!$B$2:$B$1041),--(NXT_COMPO!$Q114=IDX_CA!$C$2:$C$1041),ROW(IDX_CA!$G$2:$G$1041))),INDEX(IDX_COMPOSITION!$F$1:$F$441,SUMPRODUCT(--($E114=IDX_COMPOSITION!$A$2:$A$441),--(NXT_COMPO!$P114=IDX_COMPOSITION!$R$2:$R$441),--(NXT_COMPO!$B$5=IDX_COMPOSITION!$L$2:$L$441),ROW(IDX_COMPOSITION!$F$2:$F$441)))),IF($D114&lt;=$B$4,INDEX(IDX_CA!$G$1:$G$1041,SUMPRODUCT(--($E114=IDX_CA!$A$2:$A$1041),--(NXT_COMPO!$P114=IDX_CA!$B$2:$B$1041),--(NXT_COMPO!$Q114=IDX_CA!$C$2:$C$1041),ROW(IDX_CA!$G$2:$G$1041))),""))</f>
        <v>6100</v>
      </c>
      <c r="K114" s="63" t="str">
        <f>IF($D114&lt;&gt;"",VLOOKUP($E114,STK_REF!$A$2:$J$1048576,7,0),"")</f>
        <v>VND</v>
      </c>
      <c r="L114" s="5">
        <f>IF($D114&lt;&gt;"",VLOOKUP($E114,STK_REF!$A$2:$J$1048576,8,0),"")</f>
        <v>1</v>
      </c>
      <c r="M114" s="8">
        <f>IF($D114&lt;&gt;"",IF($K114=$U114,1,IF(ISNA(VLOOKUP($K114&amp;$U114,CUR_RATES!$A$2:$F$521,4,0)),"",VLOOKUP($K114&amp;$U114,CUR_RATES!$A$2:$F$521,4,0))),"")</f>
        <v>1</v>
      </c>
      <c r="N114" s="61">
        <f t="shared" si="18"/>
        <v>6100</v>
      </c>
      <c r="O114" s="68">
        <f t="shared" si="19"/>
        <v>115107000000</v>
      </c>
      <c r="P114" s="5" t="str">
        <f t="shared" si="23"/>
        <v>VNXINPRVND</v>
      </c>
      <c r="Q114" s="75">
        <f t="shared" si="20"/>
        <v>41166</v>
      </c>
      <c r="R114" s="68" t="str">
        <f t="shared" si="21"/>
        <v/>
      </c>
      <c r="S114" s="61" t="str">
        <f t="shared" si="22"/>
        <v/>
      </c>
      <c r="T114" s="62" t="str">
        <f>IF(D114&lt;&gt;"",IF(SUMPRODUCT(--($E114=STK_DIV!$A$2:$A$5),--(NXT_COMPO!$Q114=STK_DIV!$E$2:$E$5),ROW(STK_DIV!$D$2:$D$5))=0,"",INDEX(STK_DIV!$D$1:$D$5,SUMPRODUCT(--($E114=STK_DIV!$A$2:$A$5),--(NXT_COMPO!$Q114=STK_DIV!$E$2:$E$5),ROW(STK_DIV!$D$2:$D$5)))),"")</f>
        <v/>
      </c>
      <c r="U114" s="54" t="str">
        <f>IF($D114&lt;&gt;"",VLOOKUP($P114,IDX_REF!$2:$1048576,4,0),"")</f>
        <v>VND</v>
      </c>
      <c r="W114" s="52">
        <f t="shared" si="24"/>
        <v>113</v>
      </c>
      <c r="X114" s="5" t="str">
        <f>IF(ROW(X114)-ROW($X$1)&lt;=$B$1,INDEX(IDX_COMPO!A:A,ROW(IDX_COMPO!A114)),"")</f>
        <v>PCG</v>
      </c>
      <c r="Y114" s="75">
        <f t="shared" si="25"/>
        <v>41166</v>
      </c>
      <c r="Z114" s="54" t="str">
        <f>IF(ROW(Z114)-ROW($Y$1)&lt;=$B$1,INDEX(IDX_COMPO!F:F,ROW(IDX_COMPO!R114)),"")</f>
        <v>VNXINPRVND</v>
      </c>
      <c r="AA114" s="2" t="str">
        <f t="array" ref="AA114">IF(X114&lt;&gt;"",IF(SUMPRODUCT(--(X114=IDX_CA!$A$2:$A$1041),--(NXT_COMPO!Y114=IDX_CA!$C$2:$C$1041),--(Z114=IDX_CA!$B$2:$B$1041))&gt;0,IF(INDEX(IDX_CA!$I:$I,SUMPRODUCT(--(X114=IDX_CA!$A$2:$A$1041),--(NXT_COMPO!Y114=IDX_CA!$C$2:$C$1041),--(Z114=IDX_CA!$B$2:$B$1041),ROW(IDX_CA!$I$2:$I$1041)))=1,"YES","MODIFY"),""),"")</f>
        <v/>
      </c>
      <c r="AB114" s="5">
        <f>IF(X114&lt;&gt;"",IF(AA114="YES","",COUNTIF($AA$2:AA114,"&lt;&gt;YES")),"")</f>
        <v>113</v>
      </c>
      <c r="AC114" s="2"/>
    </row>
    <row r="115" spans="4:29" x14ac:dyDescent="0.2">
      <c r="D115" s="52">
        <f t="shared" si="13"/>
        <v>114</v>
      </c>
      <c r="E115" s="5" t="str">
        <f t="shared" si="17"/>
        <v>PSG</v>
      </c>
      <c r="F115" s="5" t="str">
        <f>IF($D115&lt;&gt;"",VLOOKUP($E115,STK_REF!$A$2:$J$1048576,2,0),"")</f>
        <v>Saigon Petroleum Constrution And Investment JSC</v>
      </c>
      <c r="G115" s="68">
        <f>IF($D115&lt;=$B$1-$B$2,IF(INDEX($AA$2:$AA$1048576,MATCH($D115,$AB$2:$AB$1048576,0))="MODIFY",INDEX(IDX_CA!$D$1:$D$1041,SUMPRODUCT(--($E115=IDX_CA!$A$2:$A$1041),--(NXT_COMPO!$P115=IDX_CA!$B$2:$B$1041),--(NXT_COMPO!$Q115=IDX_CA!$C$2:$C$1041),ROW(IDX_CA!$D$2:$D$1041))),INDEX(IDX_COMPO!$C$1:$C$12000,SUMPRODUCT(--($E115=IDX_COMPO!$A$2:$A$1200),--(NXT_COMPO!$P115=IDX_COMPO!$F$2:$F$1200),--(NXT_COMPO!$B$5=IDX_COMPO!$G$2:$G$1200),ROW(IDX_COMPO!$C$2:$C$1200)))),IF($D115&lt;=$B$4,INDEX(IDX_CA!$D$1:$D$1041,SUMPRODUCT(--($E115=IDX_CA!$A$2:$A$1041),--(NXT_COMPO!$P115=IDX_CA!$B$2:$B$1041),--(NXT_COMPO!$Q115=IDX_CA!$C$2:$C$1041),ROW(IDX_CA!$D$2:$D$1041))),""))</f>
        <v>35000000</v>
      </c>
      <c r="H115" s="55">
        <f>IF($D115&lt;=$B$1-$B$2,IF(INDEX($AA$2:$AA$1048576,MATCH($D115,$AB$2:$AB$1048576,0))="MODIFY",INDEX(IDX_CA!$E$1:$E$1041,SUMPRODUCT(--($E115=IDX_CA!$A$2:$A$1041),--(NXT_COMPO!$P115=IDX_CA!$B$2:$B$1041),--(NXT_COMPO!$Q115=IDX_CA!$C$2:$C$1041),ROW(IDX_CA!$E$2:$E$1041))),INDEX(IDX_COMPO!$D$1:$D$1200,SUMPRODUCT(--($E115=IDX_COMPO!$A$2:$A$1200),--(NXT_COMPO!$P115=IDX_COMPO!$F$2:$F$1200),--(NXT_COMPO!$B$5=IDX_COMPO!$G$2:$G$1200),ROW(IDX_COMPO!$D$2:$D$1200)))),IF($D115&lt;=$B$4,INDEX(IDX_CA!$E$1:$E$1041,SUMPRODUCT(--($E115=IDX_CA!$A$2:$A$1041),--(NXT_COMPO!$P115=IDX_CA!$B$2:$B$1041),--(NXT_COMPO!$Q115=IDX_CA!$C$2:$C$1041),ROW(IDX_CA!$E$2:$E$1041))),""))</f>
        <v>100</v>
      </c>
      <c r="I115" s="55">
        <f>IF($D115&lt;=$B$1-$B$2,IF(INDEX($AA$2:$AA$1048576,MATCH($D115,$AB$2:$AB$1048576,0))="MODIFY",INDEX(IDX_CA!$F$1:$F$1041,SUMPRODUCT(--($E115=IDX_CA!$A$2:$A$1041),--(NXT_COMPO!$P115=IDX_CA!$B$2:$B$1041),--(NXT_COMPO!$Q115=IDX_CA!$C$2:$C$1041),ROW(IDX_CA!$F$2:$F$1041))),INDEX(IDX_COMPO!$E$1:$E$1200,SUMPRODUCT(--($E115=IDX_COMPO!$A$2:$A$1200),--(NXT_COMPO!$P115=IDX_COMPO!$F$2:$F$1200),--(NXT_COMPO!$B$5=IDX_COMPO!$G$2:$G$1200),ROW(IDX_COMPO!$E$2:$E$1200)))),IF($D115&lt;=$B$4,INDEX(IDX_CA!$F$1:$F$1041,SUMPRODUCT(--($E115=IDX_CA!$A$2:$A$1041),--(NXT_COMPO!$P115=IDX_CA!$B$2:$B$1041),--(NXT_COMPO!$Q115=IDX_CA!$C$2:$C$1041),ROW(IDX_CA!$F$2:$F$1041))),""))</f>
        <v>100</v>
      </c>
      <c r="J115" s="62">
        <f>IF($D115&lt;=$B$1-$B$2,IF(INDEX($AA$2:$AA$1048576,MATCH($D115,$AB$2:$AB$1048576,0))="MODIFY",INDEX(IDX_CA!$G$1:$G$1041,SUMPRODUCT(--($E115=IDX_CA!$A$2:$A$1041),--(NXT_COMPO!$P115=IDX_CA!$B$2:$B$1041),--(NXT_COMPO!$Q115=IDX_CA!$C$2:$C$1041),ROW(IDX_CA!$G$2:$G$1041))),INDEX(IDX_COMPOSITION!$F$1:$F$441,SUMPRODUCT(--($E115=IDX_COMPOSITION!$A$2:$A$441),--(NXT_COMPO!$P115=IDX_COMPOSITION!$R$2:$R$441),--(NXT_COMPO!$B$5=IDX_COMPOSITION!$L$2:$L$441),ROW(IDX_COMPOSITION!$F$2:$F$441)))),IF($D115&lt;=$B$4,INDEX(IDX_CA!$G$1:$G$1041,SUMPRODUCT(--($E115=IDX_CA!$A$2:$A$1041),--(NXT_COMPO!$P115=IDX_CA!$B$2:$B$1041),--(NXT_COMPO!$Q115=IDX_CA!$C$2:$C$1041),ROW(IDX_CA!$G$2:$G$1041))),""))</f>
        <v>1300</v>
      </c>
      <c r="K115" s="63" t="str">
        <f>IF($D115&lt;&gt;"",VLOOKUP($E115,STK_REF!$A$2:$J$1048576,7,0),"")</f>
        <v>VND</v>
      </c>
      <c r="L115" s="5">
        <f>IF($D115&lt;&gt;"",VLOOKUP($E115,STK_REF!$A$2:$J$1048576,8,0),"")</f>
        <v>1</v>
      </c>
      <c r="M115" s="8">
        <f>IF($D115&lt;&gt;"",IF($K115=$U115,1,IF(ISNA(VLOOKUP($K115&amp;$U115,CUR_RATES!$A$2:$F$521,4,0)),"",VLOOKUP($K115&amp;$U115,CUR_RATES!$A$2:$F$521,4,0))),"")</f>
        <v>1</v>
      </c>
      <c r="N115" s="61">
        <f t="shared" si="18"/>
        <v>1300</v>
      </c>
      <c r="O115" s="68">
        <f t="shared" si="19"/>
        <v>45500000000</v>
      </c>
      <c r="P115" s="5" t="str">
        <f t="shared" si="23"/>
        <v>VNXINPRVND</v>
      </c>
      <c r="Q115" s="75">
        <f t="shared" si="20"/>
        <v>41166</v>
      </c>
      <c r="R115" s="68" t="str">
        <f t="shared" si="21"/>
        <v/>
      </c>
      <c r="S115" s="61" t="str">
        <f t="shared" si="22"/>
        <v/>
      </c>
      <c r="T115" s="62" t="str">
        <f>IF(D115&lt;&gt;"",IF(SUMPRODUCT(--($E115=STK_DIV!$A$2:$A$5),--(NXT_COMPO!$Q115=STK_DIV!$E$2:$E$5),ROW(STK_DIV!$D$2:$D$5))=0,"",INDEX(STK_DIV!$D$1:$D$5,SUMPRODUCT(--($E115=STK_DIV!$A$2:$A$5),--(NXT_COMPO!$Q115=STK_DIV!$E$2:$E$5),ROW(STK_DIV!$D$2:$D$5)))),"")</f>
        <v/>
      </c>
      <c r="U115" s="54" t="str">
        <f>IF($D115&lt;&gt;"",VLOOKUP($P115,IDX_REF!$2:$1048576,4,0),"")</f>
        <v>VND</v>
      </c>
      <c r="W115" s="52">
        <f t="shared" si="24"/>
        <v>114</v>
      </c>
      <c r="X115" s="5" t="str">
        <f>IF(ROW(X115)-ROW($X$1)&lt;=$B$1,INDEX(IDX_COMPO!A:A,ROW(IDX_COMPO!A115)),"")</f>
        <v>PSG</v>
      </c>
      <c r="Y115" s="75">
        <f t="shared" si="25"/>
        <v>41166</v>
      </c>
      <c r="Z115" s="54" t="str">
        <f>IF(ROW(Z115)-ROW($Y$1)&lt;=$B$1,INDEX(IDX_COMPO!F:F,ROW(IDX_COMPO!R115)),"")</f>
        <v>VNXINPRVND</v>
      </c>
      <c r="AA115" s="2" t="str">
        <f t="array" ref="AA115">IF(X115&lt;&gt;"",IF(SUMPRODUCT(--(X115=IDX_CA!$A$2:$A$1041),--(NXT_COMPO!Y115=IDX_CA!$C$2:$C$1041),--(Z115=IDX_CA!$B$2:$B$1041))&gt;0,IF(INDEX(IDX_CA!$I:$I,SUMPRODUCT(--(X115=IDX_CA!$A$2:$A$1041),--(NXT_COMPO!Y115=IDX_CA!$C$2:$C$1041),--(Z115=IDX_CA!$B$2:$B$1041),ROW(IDX_CA!$I$2:$I$1041)))=1,"YES","MODIFY"),""),"")</f>
        <v/>
      </c>
      <c r="AB115" s="5">
        <f>IF(X115&lt;&gt;"",IF(AA115="YES","",COUNTIF($AA$2:AA115,"&lt;&gt;YES")),"")</f>
        <v>114</v>
      </c>
      <c r="AC115" s="2"/>
    </row>
    <row r="116" spans="4:29" x14ac:dyDescent="0.2">
      <c r="D116" s="52">
        <f t="shared" si="13"/>
        <v>115</v>
      </c>
      <c r="E116" s="5" t="str">
        <f t="shared" si="17"/>
        <v>PVD</v>
      </c>
      <c r="F116" s="5" t="str">
        <f>IF($D116&lt;&gt;"",VLOOKUP($E116,STK_REF!$A$2:$J$1048576,2,0),"")</f>
        <v xml:space="preserve">VNX Drilling &amp; Well Services Joint Stock </v>
      </c>
      <c r="G116" s="68">
        <f>IF($D116&lt;=$B$1-$B$2,IF(INDEX($AA$2:$AA$1048576,MATCH($D116,$AB$2:$AB$1048576,0))="MODIFY",INDEX(IDX_CA!$D$1:$D$1041,SUMPRODUCT(--($E116=IDX_CA!$A$2:$A$1041),--(NXT_COMPO!$P116=IDX_CA!$B$2:$B$1041),--(NXT_COMPO!$Q116=IDX_CA!$C$2:$C$1041),ROW(IDX_CA!$D$2:$D$1041))),INDEX(IDX_COMPO!$C$1:$C$12000,SUMPRODUCT(--($E116=IDX_COMPO!$A$2:$A$1200),--(NXT_COMPO!$P116=IDX_COMPO!$F$2:$F$1200),--(NXT_COMPO!$B$5=IDX_COMPO!$G$2:$G$1200),ROW(IDX_COMPO!$C$2:$C$1200)))),IF($D116&lt;=$B$4,INDEX(IDX_CA!$D$1:$D$1041,SUMPRODUCT(--($E116=IDX_CA!$A$2:$A$1041),--(NXT_COMPO!$P116=IDX_CA!$B$2:$B$1041),--(NXT_COMPO!$Q116=IDX_CA!$C$2:$C$1041),ROW(IDX_CA!$D$2:$D$1041))),""))</f>
        <v>297802094</v>
      </c>
      <c r="H116" s="55">
        <f>IF($D116&lt;=$B$1-$B$2,IF(INDEX($AA$2:$AA$1048576,MATCH($D116,$AB$2:$AB$1048576,0))="MODIFY",INDEX(IDX_CA!$E$1:$E$1041,SUMPRODUCT(--($E116=IDX_CA!$A$2:$A$1041),--(NXT_COMPO!$P116=IDX_CA!$B$2:$B$1041),--(NXT_COMPO!$Q116=IDX_CA!$C$2:$C$1041),ROW(IDX_CA!$E$2:$E$1041))),INDEX(IDX_COMPO!$D$1:$D$1200,SUMPRODUCT(--($E116=IDX_COMPO!$A$2:$A$1200),--(NXT_COMPO!$P116=IDX_COMPO!$F$2:$F$1200),--(NXT_COMPO!$B$5=IDX_COMPO!$G$2:$G$1200),ROW(IDX_COMPO!$D$2:$D$1200)))),IF($D116&lt;=$B$4,INDEX(IDX_CA!$E$1:$E$1041,SUMPRODUCT(--($E116=IDX_CA!$A$2:$A$1041),--(NXT_COMPO!$P116=IDX_CA!$B$2:$B$1041),--(NXT_COMPO!$Q116=IDX_CA!$C$2:$C$1041),ROW(IDX_CA!$E$2:$E$1041))),""))</f>
        <v>100</v>
      </c>
      <c r="I116" s="55">
        <f>IF($D116&lt;=$B$1-$B$2,IF(INDEX($AA$2:$AA$1048576,MATCH($D116,$AB$2:$AB$1048576,0))="MODIFY",INDEX(IDX_CA!$F$1:$F$1041,SUMPRODUCT(--($E116=IDX_CA!$A$2:$A$1041),--(NXT_COMPO!$P116=IDX_CA!$B$2:$B$1041),--(NXT_COMPO!$Q116=IDX_CA!$C$2:$C$1041),ROW(IDX_CA!$F$2:$F$1041))),INDEX(IDX_COMPO!$E$1:$E$1200,SUMPRODUCT(--($E116=IDX_COMPO!$A$2:$A$1200),--(NXT_COMPO!$P116=IDX_COMPO!$F$2:$F$1200),--(NXT_COMPO!$B$5=IDX_COMPO!$G$2:$G$1200),ROW(IDX_COMPO!$E$2:$E$1200)))),IF($D116&lt;=$B$4,INDEX(IDX_CA!$F$1:$F$1041,SUMPRODUCT(--($E116=IDX_CA!$A$2:$A$1041),--(NXT_COMPO!$P116=IDX_CA!$B$2:$B$1041),--(NXT_COMPO!$Q116=IDX_CA!$C$2:$C$1041),ROW(IDX_CA!$F$2:$F$1041))),""))</f>
        <v>100</v>
      </c>
      <c r="J116" s="62">
        <f>IF($D116&lt;=$B$1-$B$2,IF(INDEX($AA$2:$AA$1048576,MATCH($D116,$AB$2:$AB$1048576,0))="MODIFY",INDEX(IDX_CA!$G$1:$G$1041,SUMPRODUCT(--($E116=IDX_CA!$A$2:$A$1041),--(NXT_COMPO!$P116=IDX_CA!$B$2:$B$1041),--(NXT_COMPO!$Q116=IDX_CA!$C$2:$C$1041),ROW(IDX_CA!$G$2:$G$1041))),INDEX(IDX_COMPOSITION!$F$1:$F$441,SUMPRODUCT(--($E116=IDX_COMPOSITION!$A$2:$A$441),--(NXT_COMPO!$P116=IDX_COMPOSITION!$R$2:$R$441),--(NXT_COMPO!$B$5=IDX_COMPOSITION!$L$2:$L$441),ROW(IDX_COMPOSITION!$F$2:$F$441)))),IF($D116&lt;=$B$4,INDEX(IDX_CA!$G$1:$G$1041,SUMPRODUCT(--($E116=IDX_CA!$A$2:$A$1041),--(NXT_COMPO!$P116=IDX_CA!$B$2:$B$1041),--(NXT_COMPO!$Q116=IDX_CA!$C$2:$C$1041),ROW(IDX_CA!$G$2:$G$1041))),""))</f>
        <v>35000</v>
      </c>
      <c r="K116" s="63" t="str">
        <f>IF($D116&lt;&gt;"",VLOOKUP($E116,STK_REF!$A$2:$J$1048576,7,0),"")</f>
        <v>VND</v>
      </c>
      <c r="L116" s="5">
        <f>IF($D116&lt;&gt;"",VLOOKUP($E116,STK_REF!$A$2:$J$1048576,8,0),"")</f>
        <v>1</v>
      </c>
      <c r="M116" s="8">
        <f>IF($D116&lt;&gt;"",IF($K116=$U116,1,IF(ISNA(VLOOKUP($K116&amp;$U116,CUR_RATES!$A$2:$F$521,4,0)),"",VLOOKUP($K116&amp;$U116,CUR_RATES!$A$2:$F$521,4,0))),"")</f>
        <v>1</v>
      </c>
      <c r="N116" s="61">
        <f t="shared" si="18"/>
        <v>35000</v>
      </c>
      <c r="O116" s="68">
        <f t="shared" si="19"/>
        <v>10423073290000</v>
      </c>
      <c r="P116" s="5" t="str">
        <f t="shared" si="23"/>
        <v>VNXOGPRVND</v>
      </c>
      <c r="Q116" s="75">
        <f t="shared" si="20"/>
        <v>41166</v>
      </c>
      <c r="R116" s="68" t="str">
        <f t="shared" si="21"/>
        <v/>
      </c>
      <c r="S116" s="61" t="str">
        <f t="shared" si="22"/>
        <v/>
      </c>
      <c r="T116" s="62" t="str">
        <f>IF(D116&lt;&gt;"",IF(SUMPRODUCT(--($E116=STK_DIV!$A$2:$A$5),--(NXT_COMPO!$Q116=STK_DIV!$E$2:$E$5),ROW(STK_DIV!$D$2:$D$5))=0,"",INDEX(STK_DIV!$D$1:$D$5,SUMPRODUCT(--($E116=STK_DIV!$A$2:$A$5),--(NXT_COMPO!$Q116=STK_DIV!$E$2:$E$5),ROW(STK_DIV!$D$2:$D$5)))),"")</f>
        <v/>
      </c>
      <c r="U116" s="54" t="str">
        <f>IF($D116&lt;&gt;"",VLOOKUP($P116,IDX_REF!$2:$1048576,4,0),"")</f>
        <v>VND</v>
      </c>
      <c r="W116" s="52">
        <f t="shared" si="24"/>
        <v>115</v>
      </c>
      <c r="X116" s="5" t="str">
        <f>IF(ROW(X116)-ROW($X$1)&lt;=$B$1,INDEX(IDX_COMPO!A:A,ROW(IDX_COMPO!A116)),"")</f>
        <v>PVD</v>
      </c>
      <c r="Y116" s="75">
        <f t="shared" si="25"/>
        <v>41166</v>
      </c>
      <c r="Z116" s="54" t="str">
        <f>IF(ROW(Z116)-ROW($Y$1)&lt;=$B$1,INDEX(IDX_COMPO!F:F,ROW(IDX_COMPO!R116)),"")</f>
        <v>VNXOGPRVND</v>
      </c>
      <c r="AA116" s="2" t="str">
        <f t="array" ref="AA116">IF(X116&lt;&gt;"",IF(SUMPRODUCT(--(X116=IDX_CA!$A$2:$A$1041),--(NXT_COMPO!Y116=IDX_CA!$C$2:$C$1041),--(Z116=IDX_CA!$B$2:$B$1041))&gt;0,IF(INDEX(IDX_CA!$I:$I,SUMPRODUCT(--(X116=IDX_CA!$A$2:$A$1041),--(NXT_COMPO!Y116=IDX_CA!$C$2:$C$1041),--(Z116=IDX_CA!$B$2:$B$1041),ROW(IDX_CA!$I$2:$I$1041)))=1,"YES","MODIFY"),""),"")</f>
        <v/>
      </c>
      <c r="AB116" s="5">
        <f>IF(X116&lt;&gt;"",IF(AA116="YES","",COUNTIF($AA$2:AA116,"&lt;&gt;YES")),"")</f>
        <v>115</v>
      </c>
      <c r="AC116" s="2"/>
    </row>
    <row r="117" spans="4:29" x14ac:dyDescent="0.2">
      <c r="D117" s="52">
        <f t="shared" si="13"/>
        <v>116</v>
      </c>
      <c r="E117" s="5" t="str">
        <f t="shared" si="17"/>
        <v>PVS</v>
      </c>
      <c r="F117" s="5" t="str">
        <f>IF($D117&lt;&gt;"",VLOOKUP($E117,STK_REF!$A$2:$J$1048576,2,0),"")</f>
        <v>VNX Technical Services Corp</v>
      </c>
      <c r="G117" s="68">
        <f>IF($D117&lt;=$B$1-$B$2,IF(INDEX($AA$2:$AA$1048576,MATCH($D117,$AB$2:$AB$1048576,0))="MODIFY",INDEX(IDX_CA!$D$1:$D$1041,SUMPRODUCT(--($E117=IDX_CA!$A$2:$A$1041),--(NXT_COMPO!$P117=IDX_CA!$B$2:$B$1041),--(NXT_COMPO!$Q117=IDX_CA!$C$2:$C$1041),ROW(IDX_CA!$D$2:$D$1041))),INDEX(IDX_COMPO!$C$1:$C$12000,SUMPRODUCT(--($E117=IDX_COMPO!$A$2:$A$1200),--(NXT_COMPO!$P117=IDX_COMPO!$F$2:$F$1200),--(NXT_COMPO!$B$5=IDX_COMPO!$G$2:$G$1200),ROW(IDX_COMPO!$C$2:$C$1200)))),IF($D117&lt;=$B$4,INDEX(IDX_CA!$D$1:$D$1041,SUMPRODUCT(--($E117=IDX_CA!$A$2:$A$1041),--(NXT_COMPO!$P117=IDX_CA!$B$2:$B$1041),--(NXT_COMPO!$Q117=IDX_CA!$C$2:$C$1041),ROW(IDX_CA!$D$2:$D$1041))),""))</f>
        <v>10000000</v>
      </c>
      <c r="H117" s="55">
        <f>IF($D117&lt;=$B$1-$B$2,IF(INDEX($AA$2:$AA$1048576,MATCH($D117,$AB$2:$AB$1048576,0))="MODIFY",INDEX(IDX_CA!$E$1:$E$1041,SUMPRODUCT(--($E117=IDX_CA!$A$2:$A$1041),--(NXT_COMPO!$P117=IDX_CA!$B$2:$B$1041),--(NXT_COMPO!$Q117=IDX_CA!$C$2:$C$1041),ROW(IDX_CA!$E$2:$E$1041))),INDEX(IDX_COMPO!$D$1:$D$1200,SUMPRODUCT(--($E117=IDX_COMPO!$A$2:$A$1200),--(NXT_COMPO!$P117=IDX_COMPO!$F$2:$F$1200),--(NXT_COMPO!$B$5=IDX_COMPO!$G$2:$G$1200),ROW(IDX_COMPO!$D$2:$D$1200)))),IF($D117&lt;=$B$4,INDEX(IDX_CA!$E$1:$E$1041,SUMPRODUCT(--($E117=IDX_CA!$A$2:$A$1041),--(NXT_COMPO!$P117=IDX_CA!$B$2:$B$1041),--(NXT_COMPO!$Q117=IDX_CA!$C$2:$C$1041),ROW(IDX_CA!$E$2:$E$1041))),""))</f>
        <v>100</v>
      </c>
      <c r="I117" s="55">
        <f>IF($D117&lt;=$B$1-$B$2,IF(INDEX($AA$2:$AA$1048576,MATCH($D117,$AB$2:$AB$1048576,0))="MODIFY",INDEX(IDX_CA!$F$1:$F$1041,SUMPRODUCT(--($E117=IDX_CA!$A$2:$A$1041),--(NXT_COMPO!$P117=IDX_CA!$B$2:$B$1041),--(NXT_COMPO!$Q117=IDX_CA!$C$2:$C$1041),ROW(IDX_CA!$F$2:$F$1041))),INDEX(IDX_COMPO!$E$1:$E$1200,SUMPRODUCT(--($E117=IDX_COMPO!$A$2:$A$1200),--(NXT_COMPO!$P117=IDX_COMPO!$F$2:$F$1200),--(NXT_COMPO!$B$5=IDX_COMPO!$G$2:$G$1200),ROW(IDX_COMPO!$E$2:$E$1200)))),IF($D117&lt;=$B$4,INDEX(IDX_CA!$F$1:$F$1041,SUMPRODUCT(--($E117=IDX_CA!$A$2:$A$1041),--(NXT_COMPO!$P117=IDX_CA!$B$2:$B$1041),--(NXT_COMPO!$Q117=IDX_CA!$C$2:$C$1041),ROW(IDX_CA!$F$2:$F$1041))),""))</f>
        <v>100</v>
      </c>
      <c r="J117" s="62">
        <f>IF($D117&lt;=$B$1-$B$2,IF(INDEX($AA$2:$AA$1048576,MATCH($D117,$AB$2:$AB$1048576,0))="MODIFY",INDEX(IDX_CA!$G$1:$G$1041,SUMPRODUCT(--($E117=IDX_CA!$A$2:$A$1041),--(NXT_COMPO!$P117=IDX_CA!$B$2:$B$1041),--(NXT_COMPO!$Q117=IDX_CA!$C$2:$C$1041),ROW(IDX_CA!$G$2:$G$1041))),INDEX(IDX_COMPOSITION!$F$1:$F$441,SUMPRODUCT(--($E117=IDX_COMPOSITION!$A$2:$A$441),--(NXT_COMPO!$P117=IDX_COMPOSITION!$R$2:$R$441),--(NXT_COMPO!$B$5=IDX_COMPOSITION!$L$2:$L$441),ROW(IDX_COMPOSITION!$F$2:$F$441)))),IF($D117&lt;=$B$4,INDEX(IDX_CA!$G$1:$G$1041,SUMPRODUCT(--($E117=IDX_CA!$A$2:$A$1041),--(NXT_COMPO!$P117=IDX_CA!$B$2:$B$1041),--(NXT_COMPO!$Q117=IDX_CA!$C$2:$C$1041),ROW(IDX_CA!$G$2:$G$1041))),""))</f>
        <v>15200</v>
      </c>
      <c r="K117" s="63" t="str">
        <f>IF($D117&lt;&gt;"",VLOOKUP($E117,STK_REF!$A$2:$J$1048576,7,0),"")</f>
        <v>VND</v>
      </c>
      <c r="L117" s="5">
        <f>IF($D117&lt;&gt;"",VLOOKUP($E117,STK_REF!$A$2:$J$1048576,8,0),"")</f>
        <v>1</v>
      </c>
      <c r="M117" s="8">
        <f>IF($D117&lt;&gt;"",IF($K117=$U117,1,IF(ISNA(VLOOKUP($K117&amp;$U117,CUR_RATES!$A$2:$F$521,4,0)),"",VLOOKUP($K117&amp;$U117,CUR_RATES!$A$2:$F$521,4,0))),"")</f>
        <v>1</v>
      </c>
      <c r="N117" s="61">
        <f t="shared" si="18"/>
        <v>15200</v>
      </c>
      <c r="O117" s="68">
        <f t="shared" si="19"/>
        <v>152000000000</v>
      </c>
      <c r="P117" s="5" t="str">
        <f t="shared" si="23"/>
        <v>VNXOGPRVND</v>
      </c>
      <c r="Q117" s="75">
        <f t="shared" si="20"/>
        <v>41166</v>
      </c>
      <c r="R117" s="68" t="str">
        <f t="shared" si="21"/>
        <v/>
      </c>
      <c r="S117" s="61" t="str">
        <f t="shared" si="22"/>
        <v/>
      </c>
      <c r="T117" s="62" t="str">
        <f>IF(D117&lt;&gt;"",IF(SUMPRODUCT(--($E117=STK_DIV!$A$2:$A$5),--(NXT_COMPO!$Q117=STK_DIV!$E$2:$E$5),ROW(STK_DIV!$D$2:$D$5))=0,"",INDEX(STK_DIV!$D$1:$D$5,SUMPRODUCT(--($E117=STK_DIV!$A$2:$A$5),--(NXT_COMPO!$Q117=STK_DIV!$E$2:$E$5),ROW(STK_DIV!$D$2:$D$5)))),"")</f>
        <v/>
      </c>
      <c r="U117" s="54" t="str">
        <f>IF($D117&lt;&gt;"",VLOOKUP($P117,IDX_REF!$2:$1048576,4,0),"")</f>
        <v>VND</v>
      </c>
      <c r="W117" s="52">
        <f t="shared" si="24"/>
        <v>116</v>
      </c>
      <c r="X117" s="5" t="str">
        <f>IF(ROW(X117)-ROW($X$1)&lt;=$B$1,INDEX(IDX_COMPO!A:A,ROW(IDX_COMPO!A117)),"")</f>
        <v>PVS</v>
      </c>
      <c r="Y117" s="75">
        <f t="shared" si="25"/>
        <v>41166</v>
      </c>
      <c r="Z117" s="54" t="str">
        <f>IF(ROW(Z117)-ROW($Y$1)&lt;=$B$1,INDEX(IDX_COMPO!F:F,ROW(IDX_COMPO!R117)),"")</f>
        <v>VNXOGPRVND</v>
      </c>
      <c r="AA117" s="2" t="str">
        <f t="array" ref="AA117">IF(X117&lt;&gt;"",IF(SUMPRODUCT(--(X117=IDX_CA!$A$2:$A$1041),--(NXT_COMPO!Y117=IDX_CA!$C$2:$C$1041),--(Z117=IDX_CA!$B$2:$B$1041))&gt;0,IF(INDEX(IDX_CA!$I:$I,SUMPRODUCT(--(X117=IDX_CA!$A$2:$A$1041),--(NXT_COMPO!Y117=IDX_CA!$C$2:$C$1041),--(Z117=IDX_CA!$B$2:$B$1041),ROW(IDX_CA!$I$2:$I$1041)))=1,"YES","MODIFY"),""),"")</f>
        <v/>
      </c>
      <c r="AB117" s="5">
        <f>IF(X117&lt;&gt;"",IF(AA117="YES","",COUNTIF($AA$2:AA117,"&lt;&gt;YES")),"")</f>
        <v>116</v>
      </c>
      <c r="AC117" s="2"/>
    </row>
    <row r="118" spans="4:29" x14ac:dyDescent="0.2">
      <c r="D118" s="52">
        <f t="shared" si="13"/>
        <v>117</v>
      </c>
      <c r="E118" s="5" t="str">
        <f t="shared" si="17"/>
        <v>PGS</v>
      </c>
      <c r="F118" s="5" t="str">
        <f>IF($D118&lt;&gt;"",VLOOKUP($E118,STK_REF!$A$2:$J$1048576,2,0),"")</f>
        <v>VNX Southern Gas Joint Stock Co</v>
      </c>
      <c r="G118" s="68">
        <f>IF($D118&lt;=$B$1-$B$2,IF(INDEX($AA$2:$AA$1048576,MATCH($D118,$AB$2:$AB$1048576,0))="MODIFY",INDEX(IDX_CA!$D$1:$D$1041,SUMPRODUCT(--($E118=IDX_CA!$A$2:$A$1041),--(NXT_COMPO!$P118=IDX_CA!$B$2:$B$1041),--(NXT_COMPO!$Q118=IDX_CA!$C$2:$C$1041),ROW(IDX_CA!$D$2:$D$1041))),INDEX(IDX_COMPO!$C$1:$C$12000,SUMPRODUCT(--($E118=IDX_COMPO!$A$2:$A$1200),--(NXT_COMPO!$P118=IDX_COMPO!$F$2:$F$1200),--(NXT_COMPO!$B$5=IDX_COMPO!$G$2:$G$1200),ROW(IDX_COMPO!$C$2:$C$1200)))),IF($D118&lt;=$B$4,INDEX(IDX_CA!$D$1:$D$1041,SUMPRODUCT(--($E118=IDX_CA!$A$2:$A$1041),--(NXT_COMPO!$P118=IDX_CA!$B$2:$B$1041),--(NXT_COMPO!$Q118=IDX_CA!$C$2:$C$1041),ROW(IDX_CA!$D$2:$D$1041))),""))</f>
        <v>38000000</v>
      </c>
      <c r="H118" s="55">
        <f>IF($D118&lt;=$B$1-$B$2,IF(INDEX($AA$2:$AA$1048576,MATCH($D118,$AB$2:$AB$1048576,0))="MODIFY",INDEX(IDX_CA!$E$1:$E$1041,SUMPRODUCT(--($E118=IDX_CA!$A$2:$A$1041),--(NXT_COMPO!$P118=IDX_CA!$B$2:$B$1041),--(NXT_COMPO!$Q118=IDX_CA!$C$2:$C$1041),ROW(IDX_CA!$E$2:$E$1041))),INDEX(IDX_COMPO!$D$1:$D$1200,SUMPRODUCT(--($E118=IDX_COMPO!$A$2:$A$1200),--(NXT_COMPO!$P118=IDX_COMPO!$F$2:$F$1200),--(NXT_COMPO!$B$5=IDX_COMPO!$G$2:$G$1200),ROW(IDX_COMPO!$D$2:$D$1200)))),IF($D118&lt;=$B$4,INDEX(IDX_CA!$E$1:$E$1041,SUMPRODUCT(--($E118=IDX_CA!$A$2:$A$1041),--(NXT_COMPO!$P118=IDX_CA!$B$2:$B$1041),--(NXT_COMPO!$Q118=IDX_CA!$C$2:$C$1041),ROW(IDX_CA!$E$2:$E$1041))),""))</f>
        <v>100</v>
      </c>
      <c r="I118" s="55">
        <f>IF($D118&lt;=$B$1-$B$2,IF(INDEX($AA$2:$AA$1048576,MATCH($D118,$AB$2:$AB$1048576,0))="MODIFY",INDEX(IDX_CA!$F$1:$F$1041,SUMPRODUCT(--($E118=IDX_CA!$A$2:$A$1041),--(NXT_COMPO!$P118=IDX_CA!$B$2:$B$1041),--(NXT_COMPO!$Q118=IDX_CA!$C$2:$C$1041),ROW(IDX_CA!$F$2:$F$1041))),INDEX(IDX_COMPO!$E$1:$E$1200,SUMPRODUCT(--($E118=IDX_COMPO!$A$2:$A$1200),--(NXT_COMPO!$P118=IDX_COMPO!$F$2:$F$1200),--(NXT_COMPO!$B$5=IDX_COMPO!$G$2:$G$1200),ROW(IDX_COMPO!$E$2:$E$1200)))),IF($D118&lt;=$B$4,INDEX(IDX_CA!$F$1:$F$1041,SUMPRODUCT(--($E118=IDX_CA!$A$2:$A$1041),--(NXT_COMPO!$P118=IDX_CA!$B$2:$B$1041),--(NXT_COMPO!$Q118=IDX_CA!$C$2:$C$1041),ROW(IDX_CA!$F$2:$F$1041))),""))</f>
        <v>100</v>
      </c>
      <c r="J118" s="62">
        <f>IF($D118&lt;=$B$1-$B$2,IF(INDEX($AA$2:$AA$1048576,MATCH($D118,$AB$2:$AB$1048576,0))="MODIFY",INDEX(IDX_CA!$G$1:$G$1041,SUMPRODUCT(--($E118=IDX_CA!$A$2:$A$1041),--(NXT_COMPO!$P118=IDX_CA!$B$2:$B$1041),--(NXT_COMPO!$Q118=IDX_CA!$C$2:$C$1041),ROW(IDX_CA!$G$2:$G$1041))),INDEX(IDX_COMPOSITION!$F$1:$F$441,SUMPRODUCT(--($E118=IDX_COMPOSITION!$A$2:$A$441),--(NXT_COMPO!$P118=IDX_COMPOSITION!$R$2:$R$441),--(NXT_COMPO!$B$5=IDX_COMPOSITION!$L$2:$L$441),ROW(IDX_COMPOSITION!$F$2:$F$441)))),IF($D118&lt;=$B$4,INDEX(IDX_CA!$G$1:$G$1041,SUMPRODUCT(--($E118=IDX_CA!$A$2:$A$1041),--(NXT_COMPO!$P118=IDX_CA!$B$2:$B$1041),--(NXT_COMPO!$Q118=IDX_CA!$C$2:$C$1041),ROW(IDX_CA!$G$2:$G$1041))),""))</f>
        <v>17100</v>
      </c>
      <c r="K118" s="63" t="str">
        <f>IF($D118&lt;&gt;"",VLOOKUP($E118,STK_REF!$A$2:$J$1048576,7,0),"")</f>
        <v>VND</v>
      </c>
      <c r="L118" s="5">
        <f>IF($D118&lt;&gt;"",VLOOKUP($E118,STK_REF!$A$2:$J$1048576,8,0),"")</f>
        <v>1</v>
      </c>
      <c r="M118" s="8">
        <f>IF($D118&lt;&gt;"",IF($K118=$U118,1,IF(ISNA(VLOOKUP($K118&amp;$U118,CUR_RATES!$A$2:$F$521,4,0)),"",VLOOKUP($K118&amp;$U118,CUR_RATES!$A$2:$F$521,4,0))),"")</f>
        <v>1</v>
      </c>
      <c r="N118" s="61">
        <f t="shared" si="18"/>
        <v>17100</v>
      </c>
      <c r="O118" s="68">
        <f t="shared" si="19"/>
        <v>649800000000</v>
      </c>
      <c r="P118" s="5" t="str">
        <f t="shared" si="23"/>
        <v>VNXOGPRVND</v>
      </c>
      <c r="Q118" s="75">
        <f t="shared" si="20"/>
        <v>41166</v>
      </c>
      <c r="R118" s="68" t="str">
        <f t="shared" si="21"/>
        <v/>
      </c>
      <c r="S118" s="61" t="str">
        <f t="shared" si="22"/>
        <v/>
      </c>
      <c r="T118" s="62" t="str">
        <f>IF(D118&lt;&gt;"",IF(SUMPRODUCT(--($E118=STK_DIV!$A$2:$A$5),--(NXT_COMPO!$Q118=STK_DIV!$E$2:$E$5),ROW(STK_DIV!$D$2:$D$5))=0,"",INDEX(STK_DIV!$D$1:$D$5,SUMPRODUCT(--($E118=STK_DIV!$A$2:$A$5),--(NXT_COMPO!$Q118=STK_DIV!$E$2:$E$5),ROW(STK_DIV!$D$2:$D$5)))),"")</f>
        <v/>
      </c>
      <c r="U118" s="54" t="str">
        <f>IF($D118&lt;&gt;"",VLOOKUP($P118,IDX_REF!$2:$1048576,4,0),"")</f>
        <v>VND</v>
      </c>
      <c r="W118" s="52">
        <f t="shared" si="24"/>
        <v>117</v>
      </c>
      <c r="X118" s="5" t="str">
        <f>IF(ROW(X118)-ROW($X$1)&lt;=$B$1,INDEX(IDX_COMPO!A:A,ROW(IDX_COMPO!A118)),"")</f>
        <v>PGS</v>
      </c>
      <c r="Y118" s="75">
        <f t="shared" si="25"/>
        <v>41166</v>
      </c>
      <c r="Z118" s="54" t="str">
        <f>IF(ROW(Z118)-ROW($Y$1)&lt;=$B$1,INDEX(IDX_COMPO!F:F,ROW(IDX_COMPO!R118)),"")</f>
        <v>VNXOGPRVND</v>
      </c>
      <c r="AA118" s="2" t="str">
        <f t="array" ref="AA118">IF(X118&lt;&gt;"",IF(SUMPRODUCT(--(X118=IDX_CA!$A$2:$A$1041),--(NXT_COMPO!Y118=IDX_CA!$C$2:$C$1041),--(Z118=IDX_CA!$B$2:$B$1041))&gt;0,IF(INDEX(IDX_CA!$I:$I,SUMPRODUCT(--(X118=IDX_CA!$A$2:$A$1041),--(NXT_COMPO!Y118=IDX_CA!$C$2:$C$1041),--(Z118=IDX_CA!$B$2:$B$1041),ROW(IDX_CA!$I$2:$I$1041)))=1,"YES","MODIFY"),""),"")</f>
        <v/>
      </c>
      <c r="AB118" s="5">
        <f>IF(X118&lt;&gt;"",IF(AA118="YES","",COUNTIF($AA$2:AA118,"&lt;&gt;YES")),"")</f>
        <v>117</v>
      </c>
      <c r="AC118" s="2"/>
    </row>
    <row r="119" spans="4:29" x14ac:dyDescent="0.2">
      <c r="D119" s="52">
        <f t="shared" si="13"/>
        <v>118</v>
      </c>
      <c r="E119" s="5" t="str">
        <f t="shared" si="17"/>
        <v>PVC</v>
      </c>
      <c r="F119" s="5" t="str">
        <f>IF($D119&lt;&gt;"",VLOOKUP($E119,STK_REF!$A$2:$J$1048576,2,0),"")</f>
        <v>Drilling Mud Corp</v>
      </c>
      <c r="G119" s="68">
        <f>IF($D119&lt;=$B$1-$B$2,IF(INDEX($AA$2:$AA$1048576,MATCH($D119,$AB$2:$AB$1048576,0))="MODIFY",INDEX(IDX_CA!$D$1:$D$1041,SUMPRODUCT(--($E119=IDX_CA!$A$2:$A$1041),--(NXT_COMPO!$P119=IDX_CA!$B$2:$B$1041),--(NXT_COMPO!$Q119=IDX_CA!$C$2:$C$1041),ROW(IDX_CA!$D$2:$D$1041))),INDEX(IDX_COMPO!$C$1:$C$12000,SUMPRODUCT(--($E119=IDX_COMPO!$A$2:$A$1200),--(NXT_COMPO!$P119=IDX_COMPO!$F$2:$F$1200),--(NXT_COMPO!$B$5=IDX_COMPO!$G$2:$G$1200),ROW(IDX_COMPO!$C$2:$C$1200)))),IF($D119&lt;=$B$4,INDEX(IDX_CA!$D$1:$D$1041,SUMPRODUCT(--($E119=IDX_CA!$A$2:$A$1041),--(NXT_COMPO!$P119=IDX_CA!$B$2:$B$1041),--(NXT_COMPO!$Q119=IDX_CA!$C$2:$C$1041),ROW(IDX_CA!$D$2:$D$1041))),""))</f>
        <v>27719850</v>
      </c>
      <c r="H119" s="55">
        <f>IF($D119&lt;=$B$1-$B$2,IF(INDEX($AA$2:$AA$1048576,MATCH($D119,$AB$2:$AB$1048576,0))="MODIFY",INDEX(IDX_CA!$E$1:$E$1041,SUMPRODUCT(--($E119=IDX_CA!$A$2:$A$1041),--(NXT_COMPO!$P119=IDX_CA!$B$2:$B$1041),--(NXT_COMPO!$Q119=IDX_CA!$C$2:$C$1041),ROW(IDX_CA!$E$2:$E$1041))),INDEX(IDX_COMPO!$D$1:$D$1200,SUMPRODUCT(--($E119=IDX_COMPO!$A$2:$A$1200),--(NXT_COMPO!$P119=IDX_COMPO!$F$2:$F$1200),--(NXT_COMPO!$B$5=IDX_COMPO!$G$2:$G$1200),ROW(IDX_COMPO!$D$2:$D$1200)))),IF($D119&lt;=$B$4,INDEX(IDX_CA!$E$1:$E$1041,SUMPRODUCT(--($E119=IDX_CA!$A$2:$A$1041),--(NXT_COMPO!$P119=IDX_CA!$B$2:$B$1041),--(NXT_COMPO!$Q119=IDX_CA!$C$2:$C$1041),ROW(IDX_CA!$E$2:$E$1041))),""))</f>
        <v>100</v>
      </c>
      <c r="I119" s="55">
        <f>IF($D119&lt;=$B$1-$B$2,IF(INDEX($AA$2:$AA$1048576,MATCH($D119,$AB$2:$AB$1048576,0))="MODIFY",INDEX(IDX_CA!$F$1:$F$1041,SUMPRODUCT(--($E119=IDX_CA!$A$2:$A$1041),--(NXT_COMPO!$P119=IDX_CA!$B$2:$B$1041),--(NXT_COMPO!$Q119=IDX_CA!$C$2:$C$1041),ROW(IDX_CA!$F$2:$F$1041))),INDEX(IDX_COMPO!$E$1:$E$1200,SUMPRODUCT(--($E119=IDX_COMPO!$A$2:$A$1200),--(NXT_COMPO!$P119=IDX_COMPO!$F$2:$F$1200),--(NXT_COMPO!$B$5=IDX_COMPO!$G$2:$G$1200),ROW(IDX_COMPO!$E$2:$E$1200)))),IF($D119&lt;=$B$4,INDEX(IDX_CA!$F$1:$F$1041,SUMPRODUCT(--($E119=IDX_CA!$A$2:$A$1041),--(NXT_COMPO!$P119=IDX_CA!$B$2:$B$1041),--(NXT_COMPO!$Q119=IDX_CA!$C$2:$C$1041),ROW(IDX_CA!$F$2:$F$1041))),""))</f>
        <v>100</v>
      </c>
      <c r="J119" s="62">
        <f>IF($D119&lt;=$B$1-$B$2,IF(INDEX($AA$2:$AA$1048576,MATCH($D119,$AB$2:$AB$1048576,0))="MODIFY",INDEX(IDX_CA!$G$1:$G$1041,SUMPRODUCT(--($E119=IDX_CA!$A$2:$A$1041),--(NXT_COMPO!$P119=IDX_CA!$B$2:$B$1041),--(NXT_COMPO!$Q119=IDX_CA!$C$2:$C$1041),ROW(IDX_CA!$G$2:$G$1041))),INDEX(IDX_COMPOSITION!$F$1:$F$441,SUMPRODUCT(--($E119=IDX_COMPOSITION!$A$2:$A$441),--(NXT_COMPO!$P119=IDX_COMPOSITION!$R$2:$R$441),--(NXT_COMPO!$B$5=IDX_COMPOSITION!$L$2:$L$441),ROW(IDX_COMPOSITION!$F$2:$F$441)))),IF($D119&lt;=$B$4,INDEX(IDX_CA!$G$1:$G$1041,SUMPRODUCT(--($E119=IDX_CA!$A$2:$A$1041),--(NXT_COMPO!$P119=IDX_CA!$B$2:$B$1041),--(NXT_COMPO!$Q119=IDX_CA!$C$2:$C$1041),ROW(IDX_CA!$G$2:$G$1041))),""))</f>
        <v>12700</v>
      </c>
      <c r="K119" s="63" t="str">
        <f>IF($D119&lt;&gt;"",VLOOKUP($E119,STK_REF!$A$2:$J$1048576,7,0),"")</f>
        <v>VND</v>
      </c>
      <c r="L119" s="5">
        <f>IF($D119&lt;&gt;"",VLOOKUP($E119,STK_REF!$A$2:$J$1048576,8,0),"")</f>
        <v>1</v>
      </c>
      <c r="M119" s="8">
        <f>IF($D119&lt;&gt;"",IF($K119=$U119,1,IF(ISNA(VLOOKUP($K119&amp;$U119,CUR_RATES!$A$2:$F$521,4,0)),"",VLOOKUP($K119&amp;$U119,CUR_RATES!$A$2:$F$521,4,0))),"")</f>
        <v>1</v>
      </c>
      <c r="N119" s="61">
        <f t="shared" si="18"/>
        <v>12700</v>
      </c>
      <c r="O119" s="68">
        <f t="shared" si="19"/>
        <v>352042095000</v>
      </c>
      <c r="P119" s="5" t="str">
        <f t="shared" si="23"/>
        <v>VNXOGPRVND</v>
      </c>
      <c r="Q119" s="75">
        <f t="shared" si="20"/>
        <v>41166</v>
      </c>
      <c r="R119" s="68" t="str">
        <f t="shared" si="21"/>
        <v/>
      </c>
      <c r="S119" s="61" t="str">
        <f t="shared" si="22"/>
        <v/>
      </c>
      <c r="T119" s="62" t="str">
        <f>IF(D119&lt;&gt;"",IF(SUMPRODUCT(--($E119=STK_DIV!$A$2:$A$5),--(NXT_COMPO!$Q119=STK_DIV!$E$2:$E$5),ROW(STK_DIV!$D$2:$D$5))=0,"",INDEX(STK_DIV!$D$1:$D$5,SUMPRODUCT(--($E119=STK_DIV!$A$2:$A$5),--(NXT_COMPO!$Q119=STK_DIV!$E$2:$E$5),ROW(STK_DIV!$D$2:$D$5)))),"")</f>
        <v/>
      </c>
      <c r="U119" s="54" t="str">
        <f>IF($D119&lt;&gt;"",VLOOKUP($P119,IDX_REF!$2:$1048576,4,0),"")</f>
        <v>VND</v>
      </c>
      <c r="W119" s="52">
        <f t="shared" si="24"/>
        <v>118</v>
      </c>
      <c r="X119" s="5" t="str">
        <f>IF(ROW(X119)-ROW($X$1)&lt;=$B$1,INDEX(IDX_COMPO!A:A,ROW(IDX_COMPO!A119)),"")</f>
        <v>PVC</v>
      </c>
      <c r="Y119" s="75">
        <f t="shared" si="25"/>
        <v>41166</v>
      </c>
      <c r="Z119" s="54" t="str">
        <f>IF(ROW(Z119)-ROW($Y$1)&lt;=$B$1,INDEX(IDX_COMPO!F:F,ROW(IDX_COMPO!R119)),"")</f>
        <v>VNXOGPRVND</v>
      </c>
      <c r="AA119" s="2" t="str">
        <f t="array" ref="AA119">IF(X119&lt;&gt;"",IF(SUMPRODUCT(--(X119=IDX_CA!$A$2:$A$1041),--(NXT_COMPO!Y119=IDX_CA!$C$2:$C$1041),--(Z119=IDX_CA!$B$2:$B$1041))&gt;0,IF(INDEX(IDX_CA!$I:$I,SUMPRODUCT(--(X119=IDX_CA!$A$2:$A$1041),--(NXT_COMPO!Y119=IDX_CA!$C$2:$C$1041),--(Z119=IDX_CA!$B$2:$B$1041),ROW(IDX_CA!$I$2:$I$1041)))=1,"YES","MODIFY"),""),"")</f>
        <v/>
      </c>
      <c r="AB119" s="5">
        <f>IF(X119&lt;&gt;"",IF(AA119="YES","",COUNTIF($AA$2:AA119,"&lt;&gt;YES")),"")</f>
        <v>118</v>
      </c>
      <c r="AC119" s="2"/>
    </row>
    <row r="120" spans="4:29" x14ac:dyDescent="0.2">
      <c r="D120" s="52">
        <f t="shared" si="13"/>
        <v>119</v>
      </c>
      <c r="E120" s="5" t="str">
        <f t="shared" si="17"/>
        <v>PVG</v>
      </c>
      <c r="F120" s="5" t="str">
        <f>IF($D120&lt;&gt;"",VLOOKUP($E120,STK_REF!$A$2:$J$1048576,2,0),"")</f>
        <v>VNX Northern Gas Joint Stock Co</v>
      </c>
      <c r="G120" s="68">
        <f>IF($D120&lt;=$B$1-$B$2,IF(INDEX($AA$2:$AA$1048576,MATCH($D120,$AB$2:$AB$1048576,0))="MODIFY",INDEX(IDX_CA!$D$1:$D$1041,SUMPRODUCT(--($E120=IDX_CA!$A$2:$A$1041),--(NXT_COMPO!$P120=IDX_CA!$B$2:$B$1041),--(NXT_COMPO!$Q120=IDX_CA!$C$2:$C$1041),ROW(IDX_CA!$D$2:$D$1041))),INDEX(IDX_COMPO!$C$1:$C$12000,SUMPRODUCT(--($E120=IDX_COMPO!$A$2:$A$1200),--(NXT_COMPO!$P120=IDX_COMPO!$F$2:$F$1200),--(NXT_COMPO!$B$5=IDX_COMPO!$G$2:$G$1200),ROW(IDX_COMPO!$C$2:$C$1200)))),IF($D120&lt;=$B$4,INDEX(IDX_CA!$D$1:$D$1041,SUMPRODUCT(--($E120=IDX_CA!$A$2:$A$1041),--(NXT_COMPO!$P120=IDX_CA!$B$2:$B$1041),--(NXT_COMPO!$Q120=IDX_CA!$C$2:$C$1041),ROW(IDX_CA!$D$2:$D$1041))),""))</f>
        <v>256000000</v>
      </c>
      <c r="H120" s="55">
        <f>IF($D120&lt;=$B$1-$B$2,IF(INDEX($AA$2:$AA$1048576,MATCH($D120,$AB$2:$AB$1048576,0))="MODIFY",INDEX(IDX_CA!$E$1:$E$1041,SUMPRODUCT(--($E120=IDX_CA!$A$2:$A$1041),--(NXT_COMPO!$P120=IDX_CA!$B$2:$B$1041),--(NXT_COMPO!$Q120=IDX_CA!$C$2:$C$1041),ROW(IDX_CA!$E$2:$E$1041))),INDEX(IDX_COMPO!$D$1:$D$1200,SUMPRODUCT(--($E120=IDX_COMPO!$A$2:$A$1200),--(NXT_COMPO!$P120=IDX_COMPO!$F$2:$F$1200),--(NXT_COMPO!$B$5=IDX_COMPO!$G$2:$G$1200),ROW(IDX_COMPO!$D$2:$D$1200)))),IF($D120&lt;=$B$4,INDEX(IDX_CA!$E$1:$E$1041,SUMPRODUCT(--($E120=IDX_CA!$A$2:$A$1041),--(NXT_COMPO!$P120=IDX_CA!$B$2:$B$1041),--(NXT_COMPO!$Q120=IDX_CA!$C$2:$C$1041),ROW(IDX_CA!$E$2:$E$1041))),""))</f>
        <v>100</v>
      </c>
      <c r="I120" s="55">
        <f>IF($D120&lt;=$B$1-$B$2,IF(INDEX($AA$2:$AA$1048576,MATCH($D120,$AB$2:$AB$1048576,0))="MODIFY",INDEX(IDX_CA!$F$1:$F$1041,SUMPRODUCT(--($E120=IDX_CA!$A$2:$A$1041),--(NXT_COMPO!$P120=IDX_CA!$B$2:$B$1041),--(NXT_COMPO!$Q120=IDX_CA!$C$2:$C$1041),ROW(IDX_CA!$F$2:$F$1041))),INDEX(IDX_COMPO!$E$1:$E$1200,SUMPRODUCT(--($E120=IDX_COMPO!$A$2:$A$1200),--(NXT_COMPO!$P120=IDX_COMPO!$F$2:$F$1200),--(NXT_COMPO!$B$5=IDX_COMPO!$G$2:$G$1200),ROW(IDX_COMPO!$E$2:$E$1200)))),IF($D120&lt;=$B$4,INDEX(IDX_CA!$F$1:$F$1041,SUMPRODUCT(--($E120=IDX_CA!$A$2:$A$1041),--(NXT_COMPO!$P120=IDX_CA!$B$2:$B$1041),--(NXT_COMPO!$Q120=IDX_CA!$C$2:$C$1041),ROW(IDX_CA!$F$2:$F$1041))),""))</f>
        <v>100</v>
      </c>
      <c r="J120" s="62">
        <f>IF($D120&lt;=$B$1-$B$2,IF(INDEX($AA$2:$AA$1048576,MATCH($D120,$AB$2:$AB$1048576,0))="MODIFY",INDEX(IDX_CA!$G$1:$G$1041,SUMPRODUCT(--($E120=IDX_CA!$A$2:$A$1041),--(NXT_COMPO!$P120=IDX_CA!$B$2:$B$1041),--(NXT_COMPO!$Q120=IDX_CA!$C$2:$C$1041),ROW(IDX_CA!$G$2:$G$1041))),INDEX(IDX_COMPOSITION!$F$1:$F$441,SUMPRODUCT(--($E120=IDX_COMPOSITION!$A$2:$A$441),--(NXT_COMPO!$P120=IDX_COMPOSITION!$R$2:$R$441),--(NXT_COMPO!$B$5=IDX_COMPOSITION!$L$2:$L$441),ROW(IDX_COMPOSITION!$F$2:$F$441)))),IF($D120&lt;=$B$4,INDEX(IDX_CA!$G$1:$G$1041,SUMPRODUCT(--($E120=IDX_CA!$A$2:$A$1041),--(NXT_COMPO!$P120=IDX_CA!$B$2:$B$1041),--(NXT_COMPO!$Q120=IDX_CA!$C$2:$C$1041),ROW(IDX_CA!$G$2:$G$1041))),""))</f>
        <v>9300</v>
      </c>
      <c r="K120" s="63" t="str">
        <f>IF($D120&lt;&gt;"",VLOOKUP($E120,STK_REF!$A$2:$J$1048576,7,0),"")</f>
        <v>VND</v>
      </c>
      <c r="L120" s="5">
        <f>IF($D120&lt;&gt;"",VLOOKUP($E120,STK_REF!$A$2:$J$1048576,8,0),"")</f>
        <v>1</v>
      </c>
      <c r="M120" s="8">
        <f>IF($D120&lt;&gt;"",IF($K120=$U120,1,IF(ISNA(VLOOKUP($K120&amp;$U120,CUR_RATES!$A$2:$F$521,4,0)),"",VLOOKUP($K120&amp;$U120,CUR_RATES!$A$2:$F$521,4,0))),"")</f>
        <v>1</v>
      </c>
      <c r="N120" s="61">
        <f t="shared" si="18"/>
        <v>9300</v>
      </c>
      <c r="O120" s="68">
        <f t="shared" si="19"/>
        <v>2380800000000</v>
      </c>
      <c r="P120" s="5" t="str">
        <f t="shared" si="23"/>
        <v>VNXOGPRVND</v>
      </c>
      <c r="Q120" s="75">
        <f t="shared" si="20"/>
        <v>41166</v>
      </c>
      <c r="R120" s="68" t="str">
        <f t="shared" si="21"/>
        <v/>
      </c>
      <c r="S120" s="61" t="str">
        <f t="shared" si="22"/>
        <v/>
      </c>
      <c r="T120" s="62" t="str">
        <f>IF(D120&lt;&gt;"",IF(SUMPRODUCT(--($E120=STK_DIV!$A$2:$A$5),--(NXT_COMPO!$Q120=STK_DIV!$E$2:$E$5),ROW(STK_DIV!$D$2:$D$5))=0,"",INDEX(STK_DIV!$D$1:$D$5,SUMPRODUCT(--($E120=STK_DIV!$A$2:$A$5),--(NXT_COMPO!$Q120=STK_DIV!$E$2:$E$5),ROW(STK_DIV!$D$2:$D$5)))),"")</f>
        <v/>
      </c>
      <c r="U120" s="54" t="str">
        <f>IF($D120&lt;&gt;"",VLOOKUP($P120,IDX_REF!$2:$1048576,4,0),"")</f>
        <v>VND</v>
      </c>
      <c r="W120" s="52">
        <f t="shared" si="24"/>
        <v>119</v>
      </c>
      <c r="X120" s="5" t="str">
        <f>IF(ROW(X120)-ROW($X$1)&lt;=$B$1,INDEX(IDX_COMPO!A:A,ROW(IDX_COMPO!A120)),"")</f>
        <v>PVG</v>
      </c>
      <c r="Y120" s="75">
        <f t="shared" si="25"/>
        <v>41166</v>
      </c>
      <c r="Z120" s="54" t="str">
        <f>IF(ROW(Z120)-ROW($Y$1)&lt;=$B$1,INDEX(IDX_COMPO!F:F,ROW(IDX_COMPO!R120)),"")</f>
        <v>VNXOGPRVND</v>
      </c>
      <c r="AA120" s="2" t="str">
        <f t="array" ref="AA120">IF(X120&lt;&gt;"",IF(SUMPRODUCT(--(X120=IDX_CA!$A$2:$A$1041),--(NXT_COMPO!Y120=IDX_CA!$C$2:$C$1041),--(Z120=IDX_CA!$B$2:$B$1041))&gt;0,IF(INDEX(IDX_CA!$I:$I,SUMPRODUCT(--(X120=IDX_CA!$A$2:$A$1041),--(NXT_COMPO!Y120=IDX_CA!$C$2:$C$1041),--(Z120=IDX_CA!$B$2:$B$1041),ROW(IDX_CA!$I$2:$I$1041)))=1,"YES","MODIFY"),""),"")</f>
        <v/>
      </c>
      <c r="AB120" s="5">
        <f>IF(X120&lt;&gt;"",IF(AA120="YES","",COUNTIF($AA$2:AA120,"&lt;&gt;YES")),"")</f>
        <v>119</v>
      </c>
      <c r="AC120" s="2"/>
    </row>
    <row r="121" spans="4:29" x14ac:dyDescent="0.2">
      <c r="D121" s="52">
        <f t="shared" si="13"/>
        <v>120</v>
      </c>
      <c r="E121" s="5" t="str">
        <f t="shared" si="17"/>
        <v>PGD</v>
      </c>
      <c r="F121" s="5" t="str">
        <f>IF($D121&lt;&gt;"",VLOOKUP($E121,STK_REF!$A$2:$J$1048576,2,0),"")</f>
        <v>VNX Low Pressure Gas Distribution Joint S</v>
      </c>
      <c r="G121" s="68">
        <f>IF($D121&lt;=$B$1-$B$2,IF(INDEX($AA$2:$AA$1048576,MATCH($D121,$AB$2:$AB$1048576,0))="MODIFY",INDEX(IDX_CA!$D$1:$D$1041,SUMPRODUCT(--($E121=IDX_CA!$A$2:$A$1041),--(NXT_COMPO!$P121=IDX_CA!$B$2:$B$1041),--(NXT_COMPO!$Q121=IDX_CA!$C$2:$C$1041),ROW(IDX_CA!$D$2:$D$1041))),INDEX(IDX_COMPO!$C$1:$C$12000,SUMPRODUCT(--($E121=IDX_COMPO!$A$2:$A$1200),--(NXT_COMPO!$P121=IDX_COMPO!$F$2:$F$1200),--(NXT_COMPO!$B$5=IDX_COMPO!$G$2:$G$1200),ROW(IDX_COMPO!$C$2:$C$1200)))),IF($D121&lt;=$B$4,INDEX(IDX_CA!$D$1:$D$1041,SUMPRODUCT(--($E121=IDX_CA!$A$2:$A$1041),--(NXT_COMPO!$P121=IDX_CA!$B$2:$B$1041),--(NXT_COMPO!$Q121=IDX_CA!$C$2:$C$1041),ROW(IDX_CA!$D$2:$D$1041))),""))</f>
        <v>42900000</v>
      </c>
      <c r="H121" s="55">
        <f>IF($D121&lt;=$B$1-$B$2,IF(INDEX($AA$2:$AA$1048576,MATCH($D121,$AB$2:$AB$1048576,0))="MODIFY",INDEX(IDX_CA!$E$1:$E$1041,SUMPRODUCT(--($E121=IDX_CA!$A$2:$A$1041),--(NXT_COMPO!$P121=IDX_CA!$B$2:$B$1041),--(NXT_COMPO!$Q121=IDX_CA!$C$2:$C$1041),ROW(IDX_CA!$E$2:$E$1041))),INDEX(IDX_COMPO!$D$1:$D$1200,SUMPRODUCT(--($E121=IDX_COMPO!$A$2:$A$1200),--(NXT_COMPO!$P121=IDX_COMPO!$F$2:$F$1200),--(NXT_COMPO!$B$5=IDX_COMPO!$G$2:$G$1200),ROW(IDX_COMPO!$D$2:$D$1200)))),IF($D121&lt;=$B$4,INDEX(IDX_CA!$E$1:$E$1041,SUMPRODUCT(--($E121=IDX_CA!$A$2:$A$1041),--(NXT_COMPO!$P121=IDX_CA!$B$2:$B$1041),--(NXT_COMPO!$Q121=IDX_CA!$C$2:$C$1041),ROW(IDX_CA!$E$2:$E$1041))),""))</f>
        <v>100</v>
      </c>
      <c r="I121" s="55">
        <f>IF($D121&lt;=$B$1-$B$2,IF(INDEX($AA$2:$AA$1048576,MATCH($D121,$AB$2:$AB$1048576,0))="MODIFY",INDEX(IDX_CA!$F$1:$F$1041,SUMPRODUCT(--($E121=IDX_CA!$A$2:$A$1041),--(NXT_COMPO!$P121=IDX_CA!$B$2:$B$1041),--(NXT_COMPO!$Q121=IDX_CA!$C$2:$C$1041),ROW(IDX_CA!$F$2:$F$1041))),INDEX(IDX_COMPO!$E$1:$E$1200,SUMPRODUCT(--($E121=IDX_COMPO!$A$2:$A$1200),--(NXT_COMPO!$P121=IDX_COMPO!$F$2:$F$1200),--(NXT_COMPO!$B$5=IDX_COMPO!$G$2:$G$1200),ROW(IDX_COMPO!$E$2:$E$1200)))),IF($D121&lt;=$B$4,INDEX(IDX_CA!$F$1:$F$1041,SUMPRODUCT(--($E121=IDX_CA!$A$2:$A$1041),--(NXT_COMPO!$P121=IDX_CA!$B$2:$B$1041),--(NXT_COMPO!$Q121=IDX_CA!$C$2:$C$1041),ROW(IDX_CA!$F$2:$F$1041))),""))</f>
        <v>100</v>
      </c>
      <c r="J121" s="62">
        <f>IF($D121&lt;=$B$1-$B$2,IF(INDEX($AA$2:$AA$1048576,MATCH($D121,$AB$2:$AB$1048576,0))="MODIFY",INDEX(IDX_CA!$G$1:$G$1041,SUMPRODUCT(--($E121=IDX_CA!$A$2:$A$1041),--(NXT_COMPO!$P121=IDX_CA!$B$2:$B$1041),--(NXT_COMPO!$Q121=IDX_CA!$C$2:$C$1041),ROW(IDX_CA!$G$2:$G$1041))),INDEX(IDX_COMPOSITION!$F$1:$F$441,SUMPRODUCT(--($E121=IDX_COMPOSITION!$A$2:$A$441),--(NXT_COMPO!$P121=IDX_COMPOSITION!$R$2:$R$441),--(NXT_COMPO!$B$5=IDX_COMPOSITION!$L$2:$L$441),ROW(IDX_COMPOSITION!$F$2:$F$441)))),IF($D121&lt;=$B$4,INDEX(IDX_CA!$G$1:$G$1041,SUMPRODUCT(--($E121=IDX_CA!$A$2:$A$1041),--(NXT_COMPO!$P121=IDX_CA!$B$2:$B$1041),--(NXT_COMPO!$Q121=IDX_CA!$C$2:$C$1041),ROW(IDX_CA!$G$2:$G$1041))),""))</f>
        <v>38800</v>
      </c>
      <c r="K121" s="63" t="str">
        <f>IF($D121&lt;&gt;"",VLOOKUP($E121,STK_REF!$A$2:$J$1048576,7,0),"")</f>
        <v>VND</v>
      </c>
      <c r="L121" s="5">
        <f>IF($D121&lt;&gt;"",VLOOKUP($E121,STK_REF!$A$2:$J$1048576,8,0),"")</f>
        <v>1</v>
      </c>
      <c r="M121" s="8">
        <f>IF($D121&lt;&gt;"",IF($K121=$U121,1,IF(ISNA(VLOOKUP($K121&amp;$U121,CUR_RATES!$A$2:$F$521,4,0)),"",VLOOKUP($K121&amp;$U121,CUR_RATES!$A$2:$F$521,4,0))),"")</f>
        <v>1</v>
      </c>
      <c r="N121" s="61">
        <f t="shared" si="18"/>
        <v>38800</v>
      </c>
      <c r="O121" s="68">
        <f t="shared" si="19"/>
        <v>1664520000000</v>
      </c>
      <c r="P121" s="5" t="str">
        <f t="shared" si="23"/>
        <v>VNXUTPRVND</v>
      </c>
      <c r="Q121" s="75">
        <f t="shared" si="20"/>
        <v>41166</v>
      </c>
      <c r="R121" s="68" t="str">
        <f t="shared" si="21"/>
        <v/>
      </c>
      <c r="S121" s="61" t="str">
        <f t="shared" si="22"/>
        <v/>
      </c>
      <c r="T121" s="62" t="str">
        <f>IF(D121&lt;&gt;"",IF(SUMPRODUCT(--($E121=STK_DIV!$A$2:$A$5),--(NXT_COMPO!$Q121=STK_DIV!$E$2:$E$5),ROW(STK_DIV!$D$2:$D$5))=0,"",INDEX(STK_DIV!$D$1:$D$5,SUMPRODUCT(--($E121=STK_DIV!$A$2:$A$5),--(NXT_COMPO!$Q121=STK_DIV!$E$2:$E$5),ROW(STK_DIV!$D$2:$D$5)))),"")</f>
        <v/>
      </c>
      <c r="U121" s="54" t="str">
        <f>IF($D121&lt;&gt;"",VLOOKUP($P121,IDX_REF!$2:$1048576,4,0),"")</f>
        <v>VND</v>
      </c>
      <c r="W121" s="52">
        <f t="shared" si="24"/>
        <v>120</v>
      </c>
      <c r="X121" s="5" t="str">
        <f>IF(ROW(X121)-ROW($X$1)&lt;=$B$1,INDEX(IDX_COMPO!A:A,ROW(IDX_COMPO!A121)),"")</f>
        <v>PGD</v>
      </c>
      <c r="Y121" s="75">
        <f t="shared" si="25"/>
        <v>41166</v>
      </c>
      <c r="Z121" s="54" t="str">
        <f>IF(ROW(Z121)-ROW($Y$1)&lt;=$B$1,INDEX(IDX_COMPO!F:F,ROW(IDX_COMPO!R121)),"")</f>
        <v>VNXUTPRVND</v>
      </c>
      <c r="AA121" s="2" t="str">
        <f t="array" ref="AA121">IF(X121&lt;&gt;"",IF(SUMPRODUCT(--(X121=IDX_CA!$A$2:$A$1041),--(NXT_COMPO!Y121=IDX_CA!$C$2:$C$1041),--(Z121=IDX_CA!$B$2:$B$1041))&gt;0,IF(INDEX(IDX_CA!$I:$I,SUMPRODUCT(--(X121=IDX_CA!$A$2:$A$1041),--(NXT_COMPO!Y121=IDX_CA!$C$2:$C$1041),--(Z121=IDX_CA!$B$2:$B$1041),ROW(IDX_CA!$I$2:$I$1041)))=1,"YES","MODIFY"),""),"")</f>
        <v/>
      </c>
      <c r="AB121" s="5">
        <f>IF(X121&lt;&gt;"",IF(AA121="YES","",COUNTIF($AA$2:AA121,"&lt;&gt;YES")),"")</f>
        <v>120</v>
      </c>
      <c r="AC121" s="2"/>
    </row>
    <row r="122" spans="4:29" x14ac:dyDescent="0.2">
      <c r="D122" s="52">
        <f t="shared" si="13"/>
        <v>121</v>
      </c>
      <c r="E122" s="5" t="str">
        <f t="shared" si="17"/>
        <v>NT2</v>
      </c>
      <c r="F122" s="5" t="str">
        <f>IF($D122&lt;&gt;"",VLOOKUP($E122,STK_REF!$A$2:$J$1048576,2,0),"")</f>
        <v>VNX Power NhonTrach 2 Joint Stock Co</v>
      </c>
      <c r="G122" s="68">
        <f>IF($D122&lt;=$B$1-$B$2,IF(INDEX($AA$2:$AA$1048576,MATCH($D122,$AB$2:$AB$1048576,0))="MODIFY",INDEX(IDX_CA!$D$1:$D$1041,SUMPRODUCT(--($E122=IDX_CA!$A$2:$A$1041),--(NXT_COMPO!$P122=IDX_CA!$B$2:$B$1041),--(NXT_COMPO!$Q122=IDX_CA!$C$2:$C$1041),ROW(IDX_CA!$D$2:$D$1041))),INDEX(IDX_COMPO!$C$1:$C$12000,SUMPRODUCT(--($E122=IDX_COMPO!$A$2:$A$1200),--(NXT_COMPO!$P122=IDX_COMPO!$F$2:$F$1200),--(NXT_COMPO!$B$5=IDX_COMPO!$G$2:$G$1200),ROW(IDX_COMPO!$C$2:$C$1200)))),IF($D122&lt;=$B$4,INDEX(IDX_CA!$D$1:$D$1041,SUMPRODUCT(--($E122=IDX_CA!$A$2:$A$1041),--(NXT_COMPO!$P122=IDX_CA!$B$2:$B$1041),--(NXT_COMPO!$Q122=IDX_CA!$C$2:$C$1041),ROW(IDX_CA!$D$2:$D$1041))),""))</f>
        <v>256000000</v>
      </c>
      <c r="H122" s="55">
        <f>IF($D122&lt;=$B$1-$B$2,IF(INDEX($AA$2:$AA$1048576,MATCH($D122,$AB$2:$AB$1048576,0))="MODIFY",INDEX(IDX_CA!$E$1:$E$1041,SUMPRODUCT(--($E122=IDX_CA!$A$2:$A$1041),--(NXT_COMPO!$P122=IDX_CA!$B$2:$B$1041),--(NXT_COMPO!$Q122=IDX_CA!$C$2:$C$1041),ROW(IDX_CA!$E$2:$E$1041))),INDEX(IDX_COMPO!$D$1:$D$1200,SUMPRODUCT(--($E122=IDX_COMPO!$A$2:$A$1200),--(NXT_COMPO!$P122=IDX_COMPO!$F$2:$F$1200),--(NXT_COMPO!$B$5=IDX_COMPO!$G$2:$G$1200),ROW(IDX_COMPO!$D$2:$D$1200)))),IF($D122&lt;=$B$4,INDEX(IDX_CA!$E$1:$E$1041,SUMPRODUCT(--($E122=IDX_CA!$A$2:$A$1041),--(NXT_COMPO!$P122=IDX_CA!$B$2:$B$1041),--(NXT_COMPO!$Q122=IDX_CA!$C$2:$C$1041),ROW(IDX_CA!$E$2:$E$1041))),""))</f>
        <v>100</v>
      </c>
      <c r="I122" s="55">
        <f>IF($D122&lt;=$B$1-$B$2,IF(INDEX($AA$2:$AA$1048576,MATCH($D122,$AB$2:$AB$1048576,0))="MODIFY",INDEX(IDX_CA!$F$1:$F$1041,SUMPRODUCT(--($E122=IDX_CA!$A$2:$A$1041),--(NXT_COMPO!$P122=IDX_CA!$B$2:$B$1041),--(NXT_COMPO!$Q122=IDX_CA!$C$2:$C$1041),ROW(IDX_CA!$F$2:$F$1041))),INDEX(IDX_COMPO!$E$1:$E$1200,SUMPRODUCT(--($E122=IDX_COMPO!$A$2:$A$1200),--(NXT_COMPO!$P122=IDX_COMPO!$F$2:$F$1200),--(NXT_COMPO!$B$5=IDX_COMPO!$G$2:$G$1200),ROW(IDX_COMPO!$E$2:$E$1200)))),IF($D122&lt;=$B$4,INDEX(IDX_CA!$F$1:$F$1041,SUMPRODUCT(--($E122=IDX_CA!$A$2:$A$1041),--(NXT_COMPO!$P122=IDX_CA!$B$2:$B$1041),--(NXT_COMPO!$Q122=IDX_CA!$C$2:$C$1041),ROW(IDX_CA!$F$2:$F$1041))),""))</f>
        <v>100</v>
      </c>
      <c r="J122" s="62">
        <f>IF($D122&lt;=$B$1-$B$2,IF(INDEX($AA$2:$AA$1048576,MATCH($D122,$AB$2:$AB$1048576,0))="MODIFY",INDEX(IDX_CA!$G$1:$G$1041,SUMPRODUCT(--($E122=IDX_CA!$A$2:$A$1041),--(NXT_COMPO!$P122=IDX_CA!$B$2:$B$1041),--(NXT_COMPO!$Q122=IDX_CA!$C$2:$C$1041),ROW(IDX_CA!$G$2:$G$1041))),INDEX(IDX_COMPOSITION!$F$1:$F$441,SUMPRODUCT(--($E122=IDX_COMPOSITION!$A$2:$A$441),--(NXT_COMPO!$P122=IDX_COMPOSITION!$R$2:$R$441),--(NXT_COMPO!$B$5=IDX_COMPOSITION!$L$2:$L$441),ROW(IDX_COMPOSITION!$F$2:$F$441)))),IF($D122&lt;=$B$4,INDEX(IDX_CA!$G$1:$G$1041,SUMPRODUCT(--($E122=IDX_CA!$A$2:$A$1041),--(NXT_COMPO!$P122=IDX_CA!$B$2:$B$1041),--(NXT_COMPO!$Q122=IDX_CA!$C$2:$C$1041),ROW(IDX_CA!$G$2:$G$1041))),""))</f>
        <v>4600</v>
      </c>
      <c r="K122" s="63" t="str">
        <f>IF($D122&lt;&gt;"",VLOOKUP($E122,STK_REF!$A$2:$J$1048576,7,0),"")</f>
        <v>VND</v>
      </c>
      <c r="L122" s="5">
        <f>IF($D122&lt;&gt;"",VLOOKUP($E122,STK_REF!$A$2:$J$1048576,8,0),"")</f>
        <v>1</v>
      </c>
      <c r="M122" s="8">
        <f>IF($D122&lt;&gt;"",IF($K122=$U122,1,IF(ISNA(VLOOKUP($K122&amp;$U122,CUR_RATES!$A$2:$F$521,4,0)),"",VLOOKUP($K122&amp;$U122,CUR_RATES!$A$2:$F$521,4,0))),"")</f>
        <v>1</v>
      </c>
      <c r="N122" s="61">
        <f t="shared" si="18"/>
        <v>4600</v>
      </c>
      <c r="O122" s="68">
        <f t="shared" si="19"/>
        <v>1177600000000</v>
      </c>
      <c r="P122" s="5" t="str">
        <f t="shared" si="23"/>
        <v>VNXUTPRVND</v>
      </c>
      <c r="Q122" s="75">
        <f t="shared" si="20"/>
        <v>41166</v>
      </c>
      <c r="R122" s="68" t="str">
        <f t="shared" si="21"/>
        <v/>
      </c>
      <c r="S122" s="61" t="str">
        <f t="shared" si="22"/>
        <v/>
      </c>
      <c r="T122" s="62" t="str">
        <f>IF(D122&lt;&gt;"",IF(SUMPRODUCT(--($E122=STK_DIV!$A$2:$A$5),--(NXT_COMPO!$Q122=STK_DIV!$E$2:$E$5),ROW(STK_DIV!$D$2:$D$5))=0,"",INDEX(STK_DIV!$D$1:$D$5,SUMPRODUCT(--($E122=STK_DIV!$A$2:$A$5),--(NXT_COMPO!$Q122=STK_DIV!$E$2:$E$5),ROW(STK_DIV!$D$2:$D$5)))),"")</f>
        <v/>
      </c>
      <c r="U122" s="54" t="str">
        <f>IF($D122&lt;&gt;"",VLOOKUP($P122,IDX_REF!$2:$1048576,4,0),"")</f>
        <v>VND</v>
      </c>
      <c r="W122" s="52">
        <f t="shared" si="24"/>
        <v>121</v>
      </c>
      <c r="X122" s="5" t="str">
        <f>IF(ROW(X122)-ROW($X$1)&lt;=$B$1,INDEX(IDX_COMPO!A:A,ROW(IDX_COMPO!A122)),"")</f>
        <v>NT2</v>
      </c>
      <c r="Y122" s="75">
        <f t="shared" si="25"/>
        <v>41166</v>
      </c>
      <c r="Z122" s="54" t="str">
        <f>IF(ROW(Z122)-ROW($Y$1)&lt;=$B$1,INDEX(IDX_COMPO!F:F,ROW(IDX_COMPO!R122)),"")</f>
        <v>VNXUTPRVND</v>
      </c>
      <c r="AA122" s="2" t="str">
        <f t="array" ref="AA122">IF(X122&lt;&gt;"",IF(SUMPRODUCT(--(X122=IDX_CA!$A$2:$A$1041),--(NXT_COMPO!Y122=IDX_CA!$C$2:$C$1041),--(Z122=IDX_CA!$B$2:$B$1041))&gt;0,IF(INDEX(IDX_CA!$I:$I,SUMPRODUCT(--(X122=IDX_CA!$A$2:$A$1041),--(NXT_COMPO!Y122=IDX_CA!$C$2:$C$1041),--(Z122=IDX_CA!$B$2:$B$1041),ROW(IDX_CA!$I$2:$I$1041)))=1,"YES","MODIFY"),""),"")</f>
        <v/>
      </c>
      <c r="AB122" s="5">
        <f>IF(X122&lt;&gt;"",IF(AA122="YES","",COUNTIF($AA$2:AA122,"&lt;&gt;YES")),"")</f>
        <v>121</v>
      </c>
      <c r="AC122" s="2"/>
    </row>
    <row r="123" spans="4:29" x14ac:dyDescent="0.2">
      <c r="D123" s="52">
        <f t="shared" si="13"/>
        <v>122</v>
      </c>
      <c r="E123" s="5" t="str">
        <f t="shared" si="17"/>
        <v>PCG</v>
      </c>
      <c r="F123" s="5" t="str">
        <f>IF($D123&lt;&gt;"",VLOOKUP($E123,STK_REF!$A$2:$J$1048576,2,0),"")</f>
        <v>PetroVietnam Gas City Investment and Development JSC</v>
      </c>
      <c r="G123" s="68">
        <f>IF($D123&lt;=$B$1-$B$2,IF(INDEX($AA$2:$AA$1048576,MATCH($D123,$AB$2:$AB$1048576,0))="MODIFY",INDEX(IDX_CA!$D$1:$D$1041,SUMPRODUCT(--($E123=IDX_CA!$A$2:$A$1041),--(NXT_COMPO!$P123=IDX_CA!$B$2:$B$1041),--(NXT_COMPO!$Q123=IDX_CA!$C$2:$C$1041),ROW(IDX_CA!$D$2:$D$1041))),INDEX(IDX_COMPO!$C$1:$C$12000,SUMPRODUCT(--($E123=IDX_COMPO!$A$2:$A$1200),--(NXT_COMPO!$P123=IDX_COMPO!$F$2:$F$1200),--(NXT_COMPO!$B$5=IDX_COMPO!$G$2:$G$1200),ROW(IDX_COMPO!$C$2:$C$1200)))),IF($D123&lt;=$B$4,INDEX(IDX_CA!$D$1:$D$1041,SUMPRODUCT(--($E123=IDX_CA!$A$2:$A$1041),--(NXT_COMPO!$P123=IDX_CA!$B$2:$B$1041),--(NXT_COMPO!$Q123=IDX_CA!$C$2:$C$1041),ROW(IDX_CA!$D$2:$D$1041))),""))</f>
        <v>18870000</v>
      </c>
      <c r="H123" s="55">
        <f>IF($D123&lt;=$B$1-$B$2,IF(INDEX($AA$2:$AA$1048576,MATCH($D123,$AB$2:$AB$1048576,0))="MODIFY",INDEX(IDX_CA!$E$1:$E$1041,SUMPRODUCT(--($E123=IDX_CA!$A$2:$A$1041),--(NXT_COMPO!$P123=IDX_CA!$B$2:$B$1041),--(NXT_COMPO!$Q123=IDX_CA!$C$2:$C$1041),ROW(IDX_CA!$E$2:$E$1041))),INDEX(IDX_COMPO!$D$1:$D$1200,SUMPRODUCT(--($E123=IDX_COMPO!$A$2:$A$1200),--(NXT_COMPO!$P123=IDX_COMPO!$F$2:$F$1200),--(NXT_COMPO!$B$5=IDX_COMPO!$G$2:$G$1200),ROW(IDX_COMPO!$D$2:$D$1200)))),IF($D123&lt;=$B$4,INDEX(IDX_CA!$E$1:$E$1041,SUMPRODUCT(--($E123=IDX_CA!$A$2:$A$1041),--(NXT_COMPO!$P123=IDX_CA!$B$2:$B$1041),--(NXT_COMPO!$Q123=IDX_CA!$C$2:$C$1041),ROW(IDX_CA!$E$2:$E$1041))),""))</f>
        <v>100</v>
      </c>
      <c r="I123" s="55">
        <f>IF($D123&lt;=$B$1-$B$2,IF(INDEX($AA$2:$AA$1048576,MATCH($D123,$AB$2:$AB$1048576,0))="MODIFY",INDEX(IDX_CA!$F$1:$F$1041,SUMPRODUCT(--($E123=IDX_CA!$A$2:$A$1041),--(NXT_COMPO!$P123=IDX_CA!$B$2:$B$1041),--(NXT_COMPO!$Q123=IDX_CA!$C$2:$C$1041),ROW(IDX_CA!$F$2:$F$1041))),INDEX(IDX_COMPO!$E$1:$E$1200,SUMPRODUCT(--($E123=IDX_COMPO!$A$2:$A$1200),--(NXT_COMPO!$P123=IDX_COMPO!$F$2:$F$1200),--(NXT_COMPO!$B$5=IDX_COMPO!$G$2:$G$1200),ROW(IDX_COMPO!$E$2:$E$1200)))),IF($D123&lt;=$B$4,INDEX(IDX_CA!$F$1:$F$1041,SUMPRODUCT(--($E123=IDX_CA!$A$2:$A$1041),--(NXT_COMPO!$P123=IDX_CA!$B$2:$B$1041),--(NXT_COMPO!$Q123=IDX_CA!$C$2:$C$1041),ROW(IDX_CA!$F$2:$F$1041))),""))</f>
        <v>100</v>
      </c>
      <c r="J123" s="62">
        <f>IF($D123&lt;=$B$1-$B$2,IF(INDEX($AA$2:$AA$1048576,MATCH($D123,$AB$2:$AB$1048576,0))="MODIFY",INDEX(IDX_CA!$G$1:$G$1041,SUMPRODUCT(--($E123=IDX_CA!$A$2:$A$1041),--(NXT_COMPO!$P123=IDX_CA!$B$2:$B$1041),--(NXT_COMPO!$Q123=IDX_CA!$C$2:$C$1041),ROW(IDX_CA!$G$2:$G$1041))),INDEX(IDX_COMPOSITION!$F$1:$F$441,SUMPRODUCT(--($E123=IDX_COMPOSITION!$A$2:$A$441),--(NXT_COMPO!$P123=IDX_COMPOSITION!$R$2:$R$441),--(NXT_COMPO!$B$5=IDX_COMPOSITION!$L$2:$L$441),ROW(IDX_COMPOSITION!$F$2:$F$441)))),IF($D123&lt;=$B$4,INDEX(IDX_CA!$G$1:$G$1041,SUMPRODUCT(--($E123=IDX_CA!$A$2:$A$1041),--(NXT_COMPO!$P123=IDX_CA!$B$2:$B$1041),--(NXT_COMPO!$Q123=IDX_CA!$C$2:$C$1041),ROW(IDX_CA!$G$2:$G$1041))),""))</f>
        <v>6100</v>
      </c>
      <c r="K123" s="63" t="str">
        <f>IF($D123&lt;&gt;"",VLOOKUP($E123,STK_REF!$A$2:$J$1048576,7,0),"")</f>
        <v>VND</v>
      </c>
      <c r="L123" s="5">
        <f>IF($D123&lt;&gt;"",VLOOKUP($E123,STK_REF!$A$2:$J$1048576,8,0),"")</f>
        <v>1</v>
      </c>
      <c r="M123" s="8">
        <f>IF($D123&lt;&gt;"",IF($K123=$U123,1,IF(ISNA(VLOOKUP($K123&amp;$U123,CUR_RATES!$A$2:$F$521,4,0)),"",VLOOKUP($K123&amp;$U123,CUR_RATES!$A$2:$F$521,4,0))),"")</f>
        <v>1</v>
      </c>
      <c r="N123" s="61">
        <f t="shared" si="18"/>
        <v>6100</v>
      </c>
      <c r="O123" s="68">
        <f t="shared" si="19"/>
        <v>115107000000</v>
      </c>
      <c r="P123" s="5" t="str">
        <f t="shared" si="23"/>
        <v>VNXUTPRVND</v>
      </c>
      <c r="Q123" s="75">
        <f t="shared" si="20"/>
        <v>41166</v>
      </c>
      <c r="R123" s="68" t="str">
        <f t="shared" si="21"/>
        <v/>
      </c>
      <c r="S123" s="61" t="str">
        <f t="shared" si="22"/>
        <v/>
      </c>
      <c r="T123" s="62" t="str">
        <f>IF(D123&lt;&gt;"",IF(SUMPRODUCT(--($E123=STK_DIV!$A$2:$A$5),--(NXT_COMPO!$Q123=STK_DIV!$E$2:$E$5),ROW(STK_DIV!$D$2:$D$5))=0,"",INDEX(STK_DIV!$D$1:$D$5,SUMPRODUCT(--($E123=STK_DIV!$A$2:$A$5),--(NXT_COMPO!$Q123=STK_DIV!$E$2:$E$5),ROW(STK_DIV!$D$2:$D$5)))),"")</f>
        <v/>
      </c>
      <c r="U123" s="54" t="str">
        <f>IF($D123&lt;&gt;"",VLOOKUP($P123,IDX_REF!$2:$1048576,4,0),"")</f>
        <v>VND</v>
      </c>
      <c r="W123" s="52">
        <f t="shared" si="24"/>
        <v>122</v>
      </c>
      <c r="X123" s="5" t="str">
        <f>IF(ROW(X123)-ROW($X$1)&lt;=$B$1,INDEX(IDX_COMPO!A:A,ROW(IDX_COMPO!A123)),"")</f>
        <v>PCG</v>
      </c>
      <c r="Y123" s="75">
        <f t="shared" si="25"/>
        <v>41166</v>
      </c>
      <c r="Z123" s="54" t="str">
        <f>IF(ROW(Z123)-ROW($Y$1)&lt;=$B$1,INDEX(IDX_COMPO!F:F,ROW(IDX_COMPO!R123)),"")</f>
        <v>VNXUTPRVND</v>
      </c>
      <c r="AA123" s="2" t="str">
        <f t="array" ref="AA123">IF(X123&lt;&gt;"",IF(SUMPRODUCT(--(X123=IDX_CA!$A$2:$A$1041),--(NXT_COMPO!Y123=IDX_CA!$C$2:$C$1041),--(Z123=IDX_CA!$B$2:$B$1041))&gt;0,IF(INDEX(IDX_CA!$I:$I,SUMPRODUCT(--(X123=IDX_CA!$A$2:$A$1041),--(NXT_COMPO!Y123=IDX_CA!$C$2:$C$1041),--(Z123=IDX_CA!$B$2:$B$1041),ROW(IDX_CA!$I$2:$I$1041)))=1,"YES","MODIFY"),""),"")</f>
        <v/>
      </c>
      <c r="AB123" s="5">
        <f>IF(X123&lt;&gt;"",IF(AA123="YES","",COUNTIF($AA$2:AA123,"&lt;&gt;YES")),"")</f>
        <v>122</v>
      </c>
      <c r="AC123" s="2"/>
    </row>
    <row r="124" spans="4:29" x14ac:dyDescent="0.2">
      <c r="D124" s="52">
        <f t="shared" si="13"/>
        <v>123</v>
      </c>
      <c r="E124" s="5" t="str">
        <f t="shared" si="17"/>
        <v>NT2</v>
      </c>
      <c r="F124" s="5" t="str">
        <f>IF($D124&lt;&gt;"",VLOOKUP($E124,STK_REF!$A$2:$J$1048576,2,0),"")</f>
        <v>VNX Power NhonTrach 2 Joint Stock Co</v>
      </c>
      <c r="G124" s="68">
        <f>IF($D124&lt;=$B$1-$B$2,IF(INDEX($AA$2:$AA$1048576,MATCH($D124,$AB$2:$AB$1048576,0))="MODIFY",INDEX(IDX_CA!$D$1:$D$1041,SUMPRODUCT(--($E124=IDX_CA!$A$2:$A$1041),--(NXT_COMPO!$P124=IDX_CA!$B$2:$B$1041),--(NXT_COMPO!$Q124=IDX_CA!$C$2:$C$1041),ROW(IDX_CA!$D$2:$D$1041))),INDEX(IDX_COMPO!$C$1:$C$12000,SUMPRODUCT(--($E124=IDX_COMPO!$A$2:$A$1200),--(NXT_COMPO!$P124=IDX_COMPO!$F$2:$F$1200),--(NXT_COMPO!$B$5=IDX_COMPO!$G$2:$G$1200),ROW(IDX_COMPO!$C$2:$C$1200)))),IF($D124&lt;=$B$4,INDEX(IDX_CA!$D$1:$D$1041,SUMPRODUCT(--($E124=IDX_CA!$A$2:$A$1041),--(NXT_COMPO!$P124=IDX_CA!$B$2:$B$1041),--(NXT_COMPO!$Q124=IDX_CA!$C$2:$C$1041),ROW(IDX_CA!$D$2:$D$1041))),""))</f>
        <v>756000000</v>
      </c>
      <c r="H124" s="55">
        <f>IF($D124&lt;=$B$1-$B$2,IF(INDEX($AA$2:$AA$1048576,MATCH($D124,$AB$2:$AB$1048576,0))="MODIFY",INDEX(IDX_CA!$E$1:$E$1041,SUMPRODUCT(--($E124=IDX_CA!$A$2:$A$1041),--(NXT_COMPO!$P124=IDX_CA!$B$2:$B$1041),--(NXT_COMPO!$Q124=IDX_CA!$C$2:$C$1041),ROW(IDX_CA!$E$2:$E$1041))),INDEX(IDX_COMPO!$D$1:$D$1200,SUMPRODUCT(--($E124=IDX_COMPO!$A$2:$A$1200),--(NXT_COMPO!$P124=IDX_COMPO!$F$2:$F$1200),--(NXT_COMPO!$B$5=IDX_COMPO!$G$2:$G$1200),ROW(IDX_COMPO!$D$2:$D$1200)))),IF($D124&lt;=$B$4,INDEX(IDX_CA!$E$1:$E$1041,SUMPRODUCT(--($E124=IDX_CA!$A$2:$A$1041),--(NXT_COMPO!$P124=IDX_CA!$B$2:$B$1041),--(NXT_COMPO!$Q124=IDX_CA!$C$2:$C$1041),ROW(IDX_CA!$E$2:$E$1041))),""))</f>
        <v>90</v>
      </c>
      <c r="I124" s="55">
        <f>IF($D124&lt;=$B$1-$B$2,IF(INDEX($AA$2:$AA$1048576,MATCH($D124,$AB$2:$AB$1048576,0))="MODIFY",INDEX(IDX_CA!$F$1:$F$1041,SUMPRODUCT(--($E124=IDX_CA!$A$2:$A$1041),--(NXT_COMPO!$P124=IDX_CA!$B$2:$B$1041),--(NXT_COMPO!$Q124=IDX_CA!$C$2:$C$1041),ROW(IDX_CA!$F$2:$F$1041))),INDEX(IDX_COMPO!$E$1:$E$1200,SUMPRODUCT(--($E124=IDX_COMPO!$A$2:$A$1200),--(NXT_COMPO!$P124=IDX_COMPO!$F$2:$F$1200),--(NXT_COMPO!$B$5=IDX_COMPO!$G$2:$G$1200),ROW(IDX_COMPO!$E$2:$E$1200)))),IF($D124&lt;=$B$4,INDEX(IDX_CA!$F$1:$F$1041,SUMPRODUCT(--($E124=IDX_CA!$A$2:$A$1041),--(NXT_COMPO!$P124=IDX_CA!$B$2:$B$1041),--(NXT_COMPO!$Q124=IDX_CA!$C$2:$C$1041),ROW(IDX_CA!$F$2:$F$1041))),""))</f>
        <v>90</v>
      </c>
      <c r="J124" s="62">
        <f>IF($D124&lt;=$B$1-$B$2,IF(INDEX($AA$2:$AA$1048576,MATCH($D124,$AB$2:$AB$1048576,0))="MODIFY",INDEX(IDX_CA!$G$1:$G$1041,SUMPRODUCT(--($E124=IDX_CA!$A$2:$A$1041),--(NXT_COMPO!$P124=IDX_CA!$B$2:$B$1041),--(NXT_COMPO!$Q124=IDX_CA!$C$2:$C$1041),ROW(IDX_CA!$G$2:$G$1041))),INDEX(IDX_COMPOSITION!$F$1:$F$441,SUMPRODUCT(--($E124=IDX_COMPOSITION!$A$2:$A$441),--(NXT_COMPO!$P124=IDX_COMPOSITION!$R$2:$R$441),--(NXT_COMPO!$B$5=IDX_COMPOSITION!$L$2:$L$441),ROW(IDX_COMPOSITION!$F$2:$F$441)))),IF($D124&lt;=$B$4,INDEX(IDX_CA!$G$1:$G$1041,SUMPRODUCT(--($E124=IDX_CA!$A$2:$A$1041),--(NXT_COMPO!$P124=IDX_CA!$B$2:$B$1041),--(NXT_COMPO!$Q124=IDX_CA!$C$2:$C$1041),ROW(IDX_CA!$G$2:$G$1041))),""))</f>
        <v>55000</v>
      </c>
      <c r="K124" s="63" t="str">
        <f>IF($D124&lt;&gt;"",VLOOKUP($E124,STK_REF!$A$2:$J$1048576,7,0),"")</f>
        <v>VND</v>
      </c>
      <c r="L124" s="5">
        <f>IF($D124&lt;&gt;"",VLOOKUP($E124,STK_REF!$A$2:$J$1048576,8,0),"")</f>
        <v>1</v>
      </c>
      <c r="M124" s="8">
        <f>IF($D124&lt;&gt;"",IF($K124=$U124,1,IF(ISNA(VLOOKUP($K124&amp;$U124,CUR_RATES!$A$2:$F$521,4,0)),"",VLOOKUP($K124&amp;$U124,CUR_RATES!$A$2:$F$521,4,0))),"")</f>
        <v>1</v>
      </c>
      <c r="N124" s="61">
        <f t="shared" si="18"/>
        <v>55000</v>
      </c>
      <c r="O124" s="68">
        <f t="shared" si="19"/>
        <v>33679800000000</v>
      </c>
      <c r="P124" s="5" t="str">
        <f t="shared" si="23"/>
        <v>VNX10PRVND</v>
      </c>
      <c r="Q124" s="75">
        <f t="shared" si="20"/>
        <v>41166</v>
      </c>
      <c r="R124" s="68" t="str">
        <f t="shared" si="21"/>
        <v/>
      </c>
      <c r="S124" s="61" t="str">
        <f t="shared" si="22"/>
        <v/>
      </c>
      <c r="T124" s="62" t="str">
        <f>IF(D124&lt;&gt;"",IF(SUMPRODUCT(--($E124=STK_DIV!$A$2:$A$5),--(NXT_COMPO!$Q124=STK_DIV!$E$2:$E$5),ROW(STK_DIV!$D$2:$D$5))=0,"",INDEX(STK_DIV!$D$1:$D$5,SUMPRODUCT(--($E124=STK_DIV!$A$2:$A$5),--(NXT_COMPO!$Q124=STK_DIV!$E$2:$E$5),ROW(STK_DIV!$D$2:$D$5)))),"")</f>
        <v/>
      </c>
      <c r="U124" s="54" t="str">
        <f>IF($D124&lt;&gt;"",VLOOKUP($P124,IDX_REF!$2:$1048576,4,0),"")</f>
        <v>VND</v>
      </c>
      <c r="W124" s="52" t="str">
        <f t="shared" si="24"/>
        <v/>
      </c>
      <c r="X124" s="5" t="str">
        <f>IF(ROW(X124)-ROW($X$1)&lt;=$B$1,INDEX(IDX_COMPO!A:A,ROW(IDX_COMPO!A124)),"")</f>
        <v/>
      </c>
      <c r="Y124" s="54" t="str">
        <f t="shared" si="25"/>
        <v/>
      </c>
      <c r="Z124" s="54" t="str">
        <f>IF(ROW(Z124)-ROW($Y$1)&lt;=$B$1,INDEX(IDX_COMPO!F:F,ROW(IDX_COMPO!R124)),"")</f>
        <v/>
      </c>
      <c r="AA124" s="2" t="str">
        <f t="array" ref="AA124">IF(X124&lt;&gt;"",IF(SUMPRODUCT(--(X124=IDX_CA!$A$2:$A$1041),--(NXT_COMPO!Y124=IDX_CA!$C$2:$C$1041),--(Z124=IDX_CA!$B$2:$B$1041))&gt;0,IF(INDEX(IDX_CA!$I:$I,SUMPRODUCT(--(X124=IDX_CA!$A$2:$A$1041),--(NXT_COMPO!Y124=IDX_CA!$C$2:$C$1041),--(Z124=IDX_CA!$B$2:$B$1041),ROW(IDX_CA!$I$2:$I$1041)))=1,"YES","MODIFY"),""),"")</f>
        <v/>
      </c>
      <c r="AB124" s="5" t="str">
        <f>IF(X124&lt;&gt;"",IF(AA124="YES","",COUNTIF($AA$2:AA124,"&lt;&gt;YES")),"")</f>
        <v/>
      </c>
      <c r="AC124" s="2"/>
    </row>
    <row r="125" spans="4:29" x14ac:dyDescent="0.2">
      <c r="D125" s="52">
        <f t="shared" si="13"/>
        <v>124</v>
      </c>
      <c r="E125" s="5" t="str">
        <f t="shared" si="17"/>
        <v>PTL</v>
      </c>
      <c r="F125" s="5" t="str">
        <f>IF($D125&lt;&gt;"",VLOOKUP($E125,STK_REF!$A$2:$J$1048576,2,0),"")</f>
        <v xml:space="preserve">Petro Capital and Infrastructure Investment Joint </v>
      </c>
      <c r="G125" s="68">
        <f>IF($D125&lt;=$B$1-$B$2,IF(INDEX($AA$2:$AA$1048576,MATCH($D125,$AB$2:$AB$1048576,0))="MODIFY",INDEX(IDX_CA!$D$1:$D$1041,SUMPRODUCT(--($E125=IDX_CA!$A$2:$A$1041),--(NXT_COMPO!$P125=IDX_CA!$B$2:$B$1041),--(NXT_COMPO!$Q125=IDX_CA!$C$2:$C$1041),ROW(IDX_CA!$D$2:$D$1041))),INDEX(IDX_COMPO!$C$1:$C$12000,SUMPRODUCT(--($E125=IDX_COMPO!$A$2:$A$1200),--(NXT_COMPO!$P125=IDX_COMPO!$F$2:$F$1200),--(NXT_COMPO!$B$5=IDX_COMPO!$G$2:$G$1200),ROW(IDX_COMPO!$C$2:$C$1200)))),IF($D125&lt;=$B$4,INDEX(IDX_CA!$D$1:$D$1041,SUMPRODUCT(--($E125=IDX_CA!$A$2:$A$1041),--(NXT_COMPO!$P125=IDX_CA!$B$2:$B$1041),--(NXT_COMPO!$Q125=IDX_CA!$C$2:$C$1041),ROW(IDX_CA!$D$2:$D$1041))),""))</f>
        <v>15000000</v>
      </c>
      <c r="H125" s="55">
        <f>IF($D125&lt;=$B$1-$B$2,IF(INDEX($AA$2:$AA$1048576,MATCH($D125,$AB$2:$AB$1048576,0))="MODIFY",INDEX(IDX_CA!$E$1:$E$1041,SUMPRODUCT(--($E125=IDX_CA!$A$2:$A$1041),--(NXT_COMPO!$P125=IDX_CA!$B$2:$B$1041),--(NXT_COMPO!$Q125=IDX_CA!$C$2:$C$1041),ROW(IDX_CA!$E$2:$E$1041))),INDEX(IDX_COMPO!$D$1:$D$1200,SUMPRODUCT(--($E125=IDX_COMPO!$A$2:$A$1200),--(NXT_COMPO!$P125=IDX_COMPO!$F$2:$F$1200),--(NXT_COMPO!$B$5=IDX_COMPO!$G$2:$G$1200),ROW(IDX_COMPO!$D$2:$D$1200)))),IF($D125&lt;=$B$4,INDEX(IDX_CA!$E$1:$E$1041,SUMPRODUCT(--($E125=IDX_CA!$A$2:$A$1041),--(NXT_COMPO!$P125=IDX_CA!$B$2:$B$1041),--(NXT_COMPO!$Q125=IDX_CA!$C$2:$C$1041),ROW(IDX_CA!$E$2:$E$1041))),""))</f>
        <v>100</v>
      </c>
      <c r="I125" s="55">
        <f>IF($D125&lt;=$B$1-$B$2,IF(INDEX($AA$2:$AA$1048576,MATCH($D125,$AB$2:$AB$1048576,0))="MODIFY",INDEX(IDX_CA!$F$1:$F$1041,SUMPRODUCT(--($E125=IDX_CA!$A$2:$A$1041),--(NXT_COMPO!$P125=IDX_CA!$B$2:$B$1041),--(NXT_COMPO!$Q125=IDX_CA!$C$2:$C$1041),ROW(IDX_CA!$F$2:$F$1041))),INDEX(IDX_COMPO!$E$1:$E$1200,SUMPRODUCT(--($E125=IDX_COMPO!$A$2:$A$1200),--(NXT_COMPO!$P125=IDX_COMPO!$F$2:$F$1200),--(NXT_COMPO!$B$5=IDX_COMPO!$G$2:$G$1200),ROW(IDX_COMPO!$E$2:$E$1200)))),IF($D125&lt;=$B$4,INDEX(IDX_CA!$F$1:$F$1041,SUMPRODUCT(--($E125=IDX_CA!$A$2:$A$1041),--(NXT_COMPO!$P125=IDX_CA!$B$2:$B$1041),--(NXT_COMPO!$Q125=IDX_CA!$C$2:$C$1041),ROW(IDX_CA!$F$2:$F$1041))),""))</f>
        <v>100</v>
      </c>
      <c r="J125" s="62">
        <f>IF($D125&lt;=$B$1-$B$2,IF(INDEX($AA$2:$AA$1048576,MATCH($D125,$AB$2:$AB$1048576,0))="MODIFY",INDEX(IDX_CA!$G$1:$G$1041,SUMPRODUCT(--($E125=IDX_CA!$A$2:$A$1041),--(NXT_COMPO!$P125=IDX_CA!$B$2:$B$1041),--(NXT_COMPO!$Q125=IDX_CA!$C$2:$C$1041),ROW(IDX_CA!$G$2:$G$1041))),INDEX(IDX_COMPOSITION!$F$1:$F$441,SUMPRODUCT(--($E125=IDX_COMPOSITION!$A$2:$A$441),--(NXT_COMPO!$P125=IDX_COMPOSITION!$R$2:$R$441),--(NXT_COMPO!$B$5=IDX_COMPOSITION!$L$2:$L$441),ROW(IDX_COMPOSITION!$F$2:$F$441)))),IF($D125&lt;=$B$4,INDEX(IDX_CA!$G$1:$G$1041,SUMPRODUCT(--($E125=IDX_CA!$A$2:$A$1041),--(NXT_COMPO!$P125=IDX_CA!$B$2:$B$1041),--(NXT_COMPO!$Q125=IDX_CA!$C$2:$C$1041),ROW(IDX_CA!$G$2:$G$1041))),""))</f>
        <v>38000</v>
      </c>
      <c r="K125" s="63" t="str">
        <f>IF($D125&lt;&gt;"",VLOOKUP($E125,STK_REF!$A$2:$J$1048576,7,0),"")</f>
        <v>VND</v>
      </c>
      <c r="L125" s="5">
        <f>IF($D125&lt;&gt;"",VLOOKUP($E125,STK_REF!$A$2:$J$1048576,8,0),"")</f>
        <v>1</v>
      </c>
      <c r="M125" s="8">
        <f>IF($D125&lt;&gt;"",IF($K125=$U125,1,IF(ISNA(VLOOKUP($K125&amp;$U125,CUR_RATES!$A$2:$F$521,4,0)),"",VLOOKUP($K125&amp;$U125,CUR_RATES!$A$2:$F$521,4,0))),"")</f>
        <v>1</v>
      </c>
      <c r="N125" s="61">
        <f t="shared" si="18"/>
        <v>38000</v>
      </c>
      <c r="O125" s="68">
        <f t="shared" si="19"/>
        <v>570000000000</v>
      </c>
      <c r="P125" s="5" t="str">
        <f t="shared" si="23"/>
        <v>VNX10PRVND</v>
      </c>
      <c r="Q125" s="75">
        <f t="shared" si="20"/>
        <v>41166</v>
      </c>
      <c r="R125" s="68" t="str">
        <f t="shared" si="21"/>
        <v/>
      </c>
      <c r="S125" s="61" t="str">
        <f t="shared" si="22"/>
        <v/>
      </c>
      <c r="T125" s="62" t="str">
        <f>IF(D125&lt;&gt;"",IF(SUMPRODUCT(--($E125=STK_DIV!$A$2:$A$5),--(NXT_COMPO!$Q125=STK_DIV!$E$2:$E$5),ROW(STK_DIV!$D$2:$D$5))=0,"",INDEX(STK_DIV!$D$1:$D$5,SUMPRODUCT(--($E125=STK_DIV!$A$2:$A$5),--(NXT_COMPO!$Q125=STK_DIV!$E$2:$E$5),ROW(STK_DIV!$D$2:$D$5)))),"")</f>
        <v/>
      </c>
      <c r="U125" s="54" t="str">
        <f>IF($D125&lt;&gt;"",VLOOKUP($P125,IDX_REF!$2:$1048576,4,0),"")</f>
        <v>VND</v>
      </c>
      <c r="W125" s="52" t="str">
        <f t="shared" si="24"/>
        <v/>
      </c>
      <c r="X125" s="5" t="str">
        <f>IF(ROW(X125)-ROW($X$1)&lt;=$B$1,INDEX(IDX_COMPO!A:A,ROW(IDX_COMPO!A125)),"")</f>
        <v/>
      </c>
      <c r="Y125" s="54" t="str">
        <f t="shared" si="25"/>
        <v/>
      </c>
      <c r="Z125" s="54" t="str">
        <f>IF(ROW(Z125)-ROW($Y$1)&lt;=$B$1,INDEX(IDX_COMPO!F:F,ROW(IDX_COMPO!R125)),"")</f>
        <v/>
      </c>
      <c r="AA125" s="2" t="str">
        <f t="array" ref="AA125">IF(X125&lt;&gt;"",IF(SUMPRODUCT(--(X125=IDX_CA!$A$2:$A$1041),--(NXT_COMPO!Y125=IDX_CA!$C$2:$C$1041),--(Z125=IDX_CA!$B$2:$B$1041))&gt;0,IF(INDEX(IDX_CA!$I:$I,SUMPRODUCT(--(X125=IDX_CA!$A$2:$A$1041),--(NXT_COMPO!Y125=IDX_CA!$C$2:$C$1041),--(Z125=IDX_CA!$B$2:$B$1041),ROW(IDX_CA!$I$2:$I$1041)))=1,"YES","MODIFY"),""),"")</f>
        <v/>
      </c>
      <c r="AB125" s="5" t="str">
        <f>IF(X125&lt;&gt;"",IF(AA125="YES","",COUNTIF($AA$2:AA125,"&lt;&gt;YES")),"")</f>
        <v/>
      </c>
      <c r="AC125" s="2"/>
    </row>
    <row r="126" spans="4:29" x14ac:dyDescent="0.2">
      <c r="D126" s="52" t="str">
        <f t="shared" si="13"/>
        <v/>
      </c>
      <c r="E126" s="5" t="str">
        <f t="shared" si="17"/>
        <v/>
      </c>
      <c r="F126" s="5" t="str">
        <f>IF($D126&lt;&gt;"",VLOOKUP($E126,STK_REF!$A$2:$J$1048576,2,0),"")</f>
        <v/>
      </c>
      <c r="G126" s="68" t="str">
        <f>IF($D126&lt;=$B$1-$B$2,IF(INDEX($AA$2:$AA$1048576,MATCH($D126,$AB$2:$AB$1048576,0))="MODIFY",INDEX(IDX_CA!$D$1:$D$1041,SUMPRODUCT(--($E126=IDX_CA!$A$2:$A$1041),--(NXT_COMPO!$P126=IDX_CA!$B$2:$B$1041),--(NXT_COMPO!$Q126=IDX_CA!$C$2:$C$1041),ROW(IDX_CA!$D$2:$D$1041))),INDEX(IDX_COMPO!$C$1:$C$12000,SUMPRODUCT(--($E126=IDX_COMPO!$A$2:$A$1200),--(NXT_COMPO!$P126=IDX_COMPO!$F$2:$F$1200),--(NXT_COMPO!$B$5=IDX_COMPO!$G$2:$G$1200),ROW(IDX_COMPO!$C$2:$C$1200)))),IF($D126&lt;=$B$4,INDEX(IDX_CA!$D$1:$D$1041,SUMPRODUCT(--($E126=IDX_CA!$A$2:$A$1041),--(NXT_COMPO!$P126=IDX_CA!$B$2:$B$1041),--(NXT_COMPO!$Q126=IDX_CA!$C$2:$C$1041),ROW(IDX_CA!$D$2:$D$1041))),""))</f>
        <v/>
      </c>
      <c r="H126" s="55" t="str">
        <f>IF($D126&lt;=$B$1-$B$2,IF(INDEX($AA$2:$AA$1048576,MATCH($D126,$AB$2:$AB$1048576,0))="MODIFY",INDEX(IDX_CA!$E$1:$E$1041,SUMPRODUCT(--($E126=IDX_CA!$A$2:$A$1041),--(NXT_COMPO!$P126=IDX_CA!$B$2:$B$1041),--(NXT_COMPO!$Q126=IDX_CA!$C$2:$C$1041),ROW(IDX_CA!$E$2:$E$1041))),INDEX(IDX_COMPO!$D$1:$D$1200,SUMPRODUCT(--($E126=IDX_COMPO!$A$2:$A$1200),--(NXT_COMPO!$P126=IDX_COMPO!$F$2:$F$1200),--(NXT_COMPO!$B$5=IDX_COMPO!$G$2:$G$1200),ROW(IDX_COMPO!$D$2:$D$1200)))),IF($D126&lt;=$B$4,INDEX(IDX_CA!$E$1:$E$1041,SUMPRODUCT(--($E126=IDX_CA!$A$2:$A$1041),--(NXT_COMPO!$P126=IDX_CA!$B$2:$B$1041),--(NXT_COMPO!$Q126=IDX_CA!$C$2:$C$1041),ROW(IDX_CA!$E$2:$E$1041))),""))</f>
        <v/>
      </c>
      <c r="I126" s="55" t="str">
        <f>IF($D126&lt;=$B$1-$B$2,IF(INDEX($AA$2:$AA$1048576,MATCH($D126,$AB$2:$AB$1048576,0))="MODIFY",INDEX(IDX_CA!$F$1:$F$1041,SUMPRODUCT(--($E126=IDX_CA!$A$2:$A$1041),--(NXT_COMPO!$P126=IDX_CA!$B$2:$B$1041),--(NXT_COMPO!$Q126=IDX_CA!$C$2:$C$1041),ROW(IDX_CA!$F$2:$F$1041))),INDEX(IDX_COMPO!$E$1:$E$1200,SUMPRODUCT(--($E126=IDX_COMPO!$A$2:$A$1200),--(NXT_COMPO!$P126=IDX_COMPO!$F$2:$F$1200),--(NXT_COMPO!$B$5=IDX_COMPO!$G$2:$G$1200),ROW(IDX_COMPO!$E$2:$E$1200)))),IF($D126&lt;=$B$4,INDEX(IDX_CA!$F$1:$F$1041,SUMPRODUCT(--($E126=IDX_CA!$A$2:$A$1041),--(NXT_COMPO!$P126=IDX_CA!$B$2:$B$1041),--(NXT_COMPO!$Q126=IDX_CA!$C$2:$C$1041),ROW(IDX_CA!$F$2:$F$1041))),""))</f>
        <v/>
      </c>
      <c r="J126" s="62" t="str">
        <f>IF($D126&lt;=$B$1-$B$2,IF(INDEX($AA$2:$AA$1048576,MATCH($D126,$AB$2:$AB$1048576,0))="MODIFY",INDEX(IDX_CA!$G$1:$G$1041,SUMPRODUCT(--($E126=IDX_CA!$A$2:$A$1041),--(NXT_COMPO!$P126=IDX_CA!$B$2:$B$1041),--(NXT_COMPO!$Q126=IDX_CA!$C$2:$C$1041),ROW(IDX_CA!$G$2:$G$1041))),INDEX(IDX_COMPOSITION!$F$1:$F$441,SUMPRODUCT(--($E126=IDX_COMPOSITION!$A$2:$A$441),--(NXT_COMPO!$P126=IDX_COMPOSITION!$R$2:$R$441),--(NXT_COMPO!$B$5=IDX_COMPOSITION!$L$2:$L$441),ROW(IDX_COMPOSITION!$F$2:$F$441)))),IF($D126&lt;=$B$4,INDEX(IDX_CA!$G$1:$G$1041,SUMPRODUCT(--($E126=IDX_CA!$A$2:$A$1041),--(NXT_COMPO!$P126=IDX_CA!$B$2:$B$1041),--(NXT_COMPO!$Q126=IDX_CA!$C$2:$C$1041),ROW(IDX_CA!$G$2:$G$1041))),""))</f>
        <v/>
      </c>
      <c r="K126" s="63" t="str">
        <f>IF($D126&lt;&gt;"",VLOOKUP($E126,STK_REF!$A$2:$J$1048576,7,0),"")</f>
        <v/>
      </c>
      <c r="L126" s="5" t="str">
        <f>IF($D126&lt;&gt;"",VLOOKUP($E126,STK_REF!$A$2:$J$1048576,8,0),"")</f>
        <v/>
      </c>
      <c r="M126" s="8" t="str">
        <f>IF($D126&lt;&gt;"",IF($K126=$U126,1,IF(ISNA(VLOOKUP($K126&amp;$U126,CUR_RATES!$A$2:$F$521,4,0)),"",VLOOKUP($K126&amp;$U126,CUR_RATES!$A$2:$F$521,4,0))),"")</f>
        <v/>
      </c>
      <c r="N126" s="61" t="str">
        <f t="shared" si="18"/>
        <v/>
      </c>
      <c r="O126" s="68" t="str">
        <f t="shared" si="19"/>
        <v/>
      </c>
      <c r="P126" s="5" t="str">
        <f t="shared" si="23"/>
        <v/>
      </c>
      <c r="Q126" s="54" t="str">
        <f t="shared" si="20"/>
        <v/>
      </c>
      <c r="R126" s="68" t="str">
        <f t="shared" si="21"/>
        <v/>
      </c>
      <c r="S126" s="61" t="str">
        <f t="shared" si="22"/>
        <v/>
      </c>
      <c r="T126" s="62" t="str">
        <f>IF(D126&lt;&gt;"",IF(SUMPRODUCT(--($E126=STK_DIV!$A$2:$A$5),--(NXT_COMPO!$Q126=STK_DIV!$E$2:$E$5),ROW(STK_DIV!$D$2:$D$5))=0,"",INDEX(STK_DIV!$D$1:$D$5,SUMPRODUCT(--($E126=STK_DIV!$A$2:$A$5),--(NXT_COMPO!$Q126=STK_DIV!$E$2:$E$5),ROW(STK_DIV!$D$2:$D$5)))),"")</f>
        <v/>
      </c>
      <c r="U126" s="54" t="str">
        <f>IF($D126&lt;&gt;"",VLOOKUP($P126,IDX_REF!$2:$1048576,4,0),"")</f>
        <v/>
      </c>
      <c r="W126" s="52" t="str">
        <f t="shared" si="24"/>
        <v/>
      </c>
      <c r="X126" s="5" t="str">
        <f>IF(ROW(X126)-ROW($X$1)&lt;=$B$1,INDEX(IDX_COMPO!A:A,ROW(IDX_COMPO!A126)),"")</f>
        <v/>
      </c>
      <c r="Y126" s="54" t="str">
        <f t="shared" si="25"/>
        <v/>
      </c>
      <c r="Z126" s="54" t="str">
        <f>IF(ROW(Z126)-ROW($Y$1)&lt;=$B$1,INDEX(IDX_COMPO!F:F,ROW(IDX_COMPO!R126)),"")</f>
        <v/>
      </c>
      <c r="AA126" s="2" t="str">
        <f t="array" ref="AA126">IF(X126&lt;&gt;"",IF(SUMPRODUCT(--(X126=IDX_CA!$A$2:$A$1041),--(NXT_COMPO!Y126=IDX_CA!$C$2:$C$1041),--(Z126=IDX_CA!$B$2:$B$1041))&gt;0,IF(INDEX(IDX_CA!$I:$I,SUMPRODUCT(--(X126=IDX_CA!$A$2:$A$1041),--(NXT_COMPO!Y126=IDX_CA!$C$2:$C$1041),--(Z126=IDX_CA!$B$2:$B$1041),ROW(IDX_CA!$I$2:$I$1041)))=1,"YES","MODIFY"),""),"")</f>
        <v/>
      </c>
      <c r="AB126" s="5" t="str">
        <f>IF(X126&lt;&gt;"",IF(AA126="YES","",COUNTIF($AA$2:AA126,"&lt;&gt;YES")),"")</f>
        <v/>
      </c>
      <c r="AC126" s="2"/>
    </row>
    <row r="127" spans="4:29" x14ac:dyDescent="0.2">
      <c r="D127" s="52" t="str">
        <f t="shared" si="13"/>
        <v/>
      </c>
      <c r="E127" s="5" t="str">
        <f t="shared" si="17"/>
        <v/>
      </c>
      <c r="F127" s="5" t="str">
        <f>IF($D127&lt;&gt;"",VLOOKUP($E127,STK_REF!$A$2:$J$1048576,2,0),"")</f>
        <v/>
      </c>
      <c r="G127" s="68" t="str">
        <f>IF($D127&lt;=$B$1-$B$2,IF(INDEX($AA$2:$AA$1048576,MATCH($D127,$AB$2:$AB$1048576,0))="MODIFY",INDEX(IDX_CA!$D$1:$D$1041,SUMPRODUCT(--($E127=IDX_CA!$A$2:$A$1041),--(NXT_COMPO!$P127=IDX_CA!$B$2:$B$1041),--(NXT_COMPO!$Q127=IDX_CA!$C$2:$C$1041),ROW(IDX_CA!$D$2:$D$1041))),INDEX(IDX_COMPO!$C$1:$C$12000,SUMPRODUCT(--($E127=IDX_COMPO!$A$2:$A$1200),--(NXT_COMPO!$P127=IDX_COMPO!$F$2:$F$1200),--(NXT_COMPO!$B$5=IDX_COMPO!$G$2:$G$1200),ROW(IDX_COMPO!$C$2:$C$1200)))),IF($D127&lt;=$B$4,INDEX(IDX_CA!$D$1:$D$1041,SUMPRODUCT(--($E127=IDX_CA!$A$2:$A$1041),--(NXT_COMPO!$P127=IDX_CA!$B$2:$B$1041),--(NXT_COMPO!$Q127=IDX_CA!$C$2:$C$1041),ROW(IDX_CA!$D$2:$D$1041))),""))</f>
        <v/>
      </c>
      <c r="H127" s="55" t="str">
        <f>IF($D127&lt;=$B$1-$B$2,IF(INDEX($AA$2:$AA$1048576,MATCH($D127,$AB$2:$AB$1048576,0))="MODIFY",INDEX(IDX_CA!$E$1:$E$1041,SUMPRODUCT(--($E127=IDX_CA!$A$2:$A$1041),--(NXT_COMPO!$P127=IDX_CA!$B$2:$B$1041),--(NXT_COMPO!$Q127=IDX_CA!$C$2:$C$1041),ROW(IDX_CA!$E$2:$E$1041))),INDEX(IDX_COMPO!$D$1:$D$1200,SUMPRODUCT(--($E127=IDX_COMPO!$A$2:$A$1200),--(NXT_COMPO!$P127=IDX_COMPO!$F$2:$F$1200),--(NXT_COMPO!$B$5=IDX_COMPO!$G$2:$G$1200),ROW(IDX_COMPO!$D$2:$D$1200)))),IF($D127&lt;=$B$4,INDEX(IDX_CA!$E$1:$E$1041,SUMPRODUCT(--($E127=IDX_CA!$A$2:$A$1041),--(NXT_COMPO!$P127=IDX_CA!$B$2:$B$1041),--(NXT_COMPO!$Q127=IDX_CA!$C$2:$C$1041),ROW(IDX_CA!$E$2:$E$1041))),""))</f>
        <v/>
      </c>
      <c r="I127" s="55" t="str">
        <f>IF($D127&lt;=$B$1-$B$2,IF(INDEX($AA$2:$AA$1048576,MATCH($D127,$AB$2:$AB$1048576,0))="MODIFY",INDEX(IDX_CA!$F$1:$F$1041,SUMPRODUCT(--($E127=IDX_CA!$A$2:$A$1041),--(NXT_COMPO!$P127=IDX_CA!$B$2:$B$1041),--(NXT_COMPO!$Q127=IDX_CA!$C$2:$C$1041),ROW(IDX_CA!$F$2:$F$1041))),INDEX(IDX_COMPO!$E$1:$E$1200,SUMPRODUCT(--($E127=IDX_COMPO!$A$2:$A$1200),--(NXT_COMPO!$P127=IDX_COMPO!$F$2:$F$1200),--(NXT_COMPO!$B$5=IDX_COMPO!$G$2:$G$1200),ROW(IDX_COMPO!$E$2:$E$1200)))),IF($D127&lt;=$B$4,INDEX(IDX_CA!$F$1:$F$1041,SUMPRODUCT(--($E127=IDX_CA!$A$2:$A$1041),--(NXT_COMPO!$P127=IDX_CA!$B$2:$B$1041),--(NXT_COMPO!$Q127=IDX_CA!$C$2:$C$1041),ROW(IDX_CA!$F$2:$F$1041))),""))</f>
        <v/>
      </c>
      <c r="J127" s="62" t="str">
        <f>IF($D127&lt;=$B$1-$B$2,IF(INDEX($AA$2:$AA$1048576,MATCH($D127,$AB$2:$AB$1048576,0))="MODIFY",INDEX(IDX_CA!$G$1:$G$1041,SUMPRODUCT(--($E127=IDX_CA!$A$2:$A$1041),--(NXT_COMPO!$P127=IDX_CA!$B$2:$B$1041),--(NXT_COMPO!$Q127=IDX_CA!$C$2:$C$1041),ROW(IDX_CA!$G$2:$G$1041))),INDEX(IDX_COMPOSITION!$F$1:$F$441,SUMPRODUCT(--($E127=IDX_COMPOSITION!$A$2:$A$441),--(NXT_COMPO!$P127=IDX_COMPOSITION!$R$2:$R$441),--(NXT_COMPO!$B$5=IDX_COMPOSITION!$L$2:$L$441),ROW(IDX_COMPOSITION!$F$2:$F$441)))),IF($D127&lt;=$B$4,INDEX(IDX_CA!$G$1:$G$1041,SUMPRODUCT(--($E127=IDX_CA!$A$2:$A$1041),--(NXT_COMPO!$P127=IDX_CA!$B$2:$B$1041),--(NXT_COMPO!$Q127=IDX_CA!$C$2:$C$1041),ROW(IDX_CA!$G$2:$G$1041))),""))</f>
        <v/>
      </c>
      <c r="K127" s="63" t="str">
        <f>IF($D127&lt;&gt;"",VLOOKUP($E127,STK_REF!$A$2:$J$1048576,7,0),"")</f>
        <v/>
      </c>
      <c r="L127" s="5" t="str">
        <f>IF($D127&lt;&gt;"",VLOOKUP($E127,STK_REF!$A$2:$J$1048576,8,0),"")</f>
        <v/>
      </c>
      <c r="M127" s="8" t="str">
        <f>IF($D127&lt;&gt;"",IF($K127=$U127,1,IF(ISNA(VLOOKUP($K127&amp;$U127,CUR_RATES!$A$2:$F$521,4,0)),"",VLOOKUP($K127&amp;$U127,CUR_RATES!$A$2:$F$521,4,0))),"")</f>
        <v/>
      </c>
      <c r="N127" s="61" t="str">
        <f t="shared" si="18"/>
        <v/>
      </c>
      <c r="O127" s="68" t="str">
        <f t="shared" si="19"/>
        <v/>
      </c>
      <c r="P127" s="5" t="str">
        <f t="shared" si="23"/>
        <v/>
      </c>
      <c r="Q127" s="54" t="str">
        <f t="shared" si="20"/>
        <v/>
      </c>
      <c r="R127" s="68" t="str">
        <f t="shared" si="21"/>
        <v/>
      </c>
      <c r="S127" s="61" t="str">
        <f t="shared" si="22"/>
        <v/>
      </c>
      <c r="T127" s="62" t="str">
        <f>IF(D127&lt;&gt;"",IF(SUMPRODUCT(--($E127=STK_DIV!$A$2:$A$5),--(NXT_COMPO!$Q127=STK_DIV!$E$2:$E$5),ROW(STK_DIV!$D$2:$D$5))=0,"",INDEX(STK_DIV!$D$1:$D$5,SUMPRODUCT(--($E127=STK_DIV!$A$2:$A$5),--(NXT_COMPO!$Q127=STK_DIV!$E$2:$E$5),ROW(STK_DIV!$D$2:$D$5)))),"")</f>
        <v/>
      </c>
      <c r="U127" s="54" t="str">
        <f>IF($D127&lt;&gt;"",VLOOKUP($P127,IDX_REF!$2:$1048576,4,0),"")</f>
        <v/>
      </c>
      <c r="W127" s="52" t="str">
        <f t="shared" si="24"/>
        <v/>
      </c>
      <c r="X127" s="5" t="str">
        <f>IF(ROW(X127)-ROW($X$1)&lt;=$B$1,INDEX(IDX_COMPO!A:A,ROW(IDX_COMPO!A127)),"")</f>
        <v/>
      </c>
      <c r="Y127" s="54" t="str">
        <f t="shared" si="25"/>
        <v/>
      </c>
      <c r="Z127" s="54" t="str">
        <f>IF(ROW(Z127)-ROW($Y$1)&lt;=$B$1,INDEX(IDX_COMPO!F:F,ROW(IDX_COMPO!R127)),"")</f>
        <v/>
      </c>
      <c r="AA127" s="2" t="str">
        <f t="array" ref="AA127">IF(X127&lt;&gt;"",IF(SUMPRODUCT(--(X127=IDX_CA!$A$2:$A$1041),--(NXT_COMPO!Y127=IDX_CA!$C$2:$C$1041),--(Z127=IDX_CA!$B$2:$B$1041))&gt;0,IF(INDEX(IDX_CA!$I:$I,SUMPRODUCT(--(X127=IDX_CA!$A$2:$A$1041),--(NXT_COMPO!Y127=IDX_CA!$C$2:$C$1041),--(Z127=IDX_CA!$B$2:$B$1041),ROW(IDX_CA!$I$2:$I$1041)))=1,"YES","MODIFY"),""),"")</f>
        <v/>
      </c>
      <c r="AB127" s="5" t="str">
        <f>IF(X127&lt;&gt;"",IF(AA127="YES","",COUNTIF($AA$2:AA127,"&lt;&gt;YES")),"")</f>
        <v/>
      </c>
      <c r="AC127" s="2"/>
    </row>
    <row r="128" spans="4:29" x14ac:dyDescent="0.2">
      <c r="D128" s="52" t="str">
        <f t="shared" si="13"/>
        <v/>
      </c>
      <c r="E128" s="5" t="str">
        <f t="shared" si="17"/>
        <v/>
      </c>
      <c r="F128" s="5" t="str">
        <f>IF($D128&lt;&gt;"",VLOOKUP($E128,STK_REF!$A$2:$J$1048576,2,0),"")</f>
        <v/>
      </c>
      <c r="G128" s="68" t="str">
        <f>IF($D128&lt;=$B$1-$B$2,IF(INDEX($AA$2:$AA$1048576,MATCH($D128,$AB$2:$AB$1048576,0))="MODIFY",INDEX(IDX_CA!$D$1:$D$1041,SUMPRODUCT(--($E128=IDX_CA!$A$2:$A$1041),--(NXT_COMPO!$P128=IDX_CA!$B$2:$B$1041),--(NXT_COMPO!$Q128=IDX_CA!$C$2:$C$1041),ROW(IDX_CA!$D$2:$D$1041))),INDEX(IDX_COMPO!$C$1:$C$12000,SUMPRODUCT(--($E128=IDX_COMPO!$A$2:$A$1200),--(NXT_COMPO!$P128=IDX_COMPO!$F$2:$F$1200),--(NXT_COMPO!$B$5=IDX_COMPO!$G$2:$G$1200),ROW(IDX_COMPO!$C$2:$C$1200)))),IF($D128&lt;=$B$4,INDEX(IDX_CA!$D$1:$D$1041,SUMPRODUCT(--($E128=IDX_CA!$A$2:$A$1041),--(NXT_COMPO!$P128=IDX_CA!$B$2:$B$1041),--(NXT_COMPO!$Q128=IDX_CA!$C$2:$C$1041),ROW(IDX_CA!$D$2:$D$1041))),""))</f>
        <v/>
      </c>
      <c r="H128" s="55" t="str">
        <f>IF($D128&lt;=$B$1-$B$2,IF(INDEX($AA$2:$AA$1048576,MATCH($D128,$AB$2:$AB$1048576,0))="MODIFY",INDEX(IDX_CA!$E$1:$E$1041,SUMPRODUCT(--($E128=IDX_CA!$A$2:$A$1041),--(NXT_COMPO!$P128=IDX_CA!$B$2:$B$1041),--(NXT_COMPO!$Q128=IDX_CA!$C$2:$C$1041),ROW(IDX_CA!$E$2:$E$1041))),INDEX(IDX_COMPO!$D$1:$D$1200,SUMPRODUCT(--($E128=IDX_COMPO!$A$2:$A$1200),--(NXT_COMPO!$P128=IDX_COMPO!$F$2:$F$1200),--(NXT_COMPO!$B$5=IDX_COMPO!$G$2:$G$1200),ROW(IDX_COMPO!$D$2:$D$1200)))),IF($D128&lt;=$B$4,INDEX(IDX_CA!$E$1:$E$1041,SUMPRODUCT(--($E128=IDX_CA!$A$2:$A$1041),--(NXT_COMPO!$P128=IDX_CA!$B$2:$B$1041),--(NXT_COMPO!$Q128=IDX_CA!$C$2:$C$1041),ROW(IDX_CA!$E$2:$E$1041))),""))</f>
        <v/>
      </c>
      <c r="I128" s="55" t="str">
        <f>IF($D128&lt;=$B$1-$B$2,IF(INDEX($AA$2:$AA$1048576,MATCH($D128,$AB$2:$AB$1048576,0))="MODIFY",INDEX(IDX_CA!$F$1:$F$1041,SUMPRODUCT(--($E128=IDX_CA!$A$2:$A$1041),--(NXT_COMPO!$P128=IDX_CA!$B$2:$B$1041),--(NXT_COMPO!$Q128=IDX_CA!$C$2:$C$1041),ROW(IDX_CA!$F$2:$F$1041))),INDEX(IDX_COMPO!$E$1:$E$1200,SUMPRODUCT(--($E128=IDX_COMPO!$A$2:$A$1200),--(NXT_COMPO!$P128=IDX_COMPO!$F$2:$F$1200),--(NXT_COMPO!$B$5=IDX_COMPO!$G$2:$G$1200),ROW(IDX_COMPO!$E$2:$E$1200)))),IF($D128&lt;=$B$4,INDEX(IDX_CA!$F$1:$F$1041,SUMPRODUCT(--($E128=IDX_CA!$A$2:$A$1041),--(NXT_COMPO!$P128=IDX_CA!$B$2:$B$1041),--(NXT_COMPO!$Q128=IDX_CA!$C$2:$C$1041),ROW(IDX_CA!$F$2:$F$1041))),""))</f>
        <v/>
      </c>
      <c r="J128" s="62" t="str">
        <f>IF($D128&lt;=$B$1-$B$2,IF(INDEX($AA$2:$AA$1048576,MATCH($D128,$AB$2:$AB$1048576,0))="MODIFY",INDEX(IDX_CA!$G$1:$G$1041,SUMPRODUCT(--($E128=IDX_CA!$A$2:$A$1041),--(NXT_COMPO!$P128=IDX_CA!$B$2:$B$1041),--(NXT_COMPO!$Q128=IDX_CA!$C$2:$C$1041),ROW(IDX_CA!$G$2:$G$1041))),INDEX(IDX_COMPOSITION!$F$1:$F$441,SUMPRODUCT(--($E128=IDX_COMPOSITION!$A$2:$A$441),--(NXT_COMPO!$P128=IDX_COMPOSITION!$R$2:$R$441),--(NXT_COMPO!$B$5=IDX_COMPOSITION!$L$2:$L$441),ROW(IDX_COMPOSITION!$F$2:$F$441)))),IF($D128&lt;=$B$4,INDEX(IDX_CA!$G$1:$G$1041,SUMPRODUCT(--($E128=IDX_CA!$A$2:$A$1041),--(NXT_COMPO!$P128=IDX_CA!$B$2:$B$1041),--(NXT_COMPO!$Q128=IDX_CA!$C$2:$C$1041),ROW(IDX_CA!$G$2:$G$1041))),""))</f>
        <v/>
      </c>
      <c r="K128" s="63" t="str">
        <f>IF($D128&lt;&gt;"",VLOOKUP($E128,STK_REF!$A$2:$J$1048576,7,0),"")</f>
        <v/>
      </c>
      <c r="L128" s="5" t="str">
        <f>IF($D128&lt;&gt;"",VLOOKUP($E128,STK_REF!$A$2:$J$1048576,8,0),"")</f>
        <v/>
      </c>
      <c r="M128" s="8" t="str">
        <f>IF($D128&lt;&gt;"",IF($K128=$U128,1,IF(ISNA(VLOOKUP($K128&amp;$U128,CUR_RATES!$A$2:$F$521,4,0)),"",VLOOKUP($K128&amp;$U128,CUR_RATES!$A$2:$F$521,4,0))),"")</f>
        <v/>
      </c>
      <c r="N128" s="61" t="str">
        <f t="shared" si="18"/>
        <v/>
      </c>
      <c r="O128" s="68" t="str">
        <f t="shared" si="19"/>
        <v/>
      </c>
      <c r="P128" s="5" t="str">
        <f t="shared" si="23"/>
        <v/>
      </c>
      <c r="Q128" s="54" t="str">
        <f t="shared" si="20"/>
        <v/>
      </c>
      <c r="R128" s="68" t="str">
        <f t="shared" si="21"/>
        <v/>
      </c>
      <c r="S128" s="61" t="str">
        <f t="shared" si="22"/>
        <v/>
      </c>
      <c r="T128" s="62" t="str">
        <f>IF(D128&lt;&gt;"",IF(SUMPRODUCT(--($E128=STK_DIV!$A$2:$A$5),--(NXT_COMPO!$Q128=STK_DIV!$E$2:$E$5),ROW(STK_DIV!$D$2:$D$5))=0,"",INDEX(STK_DIV!$D$1:$D$5,SUMPRODUCT(--($E128=STK_DIV!$A$2:$A$5),--(NXT_COMPO!$Q128=STK_DIV!$E$2:$E$5),ROW(STK_DIV!$D$2:$D$5)))),"")</f>
        <v/>
      </c>
      <c r="U128" s="54" t="str">
        <f>IF($D128&lt;&gt;"",VLOOKUP($P128,IDX_REF!$2:$1048576,4,0),"")</f>
        <v/>
      </c>
      <c r="W128" s="52" t="str">
        <f t="shared" si="24"/>
        <v/>
      </c>
      <c r="X128" s="5" t="str">
        <f>IF(ROW(X128)-ROW($X$1)&lt;=$B$1,INDEX(IDX_COMPO!A:A,ROW(IDX_COMPO!A128)),"")</f>
        <v/>
      </c>
      <c r="Y128" s="54" t="str">
        <f t="shared" si="25"/>
        <v/>
      </c>
      <c r="Z128" s="54" t="str">
        <f>IF(ROW(Z128)-ROW($Y$1)&lt;=$B$1,INDEX(IDX_COMPO!F:F,ROW(IDX_COMPO!R128)),"")</f>
        <v/>
      </c>
      <c r="AA128" s="2" t="str">
        <f t="array" ref="AA128">IF(X128&lt;&gt;"",IF(SUMPRODUCT(--(X128=IDX_CA!$A$2:$A$1041),--(NXT_COMPO!Y128=IDX_CA!$C$2:$C$1041),--(Z128=IDX_CA!$B$2:$B$1041))&gt;0,IF(INDEX(IDX_CA!$I:$I,SUMPRODUCT(--(X128=IDX_CA!$A$2:$A$1041),--(NXT_COMPO!Y128=IDX_CA!$C$2:$C$1041),--(Z128=IDX_CA!$B$2:$B$1041),ROW(IDX_CA!$I$2:$I$1041)))=1,"YES","MODIFY"),""),"")</f>
        <v/>
      </c>
      <c r="AB128" s="5" t="str">
        <f>IF(X128&lt;&gt;"",IF(AA128="YES","",COUNTIF($AA$2:AA128,"&lt;&gt;YES")),"")</f>
        <v/>
      </c>
      <c r="AC128" s="2"/>
    </row>
    <row r="129" spans="4:29" x14ac:dyDescent="0.2">
      <c r="D129" s="52" t="str">
        <f t="shared" si="13"/>
        <v/>
      </c>
      <c r="E129" s="5" t="str">
        <f t="shared" si="17"/>
        <v/>
      </c>
      <c r="F129" s="5" t="str">
        <f>IF($D129&lt;&gt;"",VLOOKUP($E129,STK_REF!$A$2:$J$1048576,2,0),"")</f>
        <v/>
      </c>
      <c r="G129" s="68" t="str">
        <f>IF($D129&lt;=$B$1-$B$2,IF(INDEX($AA$2:$AA$1048576,MATCH($D129,$AB$2:$AB$1048576,0))="MODIFY",INDEX(IDX_CA!$D$1:$D$1041,SUMPRODUCT(--($E129=IDX_CA!$A$2:$A$1041),--(NXT_COMPO!$P129=IDX_CA!$B$2:$B$1041),--(NXT_COMPO!$Q129=IDX_CA!$C$2:$C$1041),ROW(IDX_CA!$D$2:$D$1041))),INDEX(IDX_COMPO!$C$1:$C$12000,SUMPRODUCT(--($E129=IDX_COMPO!$A$2:$A$1200),--(NXT_COMPO!$P129=IDX_COMPO!$F$2:$F$1200),--(NXT_COMPO!$B$5=IDX_COMPO!$G$2:$G$1200),ROW(IDX_COMPO!$C$2:$C$1200)))),IF($D129&lt;=$B$4,INDEX(IDX_CA!$D$1:$D$1041,SUMPRODUCT(--($E129=IDX_CA!$A$2:$A$1041),--(NXT_COMPO!$P129=IDX_CA!$B$2:$B$1041),--(NXT_COMPO!$Q129=IDX_CA!$C$2:$C$1041),ROW(IDX_CA!$D$2:$D$1041))),""))</f>
        <v/>
      </c>
      <c r="H129" s="55" t="str">
        <f>IF($D129&lt;=$B$1-$B$2,IF(INDEX($AA$2:$AA$1048576,MATCH($D129,$AB$2:$AB$1048576,0))="MODIFY",INDEX(IDX_CA!$E$1:$E$1041,SUMPRODUCT(--($E129=IDX_CA!$A$2:$A$1041),--(NXT_COMPO!$P129=IDX_CA!$B$2:$B$1041),--(NXT_COMPO!$Q129=IDX_CA!$C$2:$C$1041),ROW(IDX_CA!$E$2:$E$1041))),INDEX(IDX_COMPO!$D$1:$D$1200,SUMPRODUCT(--($E129=IDX_COMPO!$A$2:$A$1200),--(NXT_COMPO!$P129=IDX_COMPO!$F$2:$F$1200),--(NXT_COMPO!$B$5=IDX_COMPO!$G$2:$G$1200),ROW(IDX_COMPO!$D$2:$D$1200)))),IF($D129&lt;=$B$4,INDEX(IDX_CA!$E$1:$E$1041,SUMPRODUCT(--($E129=IDX_CA!$A$2:$A$1041),--(NXT_COMPO!$P129=IDX_CA!$B$2:$B$1041),--(NXT_COMPO!$Q129=IDX_CA!$C$2:$C$1041),ROW(IDX_CA!$E$2:$E$1041))),""))</f>
        <v/>
      </c>
      <c r="I129" s="55" t="str">
        <f>IF($D129&lt;=$B$1-$B$2,IF(INDEX($AA$2:$AA$1048576,MATCH($D129,$AB$2:$AB$1048576,0))="MODIFY",INDEX(IDX_CA!$F$1:$F$1041,SUMPRODUCT(--($E129=IDX_CA!$A$2:$A$1041),--(NXT_COMPO!$P129=IDX_CA!$B$2:$B$1041),--(NXT_COMPO!$Q129=IDX_CA!$C$2:$C$1041),ROW(IDX_CA!$F$2:$F$1041))),INDEX(IDX_COMPO!$E$1:$E$1200,SUMPRODUCT(--($E129=IDX_COMPO!$A$2:$A$1200),--(NXT_COMPO!$P129=IDX_COMPO!$F$2:$F$1200),--(NXT_COMPO!$B$5=IDX_COMPO!$G$2:$G$1200),ROW(IDX_COMPO!$E$2:$E$1200)))),IF($D129&lt;=$B$4,INDEX(IDX_CA!$F$1:$F$1041,SUMPRODUCT(--($E129=IDX_CA!$A$2:$A$1041),--(NXT_COMPO!$P129=IDX_CA!$B$2:$B$1041),--(NXT_COMPO!$Q129=IDX_CA!$C$2:$C$1041),ROW(IDX_CA!$F$2:$F$1041))),""))</f>
        <v/>
      </c>
      <c r="J129" s="62" t="str">
        <f>IF($D129&lt;=$B$1-$B$2,IF(INDEX($AA$2:$AA$1048576,MATCH($D129,$AB$2:$AB$1048576,0))="MODIFY",INDEX(IDX_CA!$G$1:$G$1041,SUMPRODUCT(--($E129=IDX_CA!$A$2:$A$1041),--(NXT_COMPO!$P129=IDX_CA!$B$2:$B$1041),--(NXT_COMPO!$Q129=IDX_CA!$C$2:$C$1041),ROW(IDX_CA!$G$2:$G$1041))),INDEX(IDX_COMPOSITION!$F$1:$F$441,SUMPRODUCT(--($E129=IDX_COMPOSITION!$A$2:$A$441),--(NXT_COMPO!$P129=IDX_COMPOSITION!$R$2:$R$441),--(NXT_COMPO!$B$5=IDX_COMPOSITION!$L$2:$L$441),ROW(IDX_COMPOSITION!$F$2:$F$441)))),IF($D129&lt;=$B$4,INDEX(IDX_CA!$G$1:$G$1041,SUMPRODUCT(--($E129=IDX_CA!$A$2:$A$1041),--(NXT_COMPO!$P129=IDX_CA!$B$2:$B$1041),--(NXT_COMPO!$Q129=IDX_CA!$C$2:$C$1041),ROW(IDX_CA!$G$2:$G$1041))),""))</f>
        <v/>
      </c>
      <c r="K129" s="63" t="str">
        <f>IF($D129&lt;&gt;"",VLOOKUP($E129,STK_REF!$A$2:$J$1048576,7,0),"")</f>
        <v/>
      </c>
      <c r="L129" s="5" t="str">
        <f>IF($D129&lt;&gt;"",VLOOKUP($E129,STK_REF!$A$2:$J$1048576,8,0),"")</f>
        <v/>
      </c>
      <c r="M129" s="8" t="str">
        <f>IF($D129&lt;&gt;"",IF($K129=$U129,1,IF(ISNA(VLOOKUP($K129&amp;$U129,CUR_RATES!$A$2:$F$521,4,0)),"",VLOOKUP($K129&amp;$U129,CUR_RATES!$A$2:$F$521,4,0))),"")</f>
        <v/>
      </c>
      <c r="N129" s="61" t="str">
        <f t="shared" si="18"/>
        <v/>
      </c>
      <c r="O129" s="68" t="str">
        <f t="shared" si="19"/>
        <v/>
      </c>
      <c r="P129" s="5" t="str">
        <f t="shared" si="23"/>
        <v/>
      </c>
      <c r="Q129" s="54" t="str">
        <f t="shared" si="20"/>
        <v/>
      </c>
      <c r="R129" s="68" t="str">
        <f t="shared" si="21"/>
        <v/>
      </c>
      <c r="S129" s="61" t="str">
        <f t="shared" si="22"/>
        <v/>
      </c>
      <c r="T129" s="62" t="str">
        <f>IF(D129&lt;&gt;"",IF(SUMPRODUCT(--($E129=STK_DIV!$A$2:$A$5),--(NXT_COMPO!$Q129=STK_DIV!$E$2:$E$5),ROW(STK_DIV!$D$2:$D$5))=0,"",INDEX(STK_DIV!$D$1:$D$5,SUMPRODUCT(--($E129=STK_DIV!$A$2:$A$5),--(NXT_COMPO!$Q129=STK_DIV!$E$2:$E$5),ROW(STK_DIV!$D$2:$D$5)))),"")</f>
        <v/>
      </c>
      <c r="U129" s="54" t="str">
        <f>IF($D129&lt;&gt;"",VLOOKUP($P129,IDX_REF!$2:$1048576,4,0),"")</f>
        <v/>
      </c>
      <c r="W129" s="52" t="str">
        <f t="shared" si="24"/>
        <v/>
      </c>
      <c r="X129" s="5" t="str">
        <f>IF(ROW(X129)-ROW($X$1)&lt;=$B$1,INDEX(IDX_COMPO!A:A,ROW(IDX_COMPO!A129)),"")</f>
        <v/>
      </c>
      <c r="Y129" s="54" t="str">
        <f t="shared" si="25"/>
        <v/>
      </c>
      <c r="Z129" s="54" t="str">
        <f>IF(ROW(Z129)-ROW($Y$1)&lt;=$B$1,INDEX(IDX_COMPO!F:F,ROW(IDX_COMPO!R129)),"")</f>
        <v/>
      </c>
      <c r="AA129" s="2" t="str">
        <f t="array" ref="AA129">IF(X129&lt;&gt;"",IF(SUMPRODUCT(--(X129=IDX_CA!$A$2:$A$1041),--(NXT_COMPO!Y129=IDX_CA!$C$2:$C$1041),--(Z129=IDX_CA!$B$2:$B$1041))&gt;0,IF(INDEX(IDX_CA!$I:$I,SUMPRODUCT(--(X129=IDX_CA!$A$2:$A$1041),--(NXT_COMPO!Y129=IDX_CA!$C$2:$C$1041),--(Z129=IDX_CA!$B$2:$B$1041),ROW(IDX_CA!$I$2:$I$1041)))=1,"YES","MODIFY"),""),"")</f>
        <v/>
      </c>
      <c r="AB129" s="5" t="str">
        <f>IF(X129&lt;&gt;"",IF(AA129="YES","",COUNTIF($AA$2:AA129,"&lt;&gt;YES")),"")</f>
        <v/>
      </c>
      <c r="AC129" s="2"/>
    </row>
    <row r="130" spans="4:29" x14ac:dyDescent="0.2">
      <c r="D130" s="52" t="str">
        <f t="shared" ref="D130:D193" si="26">IF(ROW(D130)-ROW($D$1)&lt;=$B$4,ROW(D130)-ROW($D$1),"")</f>
        <v/>
      </c>
      <c r="E130" s="5" t="str">
        <f t="shared" si="17"/>
        <v/>
      </c>
      <c r="F130" s="5" t="str">
        <f>IF($D130&lt;&gt;"",VLOOKUP($E130,STK_REF!$A$2:$J$1048576,2,0),"")</f>
        <v/>
      </c>
      <c r="G130" s="68" t="str">
        <f>IF($D130&lt;=$B$1-$B$2,IF(INDEX($AA$2:$AA$1048576,MATCH($D130,$AB$2:$AB$1048576,0))="MODIFY",INDEX(IDX_CA!$D$1:$D$1041,SUMPRODUCT(--($E130=IDX_CA!$A$2:$A$1041),--(NXT_COMPO!$P130=IDX_CA!$B$2:$B$1041),--(NXT_COMPO!$Q130=IDX_CA!$C$2:$C$1041),ROW(IDX_CA!$D$2:$D$1041))),INDEX(IDX_COMPO!$C$1:$C$12000,SUMPRODUCT(--($E130=IDX_COMPO!$A$2:$A$1200),--(NXT_COMPO!$P130=IDX_COMPO!$F$2:$F$1200),--(NXT_COMPO!$B$5=IDX_COMPO!$G$2:$G$1200),ROW(IDX_COMPO!$C$2:$C$1200)))),IF($D130&lt;=$B$4,INDEX(IDX_CA!$D$1:$D$1041,SUMPRODUCT(--($E130=IDX_CA!$A$2:$A$1041),--(NXT_COMPO!$P130=IDX_CA!$B$2:$B$1041),--(NXT_COMPO!$Q130=IDX_CA!$C$2:$C$1041),ROW(IDX_CA!$D$2:$D$1041))),""))</f>
        <v/>
      </c>
      <c r="H130" s="55" t="str">
        <f>IF($D130&lt;=$B$1-$B$2,IF(INDEX($AA$2:$AA$1048576,MATCH($D130,$AB$2:$AB$1048576,0))="MODIFY",INDEX(IDX_CA!$E$1:$E$1041,SUMPRODUCT(--($E130=IDX_CA!$A$2:$A$1041),--(NXT_COMPO!$P130=IDX_CA!$B$2:$B$1041),--(NXT_COMPO!$Q130=IDX_CA!$C$2:$C$1041),ROW(IDX_CA!$E$2:$E$1041))),INDEX(IDX_COMPO!$D$1:$D$1200,SUMPRODUCT(--($E130=IDX_COMPO!$A$2:$A$1200),--(NXT_COMPO!$P130=IDX_COMPO!$F$2:$F$1200),--(NXT_COMPO!$B$5=IDX_COMPO!$G$2:$G$1200),ROW(IDX_COMPO!$D$2:$D$1200)))),IF($D130&lt;=$B$4,INDEX(IDX_CA!$E$1:$E$1041,SUMPRODUCT(--($E130=IDX_CA!$A$2:$A$1041),--(NXT_COMPO!$P130=IDX_CA!$B$2:$B$1041),--(NXT_COMPO!$Q130=IDX_CA!$C$2:$C$1041),ROW(IDX_CA!$E$2:$E$1041))),""))</f>
        <v/>
      </c>
      <c r="I130" s="55" t="str">
        <f>IF($D130&lt;=$B$1-$B$2,IF(INDEX($AA$2:$AA$1048576,MATCH($D130,$AB$2:$AB$1048576,0))="MODIFY",INDEX(IDX_CA!$F$1:$F$1041,SUMPRODUCT(--($E130=IDX_CA!$A$2:$A$1041),--(NXT_COMPO!$P130=IDX_CA!$B$2:$B$1041),--(NXT_COMPO!$Q130=IDX_CA!$C$2:$C$1041),ROW(IDX_CA!$F$2:$F$1041))),INDEX(IDX_COMPO!$E$1:$E$1200,SUMPRODUCT(--($E130=IDX_COMPO!$A$2:$A$1200),--(NXT_COMPO!$P130=IDX_COMPO!$F$2:$F$1200),--(NXT_COMPO!$B$5=IDX_COMPO!$G$2:$G$1200),ROW(IDX_COMPO!$E$2:$E$1200)))),IF($D130&lt;=$B$4,INDEX(IDX_CA!$F$1:$F$1041,SUMPRODUCT(--($E130=IDX_CA!$A$2:$A$1041),--(NXT_COMPO!$P130=IDX_CA!$B$2:$B$1041),--(NXT_COMPO!$Q130=IDX_CA!$C$2:$C$1041),ROW(IDX_CA!$F$2:$F$1041))),""))</f>
        <v/>
      </c>
      <c r="J130" s="62" t="str">
        <f>IF($D130&lt;=$B$1-$B$2,IF(INDEX($AA$2:$AA$1048576,MATCH($D130,$AB$2:$AB$1048576,0))="MODIFY",INDEX(IDX_CA!$G$1:$G$1041,SUMPRODUCT(--($E130=IDX_CA!$A$2:$A$1041),--(NXT_COMPO!$P130=IDX_CA!$B$2:$B$1041),--(NXT_COMPO!$Q130=IDX_CA!$C$2:$C$1041),ROW(IDX_CA!$G$2:$G$1041))),INDEX(IDX_COMPOSITION!$F$1:$F$441,SUMPRODUCT(--($E130=IDX_COMPOSITION!$A$2:$A$441),--(NXT_COMPO!$P130=IDX_COMPOSITION!$R$2:$R$441),--(NXT_COMPO!$B$5=IDX_COMPOSITION!$L$2:$L$441),ROW(IDX_COMPOSITION!$F$2:$F$441)))),IF($D130&lt;=$B$4,INDEX(IDX_CA!$G$1:$G$1041,SUMPRODUCT(--($E130=IDX_CA!$A$2:$A$1041),--(NXT_COMPO!$P130=IDX_CA!$B$2:$B$1041),--(NXT_COMPO!$Q130=IDX_CA!$C$2:$C$1041),ROW(IDX_CA!$G$2:$G$1041))),""))</f>
        <v/>
      </c>
      <c r="K130" s="63" t="str">
        <f>IF($D130&lt;&gt;"",VLOOKUP($E130,STK_REF!$A$2:$J$1048576,7,0),"")</f>
        <v/>
      </c>
      <c r="L130" s="5" t="str">
        <f>IF($D130&lt;&gt;"",VLOOKUP($E130,STK_REF!$A$2:$J$1048576,8,0),"")</f>
        <v/>
      </c>
      <c r="M130" s="8" t="str">
        <f>IF($D130&lt;&gt;"",IF($K130=$U130,1,IF(ISNA(VLOOKUP($K130&amp;$U130,CUR_RATES!$A$2:$F$521,4,0)),"",VLOOKUP($K130&amp;$U130,CUR_RATES!$A$2:$F$521,4,0))),"")</f>
        <v/>
      </c>
      <c r="N130" s="61" t="str">
        <f t="shared" si="18"/>
        <v/>
      </c>
      <c r="O130" s="68" t="str">
        <f t="shared" si="19"/>
        <v/>
      </c>
      <c r="P130" s="5" t="str">
        <f t="shared" ref="P130:P135" si="27">IF($D130&lt;=$B$1-$B$2,INDEX($Z$2:$Z$1048576,MATCH($D130,$AB$2:$AB$1048576,0)),IF($D130&lt;=$B$4,INDEX($AG$2:$AG$1048576,MATCH($D130-$B$1+$B$2,$AI$2:$AI$1048576,0)),""))</f>
        <v/>
      </c>
      <c r="Q130" s="54" t="str">
        <f t="shared" si="20"/>
        <v/>
      </c>
      <c r="R130" s="68" t="str">
        <f t="shared" si="21"/>
        <v/>
      </c>
      <c r="S130" s="61" t="str">
        <f t="shared" si="22"/>
        <v/>
      </c>
      <c r="T130" s="62" t="str">
        <f>IF(D130&lt;&gt;"",IF(SUMPRODUCT(--($E130=STK_DIV!$A$2:$A$5),--(NXT_COMPO!$Q130=STK_DIV!$E$2:$E$5),ROW(STK_DIV!$D$2:$D$5))=0,"",INDEX(STK_DIV!$D$1:$D$5,SUMPRODUCT(--($E130=STK_DIV!$A$2:$A$5),--(NXT_COMPO!$Q130=STK_DIV!$E$2:$E$5),ROW(STK_DIV!$D$2:$D$5)))),"")</f>
        <v/>
      </c>
      <c r="U130" s="54" t="str">
        <f>IF($D130&lt;&gt;"",VLOOKUP($P130,IDX_REF!$2:$1048576,4,0),"")</f>
        <v/>
      </c>
      <c r="W130" s="52" t="str">
        <f t="shared" ref="W130:W161" si="28">IF(ROW(W130)-ROW($W$1)&lt;=$B$1,ROW(W130)-ROW($W$1),"")</f>
        <v/>
      </c>
      <c r="X130" s="5" t="str">
        <f>IF(ROW(X130)-ROW($X$1)&lt;=$B$1,INDEX(IDX_COMPO!A:A,ROW(IDX_COMPO!A130)),"")</f>
        <v/>
      </c>
      <c r="Y130" s="54" t="str">
        <f t="shared" ref="Y130:Y161" si="29">IF(ROW(Y130)-ROW($Y$1)&lt;=$B$1,$B$6,"")</f>
        <v/>
      </c>
      <c r="Z130" s="54" t="str">
        <f>IF(ROW(Z130)-ROW($Y$1)&lt;=$B$1,INDEX(IDX_COMPO!F:F,ROW(IDX_COMPO!R130)),"")</f>
        <v/>
      </c>
      <c r="AA130" s="2" t="str">
        <f t="array" ref="AA130">IF(X130&lt;&gt;"",IF(SUMPRODUCT(--(X130=IDX_CA!$A$2:$A$1041),--(NXT_COMPO!Y130=IDX_CA!$C$2:$C$1041),--(Z130=IDX_CA!$B$2:$B$1041))&gt;0,IF(INDEX(IDX_CA!$I:$I,SUMPRODUCT(--(X130=IDX_CA!$A$2:$A$1041),--(NXT_COMPO!Y130=IDX_CA!$C$2:$C$1041),--(Z130=IDX_CA!$B$2:$B$1041),ROW(IDX_CA!$I$2:$I$1041)))=1,"YES","MODIFY"),""),"")</f>
        <v/>
      </c>
      <c r="AB130" s="5" t="str">
        <f>IF(X130&lt;&gt;"",IF(AA130="YES","",COUNTIF($AA$2:AA130,"&lt;&gt;YES")),"")</f>
        <v/>
      </c>
      <c r="AC130" s="2"/>
    </row>
    <row r="131" spans="4:29" x14ac:dyDescent="0.2">
      <c r="D131" s="52" t="str">
        <f t="shared" si="26"/>
        <v/>
      </c>
      <c r="E131" s="5" t="str">
        <f t="shared" ref="E131:E194" si="30">IF(D131&lt;=$B$1-$B$2,INDEX($X$2:$X$1048576,MATCH(D131,$AB$2:$AB$1048576,0)),IF(D131&lt;=$B$4,INDEX($AE$2:$AE$1048576,MATCH(D131-$B$1+$B$2,$AI$2:$AI$1048576,0)),""))</f>
        <v/>
      </c>
      <c r="F131" s="5" t="str">
        <f>IF($D131&lt;&gt;"",VLOOKUP($E131,STK_REF!$A$2:$J$1048576,2,0),"")</f>
        <v/>
      </c>
      <c r="G131" s="68" t="str">
        <f>IF($D131&lt;=$B$1-$B$2,IF(INDEX($AA$2:$AA$1048576,MATCH($D131,$AB$2:$AB$1048576,0))="MODIFY",INDEX(IDX_CA!$D$1:$D$1041,SUMPRODUCT(--($E131=IDX_CA!$A$2:$A$1041),--(NXT_COMPO!$P131=IDX_CA!$B$2:$B$1041),--(NXT_COMPO!$Q131=IDX_CA!$C$2:$C$1041),ROW(IDX_CA!$D$2:$D$1041))),INDEX(IDX_COMPO!$C$1:$C$12000,SUMPRODUCT(--($E131=IDX_COMPO!$A$2:$A$1200),--(NXT_COMPO!$P131=IDX_COMPO!$F$2:$F$1200),--(NXT_COMPO!$B$5=IDX_COMPO!$G$2:$G$1200),ROW(IDX_COMPO!$C$2:$C$1200)))),IF($D131&lt;=$B$4,INDEX(IDX_CA!$D$1:$D$1041,SUMPRODUCT(--($E131=IDX_CA!$A$2:$A$1041),--(NXT_COMPO!$P131=IDX_CA!$B$2:$B$1041),--(NXT_COMPO!$Q131=IDX_CA!$C$2:$C$1041),ROW(IDX_CA!$D$2:$D$1041))),""))</f>
        <v/>
      </c>
      <c r="H131" s="55" t="str">
        <f>IF($D131&lt;=$B$1-$B$2,IF(INDEX($AA$2:$AA$1048576,MATCH($D131,$AB$2:$AB$1048576,0))="MODIFY",INDEX(IDX_CA!$E$1:$E$1041,SUMPRODUCT(--($E131=IDX_CA!$A$2:$A$1041),--(NXT_COMPO!$P131=IDX_CA!$B$2:$B$1041),--(NXT_COMPO!$Q131=IDX_CA!$C$2:$C$1041),ROW(IDX_CA!$E$2:$E$1041))),INDEX(IDX_COMPO!$D$1:$D$1200,SUMPRODUCT(--($E131=IDX_COMPO!$A$2:$A$1200),--(NXT_COMPO!$P131=IDX_COMPO!$F$2:$F$1200),--(NXT_COMPO!$B$5=IDX_COMPO!$G$2:$G$1200),ROW(IDX_COMPO!$D$2:$D$1200)))),IF($D131&lt;=$B$4,INDEX(IDX_CA!$E$1:$E$1041,SUMPRODUCT(--($E131=IDX_CA!$A$2:$A$1041),--(NXT_COMPO!$P131=IDX_CA!$B$2:$B$1041),--(NXT_COMPO!$Q131=IDX_CA!$C$2:$C$1041),ROW(IDX_CA!$E$2:$E$1041))),""))</f>
        <v/>
      </c>
      <c r="I131" s="55" t="str">
        <f>IF($D131&lt;=$B$1-$B$2,IF(INDEX($AA$2:$AA$1048576,MATCH($D131,$AB$2:$AB$1048576,0))="MODIFY",INDEX(IDX_CA!$F$1:$F$1041,SUMPRODUCT(--($E131=IDX_CA!$A$2:$A$1041),--(NXT_COMPO!$P131=IDX_CA!$B$2:$B$1041),--(NXT_COMPO!$Q131=IDX_CA!$C$2:$C$1041),ROW(IDX_CA!$F$2:$F$1041))),INDEX(IDX_COMPO!$E$1:$E$1200,SUMPRODUCT(--($E131=IDX_COMPO!$A$2:$A$1200),--(NXT_COMPO!$P131=IDX_COMPO!$F$2:$F$1200),--(NXT_COMPO!$B$5=IDX_COMPO!$G$2:$G$1200),ROW(IDX_COMPO!$E$2:$E$1200)))),IF($D131&lt;=$B$4,INDEX(IDX_CA!$F$1:$F$1041,SUMPRODUCT(--($E131=IDX_CA!$A$2:$A$1041),--(NXT_COMPO!$P131=IDX_CA!$B$2:$B$1041),--(NXT_COMPO!$Q131=IDX_CA!$C$2:$C$1041),ROW(IDX_CA!$F$2:$F$1041))),""))</f>
        <v/>
      </c>
      <c r="J131" s="62" t="str">
        <f>IF($D131&lt;=$B$1-$B$2,IF(INDEX($AA$2:$AA$1048576,MATCH($D131,$AB$2:$AB$1048576,0))="MODIFY",INDEX(IDX_CA!$G$1:$G$1041,SUMPRODUCT(--($E131=IDX_CA!$A$2:$A$1041),--(NXT_COMPO!$P131=IDX_CA!$B$2:$B$1041),--(NXT_COMPO!$Q131=IDX_CA!$C$2:$C$1041),ROW(IDX_CA!$G$2:$G$1041))),INDEX(IDX_COMPOSITION!$F$1:$F$441,SUMPRODUCT(--($E131=IDX_COMPOSITION!$A$2:$A$441),--(NXT_COMPO!$P131=IDX_COMPOSITION!$R$2:$R$441),--(NXT_COMPO!$B$5=IDX_COMPOSITION!$L$2:$L$441),ROW(IDX_COMPOSITION!$F$2:$F$441)))),IF($D131&lt;=$B$4,INDEX(IDX_CA!$G$1:$G$1041,SUMPRODUCT(--($E131=IDX_CA!$A$2:$A$1041),--(NXT_COMPO!$P131=IDX_CA!$B$2:$B$1041),--(NXT_COMPO!$Q131=IDX_CA!$C$2:$C$1041),ROW(IDX_CA!$G$2:$G$1041))),""))</f>
        <v/>
      </c>
      <c r="K131" s="63" t="str">
        <f>IF($D131&lt;&gt;"",VLOOKUP($E131,STK_REF!$A$2:$J$1048576,7,0),"")</f>
        <v/>
      </c>
      <c r="L131" s="5" t="str">
        <f>IF($D131&lt;&gt;"",VLOOKUP($E131,STK_REF!$A$2:$J$1048576,8,0),"")</f>
        <v/>
      </c>
      <c r="M131" s="8" t="str">
        <f>IF($D131&lt;&gt;"",IF($K131=$U131,1,IF(ISNA(VLOOKUP($K131&amp;$U131,CUR_RATES!$A$2:$F$521,4,0)),"",VLOOKUP($K131&amp;$U131,CUR_RATES!$A$2:$F$521,4,0))),"")</f>
        <v/>
      </c>
      <c r="N131" s="61" t="str">
        <f t="shared" ref="N131:N194" si="31">IF($D131&lt;&gt;"",$J131*$M131,"")</f>
        <v/>
      </c>
      <c r="O131" s="68" t="str">
        <f t="shared" ref="O131:O194" si="32">IF($D131&lt;&gt;"",$G131*($H131/100)*($I131/100)*$N131*(1/$L131),"")</f>
        <v/>
      </c>
      <c r="P131" s="5" t="str">
        <f t="shared" si="27"/>
        <v/>
      </c>
      <c r="Q131" s="54" t="str">
        <f t="shared" ref="Q131:Q135" si="33">IF($D131&lt;&gt;"",$B$6,"")</f>
        <v/>
      </c>
      <c r="R131" s="68" t="str">
        <f t="shared" ref="R131:R194" si="34">IF(AND($D131&lt;&gt;"",$T131&lt;&gt;""),$G131*($H131/100)*($I131/100)*$S131*(1/$L131),"")</f>
        <v/>
      </c>
      <c r="S131" s="61" t="str">
        <f t="shared" ref="S131:S194" si="35">IF($T131&lt;&gt;"",$T131*$M131,"")</f>
        <v/>
      </c>
      <c r="T131" s="62" t="str">
        <f>IF(D131&lt;&gt;"",IF(SUMPRODUCT(--($E131=STK_DIV!$A$2:$A$5),--(NXT_COMPO!$Q131=STK_DIV!$E$2:$E$5),ROW(STK_DIV!$D$2:$D$5))=0,"",INDEX(STK_DIV!$D$1:$D$5,SUMPRODUCT(--($E131=STK_DIV!$A$2:$A$5),--(NXT_COMPO!$Q131=STK_DIV!$E$2:$E$5),ROW(STK_DIV!$D$2:$D$5)))),"")</f>
        <v/>
      </c>
      <c r="U131" s="54" t="str">
        <f>IF($D131&lt;&gt;"",VLOOKUP($P131,IDX_REF!$2:$1048576,4,0),"")</f>
        <v/>
      </c>
      <c r="W131" s="52" t="str">
        <f t="shared" si="28"/>
        <v/>
      </c>
      <c r="X131" s="5" t="str">
        <f>IF(ROW(X131)-ROW($X$1)&lt;=$B$1,INDEX(IDX_COMPO!A:A,ROW(IDX_COMPO!A131)),"")</f>
        <v/>
      </c>
      <c r="Y131" s="54" t="str">
        <f t="shared" si="29"/>
        <v/>
      </c>
      <c r="Z131" s="54" t="str">
        <f>IF(ROW(Z131)-ROW($Y$1)&lt;=$B$1,INDEX(IDX_COMPO!F:F,ROW(IDX_COMPO!R131)),"")</f>
        <v/>
      </c>
      <c r="AA131" s="2" t="str">
        <f t="array" ref="AA131">IF(X131&lt;&gt;"",IF(SUMPRODUCT(--(X131=IDX_CA!$A$2:$A$1041),--(NXT_COMPO!Y131=IDX_CA!$C$2:$C$1041),--(Z131=IDX_CA!$B$2:$B$1041))&gt;0,IF(INDEX(IDX_CA!$I:$I,SUMPRODUCT(--(X131=IDX_CA!$A$2:$A$1041),--(NXT_COMPO!Y131=IDX_CA!$C$2:$C$1041),--(Z131=IDX_CA!$B$2:$B$1041),ROW(IDX_CA!$I$2:$I$1041)))=1,"YES","MODIFY"),""),"")</f>
        <v/>
      </c>
      <c r="AB131" s="5" t="str">
        <f>IF(X131&lt;&gt;"",IF(AA131="YES","",COUNTIF($AA$2:AA131,"&lt;&gt;YES")),"")</f>
        <v/>
      </c>
      <c r="AC131" s="2"/>
    </row>
    <row r="132" spans="4:29" x14ac:dyDescent="0.2">
      <c r="D132" s="52" t="str">
        <f t="shared" si="26"/>
        <v/>
      </c>
      <c r="E132" s="5" t="str">
        <f t="shared" si="30"/>
        <v/>
      </c>
      <c r="F132" s="5" t="str">
        <f>IF($D132&lt;&gt;"",VLOOKUP($E132,STK_REF!$A$2:$J$1048576,2,0),"")</f>
        <v/>
      </c>
      <c r="G132" s="68" t="str">
        <f>IF($D132&lt;=$B$1-$B$2,IF(INDEX($AA$2:$AA$1048576,MATCH($D132,$AB$2:$AB$1048576,0))="MODIFY",INDEX(IDX_CA!$D$1:$D$1041,SUMPRODUCT(--($E132=IDX_CA!$A$2:$A$1041),--(NXT_COMPO!$P132=IDX_CA!$B$2:$B$1041),--(NXT_COMPO!$Q132=IDX_CA!$C$2:$C$1041),ROW(IDX_CA!$D$2:$D$1041))),INDEX(IDX_COMPO!$C$1:$C$12000,SUMPRODUCT(--($E132=IDX_COMPO!$A$2:$A$1200),--(NXT_COMPO!$P132=IDX_COMPO!$F$2:$F$1200),--(NXT_COMPO!$B$5=IDX_COMPO!$G$2:$G$1200),ROW(IDX_COMPO!$C$2:$C$1200)))),IF($D132&lt;=$B$4,INDEX(IDX_CA!$D$1:$D$1041,SUMPRODUCT(--($E132=IDX_CA!$A$2:$A$1041),--(NXT_COMPO!$P132=IDX_CA!$B$2:$B$1041),--(NXT_COMPO!$Q132=IDX_CA!$C$2:$C$1041),ROW(IDX_CA!$D$2:$D$1041))),""))</f>
        <v/>
      </c>
      <c r="H132" s="55" t="str">
        <f>IF($D132&lt;=$B$1-$B$2,IF(INDEX($AA$2:$AA$1048576,MATCH($D132,$AB$2:$AB$1048576,0))="MODIFY",INDEX(IDX_CA!$E$1:$E$1041,SUMPRODUCT(--($E132=IDX_CA!$A$2:$A$1041),--(NXT_COMPO!$P132=IDX_CA!$B$2:$B$1041),--(NXT_COMPO!$Q132=IDX_CA!$C$2:$C$1041),ROW(IDX_CA!$E$2:$E$1041))),INDEX(IDX_COMPO!$D$1:$D$1200,SUMPRODUCT(--($E132=IDX_COMPO!$A$2:$A$1200),--(NXT_COMPO!$P132=IDX_COMPO!$F$2:$F$1200),--(NXT_COMPO!$B$5=IDX_COMPO!$G$2:$G$1200),ROW(IDX_COMPO!$D$2:$D$1200)))),IF($D132&lt;=$B$4,INDEX(IDX_CA!$E$1:$E$1041,SUMPRODUCT(--($E132=IDX_CA!$A$2:$A$1041),--(NXT_COMPO!$P132=IDX_CA!$B$2:$B$1041),--(NXT_COMPO!$Q132=IDX_CA!$C$2:$C$1041),ROW(IDX_CA!$E$2:$E$1041))),""))</f>
        <v/>
      </c>
      <c r="I132" s="55" t="str">
        <f>IF($D132&lt;=$B$1-$B$2,IF(INDEX($AA$2:$AA$1048576,MATCH($D132,$AB$2:$AB$1048576,0))="MODIFY",INDEX(IDX_CA!$F$1:$F$1041,SUMPRODUCT(--($E132=IDX_CA!$A$2:$A$1041),--(NXT_COMPO!$P132=IDX_CA!$B$2:$B$1041),--(NXT_COMPO!$Q132=IDX_CA!$C$2:$C$1041),ROW(IDX_CA!$F$2:$F$1041))),INDEX(IDX_COMPO!$E$1:$E$1200,SUMPRODUCT(--($E132=IDX_COMPO!$A$2:$A$1200),--(NXT_COMPO!$P132=IDX_COMPO!$F$2:$F$1200),--(NXT_COMPO!$B$5=IDX_COMPO!$G$2:$G$1200),ROW(IDX_COMPO!$E$2:$E$1200)))),IF($D132&lt;=$B$4,INDEX(IDX_CA!$F$1:$F$1041,SUMPRODUCT(--($E132=IDX_CA!$A$2:$A$1041),--(NXT_COMPO!$P132=IDX_CA!$B$2:$B$1041),--(NXT_COMPO!$Q132=IDX_CA!$C$2:$C$1041),ROW(IDX_CA!$F$2:$F$1041))),""))</f>
        <v/>
      </c>
      <c r="J132" s="62" t="str">
        <f>IF($D132&lt;=$B$1-$B$2,IF(INDEX($AA$2:$AA$1048576,MATCH($D132,$AB$2:$AB$1048576,0))="MODIFY",INDEX(IDX_CA!$G$1:$G$1041,SUMPRODUCT(--($E132=IDX_CA!$A$2:$A$1041),--(NXT_COMPO!$P132=IDX_CA!$B$2:$B$1041),--(NXT_COMPO!$Q132=IDX_CA!$C$2:$C$1041),ROW(IDX_CA!$G$2:$G$1041))),INDEX(IDX_COMPOSITION!$F$1:$F$441,SUMPRODUCT(--($E132=IDX_COMPOSITION!$A$2:$A$441),--(NXT_COMPO!$P132=IDX_COMPOSITION!$R$2:$R$441),--(NXT_COMPO!$B$5=IDX_COMPOSITION!$L$2:$L$441),ROW(IDX_COMPOSITION!$F$2:$F$441)))),IF($D132&lt;=$B$4,INDEX(IDX_CA!$G$1:$G$1041,SUMPRODUCT(--($E132=IDX_CA!$A$2:$A$1041),--(NXT_COMPO!$P132=IDX_CA!$B$2:$B$1041),--(NXT_COMPO!$Q132=IDX_CA!$C$2:$C$1041),ROW(IDX_CA!$G$2:$G$1041))),""))</f>
        <v/>
      </c>
      <c r="K132" s="63" t="str">
        <f>IF($D132&lt;&gt;"",VLOOKUP($E132,STK_REF!$A$2:$J$1048576,7,0),"")</f>
        <v/>
      </c>
      <c r="L132" s="5" t="str">
        <f>IF($D132&lt;&gt;"",VLOOKUP($E132,STK_REF!$A$2:$J$1048576,8,0),"")</f>
        <v/>
      </c>
      <c r="M132" s="8" t="str">
        <f>IF($D132&lt;&gt;"",IF($K132=$U132,1,IF(ISNA(VLOOKUP($K132&amp;$U132,CUR_RATES!$A$2:$F$521,4,0)),"",VLOOKUP($K132&amp;$U132,CUR_RATES!$A$2:$F$521,4,0))),"")</f>
        <v/>
      </c>
      <c r="N132" s="61" t="str">
        <f t="shared" si="31"/>
        <v/>
      </c>
      <c r="O132" s="68" t="str">
        <f t="shared" si="32"/>
        <v/>
      </c>
      <c r="P132" s="5" t="str">
        <f t="shared" si="27"/>
        <v/>
      </c>
      <c r="Q132" s="54" t="str">
        <f t="shared" si="33"/>
        <v/>
      </c>
      <c r="R132" s="68" t="str">
        <f t="shared" si="34"/>
        <v/>
      </c>
      <c r="S132" s="61" t="str">
        <f t="shared" si="35"/>
        <v/>
      </c>
      <c r="T132" s="62" t="str">
        <f>IF(D132&lt;&gt;"",IF(SUMPRODUCT(--($E132=STK_DIV!$A$2:$A$5),--(NXT_COMPO!$Q132=STK_DIV!$E$2:$E$5),ROW(STK_DIV!$D$2:$D$5))=0,"",INDEX(STK_DIV!$D$1:$D$5,SUMPRODUCT(--($E132=STK_DIV!$A$2:$A$5),--(NXT_COMPO!$Q132=STK_DIV!$E$2:$E$5),ROW(STK_DIV!$D$2:$D$5)))),"")</f>
        <v/>
      </c>
      <c r="U132" s="54" t="str">
        <f>IF($D132&lt;&gt;"",VLOOKUP($P132,IDX_REF!$2:$1048576,4,0),"")</f>
        <v/>
      </c>
      <c r="W132" s="52" t="str">
        <f t="shared" si="28"/>
        <v/>
      </c>
      <c r="X132" s="5" t="str">
        <f>IF(ROW(X132)-ROW($X$1)&lt;=$B$1,INDEX(IDX_COMPO!A:A,ROW(IDX_COMPO!A132)),"")</f>
        <v/>
      </c>
      <c r="Y132" s="54" t="str">
        <f t="shared" si="29"/>
        <v/>
      </c>
      <c r="Z132" s="54" t="str">
        <f>IF(ROW(Z132)-ROW($Y$1)&lt;=$B$1,INDEX(IDX_COMPO!F:F,ROW(IDX_COMPO!R132)),"")</f>
        <v/>
      </c>
      <c r="AA132" s="2" t="str">
        <f t="array" ref="AA132">IF(X132&lt;&gt;"",IF(SUMPRODUCT(--(X132=IDX_CA!$A$2:$A$1041),--(NXT_COMPO!Y132=IDX_CA!$C$2:$C$1041),--(Z132=IDX_CA!$B$2:$B$1041))&gt;0,IF(INDEX(IDX_CA!$I:$I,SUMPRODUCT(--(X132=IDX_CA!$A$2:$A$1041),--(NXT_COMPO!Y132=IDX_CA!$C$2:$C$1041),--(Z132=IDX_CA!$B$2:$B$1041),ROW(IDX_CA!$I$2:$I$1041)))=1,"YES","MODIFY"),""),"")</f>
        <v/>
      </c>
      <c r="AB132" s="5" t="str">
        <f>IF(X132&lt;&gt;"",IF(AA132="YES","",COUNTIF($AA$2:AA132,"&lt;&gt;YES")),"")</f>
        <v/>
      </c>
      <c r="AC132" s="2"/>
    </row>
    <row r="133" spans="4:29" x14ac:dyDescent="0.2">
      <c r="D133" s="52" t="str">
        <f t="shared" si="26"/>
        <v/>
      </c>
      <c r="E133" s="5" t="str">
        <f t="shared" si="30"/>
        <v/>
      </c>
      <c r="F133" s="5" t="str">
        <f>IF($D133&lt;&gt;"",VLOOKUP($E133,STK_REF!$A$2:$J$1048576,2,0),"")</f>
        <v/>
      </c>
      <c r="G133" s="68" t="str">
        <f>IF($D133&lt;=$B$1-$B$2,IF(INDEX($AA$2:$AA$1048576,MATCH($D133,$AB$2:$AB$1048576,0))="MODIFY",INDEX(IDX_CA!$D$1:$D$1041,SUMPRODUCT(--($E133=IDX_CA!$A$2:$A$1041),--(NXT_COMPO!$P133=IDX_CA!$B$2:$B$1041),--(NXT_COMPO!$Q133=IDX_CA!$C$2:$C$1041),ROW(IDX_CA!$D$2:$D$1041))),INDEX(IDX_COMPO!$C$1:$C$12000,SUMPRODUCT(--($E133=IDX_COMPO!$A$2:$A$1200),--(NXT_COMPO!$P133=IDX_COMPO!$F$2:$F$1200),--(NXT_COMPO!$B$5=IDX_COMPO!$G$2:$G$1200),ROW(IDX_COMPO!$C$2:$C$1200)))),IF($D133&lt;=$B$4,INDEX(IDX_CA!$D$1:$D$1041,SUMPRODUCT(--($E133=IDX_CA!$A$2:$A$1041),--(NXT_COMPO!$P133=IDX_CA!$B$2:$B$1041),--(NXT_COMPO!$Q133=IDX_CA!$C$2:$C$1041),ROW(IDX_CA!$D$2:$D$1041))),""))</f>
        <v/>
      </c>
      <c r="H133" s="55" t="str">
        <f>IF($D133&lt;=$B$1-$B$2,IF(INDEX($AA$2:$AA$1048576,MATCH($D133,$AB$2:$AB$1048576,0))="MODIFY",INDEX(IDX_CA!$E$1:$E$1041,SUMPRODUCT(--($E133=IDX_CA!$A$2:$A$1041),--(NXT_COMPO!$P133=IDX_CA!$B$2:$B$1041),--(NXT_COMPO!$Q133=IDX_CA!$C$2:$C$1041),ROW(IDX_CA!$E$2:$E$1041))),INDEX(IDX_COMPO!$D$1:$D$1200,SUMPRODUCT(--($E133=IDX_COMPO!$A$2:$A$1200),--(NXT_COMPO!$P133=IDX_COMPO!$F$2:$F$1200),--(NXT_COMPO!$B$5=IDX_COMPO!$G$2:$G$1200),ROW(IDX_COMPO!$D$2:$D$1200)))),IF($D133&lt;=$B$4,INDEX(IDX_CA!$E$1:$E$1041,SUMPRODUCT(--($E133=IDX_CA!$A$2:$A$1041),--(NXT_COMPO!$P133=IDX_CA!$B$2:$B$1041),--(NXT_COMPO!$Q133=IDX_CA!$C$2:$C$1041),ROW(IDX_CA!$E$2:$E$1041))),""))</f>
        <v/>
      </c>
      <c r="I133" s="55" t="str">
        <f>IF($D133&lt;=$B$1-$B$2,IF(INDEX($AA$2:$AA$1048576,MATCH($D133,$AB$2:$AB$1048576,0))="MODIFY",INDEX(IDX_CA!$F$1:$F$1041,SUMPRODUCT(--($E133=IDX_CA!$A$2:$A$1041),--(NXT_COMPO!$P133=IDX_CA!$B$2:$B$1041),--(NXT_COMPO!$Q133=IDX_CA!$C$2:$C$1041),ROW(IDX_CA!$F$2:$F$1041))),INDEX(IDX_COMPO!$E$1:$E$1200,SUMPRODUCT(--($E133=IDX_COMPO!$A$2:$A$1200),--(NXT_COMPO!$P133=IDX_COMPO!$F$2:$F$1200),--(NXT_COMPO!$B$5=IDX_COMPO!$G$2:$G$1200),ROW(IDX_COMPO!$E$2:$E$1200)))),IF($D133&lt;=$B$4,INDEX(IDX_CA!$F$1:$F$1041,SUMPRODUCT(--($E133=IDX_CA!$A$2:$A$1041),--(NXT_COMPO!$P133=IDX_CA!$B$2:$B$1041),--(NXT_COMPO!$Q133=IDX_CA!$C$2:$C$1041),ROW(IDX_CA!$F$2:$F$1041))),""))</f>
        <v/>
      </c>
      <c r="J133" s="62" t="str">
        <f>IF($D133&lt;=$B$1-$B$2,IF(INDEX($AA$2:$AA$1048576,MATCH($D133,$AB$2:$AB$1048576,0))="MODIFY",INDEX(IDX_CA!$G$1:$G$1041,SUMPRODUCT(--($E133=IDX_CA!$A$2:$A$1041),--(NXT_COMPO!$P133=IDX_CA!$B$2:$B$1041),--(NXT_COMPO!$Q133=IDX_CA!$C$2:$C$1041),ROW(IDX_CA!$G$2:$G$1041))),INDEX(IDX_COMPOSITION!$F$1:$F$441,SUMPRODUCT(--($E133=IDX_COMPOSITION!$A$2:$A$441),--(NXT_COMPO!$P133=IDX_COMPOSITION!$R$2:$R$441),--(NXT_COMPO!$B$5=IDX_COMPOSITION!$L$2:$L$441),ROW(IDX_COMPOSITION!$F$2:$F$441)))),IF($D133&lt;=$B$4,INDEX(IDX_CA!$G$1:$G$1041,SUMPRODUCT(--($E133=IDX_CA!$A$2:$A$1041),--(NXT_COMPO!$P133=IDX_CA!$B$2:$B$1041),--(NXT_COMPO!$Q133=IDX_CA!$C$2:$C$1041),ROW(IDX_CA!$G$2:$G$1041))),""))</f>
        <v/>
      </c>
      <c r="K133" s="63" t="str">
        <f>IF($D133&lt;&gt;"",VLOOKUP($E133,STK_REF!$A$2:$J$1048576,7,0),"")</f>
        <v/>
      </c>
      <c r="L133" s="5" t="str">
        <f>IF($D133&lt;&gt;"",VLOOKUP($E133,STK_REF!$A$2:$J$1048576,8,0),"")</f>
        <v/>
      </c>
      <c r="M133" s="8" t="str">
        <f>IF($D133&lt;&gt;"",IF($K133=$U133,1,IF(ISNA(VLOOKUP($K133&amp;$U133,CUR_RATES!$A$2:$F$521,4,0)),"",VLOOKUP($K133&amp;$U133,CUR_RATES!$A$2:$F$521,4,0))),"")</f>
        <v/>
      </c>
      <c r="N133" s="61" t="str">
        <f t="shared" si="31"/>
        <v/>
      </c>
      <c r="O133" s="68" t="str">
        <f t="shared" si="32"/>
        <v/>
      </c>
      <c r="P133" s="5" t="str">
        <f t="shared" si="27"/>
        <v/>
      </c>
      <c r="Q133" s="54" t="str">
        <f t="shared" si="33"/>
        <v/>
      </c>
      <c r="R133" s="68" t="str">
        <f t="shared" si="34"/>
        <v/>
      </c>
      <c r="S133" s="61" t="str">
        <f t="shared" si="35"/>
        <v/>
      </c>
      <c r="T133" s="62" t="str">
        <f>IF(D133&lt;&gt;"",IF(SUMPRODUCT(--($E133=STK_DIV!$A$2:$A$5),--(NXT_COMPO!$Q133=STK_DIV!$E$2:$E$5),ROW(STK_DIV!$D$2:$D$5))=0,"",INDEX(STK_DIV!$D$1:$D$5,SUMPRODUCT(--($E133=STK_DIV!$A$2:$A$5),--(NXT_COMPO!$Q133=STK_DIV!$E$2:$E$5),ROW(STK_DIV!$D$2:$D$5)))),"")</f>
        <v/>
      </c>
      <c r="U133" s="54" t="str">
        <f>IF($D133&lt;&gt;"",VLOOKUP($P133,IDX_REF!$2:$1048576,4,0),"")</f>
        <v/>
      </c>
      <c r="W133" s="52" t="str">
        <f t="shared" si="28"/>
        <v/>
      </c>
      <c r="X133" s="5" t="str">
        <f>IF(ROW(X133)-ROW($X$1)&lt;=$B$1,INDEX(IDX_COMPO!A:A,ROW(IDX_COMPO!A133)),"")</f>
        <v/>
      </c>
      <c r="Y133" s="54" t="str">
        <f t="shared" si="29"/>
        <v/>
      </c>
      <c r="Z133" s="54" t="str">
        <f>IF(ROW(Z133)-ROW($Y$1)&lt;=$B$1,INDEX(IDX_COMPO!F:F,ROW(IDX_COMPO!R133)),"")</f>
        <v/>
      </c>
      <c r="AA133" s="2" t="str">
        <f t="array" ref="AA133">IF(X133&lt;&gt;"",IF(SUMPRODUCT(--(X133=IDX_CA!$A$2:$A$1041),--(NXT_COMPO!Y133=IDX_CA!$C$2:$C$1041),--(Z133=IDX_CA!$B$2:$B$1041))&gt;0,IF(INDEX(IDX_CA!$I:$I,SUMPRODUCT(--(X133=IDX_CA!$A$2:$A$1041),--(NXT_COMPO!Y133=IDX_CA!$C$2:$C$1041),--(Z133=IDX_CA!$B$2:$B$1041),ROW(IDX_CA!$I$2:$I$1041)))=1,"YES","MODIFY"),""),"")</f>
        <v/>
      </c>
      <c r="AB133" s="5" t="str">
        <f>IF(X133&lt;&gt;"",IF(AA133="YES","",COUNTIF($AA$2:AA133,"&lt;&gt;YES")),"")</f>
        <v/>
      </c>
      <c r="AC133" s="2"/>
    </row>
    <row r="134" spans="4:29" x14ac:dyDescent="0.2">
      <c r="D134" s="52" t="str">
        <f t="shared" si="26"/>
        <v/>
      </c>
      <c r="E134" s="5" t="str">
        <f t="shared" si="30"/>
        <v/>
      </c>
      <c r="F134" s="5" t="str">
        <f>IF($D134&lt;&gt;"",VLOOKUP($E134,STK_REF!$A$2:$J$1048576,2,0),"")</f>
        <v/>
      </c>
      <c r="G134" s="68" t="str">
        <f>IF($D134&lt;=$B$1-$B$2,IF(INDEX($AA$2:$AA$1048576,MATCH($D134,$AB$2:$AB$1048576,0))="MODIFY",INDEX(IDX_CA!$D$1:$D$1041,SUMPRODUCT(--($E134=IDX_CA!$A$2:$A$1041),--(NXT_COMPO!$P134=IDX_CA!$B$2:$B$1041),--(NXT_COMPO!$Q134=IDX_CA!$C$2:$C$1041),ROW(IDX_CA!$D$2:$D$1041))),INDEX(IDX_COMPO!$C$1:$C$12000,SUMPRODUCT(--($E134=IDX_COMPO!$A$2:$A$1200),--(NXT_COMPO!$P134=IDX_COMPO!$F$2:$F$1200),--(NXT_COMPO!$B$5=IDX_COMPO!$G$2:$G$1200),ROW(IDX_COMPO!$C$2:$C$1200)))),IF($D134&lt;=$B$4,INDEX(IDX_CA!$D$1:$D$1041,SUMPRODUCT(--($E134=IDX_CA!$A$2:$A$1041),--(NXT_COMPO!$P134=IDX_CA!$B$2:$B$1041),--(NXT_COMPO!$Q134=IDX_CA!$C$2:$C$1041),ROW(IDX_CA!$D$2:$D$1041))),""))</f>
        <v/>
      </c>
      <c r="H134" s="55" t="str">
        <f>IF($D134&lt;=$B$1-$B$2,IF(INDEX($AA$2:$AA$1048576,MATCH($D134,$AB$2:$AB$1048576,0))="MODIFY",INDEX(IDX_CA!$E$1:$E$1041,SUMPRODUCT(--($E134=IDX_CA!$A$2:$A$1041),--(NXT_COMPO!$P134=IDX_CA!$B$2:$B$1041),--(NXT_COMPO!$Q134=IDX_CA!$C$2:$C$1041),ROW(IDX_CA!$E$2:$E$1041))),INDEX(IDX_COMPO!$D$1:$D$1200,SUMPRODUCT(--($E134=IDX_COMPO!$A$2:$A$1200),--(NXT_COMPO!$P134=IDX_COMPO!$F$2:$F$1200),--(NXT_COMPO!$B$5=IDX_COMPO!$G$2:$G$1200),ROW(IDX_COMPO!$D$2:$D$1200)))),IF($D134&lt;=$B$4,INDEX(IDX_CA!$E$1:$E$1041,SUMPRODUCT(--($E134=IDX_CA!$A$2:$A$1041),--(NXT_COMPO!$P134=IDX_CA!$B$2:$B$1041),--(NXT_COMPO!$Q134=IDX_CA!$C$2:$C$1041),ROW(IDX_CA!$E$2:$E$1041))),""))</f>
        <v/>
      </c>
      <c r="I134" s="55" t="str">
        <f>IF($D134&lt;=$B$1-$B$2,IF(INDEX($AA$2:$AA$1048576,MATCH($D134,$AB$2:$AB$1048576,0))="MODIFY",INDEX(IDX_CA!$F$1:$F$1041,SUMPRODUCT(--($E134=IDX_CA!$A$2:$A$1041),--(NXT_COMPO!$P134=IDX_CA!$B$2:$B$1041),--(NXT_COMPO!$Q134=IDX_CA!$C$2:$C$1041),ROW(IDX_CA!$F$2:$F$1041))),INDEX(IDX_COMPO!$E$1:$E$1200,SUMPRODUCT(--($E134=IDX_COMPO!$A$2:$A$1200),--(NXT_COMPO!$P134=IDX_COMPO!$F$2:$F$1200),--(NXT_COMPO!$B$5=IDX_COMPO!$G$2:$G$1200),ROW(IDX_COMPO!$E$2:$E$1200)))),IF($D134&lt;=$B$4,INDEX(IDX_CA!$F$1:$F$1041,SUMPRODUCT(--($E134=IDX_CA!$A$2:$A$1041),--(NXT_COMPO!$P134=IDX_CA!$B$2:$B$1041),--(NXT_COMPO!$Q134=IDX_CA!$C$2:$C$1041),ROW(IDX_CA!$F$2:$F$1041))),""))</f>
        <v/>
      </c>
      <c r="J134" s="62" t="str">
        <f>IF($D134&lt;=$B$1-$B$2,IF(INDEX($AA$2:$AA$1048576,MATCH($D134,$AB$2:$AB$1048576,0))="MODIFY",INDEX(IDX_CA!$G$1:$G$1041,SUMPRODUCT(--($E134=IDX_CA!$A$2:$A$1041),--(NXT_COMPO!$P134=IDX_CA!$B$2:$B$1041),--(NXT_COMPO!$Q134=IDX_CA!$C$2:$C$1041),ROW(IDX_CA!$G$2:$G$1041))),INDEX(IDX_COMPOSITION!$F$1:$F$441,SUMPRODUCT(--($E134=IDX_COMPOSITION!$A$2:$A$441),--(NXT_COMPO!$P134=IDX_COMPOSITION!$R$2:$R$441),--(NXT_COMPO!$B$5=IDX_COMPOSITION!$L$2:$L$441),ROW(IDX_COMPOSITION!$F$2:$F$441)))),IF($D134&lt;=$B$4,INDEX(IDX_CA!$G$1:$G$1041,SUMPRODUCT(--($E134=IDX_CA!$A$2:$A$1041),--(NXT_COMPO!$P134=IDX_CA!$B$2:$B$1041),--(NXT_COMPO!$Q134=IDX_CA!$C$2:$C$1041),ROW(IDX_CA!$G$2:$G$1041))),""))</f>
        <v/>
      </c>
      <c r="K134" s="63" t="str">
        <f>IF($D134&lt;&gt;"",VLOOKUP($E134,STK_REF!$A$2:$J$1048576,7,0),"")</f>
        <v/>
      </c>
      <c r="L134" s="5" t="str">
        <f>IF($D134&lt;&gt;"",VLOOKUP($E134,STK_REF!$A$2:$J$1048576,8,0),"")</f>
        <v/>
      </c>
      <c r="M134" s="8" t="str">
        <f>IF($D134&lt;&gt;"",IF($K134=$U134,1,IF(ISNA(VLOOKUP($K134&amp;$U134,CUR_RATES!$A$2:$F$521,4,0)),"",VLOOKUP($K134&amp;$U134,CUR_RATES!$A$2:$F$521,4,0))),"")</f>
        <v/>
      </c>
      <c r="N134" s="61" t="str">
        <f t="shared" si="31"/>
        <v/>
      </c>
      <c r="O134" s="68" t="str">
        <f t="shared" si="32"/>
        <v/>
      </c>
      <c r="P134" s="5" t="str">
        <f t="shared" si="27"/>
        <v/>
      </c>
      <c r="Q134" s="54" t="str">
        <f t="shared" si="33"/>
        <v/>
      </c>
      <c r="R134" s="68" t="str">
        <f t="shared" si="34"/>
        <v/>
      </c>
      <c r="S134" s="61" t="str">
        <f t="shared" si="35"/>
        <v/>
      </c>
      <c r="T134" s="62" t="str">
        <f>IF(D134&lt;&gt;"",IF(SUMPRODUCT(--($E134=STK_DIV!$A$2:$A$5),--(NXT_COMPO!$Q134=STK_DIV!$E$2:$E$5),ROW(STK_DIV!$D$2:$D$5))=0,"",INDEX(STK_DIV!$D$1:$D$5,SUMPRODUCT(--($E134=STK_DIV!$A$2:$A$5),--(NXT_COMPO!$Q134=STK_DIV!$E$2:$E$5),ROW(STK_DIV!$D$2:$D$5)))),"")</f>
        <v/>
      </c>
      <c r="U134" s="54" t="str">
        <f>IF($D134&lt;&gt;"",VLOOKUP($P134,IDX_REF!$2:$1048576,4,0),"")</f>
        <v/>
      </c>
      <c r="W134" s="52" t="str">
        <f t="shared" si="28"/>
        <v/>
      </c>
      <c r="X134" s="5" t="str">
        <f>IF(ROW(X134)-ROW($X$1)&lt;=$B$1,INDEX(IDX_COMPO!A:A,ROW(IDX_COMPO!A134)),"")</f>
        <v/>
      </c>
      <c r="Y134" s="54" t="str">
        <f t="shared" si="29"/>
        <v/>
      </c>
      <c r="Z134" s="54" t="str">
        <f>IF(ROW(Z134)-ROW($Y$1)&lt;=$B$1,INDEX(IDX_COMPO!F:F,ROW(IDX_COMPO!R134)),"")</f>
        <v/>
      </c>
      <c r="AA134" s="2" t="str">
        <f t="array" ref="AA134">IF(X134&lt;&gt;"",IF(SUMPRODUCT(--(X134=IDX_CA!$A$2:$A$1041),--(NXT_COMPO!Y134=IDX_CA!$C$2:$C$1041),--(Z134=IDX_CA!$B$2:$B$1041))&gt;0,IF(INDEX(IDX_CA!$I:$I,SUMPRODUCT(--(X134=IDX_CA!$A$2:$A$1041),--(NXT_COMPO!Y134=IDX_CA!$C$2:$C$1041),--(Z134=IDX_CA!$B$2:$B$1041),ROW(IDX_CA!$I$2:$I$1041)))=1,"YES","MODIFY"),""),"")</f>
        <v/>
      </c>
      <c r="AB134" s="5" t="str">
        <f>IF(X134&lt;&gt;"",IF(AA134="YES","",COUNTIF($AA$2:AA134,"&lt;&gt;YES")),"")</f>
        <v/>
      </c>
      <c r="AC134" s="2"/>
    </row>
    <row r="135" spans="4:29" x14ac:dyDescent="0.2">
      <c r="D135" s="52" t="str">
        <f t="shared" si="26"/>
        <v/>
      </c>
      <c r="E135" s="5" t="str">
        <f t="shared" si="30"/>
        <v/>
      </c>
      <c r="F135" s="5" t="str">
        <f>IF($D135&lt;&gt;"",VLOOKUP($E135,STK_REF!$A$2:$J$1048576,2,0),"")</f>
        <v/>
      </c>
      <c r="G135" s="68" t="str">
        <f>IF($D135&lt;=$B$1-$B$2,IF(INDEX($AA$2:$AA$1048576,MATCH($D135,$AB$2:$AB$1048576,0))="MODIFY",INDEX(IDX_CA!$D$1:$D$1041,SUMPRODUCT(--($E135=IDX_CA!$A$2:$A$1041),--(NXT_COMPO!$P135=IDX_CA!$B$2:$B$1041),--(NXT_COMPO!$Q135=IDX_CA!$C$2:$C$1041),ROW(IDX_CA!$D$2:$D$1041))),INDEX(IDX_COMPO!$C$1:$C$12000,SUMPRODUCT(--($E135=IDX_COMPO!$A$2:$A$1200),--(NXT_COMPO!$P135=IDX_COMPO!$F$2:$F$1200),--(NXT_COMPO!$B$5=IDX_COMPO!$G$2:$G$1200),ROW(IDX_COMPO!$C$2:$C$1200)))),IF($D135&lt;=$B$4,INDEX(IDX_CA!$D$1:$D$1041,SUMPRODUCT(--($E135=IDX_CA!$A$2:$A$1041),--(NXT_COMPO!$P135=IDX_CA!$B$2:$B$1041),--(NXT_COMPO!$Q135=IDX_CA!$C$2:$C$1041),ROW(IDX_CA!$D$2:$D$1041))),""))</f>
        <v/>
      </c>
      <c r="H135" s="55" t="str">
        <f>IF($D135&lt;=$B$1-$B$2,IF(INDEX($AA$2:$AA$1048576,MATCH($D135,$AB$2:$AB$1048576,0))="MODIFY",INDEX(IDX_CA!$E$1:$E$1041,SUMPRODUCT(--($E135=IDX_CA!$A$2:$A$1041),--(NXT_COMPO!$P135=IDX_CA!$B$2:$B$1041),--(NXT_COMPO!$Q135=IDX_CA!$C$2:$C$1041),ROW(IDX_CA!$E$2:$E$1041))),INDEX(IDX_COMPO!$D$1:$D$1200,SUMPRODUCT(--($E135=IDX_COMPO!$A$2:$A$1200),--(NXT_COMPO!$P135=IDX_COMPO!$F$2:$F$1200),--(NXT_COMPO!$B$5=IDX_COMPO!$G$2:$G$1200),ROW(IDX_COMPO!$D$2:$D$1200)))),IF($D135&lt;=$B$4,INDEX(IDX_CA!$E$1:$E$1041,SUMPRODUCT(--($E135=IDX_CA!$A$2:$A$1041),--(NXT_COMPO!$P135=IDX_CA!$B$2:$B$1041),--(NXT_COMPO!$Q135=IDX_CA!$C$2:$C$1041),ROW(IDX_CA!$E$2:$E$1041))),""))</f>
        <v/>
      </c>
      <c r="I135" s="55" t="str">
        <f>IF($D135&lt;=$B$1-$B$2,IF(INDEX($AA$2:$AA$1048576,MATCH($D135,$AB$2:$AB$1048576,0))="MODIFY",INDEX(IDX_CA!$F$1:$F$1041,SUMPRODUCT(--($E135=IDX_CA!$A$2:$A$1041),--(NXT_COMPO!$P135=IDX_CA!$B$2:$B$1041),--(NXT_COMPO!$Q135=IDX_CA!$C$2:$C$1041),ROW(IDX_CA!$F$2:$F$1041))),INDEX(IDX_COMPO!$E$1:$E$1200,SUMPRODUCT(--($E135=IDX_COMPO!$A$2:$A$1200),--(NXT_COMPO!$P135=IDX_COMPO!$F$2:$F$1200),--(NXT_COMPO!$B$5=IDX_COMPO!$G$2:$G$1200),ROW(IDX_COMPO!$E$2:$E$1200)))),IF($D135&lt;=$B$4,INDEX(IDX_CA!$F$1:$F$1041,SUMPRODUCT(--($E135=IDX_CA!$A$2:$A$1041),--(NXT_COMPO!$P135=IDX_CA!$B$2:$B$1041),--(NXT_COMPO!$Q135=IDX_CA!$C$2:$C$1041),ROW(IDX_CA!$F$2:$F$1041))),""))</f>
        <v/>
      </c>
      <c r="J135" s="62" t="str">
        <f>IF($D135&lt;=$B$1-$B$2,IF(INDEX($AA$2:$AA$1048576,MATCH($D135,$AB$2:$AB$1048576,0))="MODIFY",INDEX(IDX_CA!$G$1:$G$1041,SUMPRODUCT(--($E135=IDX_CA!$A$2:$A$1041),--(NXT_COMPO!$P135=IDX_CA!$B$2:$B$1041),--(NXT_COMPO!$Q135=IDX_CA!$C$2:$C$1041),ROW(IDX_CA!$G$2:$G$1041))),INDEX(IDX_COMPOSITION!$F$1:$F$441,SUMPRODUCT(--($E135=IDX_COMPOSITION!$A$2:$A$441),--(NXT_COMPO!$P135=IDX_COMPOSITION!$R$2:$R$441),--(NXT_COMPO!$B$5=IDX_COMPOSITION!$L$2:$L$441),ROW(IDX_COMPOSITION!$F$2:$F$441)))),IF($D135&lt;=$B$4,INDEX(IDX_CA!$G$1:$G$1041,SUMPRODUCT(--($E135=IDX_CA!$A$2:$A$1041),--(NXT_COMPO!$P135=IDX_CA!$B$2:$B$1041),--(NXT_COMPO!$Q135=IDX_CA!$C$2:$C$1041),ROW(IDX_CA!$G$2:$G$1041))),""))</f>
        <v/>
      </c>
      <c r="K135" s="63" t="str">
        <f>IF($D135&lt;&gt;"",VLOOKUP($E135,STK_REF!$A$2:$J$1048576,7,0),"")</f>
        <v/>
      </c>
      <c r="L135" s="5" t="str">
        <f>IF($D135&lt;&gt;"",VLOOKUP($E135,STK_REF!$A$2:$J$1048576,8,0),"")</f>
        <v/>
      </c>
      <c r="M135" s="8" t="str">
        <f>IF($D135&lt;&gt;"",IF($K135=$U135,1,IF(ISNA(VLOOKUP($K135&amp;$U135,CUR_RATES!$A$2:$F$521,4,0)),"",VLOOKUP($K135&amp;$U135,CUR_RATES!$A$2:$F$521,4,0))),"")</f>
        <v/>
      </c>
      <c r="N135" s="61" t="str">
        <f t="shared" si="31"/>
        <v/>
      </c>
      <c r="O135" s="68" t="str">
        <f t="shared" si="32"/>
        <v/>
      </c>
      <c r="P135" s="5" t="str">
        <f t="shared" si="27"/>
        <v/>
      </c>
      <c r="Q135" s="54" t="str">
        <f t="shared" si="33"/>
        <v/>
      </c>
      <c r="R135" s="68" t="str">
        <f t="shared" si="34"/>
        <v/>
      </c>
      <c r="S135" s="61" t="str">
        <f t="shared" si="35"/>
        <v/>
      </c>
      <c r="T135" s="62" t="str">
        <f>IF(D135&lt;&gt;"",IF(SUMPRODUCT(--($E135=STK_DIV!$A$2:$A$5),--(NXT_COMPO!$Q135=STK_DIV!$E$2:$E$5),ROW(STK_DIV!$D$2:$D$5))=0,"",INDEX(STK_DIV!$D$1:$D$5,SUMPRODUCT(--($E135=STK_DIV!$A$2:$A$5),--(NXT_COMPO!$Q135=STK_DIV!$E$2:$E$5),ROW(STK_DIV!$D$2:$D$5)))),"")</f>
        <v/>
      </c>
      <c r="U135" s="54" t="str">
        <f>IF($D135&lt;&gt;"",VLOOKUP($P135,IDX_REF!$2:$1048576,4,0),"")</f>
        <v/>
      </c>
      <c r="W135" s="52" t="str">
        <f t="shared" si="28"/>
        <v/>
      </c>
      <c r="X135" s="5" t="str">
        <f>IF(ROW(X135)-ROW($X$1)&lt;=$B$1,INDEX(IDX_COMPO!A:A,ROW(IDX_COMPO!A135)),"")</f>
        <v/>
      </c>
      <c r="Y135" s="54" t="str">
        <f t="shared" si="29"/>
        <v/>
      </c>
      <c r="Z135" s="54" t="str">
        <f>IF(ROW(Z135)-ROW($Y$1)&lt;=$B$1,INDEX(IDX_COMPO!F:F,ROW(IDX_COMPO!R135)),"")</f>
        <v/>
      </c>
      <c r="AA135" s="2" t="str">
        <f t="array" ref="AA135">IF(X135&lt;&gt;"",IF(SUMPRODUCT(--(X135=IDX_CA!$A$2:$A$1041),--(NXT_COMPO!Y135=IDX_CA!$C$2:$C$1041),--(Z135=IDX_CA!$B$2:$B$1041))&gt;0,IF(INDEX(IDX_CA!$I:$I,SUMPRODUCT(--(X135=IDX_CA!$A$2:$A$1041),--(NXT_COMPO!Y135=IDX_CA!$C$2:$C$1041),--(Z135=IDX_CA!$B$2:$B$1041),ROW(IDX_CA!$I$2:$I$1041)))=1,"YES","MODIFY"),""),"")</f>
        <v/>
      </c>
      <c r="AB135" s="5" t="str">
        <f>IF(X135&lt;&gt;"",IF(AA135="YES","",COUNTIF($AA$2:AA135,"&lt;&gt;YES")),"")</f>
        <v/>
      </c>
      <c r="AC135" s="2"/>
    </row>
    <row r="136" spans="4:29" x14ac:dyDescent="0.2">
      <c r="D136" s="52" t="str">
        <f t="shared" si="26"/>
        <v/>
      </c>
      <c r="E136" s="5" t="str">
        <f t="shared" si="30"/>
        <v/>
      </c>
      <c r="J136" s="62" t="str">
        <f>IF($D136&lt;=$B$1-$B$2,IF(INDEX($AA$2:$AA$1048576,MATCH($D136,$AB$2:$AB$1048576,0))="MODIFY",INDEX(IDX_CA!$G$1:$G$1041,SUMPRODUCT(--($E136=IDX_CA!$A$2:$A$1041),--(NXT_COMPO!$P136=IDX_CA!$B$2:$B$1041),--(NXT_COMPO!$Q136=IDX_CA!$C$2:$C$1041),ROW(IDX_CA!$G$2:$G$1041))),INDEX(IDX_COMPOSITION!$F$1:$F$441,SUMPRODUCT(--($E136=IDX_COMPOSITION!$A$2:$A$441),--(NXT_COMPO!$P136=IDX_COMPOSITION!$R$2:$R$441),--(NXT_COMPO!$B$5=IDX_COMPOSITION!$L$2:$L$441),ROW(IDX_COMPOSITION!$F$2:$F$441)))),IF($D136&lt;=$B$4,INDEX(IDX_CA!$G$1:$G$1041,SUMPRODUCT(--($E136=IDX_CA!$A$2:$A$1041),--(NXT_COMPO!$P136=IDX_CA!$B$2:$B$1041),--(NXT_COMPO!$Q136=IDX_CA!$C$2:$C$1041),ROW(IDX_CA!$G$2:$G$1041))),""))</f>
        <v/>
      </c>
      <c r="K136" s="63" t="str">
        <f>IF($D136&lt;&gt;"",VLOOKUP($E136,STK_REF!$A$2:$J$1048576,7,0),"")</f>
        <v/>
      </c>
      <c r="L136" s="5" t="str">
        <f>IF($D136&lt;&gt;"",VLOOKUP($E136,STK_REF!$A$2:$J$1048576,8,0),"")</f>
        <v/>
      </c>
      <c r="M136" s="8" t="str">
        <f>IF($D136&lt;&gt;"",IF($K136=$U136,1,IF(ISNA(VLOOKUP($K136&amp;$U136,CUR_RATES!$A$2:$F$521,4,0)),"",VLOOKUP($K136&amp;$U136,CUR_RATES!$A$2:$F$521,4,0))),"")</f>
        <v/>
      </c>
      <c r="N136" s="61" t="str">
        <f t="shared" si="31"/>
        <v/>
      </c>
      <c r="O136" s="68" t="str">
        <f t="shared" si="32"/>
        <v/>
      </c>
      <c r="R136" s="68" t="str">
        <f t="shared" si="34"/>
        <v/>
      </c>
      <c r="S136" s="61" t="str">
        <f t="shared" si="35"/>
        <v/>
      </c>
      <c r="T136" s="62" t="str">
        <f>IF(D136&lt;&gt;"",IF(SUMPRODUCT(--($E136=STK_DIV!$A$2:$A$5),--(NXT_COMPO!$Q136=STK_DIV!$E$2:$E$5),ROW(STK_DIV!$D$2:$D$5))=0,"",INDEX(STK_DIV!$D$1:$D$5,SUMPRODUCT(--($E136=STK_DIV!$A$2:$A$5),--(NXT_COMPO!$Q136=STK_DIV!$E$2:$E$5),ROW(STK_DIV!$D$2:$D$5)))),"")</f>
        <v/>
      </c>
      <c r="U136" s="54" t="str">
        <f>IF($D136&lt;&gt;"",VLOOKUP($P136,IDX_REF!$2:$1048576,4,0),"")</f>
        <v/>
      </c>
      <c r="W136" s="52" t="str">
        <f t="shared" si="28"/>
        <v/>
      </c>
      <c r="X136" s="5" t="str">
        <f>IF(ROW(X136)-ROW($X$1)&lt;=$B$1,INDEX(IDX_COMPO!A:A,ROW(IDX_COMPO!A136)),"")</f>
        <v/>
      </c>
      <c r="Y136" s="54" t="str">
        <f t="shared" si="29"/>
        <v/>
      </c>
      <c r="Z136" s="54" t="str">
        <f>IF(ROW(Z136)-ROW($Y$1)&lt;=$B$1,INDEX(IDX_COMPO!F:F,ROW(IDX_COMPO!R136)),"")</f>
        <v/>
      </c>
      <c r="AA136" s="2" t="str">
        <f t="array" ref="AA136">IF(X136&lt;&gt;"",IF(SUMPRODUCT(--(X136=IDX_CA!$A$2:$A$1041),--(NXT_COMPO!Y136=IDX_CA!$C$2:$C$1041),--(Z136=IDX_CA!$B$2:$B$1041))&gt;0,IF(INDEX(IDX_CA!$I:$I,SUMPRODUCT(--(X136=IDX_CA!$A$2:$A$1041),--(NXT_COMPO!Y136=IDX_CA!$C$2:$C$1041),--(Z136=IDX_CA!$B$2:$B$1041),ROW(IDX_CA!$I$2:$I$1041)))=1,"YES","MODIFY"),""),"")</f>
        <v/>
      </c>
      <c r="AB136" s="5" t="str">
        <f>IF(X136&lt;&gt;"",IF(AA136="YES","",COUNTIF($AA$2:AA136,"&lt;&gt;YES")),"")</f>
        <v/>
      </c>
      <c r="AC136" s="2"/>
    </row>
    <row r="137" spans="4:29" x14ac:dyDescent="0.2">
      <c r="D137" s="52" t="str">
        <f t="shared" si="26"/>
        <v/>
      </c>
      <c r="E137" s="5" t="str">
        <f t="shared" si="30"/>
        <v/>
      </c>
      <c r="J137" s="62" t="str">
        <f>IF($D137&lt;=$B$1-$B$2,IF(INDEX($AA$2:$AA$1048576,MATCH($D137,$AB$2:$AB$1048576,0))="MODIFY",INDEX(IDX_CA!$G$1:$G$1041,SUMPRODUCT(--($E137=IDX_CA!$A$2:$A$1041),--(NXT_COMPO!$P137=IDX_CA!$B$2:$B$1041),--(NXT_COMPO!$Q137=IDX_CA!$C$2:$C$1041),ROW(IDX_CA!$G$2:$G$1041))),INDEX(IDX_COMPOSITION!$F$1:$F$441,SUMPRODUCT(--($E137=IDX_COMPOSITION!$A$2:$A$441),--(NXT_COMPO!$P137=IDX_COMPOSITION!$R$2:$R$441),--(NXT_COMPO!$B$5=IDX_COMPOSITION!$L$2:$L$441),ROW(IDX_COMPOSITION!$F$2:$F$441)))),IF($D137&lt;=$B$4,INDEX(IDX_CA!$G$1:$G$1041,SUMPRODUCT(--($E137=IDX_CA!$A$2:$A$1041),--(NXT_COMPO!$P137=IDX_CA!$B$2:$B$1041),--(NXT_COMPO!$Q137=IDX_CA!$C$2:$C$1041),ROW(IDX_CA!$G$2:$G$1041))),""))</f>
        <v/>
      </c>
      <c r="K137" s="63" t="str">
        <f>IF($D137&lt;&gt;"",VLOOKUP($E137,STK_REF!$A$2:$J$1048576,7,0),"")</f>
        <v/>
      </c>
      <c r="L137" s="5" t="str">
        <f>IF($D137&lt;&gt;"",VLOOKUP($E137,STK_REF!$A$2:$J$1048576,8,0),"")</f>
        <v/>
      </c>
      <c r="M137" s="8" t="str">
        <f>IF($D137&lt;&gt;"",IF($K137=$U137,1,IF(ISNA(VLOOKUP($K137&amp;$U137,CUR_RATES!$A$2:$F$521,4,0)),"",VLOOKUP($K137&amp;$U137,CUR_RATES!$A$2:$F$521,4,0))),"")</f>
        <v/>
      </c>
      <c r="N137" s="61" t="str">
        <f t="shared" si="31"/>
        <v/>
      </c>
      <c r="O137" s="68" t="str">
        <f t="shared" si="32"/>
        <v/>
      </c>
      <c r="R137" s="68" t="str">
        <f t="shared" si="34"/>
        <v/>
      </c>
      <c r="S137" s="61" t="str">
        <f t="shared" si="35"/>
        <v/>
      </c>
      <c r="T137" s="62" t="str">
        <f>IF(D137&lt;&gt;"",IF(SUMPRODUCT(--($E137=STK_DIV!$A$2:$A$5),--(NXT_COMPO!$Q137=STK_DIV!$E$2:$E$5),ROW(STK_DIV!$D$2:$D$5))=0,"",INDEX(STK_DIV!$D$1:$D$5,SUMPRODUCT(--($E137=STK_DIV!$A$2:$A$5),--(NXT_COMPO!$Q137=STK_DIV!$E$2:$E$5),ROW(STK_DIV!$D$2:$D$5)))),"")</f>
        <v/>
      </c>
      <c r="U137" s="54" t="str">
        <f>IF($D137&lt;&gt;"",VLOOKUP($P137,IDX_REF!$2:$1048576,4,0),"")</f>
        <v/>
      </c>
      <c r="W137" s="52" t="str">
        <f t="shared" si="28"/>
        <v/>
      </c>
      <c r="X137" s="5" t="str">
        <f>IF(ROW(X137)-ROW($X$1)&lt;=$B$1,INDEX(IDX_COMPO!A:A,ROW(IDX_COMPO!A137)),"")</f>
        <v/>
      </c>
      <c r="Y137" s="54" t="str">
        <f t="shared" si="29"/>
        <v/>
      </c>
      <c r="Z137" s="54" t="str">
        <f>IF(ROW(Z137)-ROW($Y$1)&lt;=$B$1,INDEX(IDX_COMPO!F:F,ROW(IDX_COMPO!R137)),"")</f>
        <v/>
      </c>
      <c r="AA137" s="2" t="str">
        <f t="array" ref="AA137">IF(X137&lt;&gt;"",IF(SUMPRODUCT(--(X137=IDX_CA!$A$2:$A$1041),--(NXT_COMPO!Y137=IDX_CA!$C$2:$C$1041),--(Z137=IDX_CA!$B$2:$B$1041))&gt;0,IF(INDEX(IDX_CA!$I:$I,SUMPRODUCT(--(X137=IDX_CA!$A$2:$A$1041),--(NXT_COMPO!Y137=IDX_CA!$C$2:$C$1041),--(Z137=IDX_CA!$B$2:$B$1041),ROW(IDX_CA!$I$2:$I$1041)))=1,"YES","MODIFY"),""),"")</f>
        <v/>
      </c>
      <c r="AB137" s="5" t="str">
        <f>IF(X137&lt;&gt;"",IF(AA137="YES","",COUNTIF($AA$2:AA137,"&lt;&gt;YES")),"")</f>
        <v/>
      </c>
      <c r="AC137" s="2"/>
    </row>
    <row r="138" spans="4:29" x14ac:dyDescent="0.2">
      <c r="D138" s="52" t="str">
        <f t="shared" si="26"/>
        <v/>
      </c>
      <c r="E138" s="5" t="str">
        <f t="shared" si="30"/>
        <v/>
      </c>
      <c r="J138" s="62" t="str">
        <f>IF($D138&lt;=$B$1-$B$2,IF(INDEX($AA$2:$AA$1048576,MATCH($D138,$AB$2:$AB$1048576,0))="MODIFY",INDEX(IDX_CA!$G$1:$G$1041,SUMPRODUCT(--($E138=IDX_CA!$A$2:$A$1041),--(NXT_COMPO!$P138=IDX_CA!$B$2:$B$1041),--(NXT_COMPO!$Q138=IDX_CA!$C$2:$C$1041),ROW(IDX_CA!$G$2:$G$1041))),INDEX(IDX_COMPOSITION!$F$1:$F$441,SUMPRODUCT(--($E138=IDX_COMPOSITION!$A$2:$A$441),--(NXT_COMPO!$P138=IDX_COMPOSITION!$R$2:$R$441),--(NXT_COMPO!$B$5=IDX_COMPOSITION!$L$2:$L$441),ROW(IDX_COMPOSITION!$F$2:$F$441)))),IF($D138&lt;=$B$4,INDEX(IDX_CA!$G$1:$G$1041,SUMPRODUCT(--($E138=IDX_CA!$A$2:$A$1041),--(NXT_COMPO!$P138=IDX_CA!$B$2:$B$1041),--(NXT_COMPO!$Q138=IDX_CA!$C$2:$C$1041),ROW(IDX_CA!$G$2:$G$1041))),""))</f>
        <v/>
      </c>
      <c r="K138" s="63" t="str">
        <f>IF($D138&lt;&gt;"",VLOOKUP($E138,STK_REF!$A$2:$J$1048576,7,0),"")</f>
        <v/>
      </c>
      <c r="L138" s="5" t="str">
        <f>IF($D138&lt;&gt;"",VLOOKUP($E138,STK_REF!$A$2:$J$1048576,8,0),"")</f>
        <v/>
      </c>
      <c r="M138" s="8" t="str">
        <f>IF($D138&lt;&gt;"",IF($K138=$U138,1,IF(ISNA(VLOOKUP($K138&amp;$U138,CUR_RATES!$A$2:$F$521,4,0)),"",VLOOKUP($K138&amp;$U138,CUR_RATES!$A$2:$F$521,4,0))),"")</f>
        <v/>
      </c>
      <c r="N138" s="61" t="str">
        <f t="shared" si="31"/>
        <v/>
      </c>
      <c r="O138" s="68" t="str">
        <f t="shared" si="32"/>
        <v/>
      </c>
      <c r="R138" s="68" t="str">
        <f t="shared" si="34"/>
        <v/>
      </c>
      <c r="S138" s="61" t="str">
        <f t="shared" si="35"/>
        <v/>
      </c>
      <c r="T138" s="62" t="str">
        <f>IF(D138&lt;&gt;"",IF(SUMPRODUCT(--($E138=STK_DIV!$A$2:$A$5),--(NXT_COMPO!$Q138=STK_DIV!$E$2:$E$5),ROW(STK_DIV!$D$2:$D$5))=0,"",INDEX(STK_DIV!$D$1:$D$5,SUMPRODUCT(--($E138=STK_DIV!$A$2:$A$5),--(NXT_COMPO!$Q138=STK_DIV!$E$2:$E$5),ROW(STK_DIV!$D$2:$D$5)))),"")</f>
        <v/>
      </c>
      <c r="U138" s="54" t="str">
        <f>IF($D138&lt;&gt;"",VLOOKUP($P138,IDX_REF!$2:$1048576,4,0),"")</f>
        <v/>
      </c>
      <c r="W138" s="52" t="str">
        <f t="shared" si="28"/>
        <v/>
      </c>
      <c r="X138" s="5" t="str">
        <f>IF(ROW(X138)-ROW($X$1)&lt;=$B$1,INDEX(IDX_COMPO!A:A,ROW(IDX_COMPO!A138)),"")</f>
        <v/>
      </c>
      <c r="Y138" s="54" t="str">
        <f t="shared" si="29"/>
        <v/>
      </c>
      <c r="Z138" s="54" t="str">
        <f>IF(ROW(Z138)-ROW($Y$1)&lt;=$B$1,INDEX(IDX_COMPO!F:F,ROW(IDX_COMPO!R138)),"")</f>
        <v/>
      </c>
      <c r="AA138" s="2" t="str">
        <f t="array" ref="AA138">IF(X138&lt;&gt;"",IF(SUMPRODUCT(--(X138=IDX_CA!$A$2:$A$1041),--(NXT_COMPO!Y138=IDX_CA!$C$2:$C$1041),--(Z138=IDX_CA!$B$2:$B$1041))&gt;0,IF(INDEX(IDX_CA!$I:$I,SUMPRODUCT(--(X138=IDX_CA!$A$2:$A$1041),--(NXT_COMPO!Y138=IDX_CA!$C$2:$C$1041),--(Z138=IDX_CA!$B$2:$B$1041),ROW(IDX_CA!$I$2:$I$1041)))=1,"YES","MODIFY"),""),"")</f>
        <v/>
      </c>
      <c r="AB138" s="5" t="str">
        <f>IF(X138&lt;&gt;"",IF(AA138="YES","",COUNTIF($AA$2:AA138,"&lt;&gt;YES")),"")</f>
        <v/>
      </c>
      <c r="AC138" s="2"/>
    </row>
    <row r="139" spans="4:29" x14ac:dyDescent="0.2">
      <c r="D139" s="52" t="str">
        <f t="shared" si="26"/>
        <v/>
      </c>
      <c r="E139" s="5" t="str">
        <f t="shared" si="30"/>
        <v/>
      </c>
      <c r="J139" s="62" t="str">
        <f>IF($D139&lt;=$B$1-$B$2,IF(INDEX($AA$2:$AA$1048576,MATCH($D139,$AB$2:$AB$1048576,0))="MODIFY",INDEX(IDX_CA!$G$1:$G$1041,SUMPRODUCT(--($E139=IDX_CA!$A$2:$A$1041),--(NXT_COMPO!$P139=IDX_CA!$B$2:$B$1041),--(NXT_COMPO!$Q139=IDX_CA!$C$2:$C$1041),ROW(IDX_CA!$G$2:$G$1041))),INDEX(IDX_COMPOSITION!$F$1:$F$441,SUMPRODUCT(--($E139=IDX_COMPOSITION!$A$2:$A$441),--(NXT_COMPO!$P139=IDX_COMPOSITION!$R$2:$R$441),--(NXT_COMPO!$B$5=IDX_COMPOSITION!$L$2:$L$441),ROW(IDX_COMPOSITION!$F$2:$F$441)))),IF($D139&lt;=$B$4,INDEX(IDX_CA!$G$1:$G$1041,SUMPRODUCT(--($E139=IDX_CA!$A$2:$A$1041),--(NXT_COMPO!$P139=IDX_CA!$B$2:$B$1041),--(NXT_COMPO!$Q139=IDX_CA!$C$2:$C$1041),ROW(IDX_CA!$G$2:$G$1041))),""))</f>
        <v/>
      </c>
      <c r="K139" s="63" t="str">
        <f>IF($D139&lt;&gt;"",VLOOKUP($E139,STK_REF!$A$2:$J$1048576,7,0),"")</f>
        <v/>
      </c>
      <c r="L139" s="5" t="str">
        <f>IF($D139&lt;&gt;"",VLOOKUP($E139,STK_REF!$A$2:$J$1048576,8,0),"")</f>
        <v/>
      </c>
      <c r="M139" s="8" t="str">
        <f>IF($D139&lt;&gt;"",IF($K139=$U139,1,IF(ISNA(VLOOKUP($K139&amp;$U139,CUR_RATES!$A$2:$F$521,4,0)),"",VLOOKUP($K139&amp;$U139,CUR_RATES!$A$2:$F$521,4,0))),"")</f>
        <v/>
      </c>
      <c r="N139" s="61" t="str">
        <f t="shared" si="31"/>
        <v/>
      </c>
      <c r="O139" s="68" t="str">
        <f t="shared" si="32"/>
        <v/>
      </c>
      <c r="R139" s="68" t="str">
        <f t="shared" si="34"/>
        <v/>
      </c>
      <c r="S139" s="61" t="str">
        <f t="shared" si="35"/>
        <v/>
      </c>
      <c r="T139" s="62" t="str">
        <f>IF(D139&lt;&gt;"",IF(SUMPRODUCT(--($E139=STK_DIV!$A$2:$A$5),--(NXT_COMPO!$Q139=STK_DIV!$E$2:$E$5),ROW(STK_DIV!$D$2:$D$5))=0,"",INDEX(STK_DIV!$D$1:$D$5,SUMPRODUCT(--($E139=STK_DIV!$A$2:$A$5),--(NXT_COMPO!$Q139=STK_DIV!$E$2:$E$5),ROW(STK_DIV!$D$2:$D$5)))),"")</f>
        <v/>
      </c>
      <c r="U139" s="54" t="str">
        <f>IF($D139&lt;&gt;"",VLOOKUP($P139,IDX_REF!$2:$1048576,4,0),"")</f>
        <v/>
      </c>
      <c r="W139" s="52" t="str">
        <f t="shared" si="28"/>
        <v/>
      </c>
      <c r="X139" s="5" t="str">
        <f>IF(ROW(X139)-ROW($X$1)&lt;=$B$1,INDEX(IDX_COMPO!A:A,ROW(IDX_COMPO!A139)),"")</f>
        <v/>
      </c>
      <c r="Y139" s="54" t="str">
        <f t="shared" si="29"/>
        <v/>
      </c>
      <c r="Z139" s="54" t="str">
        <f>IF(ROW(Z139)-ROW($Y$1)&lt;=$B$1,INDEX(IDX_COMPO!F:F,ROW(IDX_COMPO!R139)),"")</f>
        <v/>
      </c>
      <c r="AA139" s="2" t="str">
        <f t="array" ref="AA139">IF(X139&lt;&gt;"",IF(SUMPRODUCT(--(X139=IDX_CA!$A$2:$A$1041),--(NXT_COMPO!Y139=IDX_CA!$C$2:$C$1041),--(Z139=IDX_CA!$B$2:$B$1041))&gt;0,IF(INDEX(IDX_CA!$I:$I,SUMPRODUCT(--(X139=IDX_CA!$A$2:$A$1041),--(NXT_COMPO!Y139=IDX_CA!$C$2:$C$1041),--(Z139=IDX_CA!$B$2:$B$1041),ROW(IDX_CA!$I$2:$I$1041)))=1,"YES","MODIFY"),""),"")</f>
        <v/>
      </c>
      <c r="AB139" s="5" t="str">
        <f>IF(X139&lt;&gt;"",IF(AA139="YES","",COUNTIF($AA$2:AA139,"&lt;&gt;YES")),"")</f>
        <v/>
      </c>
      <c r="AC139" s="2"/>
    </row>
    <row r="140" spans="4:29" x14ac:dyDescent="0.2">
      <c r="D140" s="52" t="str">
        <f t="shared" si="26"/>
        <v/>
      </c>
      <c r="E140" s="5" t="str">
        <f t="shared" si="30"/>
        <v/>
      </c>
      <c r="J140" s="62" t="str">
        <f>IF($D140&lt;=$B$1-$B$2,IF(INDEX($AA$2:$AA$1048576,MATCH($D140,$AB$2:$AB$1048576,0))="MODIFY",INDEX(IDX_CA!$G$1:$G$1041,SUMPRODUCT(--($E140=IDX_CA!$A$2:$A$1041),--(NXT_COMPO!$P140=IDX_CA!$B$2:$B$1041),--(NXT_COMPO!$Q140=IDX_CA!$C$2:$C$1041),ROW(IDX_CA!$G$2:$G$1041))),INDEX(IDX_COMPOSITION!$F$1:$F$441,SUMPRODUCT(--($E140=IDX_COMPOSITION!$A$2:$A$441),--(NXT_COMPO!$P140=IDX_COMPOSITION!$R$2:$R$441),--(NXT_COMPO!$B$5=IDX_COMPOSITION!$L$2:$L$441),ROW(IDX_COMPOSITION!$F$2:$F$441)))),IF($D140&lt;=$B$4,INDEX(IDX_CA!$G$1:$G$1041,SUMPRODUCT(--($E140=IDX_CA!$A$2:$A$1041),--(NXT_COMPO!$P140=IDX_CA!$B$2:$B$1041),--(NXT_COMPO!$Q140=IDX_CA!$C$2:$C$1041),ROW(IDX_CA!$G$2:$G$1041))),""))</f>
        <v/>
      </c>
      <c r="K140" s="63" t="str">
        <f>IF($D140&lt;&gt;"",VLOOKUP($E140,STK_REF!$A$2:$J$1048576,7,0),"")</f>
        <v/>
      </c>
      <c r="L140" s="5" t="str">
        <f>IF($D140&lt;&gt;"",VLOOKUP($E140,STK_REF!$A$2:$J$1048576,8,0),"")</f>
        <v/>
      </c>
      <c r="M140" s="8" t="str">
        <f>IF($D140&lt;&gt;"",IF($K140=$U140,1,IF(ISNA(VLOOKUP($K140&amp;$U140,CUR_RATES!$A$2:$F$521,4,0)),"",VLOOKUP($K140&amp;$U140,CUR_RATES!$A$2:$F$521,4,0))),"")</f>
        <v/>
      </c>
      <c r="N140" s="61" t="str">
        <f t="shared" si="31"/>
        <v/>
      </c>
      <c r="O140" s="68" t="str">
        <f t="shared" si="32"/>
        <v/>
      </c>
      <c r="R140" s="68" t="str">
        <f t="shared" si="34"/>
        <v/>
      </c>
      <c r="S140" s="61" t="str">
        <f t="shared" si="35"/>
        <v/>
      </c>
      <c r="T140" s="62" t="str">
        <f>IF(D140&lt;&gt;"",IF(SUMPRODUCT(--($E140=STK_DIV!$A$2:$A$5),--(NXT_COMPO!$Q140=STK_DIV!$E$2:$E$5),ROW(STK_DIV!$D$2:$D$5))=0,"",INDEX(STK_DIV!$D$1:$D$5,SUMPRODUCT(--($E140=STK_DIV!$A$2:$A$5),--(NXT_COMPO!$Q140=STK_DIV!$E$2:$E$5),ROW(STK_DIV!$D$2:$D$5)))),"")</f>
        <v/>
      </c>
      <c r="U140" s="54" t="str">
        <f>IF($D140&lt;&gt;"",VLOOKUP($P140,IDX_REF!$2:$1048576,4,0),"")</f>
        <v/>
      </c>
      <c r="W140" s="52" t="str">
        <f t="shared" si="28"/>
        <v/>
      </c>
      <c r="X140" s="5" t="str">
        <f>IF(ROW(X140)-ROW($X$1)&lt;=$B$1,INDEX(IDX_COMPO!A:A,ROW(IDX_COMPO!A140)),"")</f>
        <v/>
      </c>
      <c r="Y140" s="54" t="str">
        <f t="shared" si="29"/>
        <v/>
      </c>
      <c r="Z140" s="54" t="str">
        <f>IF(ROW(Z140)-ROW($Y$1)&lt;=$B$1,INDEX(IDX_COMPO!F:F,ROW(IDX_COMPO!R140)),"")</f>
        <v/>
      </c>
      <c r="AA140" s="2" t="str">
        <f t="array" ref="AA140">IF(X140&lt;&gt;"",IF(SUMPRODUCT(--(X140=IDX_CA!$A$2:$A$1041),--(NXT_COMPO!Y140=IDX_CA!$C$2:$C$1041),--(Z140=IDX_CA!$B$2:$B$1041))&gt;0,IF(INDEX(IDX_CA!$I:$I,SUMPRODUCT(--(X140=IDX_CA!$A$2:$A$1041),--(NXT_COMPO!Y140=IDX_CA!$C$2:$C$1041),--(Z140=IDX_CA!$B$2:$B$1041),ROW(IDX_CA!$I$2:$I$1041)))=1,"YES","MODIFY"),""),"")</f>
        <v/>
      </c>
      <c r="AB140" s="5" t="str">
        <f>IF(X140&lt;&gt;"",IF(AA140="YES","",COUNTIF($AA$2:AA140,"&lt;&gt;YES")),"")</f>
        <v/>
      </c>
      <c r="AC140" s="2"/>
    </row>
    <row r="141" spans="4:29" x14ac:dyDescent="0.2">
      <c r="D141" s="52" t="str">
        <f t="shared" si="26"/>
        <v/>
      </c>
      <c r="E141" s="5" t="str">
        <f t="shared" si="30"/>
        <v/>
      </c>
      <c r="F141" s="5" t="str">
        <f>IF(ROW(F141)-ROW($E$1)&lt;=$B$1-$B$2,INDEX(IDX_COMPO!B:B,ROW(IDX_COMPO!#REF!)),IF(ROW(E141)-ROW($E$1)&lt;=$B$4,VLOOKUP(E141,STK_REF!$A$2:$J$1048576,2,0),""))</f>
        <v/>
      </c>
      <c r="G141" s="69" t="str">
        <f>IF(ROW(G141)-ROW($E$1)&lt;=$B$4,INDEX(IDX_COMPO!C:C,ROW(IDX_COMPO!#REF!)),"")</f>
        <v/>
      </c>
      <c r="H141" s="2" t="str">
        <f>IF(ROW(H141)-ROW($E$1)&lt;=$B$4,INDEX(IDX_COMPO!D:D,ROW(IDX_COMPO!#REF!)),"")</f>
        <v/>
      </c>
      <c r="I141" s="2" t="str">
        <f>IF(ROW(I141)-ROW($E$1)&lt;=$B$4,INDEX(IDX_COMPO!E:E,ROW(IDX_COMPO!#REF!)),"")</f>
        <v/>
      </c>
      <c r="J141" s="62" t="str">
        <f>IF($D141&lt;=$B$1-$B$2,IF(INDEX($AA$2:$AA$1048576,MATCH($D141,$AB$2:$AB$1048576,0))="MODIFY",INDEX(IDX_CA!$G$1:$G$1041,SUMPRODUCT(--($E141=IDX_CA!$A$2:$A$1041),--(NXT_COMPO!$P141=IDX_CA!$B$2:$B$1041),--(NXT_COMPO!$Q141=IDX_CA!$C$2:$C$1041),ROW(IDX_CA!$G$2:$G$1041))),INDEX(IDX_COMPOSITION!$F$1:$F$441,SUMPRODUCT(--($E141=IDX_COMPOSITION!$A$2:$A$441),--(NXT_COMPO!$P141=IDX_COMPOSITION!$R$2:$R$441),--(NXT_COMPO!$B$5=IDX_COMPOSITION!$L$2:$L$441),ROW(IDX_COMPOSITION!$F$2:$F$441)))),IF($D141&lt;=$B$4,INDEX(IDX_CA!$G$1:$G$1041,SUMPRODUCT(--($E141=IDX_CA!$A$2:$A$1041),--(NXT_COMPO!$P141=IDX_CA!$B$2:$B$1041),--(NXT_COMPO!$Q141=IDX_CA!$C$2:$C$1041),ROW(IDX_CA!$G$2:$G$1041))),""))</f>
        <v/>
      </c>
      <c r="K141" s="63" t="str">
        <f>IF($D141&lt;&gt;"",VLOOKUP($E141,STK_REF!$A$2:$J$1048576,7,0),"")</f>
        <v/>
      </c>
      <c r="L141" s="5" t="str">
        <f>IF($D141&lt;&gt;"",VLOOKUP($E141,STK_REF!$A$2:$J$1048576,8,0),"")</f>
        <v/>
      </c>
      <c r="M141" s="8" t="str">
        <f>IF($D141&lt;&gt;"",IF($K141=$U141,1,IF(ISNA(VLOOKUP($K141&amp;$U141,CUR_RATES!$A$2:$F$521,4,0)),"",VLOOKUP($K141&amp;$U141,CUR_RATES!$A$2:$F$521,4,0))),"")</f>
        <v/>
      </c>
      <c r="N141" s="61" t="str">
        <f t="shared" si="31"/>
        <v/>
      </c>
      <c r="O141" s="68" t="str">
        <f t="shared" si="32"/>
        <v/>
      </c>
      <c r="P141" s="50" t="str">
        <f>IF(ROW(P141)-ROW($E$1)&lt;=$B$4,INDEX(IDX_COMPO!G:G,ROW(IDX_COMPO!#REF!)),"")</f>
        <v/>
      </c>
      <c r="Q141" s="2" t="str">
        <f>IF(ROW(Q141)-ROW($E$1)&lt;=$B$4,INDEX(IDX_COMPO!F:F,ROW(IDX_COMPO!#REF!)),"")</f>
        <v/>
      </c>
      <c r="R141" s="68" t="str">
        <f t="shared" si="34"/>
        <v/>
      </c>
      <c r="S141" s="61" t="str">
        <f t="shared" si="35"/>
        <v/>
      </c>
      <c r="T141" s="62" t="str">
        <f>IF(D141&lt;&gt;"",IF(SUMPRODUCT(--($E141=STK_DIV!$A$2:$A$5),--(NXT_COMPO!$Q141=STK_DIV!$E$2:$E$5),ROW(STK_DIV!$D$2:$D$5))=0,"",INDEX(STK_DIV!$D$1:$D$5,SUMPRODUCT(--($E141=STK_DIV!$A$2:$A$5),--(NXT_COMPO!$Q141=STK_DIV!$E$2:$E$5),ROW(STK_DIV!$D$2:$D$5)))),"")</f>
        <v/>
      </c>
      <c r="U141" s="54" t="str">
        <f>IF($D141&lt;&gt;"",VLOOKUP($P141,IDX_REF!$2:$1048576,4,0),"")</f>
        <v/>
      </c>
      <c r="W141" s="52" t="str">
        <f t="shared" si="28"/>
        <v/>
      </c>
      <c r="X141" s="5" t="str">
        <f>IF(ROW(X141)-ROW($X$1)&lt;=$B$1,INDEX(IDX_COMPO!A:A,ROW(IDX_COMPO!A141)),"")</f>
        <v/>
      </c>
      <c r="Y141" s="54" t="str">
        <f t="shared" si="29"/>
        <v/>
      </c>
      <c r="Z141" s="54" t="str">
        <f>IF(ROW(Z141)-ROW($Y$1)&lt;=$B$1,INDEX(IDX_COMPO!F:F,ROW(IDX_COMPO!R141)),"")</f>
        <v/>
      </c>
      <c r="AA141" s="2" t="str">
        <f t="array" ref="AA141">IF(X141&lt;&gt;"",IF(SUMPRODUCT(--(X141=IDX_CA!$A$2:$A$1041),--(NXT_COMPO!Y141=IDX_CA!$C$2:$C$1041),--(Z141=IDX_CA!$B$2:$B$1041))&gt;0,IF(INDEX(IDX_CA!$I:$I,SUMPRODUCT(--(X141=IDX_CA!$A$2:$A$1041),--(NXT_COMPO!Y141=IDX_CA!$C$2:$C$1041),--(Z141=IDX_CA!$B$2:$B$1041),ROW(IDX_CA!$I$2:$I$1041)))=1,"YES","MODIFY"),""),"")</f>
        <v/>
      </c>
      <c r="AB141" s="5" t="str">
        <f>IF(X141&lt;&gt;"",IF(AA141="YES","",COUNTIF($AA$2:AA141,"&lt;&gt;YES")),"")</f>
        <v/>
      </c>
      <c r="AC141" s="2"/>
    </row>
    <row r="142" spans="4:29" x14ac:dyDescent="0.2">
      <c r="D142" s="52" t="str">
        <f t="shared" si="26"/>
        <v/>
      </c>
      <c r="E142" s="5" t="str">
        <f t="shared" si="30"/>
        <v/>
      </c>
      <c r="F142" s="5" t="str">
        <f>IF(ROW(F142)-ROW($E$1)&lt;=$B$1-$B$2,INDEX(IDX_COMPO!B:B,ROW(IDX_COMPO!#REF!)),IF(ROW(E142)-ROW($E$1)&lt;=$B$4,VLOOKUP(E142,STK_REF!$A$2:$J$1048576,2,0),""))</f>
        <v/>
      </c>
      <c r="G142" s="69" t="str">
        <f>IF(ROW(G142)-ROW($E$1)&lt;=$B$4,INDEX(IDX_COMPO!C:C,ROW(IDX_COMPO!#REF!)),"")</f>
        <v/>
      </c>
      <c r="H142" s="2" t="str">
        <f>IF(ROW(H142)-ROW($E$1)&lt;=$B$4,INDEX(IDX_COMPO!D:D,ROW(IDX_COMPO!#REF!)),"")</f>
        <v/>
      </c>
      <c r="I142" s="2" t="str">
        <f>IF(ROW(I142)-ROW($E$1)&lt;=$B$4,INDEX(IDX_COMPO!E:E,ROW(IDX_COMPO!#REF!)),"")</f>
        <v/>
      </c>
      <c r="J142" s="62" t="str">
        <f>IF($D142&lt;=$B$1-$B$2,IF(INDEX($AA$2:$AA$1048576,MATCH($D142,$AB$2:$AB$1048576,0))="MODIFY",INDEX(IDX_CA!$G$1:$G$1041,SUMPRODUCT(--($E142=IDX_CA!$A$2:$A$1041),--(NXT_COMPO!$P142=IDX_CA!$B$2:$B$1041),--(NXT_COMPO!$Q142=IDX_CA!$C$2:$C$1041),ROW(IDX_CA!$G$2:$G$1041))),INDEX(IDX_COMPOSITION!$F$1:$F$441,SUMPRODUCT(--($E142=IDX_COMPOSITION!$A$2:$A$441),--(NXT_COMPO!$P142=IDX_COMPOSITION!$R$2:$R$441),--(NXT_COMPO!$B$5=IDX_COMPOSITION!$L$2:$L$441),ROW(IDX_COMPOSITION!$F$2:$F$441)))),IF($D142&lt;=$B$4,INDEX(IDX_CA!$G$1:$G$1041,SUMPRODUCT(--($E142=IDX_CA!$A$2:$A$1041),--(NXT_COMPO!$P142=IDX_CA!$B$2:$B$1041),--(NXT_COMPO!$Q142=IDX_CA!$C$2:$C$1041),ROW(IDX_CA!$G$2:$G$1041))),""))</f>
        <v/>
      </c>
      <c r="K142" s="63" t="str">
        <f>IF($D142&lt;&gt;"",VLOOKUP($E142,STK_REF!$A$2:$J$1048576,7,0),"")</f>
        <v/>
      </c>
      <c r="L142" s="5" t="str">
        <f>IF($D142&lt;&gt;"",VLOOKUP($E142,STK_REF!$A$2:$J$1048576,8,0),"")</f>
        <v/>
      </c>
      <c r="M142" s="8" t="str">
        <f>IF($D142&lt;&gt;"",IF($K142=$U142,1,IF(ISNA(VLOOKUP($K142&amp;$U142,CUR_RATES!$A$2:$F$521,4,0)),"",VLOOKUP($K142&amp;$U142,CUR_RATES!$A$2:$F$521,4,0))),"")</f>
        <v/>
      </c>
      <c r="N142" s="61" t="str">
        <f t="shared" si="31"/>
        <v/>
      </c>
      <c r="O142" s="68" t="str">
        <f t="shared" si="32"/>
        <v/>
      </c>
      <c r="P142" s="50" t="str">
        <f>IF(ROW(P142)-ROW($E$1)&lt;=$B$4,INDEX(IDX_COMPO!G:G,ROW(IDX_COMPO!#REF!)),"")</f>
        <v/>
      </c>
      <c r="Q142" s="2" t="str">
        <f>IF(ROW(Q142)-ROW($E$1)&lt;=$B$4,INDEX(IDX_COMPO!F:F,ROW(IDX_COMPO!#REF!)),"")</f>
        <v/>
      </c>
      <c r="R142" s="68" t="str">
        <f t="shared" si="34"/>
        <v/>
      </c>
      <c r="S142" s="61" t="str">
        <f t="shared" si="35"/>
        <v/>
      </c>
      <c r="T142" s="62" t="str">
        <f>IF(D142&lt;&gt;"",IF(SUMPRODUCT(--($E142=STK_DIV!$A$2:$A$5),--(NXT_COMPO!$Q142=STK_DIV!$E$2:$E$5),ROW(STK_DIV!$D$2:$D$5))=0,"",INDEX(STK_DIV!$D$1:$D$5,SUMPRODUCT(--($E142=STK_DIV!$A$2:$A$5),--(NXT_COMPO!$Q142=STK_DIV!$E$2:$E$5),ROW(STK_DIV!$D$2:$D$5)))),"")</f>
        <v/>
      </c>
      <c r="U142" s="54" t="str">
        <f>IF($D142&lt;&gt;"",VLOOKUP($P142,IDX_REF!$2:$1048576,4,0),"")</f>
        <v/>
      </c>
      <c r="W142" s="52" t="str">
        <f t="shared" si="28"/>
        <v/>
      </c>
      <c r="X142" s="5" t="str">
        <f>IF(ROW(X142)-ROW($X$1)&lt;=$B$1,INDEX(IDX_COMPO!A:A,ROW(IDX_COMPO!A142)),"")</f>
        <v/>
      </c>
      <c r="Y142" s="54" t="str">
        <f t="shared" si="29"/>
        <v/>
      </c>
      <c r="Z142" s="54" t="str">
        <f>IF(ROW(Z142)-ROW($Y$1)&lt;=$B$1,INDEX(IDX_COMPO!F:F,ROW(IDX_COMPO!R142)),"")</f>
        <v/>
      </c>
      <c r="AA142" s="2" t="str">
        <f t="array" ref="AA142">IF(X142&lt;&gt;"",IF(SUMPRODUCT(--(X142=IDX_CA!$A$2:$A$1041),--(NXT_COMPO!Y142=IDX_CA!$C$2:$C$1041),--(Z142=IDX_CA!$B$2:$B$1041))&gt;0,IF(INDEX(IDX_CA!$I:$I,SUMPRODUCT(--(X142=IDX_CA!$A$2:$A$1041),--(NXT_COMPO!Y142=IDX_CA!$C$2:$C$1041),--(Z142=IDX_CA!$B$2:$B$1041),ROW(IDX_CA!$I$2:$I$1041)))=1,"YES","MODIFY"),""),"")</f>
        <v/>
      </c>
      <c r="AB142" s="5" t="str">
        <f>IF(X142&lt;&gt;"",IF(AA142="YES","",COUNTIF($AA$2:AA142,"&lt;&gt;YES")),"")</f>
        <v/>
      </c>
      <c r="AC142" s="2"/>
    </row>
    <row r="143" spans="4:29" x14ac:dyDescent="0.2">
      <c r="D143" s="52" t="str">
        <f t="shared" si="26"/>
        <v/>
      </c>
      <c r="E143" s="5" t="str">
        <f t="shared" si="30"/>
        <v/>
      </c>
      <c r="F143" s="5" t="str">
        <f>IF(ROW(F143)-ROW($E$1)&lt;=$B$1-$B$2,INDEX(IDX_COMPO!B:B,ROW(IDX_COMPO!#REF!)),IF(ROW(E143)-ROW($E$1)&lt;=$B$4,VLOOKUP(E143,STK_REF!$A$2:$J$1048576,2,0),""))</f>
        <v/>
      </c>
      <c r="G143" s="69" t="str">
        <f>IF(ROW(G143)-ROW($E$1)&lt;=$B$4,INDEX(IDX_COMPO!C:C,ROW(IDX_COMPO!#REF!)),"")</f>
        <v/>
      </c>
      <c r="H143" s="2" t="str">
        <f>IF(ROW(H143)-ROW($E$1)&lt;=$B$4,INDEX(IDX_COMPO!D:D,ROW(IDX_COMPO!#REF!)),"")</f>
        <v/>
      </c>
      <c r="I143" s="2" t="str">
        <f>IF(ROW(I143)-ROW($E$1)&lt;=$B$4,INDEX(IDX_COMPO!E:E,ROW(IDX_COMPO!#REF!)),"")</f>
        <v/>
      </c>
      <c r="J143" s="62" t="str">
        <f>IF($D143&lt;=$B$1-$B$2,IF(INDEX($AA$2:$AA$1048576,MATCH($D143,$AB$2:$AB$1048576,0))="MODIFY",INDEX(IDX_CA!$G$1:$G$1041,SUMPRODUCT(--($E143=IDX_CA!$A$2:$A$1041),--(NXT_COMPO!$P143=IDX_CA!$B$2:$B$1041),--(NXT_COMPO!$Q143=IDX_CA!$C$2:$C$1041),ROW(IDX_CA!$G$2:$G$1041))),INDEX(IDX_COMPOSITION!$F$1:$F$441,SUMPRODUCT(--($E143=IDX_COMPOSITION!$A$2:$A$441),--(NXT_COMPO!$P143=IDX_COMPOSITION!$R$2:$R$441),--(NXT_COMPO!$B$5=IDX_COMPOSITION!$L$2:$L$441),ROW(IDX_COMPOSITION!$F$2:$F$441)))),IF($D143&lt;=$B$4,INDEX(IDX_CA!$G$1:$G$1041,SUMPRODUCT(--($E143=IDX_CA!$A$2:$A$1041),--(NXT_COMPO!$P143=IDX_CA!$B$2:$B$1041),--(NXT_COMPO!$Q143=IDX_CA!$C$2:$C$1041),ROW(IDX_CA!$G$2:$G$1041))),""))</f>
        <v/>
      </c>
      <c r="K143" s="63" t="str">
        <f>IF($D143&lt;&gt;"",VLOOKUP($E143,STK_REF!$A$2:$J$1048576,7,0),"")</f>
        <v/>
      </c>
      <c r="L143" s="5" t="str">
        <f>IF($D143&lt;&gt;"",VLOOKUP($E143,STK_REF!$A$2:$J$1048576,8,0),"")</f>
        <v/>
      </c>
      <c r="M143" s="8" t="str">
        <f>IF($D143&lt;&gt;"",IF($K143=$U143,1,IF(ISNA(VLOOKUP($K143&amp;$U143,CUR_RATES!$A$2:$F$521,4,0)),"",VLOOKUP($K143&amp;$U143,CUR_RATES!$A$2:$F$521,4,0))),"")</f>
        <v/>
      </c>
      <c r="N143" s="61" t="str">
        <f t="shared" si="31"/>
        <v/>
      </c>
      <c r="O143" s="68" t="str">
        <f t="shared" si="32"/>
        <v/>
      </c>
      <c r="P143" s="50" t="str">
        <f>IF(ROW(P143)-ROW($E$1)&lt;=$B$4,INDEX(IDX_COMPO!G:G,ROW(IDX_COMPO!#REF!)),"")</f>
        <v/>
      </c>
      <c r="Q143" s="2" t="str">
        <f>IF(ROW(Q143)-ROW($E$1)&lt;=$B$4,INDEX(IDX_COMPO!F:F,ROW(IDX_COMPO!#REF!)),"")</f>
        <v/>
      </c>
      <c r="R143" s="68" t="str">
        <f t="shared" si="34"/>
        <v/>
      </c>
      <c r="S143" s="61" t="str">
        <f t="shared" si="35"/>
        <v/>
      </c>
      <c r="T143" s="62" t="str">
        <f>IF(D143&lt;&gt;"",IF(SUMPRODUCT(--($E143=STK_DIV!$A$2:$A$5),--(NXT_COMPO!$Q143=STK_DIV!$E$2:$E$5),ROW(STK_DIV!$D$2:$D$5))=0,"",INDEX(STK_DIV!$D$1:$D$5,SUMPRODUCT(--($E143=STK_DIV!$A$2:$A$5),--(NXT_COMPO!$Q143=STK_DIV!$E$2:$E$5),ROW(STK_DIV!$D$2:$D$5)))),"")</f>
        <v/>
      </c>
      <c r="U143" s="54" t="str">
        <f>IF($D143&lt;&gt;"",VLOOKUP($P143,IDX_REF!$2:$1048576,4,0),"")</f>
        <v/>
      </c>
      <c r="W143" s="52" t="str">
        <f t="shared" si="28"/>
        <v/>
      </c>
      <c r="X143" s="5" t="str">
        <f>IF(ROW(X143)-ROW($X$1)&lt;=$B$1,INDEX(IDX_COMPO!A:A,ROW(IDX_COMPO!A143)),"")</f>
        <v/>
      </c>
      <c r="Y143" s="54" t="str">
        <f t="shared" si="29"/>
        <v/>
      </c>
      <c r="Z143" s="54" t="str">
        <f>IF(ROW(Z143)-ROW($Y$1)&lt;=$B$1,INDEX(IDX_COMPO!F:F,ROW(IDX_COMPO!R143)),"")</f>
        <v/>
      </c>
      <c r="AA143" s="2" t="str">
        <f t="array" ref="AA143">IF(X143&lt;&gt;"",IF(SUMPRODUCT(--(X143=IDX_CA!$A$2:$A$1041),--(NXT_COMPO!Y143=IDX_CA!$C$2:$C$1041),--(Z143=IDX_CA!$B$2:$B$1041))&gt;0,IF(INDEX(IDX_CA!$I:$I,SUMPRODUCT(--(X143=IDX_CA!$A$2:$A$1041),--(NXT_COMPO!Y143=IDX_CA!$C$2:$C$1041),--(Z143=IDX_CA!$B$2:$B$1041),ROW(IDX_CA!$I$2:$I$1041)))=1,"YES","MODIFY"),""),"")</f>
        <v/>
      </c>
      <c r="AB143" s="5" t="str">
        <f>IF(X143&lt;&gt;"",IF(AA143="YES","",COUNTIF($AA$2:AA143,"&lt;&gt;YES")),"")</f>
        <v/>
      </c>
      <c r="AC143" s="2"/>
    </row>
    <row r="144" spans="4:29" x14ac:dyDescent="0.2">
      <c r="D144" s="52" t="str">
        <f t="shared" si="26"/>
        <v/>
      </c>
      <c r="E144" s="5" t="str">
        <f t="shared" si="30"/>
        <v/>
      </c>
      <c r="F144" s="5" t="str">
        <f>IF(ROW(F144)-ROW($E$1)&lt;=$B$1-$B$2,INDEX(IDX_COMPO!B:B,ROW(IDX_COMPO!#REF!)),IF(ROW(E144)-ROW($E$1)&lt;=$B$4,VLOOKUP(E144,STK_REF!$A$2:$J$1048576,2,0),""))</f>
        <v/>
      </c>
      <c r="G144" s="69" t="str">
        <f>IF(ROW(G144)-ROW($E$1)&lt;=$B$4,INDEX(IDX_COMPO!C:C,ROW(IDX_COMPO!#REF!)),"")</f>
        <v/>
      </c>
      <c r="H144" s="2" t="str">
        <f>IF(ROW(H144)-ROW($E$1)&lt;=$B$4,INDEX(IDX_COMPO!D:D,ROW(IDX_COMPO!#REF!)),"")</f>
        <v/>
      </c>
      <c r="I144" s="2" t="str">
        <f>IF(ROW(I144)-ROW($E$1)&lt;=$B$4,INDEX(IDX_COMPO!E:E,ROW(IDX_COMPO!#REF!)),"")</f>
        <v/>
      </c>
      <c r="J144" s="62" t="str">
        <f>IF($D144&lt;=$B$1-$B$2,IF(INDEX($AA$2:$AA$1048576,MATCH($D144,$AB$2:$AB$1048576,0))="MODIFY",INDEX(IDX_CA!$G$1:$G$1041,SUMPRODUCT(--($E144=IDX_CA!$A$2:$A$1041),--(NXT_COMPO!$P144=IDX_CA!$B$2:$B$1041),--(NXT_COMPO!$Q144=IDX_CA!$C$2:$C$1041),ROW(IDX_CA!$G$2:$G$1041))),INDEX(IDX_COMPOSITION!$F$1:$F$441,SUMPRODUCT(--($E144=IDX_COMPOSITION!$A$2:$A$441),--(NXT_COMPO!$P144=IDX_COMPOSITION!$R$2:$R$441),--(NXT_COMPO!$B$5=IDX_COMPOSITION!$L$2:$L$441),ROW(IDX_COMPOSITION!$F$2:$F$441)))),IF($D144&lt;=$B$4,INDEX(IDX_CA!$G$1:$G$1041,SUMPRODUCT(--($E144=IDX_CA!$A$2:$A$1041),--(NXT_COMPO!$P144=IDX_CA!$B$2:$B$1041),--(NXT_COMPO!$Q144=IDX_CA!$C$2:$C$1041),ROW(IDX_CA!$G$2:$G$1041))),""))</f>
        <v/>
      </c>
      <c r="K144" s="63" t="str">
        <f>IF($D144&lt;&gt;"",VLOOKUP($E144,STK_REF!$A$2:$J$1048576,7,0),"")</f>
        <v/>
      </c>
      <c r="L144" s="5" t="str">
        <f>IF($D144&lt;&gt;"",VLOOKUP($E144,STK_REF!$A$2:$J$1048576,8,0),"")</f>
        <v/>
      </c>
      <c r="M144" s="8" t="str">
        <f>IF($D144&lt;&gt;"",IF($K144=$U144,1,IF(ISNA(VLOOKUP($K144&amp;$U144,CUR_RATES!$A$2:$F$521,4,0)),"",VLOOKUP($K144&amp;$U144,CUR_RATES!$A$2:$F$521,4,0))),"")</f>
        <v/>
      </c>
      <c r="N144" s="61" t="str">
        <f t="shared" si="31"/>
        <v/>
      </c>
      <c r="O144" s="68" t="str">
        <f t="shared" si="32"/>
        <v/>
      </c>
      <c r="P144" s="50" t="str">
        <f>IF(ROW(P144)-ROW($E$1)&lt;=$B$4,INDEX(IDX_COMPO!G:G,ROW(IDX_COMPO!#REF!)),"")</f>
        <v/>
      </c>
      <c r="Q144" s="2" t="str">
        <f>IF(ROW(Q144)-ROW($E$1)&lt;=$B$4,INDEX(IDX_COMPO!F:F,ROW(IDX_COMPO!#REF!)),"")</f>
        <v/>
      </c>
      <c r="R144" s="68" t="str">
        <f t="shared" si="34"/>
        <v/>
      </c>
      <c r="S144" s="61" t="str">
        <f t="shared" si="35"/>
        <v/>
      </c>
      <c r="T144" s="62" t="str">
        <f>IF(D144&lt;&gt;"",IF(SUMPRODUCT(--($E144=STK_DIV!$A$2:$A$5),--(NXT_COMPO!$Q144=STK_DIV!$E$2:$E$5),ROW(STK_DIV!$D$2:$D$5))=0,"",INDEX(STK_DIV!$D$1:$D$5,SUMPRODUCT(--($E144=STK_DIV!$A$2:$A$5),--(NXT_COMPO!$Q144=STK_DIV!$E$2:$E$5),ROW(STK_DIV!$D$2:$D$5)))),"")</f>
        <v/>
      </c>
      <c r="U144" s="54" t="str">
        <f>IF($D144&lt;&gt;"",VLOOKUP($P144,IDX_REF!$2:$1048576,4,0),"")</f>
        <v/>
      </c>
      <c r="W144" s="52" t="str">
        <f t="shared" si="28"/>
        <v/>
      </c>
      <c r="X144" s="5" t="str">
        <f>IF(ROW(X144)-ROW($X$1)&lt;=$B$1,INDEX(IDX_COMPO!A:A,ROW(IDX_COMPO!A144)),"")</f>
        <v/>
      </c>
      <c r="Y144" s="54" t="str">
        <f t="shared" si="29"/>
        <v/>
      </c>
      <c r="Z144" s="54" t="str">
        <f>IF(ROW(Z144)-ROW($Y$1)&lt;=$B$1,INDEX(IDX_COMPO!F:F,ROW(IDX_COMPO!R144)),"")</f>
        <v/>
      </c>
      <c r="AA144" s="2" t="str">
        <f t="array" ref="AA144">IF(X144&lt;&gt;"",IF(SUMPRODUCT(--(X144=IDX_CA!$A$2:$A$1041),--(NXT_COMPO!Y144=IDX_CA!$C$2:$C$1041),--(Z144=IDX_CA!$B$2:$B$1041))&gt;0,IF(INDEX(IDX_CA!$I:$I,SUMPRODUCT(--(X144=IDX_CA!$A$2:$A$1041),--(NXT_COMPO!Y144=IDX_CA!$C$2:$C$1041),--(Z144=IDX_CA!$B$2:$B$1041),ROW(IDX_CA!$I$2:$I$1041)))=1,"YES","MODIFY"),""),"")</f>
        <v/>
      </c>
      <c r="AB144" s="5" t="str">
        <f>IF(X144&lt;&gt;"",IF(AA144="YES","",COUNTIF($AA$2:AA144,"&lt;&gt;YES")),"")</f>
        <v/>
      </c>
      <c r="AC144" s="2"/>
    </row>
    <row r="145" spans="4:29" x14ac:dyDescent="0.2">
      <c r="D145" s="52" t="str">
        <f t="shared" si="26"/>
        <v/>
      </c>
      <c r="E145" s="5" t="str">
        <f t="shared" si="30"/>
        <v/>
      </c>
      <c r="F145" s="5" t="str">
        <f>IF(ROW(F145)-ROW($E$1)&lt;=$B$1-$B$2,INDEX(IDX_COMPO!B:B,ROW(IDX_COMPO!#REF!)),IF(ROW(E145)-ROW($E$1)&lt;=$B$4,VLOOKUP(E145,STK_REF!$A$2:$J$1048576,2,0),""))</f>
        <v/>
      </c>
      <c r="G145" s="69" t="str">
        <f>IF(ROW(G145)-ROW($E$1)&lt;=$B$4,INDEX(IDX_COMPO!C:C,ROW(IDX_COMPO!#REF!)),"")</f>
        <v/>
      </c>
      <c r="H145" s="2" t="str">
        <f>IF(ROW(H145)-ROW($E$1)&lt;=$B$4,INDEX(IDX_COMPO!D:D,ROW(IDX_COMPO!#REF!)),"")</f>
        <v/>
      </c>
      <c r="I145" s="2" t="str">
        <f>IF(ROW(I145)-ROW($E$1)&lt;=$B$4,INDEX(IDX_COMPO!E:E,ROW(IDX_COMPO!#REF!)),"")</f>
        <v/>
      </c>
      <c r="J145" s="62" t="str">
        <f>IF($D145&lt;=$B$1-$B$2,IF(INDEX($AA$2:$AA$1048576,MATCH($D145,$AB$2:$AB$1048576,0))="MODIFY",INDEX(IDX_CA!$G$1:$G$1041,SUMPRODUCT(--($E145=IDX_CA!$A$2:$A$1041),--(NXT_COMPO!$P145=IDX_CA!$B$2:$B$1041),--(NXT_COMPO!$Q145=IDX_CA!$C$2:$C$1041),ROW(IDX_CA!$G$2:$G$1041))),INDEX(IDX_COMPOSITION!$F$1:$F$441,SUMPRODUCT(--($E145=IDX_COMPOSITION!$A$2:$A$441),--(NXT_COMPO!$P145=IDX_COMPOSITION!$R$2:$R$441),--(NXT_COMPO!$B$5=IDX_COMPOSITION!$L$2:$L$441),ROW(IDX_COMPOSITION!$F$2:$F$441)))),IF($D145&lt;=$B$4,INDEX(IDX_CA!$G$1:$G$1041,SUMPRODUCT(--($E145=IDX_CA!$A$2:$A$1041),--(NXT_COMPO!$P145=IDX_CA!$B$2:$B$1041),--(NXT_COMPO!$Q145=IDX_CA!$C$2:$C$1041),ROW(IDX_CA!$G$2:$G$1041))),""))</f>
        <v/>
      </c>
      <c r="K145" s="63" t="str">
        <f>IF($D145&lt;&gt;"",VLOOKUP($E145,STK_REF!$A$2:$J$1048576,7,0),"")</f>
        <v/>
      </c>
      <c r="L145" s="5" t="str">
        <f>IF($D145&lt;&gt;"",VLOOKUP($E145,STK_REF!$A$2:$J$1048576,8,0),"")</f>
        <v/>
      </c>
      <c r="M145" s="8" t="str">
        <f>IF($D145&lt;&gt;"",IF($K145=$U145,1,IF(ISNA(VLOOKUP($K145&amp;$U145,CUR_RATES!$A$2:$F$521,4,0)),"",VLOOKUP($K145&amp;$U145,CUR_RATES!$A$2:$F$521,4,0))),"")</f>
        <v/>
      </c>
      <c r="N145" s="61" t="str">
        <f t="shared" si="31"/>
        <v/>
      </c>
      <c r="O145" s="68" t="str">
        <f t="shared" si="32"/>
        <v/>
      </c>
      <c r="P145" s="50" t="str">
        <f>IF(ROW(P145)-ROW($E$1)&lt;=$B$4,INDEX(IDX_COMPO!G:G,ROW(IDX_COMPO!#REF!)),"")</f>
        <v/>
      </c>
      <c r="Q145" s="2" t="str">
        <f>IF(ROW(Q145)-ROW($E$1)&lt;=$B$4,INDEX(IDX_COMPO!F:F,ROW(IDX_COMPO!#REF!)),"")</f>
        <v/>
      </c>
      <c r="R145" s="68" t="str">
        <f t="shared" si="34"/>
        <v/>
      </c>
      <c r="S145" s="61" t="str">
        <f t="shared" si="35"/>
        <v/>
      </c>
      <c r="T145" s="62" t="str">
        <f>IF(D145&lt;&gt;"",IF(SUMPRODUCT(--($E145=STK_DIV!$A$2:$A$5),--(NXT_COMPO!$Q145=STK_DIV!$E$2:$E$5),ROW(STK_DIV!$D$2:$D$5))=0,"",INDEX(STK_DIV!$D$1:$D$5,SUMPRODUCT(--($E145=STK_DIV!$A$2:$A$5),--(NXT_COMPO!$Q145=STK_DIV!$E$2:$E$5),ROW(STK_DIV!$D$2:$D$5)))),"")</f>
        <v/>
      </c>
      <c r="U145" s="54" t="str">
        <f>IF($D145&lt;&gt;"",VLOOKUP($P145,IDX_REF!$2:$1048576,4,0),"")</f>
        <v/>
      </c>
      <c r="W145" s="52" t="str">
        <f t="shared" si="28"/>
        <v/>
      </c>
      <c r="X145" s="5" t="str">
        <f>IF(ROW(X145)-ROW($X$1)&lt;=$B$1,INDEX(IDX_COMPO!A:A,ROW(IDX_COMPO!A145)),"")</f>
        <v/>
      </c>
      <c r="Y145" s="54" t="str">
        <f t="shared" si="29"/>
        <v/>
      </c>
      <c r="Z145" s="54" t="str">
        <f>IF(ROW(Z145)-ROW($Y$1)&lt;=$B$1,INDEX(IDX_COMPO!F:F,ROW(IDX_COMPO!R145)),"")</f>
        <v/>
      </c>
      <c r="AA145" s="2" t="str">
        <f t="array" ref="AA145">IF(X145&lt;&gt;"",IF(SUMPRODUCT(--(X145=IDX_CA!$A$2:$A$1041),--(NXT_COMPO!Y145=IDX_CA!$C$2:$C$1041),--(Z145=IDX_CA!$B$2:$B$1041))&gt;0,IF(INDEX(IDX_CA!$I:$I,SUMPRODUCT(--(X145=IDX_CA!$A$2:$A$1041),--(NXT_COMPO!Y145=IDX_CA!$C$2:$C$1041),--(Z145=IDX_CA!$B$2:$B$1041),ROW(IDX_CA!$I$2:$I$1041)))=1,"YES","MODIFY"),""),"")</f>
        <v/>
      </c>
      <c r="AB145" s="5" t="str">
        <f>IF(X145&lt;&gt;"",IF(AA145="YES","",COUNTIF($AA$2:AA145,"&lt;&gt;YES")),"")</f>
        <v/>
      </c>
      <c r="AC145" s="2"/>
    </row>
    <row r="146" spans="4:29" x14ac:dyDescent="0.2">
      <c r="D146" s="52" t="str">
        <f t="shared" si="26"/>
        <v/>
      </c>
      <c r="E146" s="5" t="str">
        <f t="shared" si="30"/>
        <v/>
      </c>
      <c r="F146" s="5" t="str">
        <f>IF(ROW(F146)-ROW($E$1)&lt;=$B$1-$B$2,INDEX(IDX_COMPO!B:B,ROW(IDX_COMPO!#REF!)),IF(ROW(E146)-ROW($E$1)&lt;=$B$4,VLOOKUP(E146,STK_REF!$A$2:$J$1048576,2,0),""))</f>
        <v/>
      </c>
      <c r="G146" s="69" t="str">
        <f>IF(ROW(G146)-ROW($E$1)&lt;=$B$4,INDEX(IDX_COMPO!C:C,ROW(IDX_COMPO!#REF!)),"")</f>
        <v/>
      </c>
      <c r="H146" s="2" t="str">
        <f>IF(ROW(H146)-ROW($E$1)&lt;=$B$4,INDEX(IDX_COMPO!D:D,ROW(IDX_COMPO!#REF!)),"")</f>
        <v/>
      </c>
      <c r="I146" s="2" t="str">
        <f>IF(ROW(I146)-ROW($E$1)&lt;=$B$4,INDEX(IDX_COMPO!E:E,ROW(IDX_COMPO!#REF!)),"")</f>
        <v/>
      </c>
      <c r="J146" s="62" t="str">
        <f>IF($D146&lt;=$B$1-$B$2,IF(INDEX($AA$2:$AA$1048576,MATCH($D146,$AB$2:$AB$1048576,0))="MODIFY",INDEX(IDX_CA!$G$1:$G$1041,SUMPRODUCT(--($E146=IDX_CA!$A$2:$A$1041),--(NXT_COMPO!$P146=IDX_CA!$B$2:$B$1041),--(NXT_COMPO!$Q146=IDX_CA!$C$2:$C$1041),ROW(IDX_CA!$G$2:$G$1041))),INDEX(IDX_COMPOSITION!$F$1:$F$441,SUMPRODUCT(--($E146=IDX_COMPOSITION!$A$2:$A$441),--(NXT_COMPO!$P146=IDX_COMPOSITION!$R$2:$R$441),--(NXT_COMPO!$B$5=IDX_COMPOSITION!$L$2:$L$441),ROW(IDX_COMPOSITION!$F$2:$F$441)))),IF($D146&lt;=$B$4,INDEX(IDX_CA!$G$1:$G$1041,SUMPRODUCT(--($E146=IDX_CA!$A$2:$A$1041),--(NXT_COMPO!$P146=IDX_CA!$B$2:$B$1041),--(NXT_COMPO!$Q146=IDX_CA!$C$2:$C$1041),ROW(IDX_CA!$G$2:$G$1041))),""))</f>
        <v/>
      </c>
      <c r="K146" s="63" t="str">
        <f>IF($D146&lt;&gt;"",VLOOKUP($E146,STK_REF!$A$2:$J$1048576,7,0),"")</f>
        <v/>
      </c>
      <c r="L146" s="5" t="str">
        <f>IF($D146&lt;&gt;"",VLOOKUP($E146,STK_REF!$A$2:$J$1048576,8,0),"")</f>
        <v/>
      </c>
      <c r="M146" s="8" t="str">
        <f>IF($D146&lt;&gt;"",IF($K146=$U146,1,IF(ISNA(VLOOKUP($K146&amp;$U146,CUR_RATES!$A$2:$F$521,4,0)),"",VLOOKUP($K146&amp;$U146,CUR_RATES!$A$2:$F$521,4,0))),"")</f>
        <v/>
      </c>
      <c r="N146" s="61" t="str">
        <f t="shared" si="31"/>
        <v/>
      </c>
      <c r="O146" s="68" t="str">
        <f t="shared" si="32"/>
        <v/>
      </c>
      <c r="P146" s="50" t="str">
        <f>IF(ROW(P146)-ROW($E$1)&lt;=$B$4,INDEX(IDX_COMPO!G:G,ROW(IDX_COMPO!#REF!)),"")</f>
        <v/>
      </c>
      <c r="Q146" s="2" t="str">
        <f>IF(ROW(Q146)-ROW($E$1)&lt;=$B$4,INDEX(IDX_COMPO!F:F,ROW(IDX_COMPO!#REF!)),"")</f>
        <v/>
      </c>
      <c r="R146" s="68" t="str">
        <f t="shared" si="34"/>
        <v/>
      </c>
      <c r="S146" s="61" t="str">
        <f t="shared" si="35"/>
        <v/>
      </c>
      <c r="T146" s="62" t="str">
        <f>IF(D146&lt;&gt;"",IF(SUMPRODUCT(--($E146=STK_DIV!$A$2:$A$5),--(NXT_COMPO!$Q146=STK_DIV!$E$2:$E$5),ROW(STK_DIV!$D$2:$D$5))=0,"",INDEX(STK_DIV!$D$1:$D$5,SUMPRODUCT(--($E146=STK_DIV!$A$2:$A$5),--(NXT_COMPO!$Q146=STK_DIV!$E$2:$E$5),ROW(STK_DIV!$D$2:$D$5)))),"")</f>
        <v/>
      </c>
      <c r="U146" s="54" t="str">
        <f>IF($D146&lt;&gt;"",VLOOKUP($P146,IDX_REF!$2:$1048576,4,0),"")</f>
        <v/>
      </c>
      <c r="W146" s="52" t="str">
        <f t="shared" si="28"/>
        <v/>
      </c>
      <c r="X146" s="5" t="str">
        <f>IF(ROW(X146)-ROW($X$1)&lt;=$B$1,INDEX(IDX_COMPO!A:A,ROW(IDX_COMPO!A146)),"")</f>
        <v/>
      </c>
      <c r="Y146" s="54" t="str">
        <f t="shared" si="29"/>
        <v/>
      </c>
      <c r="Z146" s="54" t="str">
        <f>IF(ROW(Z146)-ROW($Y$1)&lt;=$B$1,INDEX(IDX_COMPO!F:F,ROW(IDX_COMPO!R146)),"")</f>
        <v/>
      </c>
      <c r="AA146" s="2" t="str">
        <f t="array" ref="AA146">IF(X146&lt;&gt;"",IF(SUMPRODUCT(--(X146=IDX_CA!$A$2:$A$1041),--(NXT_COMPO!Y146=IDX_CA!$C$2:$C$1041),--(Z146=IDX_CA!$B$2:$B$1041))&gt;0,IF(INDEX(IDX_CA!$I:$I,SUMPRODUCT(--(X146=IDX_CA!$A$2:$A$1041),--(NXT_COMPO!Y146=IDX_CA!$C$2:$C$1041),--(Z146=IDX_CA!$B$2:$B$1041),ROW(IDX_CA!$I$2:$I$1041)))=1,"YES","MODIFY"),""),"")</f>
        <v/>
      </c>
      <c r="AB146" s="5" t="str">
        <f>IF(X146&lt;&gt;"",IF(AA146="YES","",COUNTIF($AA$2:AA146,"&lt;&gt;YES")),"")</f>
        <v/>
      </c>
      <c r="AC146" s="2"/>
    </row>
    <row r="147" spans="4:29" x14ac:dyDescent="0.2">
      <c r="D147" s="52" t="str">
        <f t="shared" si="26"/>
        <v/>
      </c>
      <c r="E147" s="5" t="str">
        <f t="shared" si="30"/>
        <v/>
      </c>
      <c r="F147" s="5" t="str">
        <f>IF(ROW(F147)-ROW($E$1)&lt;=$B$1-$B$2,INDEX(IDX_COMPO!B:B,ROW(IDX_COMPO!#REF!)),IF(ROW(E147)-ROW($E$1)&lt;=$B$4,VLOOKUP(E147,STK_REF!$A$2:$J$1048576,2,0),""))</f>
        <v/>
      </c>
      <c r="G147" s="69" t="str">
        <f>IF(ROW(G147)-ROW($E$1)&lt;=$B$4,INDEX(IDX_COMPO!C:C,ROW(IDX_COMPO!#REF!)),"")</f>
        <v/>
      </c>
      <c r="H147" s="2" t="str">
        <f>IF(ROW(H147)-ROW($E$1)&lt;=$B$4,INDEX(IDX_COMPO!D:D,ROW(IDX_COMPO!#REF!)),"")</f>
        <v/>
      </c>
      <c r="I147" s="2" t="str">
        <f>IF(ROW(I147)-ROW($E$1)&lt;=$B$4,INDEX(IDX_COMPO!E:E,ROW(IDX_COMPO!#REF!)),"")</f>
        <v/>
      </c>
      <c r="J147" s="62" t="str">
        <f>IF($D147&lt;=$B$1-$B$2,IF(INDEX($AA$2:$AA$1048576,MATCH($D147,$AB$2:$AB$1048576,0))="MODIFY",INDEX(IDX_CA!$G$1:$G$1041,SUMPRODUCT(--($E147=IDX_CA!$A$2:$A$1041),--(NXT_COMPO!$P147=IDX_CA!$B$2:$B$1041),--(NXT_COMPO!$Q147=IDX_CA!$C$2:$C$1041),ROW(IDX_CA!$G$2:$G$1041))),INDEX(IDX_COMPOSITION!$F$1:$F$441,SUMPRODUCT(--($E147=IDX_COMPOSITION!$A$2:$A$441),--(NXT_COMPO!$P147=IDX_COMPOSITION!$R$2:$R$441),--(NXT_COMPO!$B$5=IDX_COMPOSITION!$L$2:$L$441),ROW(IDX_COMPOSITION!$F$2:$F$441)))),IF($D147&lt;=$B$4,INDEX(IDX_CA!$G$1:$G$1041,SUMPRODUCT(--($E147=IDX_CA!$A$2:$A$1041),--(NXT_COMPO!$P147=IDX_CA!$B$2:$B$1041),--(NXT_COMPO!$Q147=IDX_CA!$C$2:$C$1041),ROW(IDX_CA!$G$2:$G$1041))),""))</f>
        <v/>
      </c>
      <c r="K147" s="63" t="str">
        <f>IF($D147&lt;&gt;"",VLOOKUP($E147,STK_REF!$A$2:$J$1048576,7,0),"")</f>
        <v/>
      </c>
      <c r="L147" s="5" t="str">
        <f>IF($D147&lt;&gt;"",VLOOKUP($E147,STK_REF!$A$2:$J$1048576,8,0),"")</f>
        <v/>
      </c>
      <c r="M147" s="8" t="str">
        <f>IF($D147&lt;&gt;"",IF($K147=$U147,1,IF(ISNA(VLOOKUP($K147&amp;$U147,CUR_RATES!$A$2:$F$521,4,0)),"",VLOOKUP($K147&amp;$U147,CUR_RATES!$A$2:$F$521,4,0))),"")</f>
        <v/>
      </c>
      <c r="N147" s="61" t="str">
        <f t="shared" si="31"/>
        <v/>
      </c>
      <c r="O147" s="68" t="str">
        <f t="shared" si="32"/>
        <v/>
      </c>
      <c r="P147" s="50" t="str">
        <f>IF(ROW(P147)-ROW($E$1)&lt;=$B$4,INDEX(IDX_COMPO!G:G,ROW(IDX_COMPO!#REF!)),"")</f>
        <v/>
      </c>
      <c r="Q147" s="2" t="str">
        <f>IF(ROW(Q147)-ROW($E$1)&lt;=$B$4,INDEX(IDX_COMPO!F:F,ROW(IDX_COMPO!#REF!)),"")</f>
        <v/>
      </c>
      <c r="R147" s="68" t="str">
        <f t="shared" si="34"/>
        <v/>
      </c>
      <c r="S147" s="61" t="str">
        <f t="shared" si="35"/>
        <v/>
      </c>
      <c r="T147" s="62" t="str">
        <f>IF(D147&lt;&gt;"",IF(SUMPRODUCT(--($E147=STK_DIV!$A$2:$A$5),--(NXT_COMPO!$Q147=STK_DIV!$E$2:$E$5),ROW(STK_DIV!$D$2:$D$5))=0,"",INDEX(STK_DIV!$D$1:$D$5,SUMPRODUCT(--($E147=STK_DIV!$A$2:$A$5),--(NXT_COMPO!$Q147=STK_DIV!$E$2:$E$5),ROW(STK_DIV!$D$2:$D$5)))),"")</f>
        <v/>
      </c>
      <c r="U147" s="54" t="str">
        <f>IF($D147&lt;&gt;"",VLOOKUP($P147,IDX_REF!$2:$1048576,4,0),"")</f>
        <v/>
      </c>
      <c r="W147" s="52" t="str">
        <f t="shared" si="28"/>
        <v/>
      </c>
      <c r="X147" s="5" t="str">
        <f>IF(ROW(X147)-ROW($X$1)&lt;=$B$1,INDEX(IDX_COMPO!A:A,ROW(IDX_COMPO!A147)),"")</f>
        <v/>
      </c>
      <c r="Y147" s="54" t="str">
        <f t="shared" si="29"/>
        <v/>
      </c>
      <c r="Z147" s="54" t="str">
        <f>IF(ROW(Z147)-ROW($Y$1)&lt;=$B$1,INDEX(IDX_COMPO!F:F,ROW(IDX_COMPO!R147)),"")</f>
        <v/>
      </c>
      <c r="AA147" s="2" t="str">
        <f t="array" ref="AA147">IF(X147&lt;&gt;"",IF(SUMPRODUCT(--(X147=IDX_CA!$A$2:$A$1041),--(NXT_COMPO!Y147=IDX_CA!$C$2:$C$1041),--(Z147=IDX_CA!$B$2:$B$1041))&gt;0,IF(INDEX(IDX_CA!$I:$I,SUMPRODUCT(--(X147=IDX_CA!$A$2:$A$1041),--(NXT_COMPO!Y147=IDX_CA!$C$2:$C$1041),--(Z147=IDX_CA!$B$2:$B$1041),ROW(IDX_CA!$I$2:$I$1041)))=1,"YES","MODIFY"),""),"")</f>
        <v/>
      </c>
      <c r="AB147" s="5" t="str">
        <f>IF(X147&lt;&gt;"",IF(AA147="YES","",COUNTIF($AA$2:AA147,"&lt;&gt;YES")),"")</f>
        <v/>
      </c>
      <c r="AC147" s="2"/>
    </row>
    <row r="148" spans="4:29" x14ac:dyDescent="0.2">
      <c r="D148" s="52" t="str">
        <f t="shared" si="26"/>
        <v/>
      </c>
      <c r="E148" s="5" t="str">
        <f t="shared" si="30"/>
        <v/>
      </c>
      <c r="F148" s="5" t="str">
        <f>IF(ROW(F148)-ROW($E$1)&lt;=$B$1-$B$2,INDEX(IDX_COMPO!B:B,ROW(IDX_COMPO!#REF!)),IF(ROW(E148)-ROW($E$1)&lt;=$B$4,VLOOKUP(E148,STK_REF!$A$2:$J$1048576,2,0),""))</f>
        <v/>
      </c>
      <c r="G148" s="69" t="str">
        <f>IF(ROW(G148)-ROW($E$1)&lt;=$B$4,INDEX(IDX_COMPO!C:C,ROW(IDX_COMPO!#REF!)),"")</f>
        <v/>
      </c>
      <c r="H148" s="2" t="str">
        <f>IF(ROW(H148)-ROW($E$1)&lt;=$B$4,INDEX(IDX_COMPO!D:D,ROW(IDX_COMPO!#REF!)),"")</f>
        <v/>
      </c>
      <c r="I148" s="2" t="str">
        <f>IF(ROW(I148)-ROW($E$1)&lt;=$B$4,INDEX(IDX_COMPO!E:E,ROW(IDX_COMPO!#REF!)),"")</f>
        <v/>
      </c>
      <c r="J148" s="62" t="str">
        <f>IF($D148&lt;=$B$1-$B$2,IF(INDEX($AA$2:$AA$1048576,MATCH($D148,$AB$2:$AB$1048576,0))="MODIFY",INDEX(IDX_CA!$G$1:$G$1041,SUMPRODUCT(--($E148=IDX_CA!$A$2:$A$1041),--(NXT_COMPO!$P148=IDX_CA!$B$2:$B$1041),--(NXT_COMPO!$Q148=IDX_CA!$C$2:$C$1041),ROW(IDX_CA!$G$2:$G$1041))),INDEX(IDX_COMPOSITION!$F$1:$F$441,SUMPRODUCT(--($E148=IDX_COMPOSITION!$A$2:$A$441),--(NXT_COMPO!$P148=IDX_COMPOSITION!$R$2:$R$441),--(NXT_COMPO!$B$5=IDX_COMPOSITION!$L$2:$L$441),ROW(IDX_COMPOSITION!$F$2:$F$441)))),IF($D148&lt;=$B$4,INDEX(IDX_CA!$G$1:$G$1041,SUMPRODUCT(--($E148=IDX_CA!$A$2:$A$1041),--(NXT_COMPO!$P148=IDX_CA!$B$2:$B$1041),--(NXT_COMPO!$Q148=IDX_CA!$C$2:$C$1041),ROW(IDX_CA!$G$2:$G$1041))),""))</f>
        <v/>
      </c>
      <c r="K148" s="63" t="str">
        <f>IF($D148&lt;&gt;"",VLOOKUP($E148,STK_REF!$A$2:$J$1048576,7,0),"")</f>
        <v/>
      </c>
      <c r="L148" s="5" t="str">
        <f>IF($D148&lt;&gt;"",VLOOKUP($E148,STK_REF!$A$2:$J$1048576,8,0),"")</f>
        <v/>
      </c>
      <c r="M148" s="8" t="str">
        <f>IF($D148&lt;&gt;"",IF($K148=$U148,1,IF(ISNA(VLOOKUP($K148&amp;$U148,CUR_RATES!$A$2:$F$521,4,0)),"",VLOOKUP($K148&amp;$U148,CUR_RATES!$A$2:$F$521,4,0))),"")</f>
        <v/>
      </c>
      <c r="N148" s="61" t="str">
        <f t="shared" si="31"/>
        <v/>
      </c>
      <c r="O148" s="68" t="str">
        <f t="shared" si="32"/>
        <v/>
      </c>
      <c r="P148" s="50" t="str">
        <f>IF(ROW(P148)-ROW($E$1)&lt;=$B$4,INDEX(IDX_COMPO!G:G,ROW(IDX_COMPO!#REF!)),"")</f>
        <v/>
      </c>
      <c r="Q148" s="2" t="str">
        <f>IF(ROW(Q148)-ROW($E$1)&lt;=$B$4,INDEX(IDX_COMPO!F:F,ROW(IDX_COMPO!#REF!)),"")</f>
        <v/>
      </c>
      <c r="R148" s="68" t="str">
        <f t="shared" si="34"/>
        <v/>
      </c>
      <c r="S148" s="61" t="str">
        <f t="shared" si="35"/>
        <v/>
      </c>
      <c r="T148" s="62" t="str">
        <f>IF(D148&lt;&gt;"",IF(SUMPRODUCT(--($E148=STK_DIV!$A$2:$A$5),--(NXT_COMPO!$Q148=STK_DIV!$E$2:$E$5),ROW(STK_DIV!$D$2:$D$5))=0,"",INDEX(STK_DIV!$D$1:$D$5,SUMPRODUCT(--($E148=STK_DIV!$A$2:$A$5),--(NXT_COMPO!$Q148=STK_DIV!$E$2:$E$5),ROW(STK_DIV!$D$2:$D$5)))),"")</f>
        <v/>
      </c>
      <c r="U148" s="54" t="str">
        <f>IF($D148&lt;&gt;"",VLOOKUP($P148,IDX_REF!$2:$1048576,4,0),"")</f>
        <v/>
      </c>
      <c r="W148" s="52" t="str">
        <f t="shared" si="28"/>
        <v/>
      </c>
      <c r="X148" s="5" t="str">
        <f>IF(ROW(X148)-ROW($X$1)&lt;=$B$1,INDEX(IDX_COMPO!A:A,ROW(IDX_COMPO!A148)),"")</f>
        <v/>
      </c>
      <c r="Y148" s="54" t="str">
        <f t="shared" si="29"/>
        <v/>
      </c>
      <c r="Z148" s="54" t="str">
        <f>IF(ROW(Z148)-ROW($Y$1)&lt;=$B$1,INDEX(IDX_COMPO!F:F,ROW(IDX_COMPO!R148)),"")</f>
        <v/>
      </c>
      <c r="AA148" s="2" t="str">
        <f t="array" ref="AA148">IF(X148&lt;&gt;"",IF(SUMPRODUCT(--(X148=IDX_CA!$A$2:$A$1041),--(NXT_COMPO!Y148=IDX_CA!$C$2:$C$1041),--(Z148=IDX_CA!$B$2:$B$1041))&gt;0,IF(INDEX(IDX_CA!$I:$I,SUMPRODUCT(--(X148=IDX_CA!$A$2:$A$1041),--(NXT_COMPO!Y148=IDX_CA!$C$2:$C$1041),--(Z148=IDX_CA!$B$2:$B$1041),ROW(IDX_CA!$I$2:$I$1041)))=1,"YES","MODIFY"),""),"")</f>
        <v/>
      </c>
      <c r="AB148" s="5" t="str">
        <f>IF(X148&lt;&gt;"",IF(AA148="YES","",COUNTIF($AA$2:AA148,"&lt;&gt;YES")),"")</f>
        <v/>
      </c>
      <c r="AC148" s="2"/>
    </row>
    <row r="149" spans="4:29" x14ac:dyDescent="0.2">
      <c r="D149" s="52" t="str">
        <f t="shared" si="26"/>
        <v/>
      </c>
      <c r="E149" s="5" t="str">
        <f t="shared" si="30"/>
        <v/>
      </c>
      <c r="F149" s="5" t="str">
        <f>IF(ROW(F149)-ROW($E$1)&lt;=$B$1-$B$2,INDEX(IDX_COMPO!B:B,ROW(IDX_COMPO!#REF!)),IF(ROW(E149)-ROW($E$1)&lt;=$B$4,VLOOKUP(E149,STK_REF!$A$2:$J$1048576,2,0),""))</f>
        <v/>
      </c>
      <c r="G149" s="69" t="str">
        <f>IF(ROW(G149)-ROW($E$1)&lt;=$B$4,INDEX(IDX_COMPO!C:C,ROW(IDX_COMPO!#REF!)),"")</f>
        <v/>
      </c>
      <c r="H149" s="2" t="str">
        <f>IF(ROW(H149)-ROW($E$1)&lt;=$B$4,INDEX(IDX_COMPO!D:D,ROW(IDX_COMPO!#REF!)),"")</f>
        <v/>
      </c>
      <c r="I149" s="2" t="str">
        <f>IF(ROW(I149)-ROW($E$1)&lt;=$B$4,INDEX(IDX_COMPO!E:E,ROW(IDX_COMPO!#REF!)),"")</f>
        <v/>
      </c>
      <c r="J149" s="62" t="str">
        <f>IF($D149&lt;=$B$1-$B$2,IF(INDEX($AA$2:$AA$1048576,MATCH($D149,$AB$2:$AB$1048576,0))="MODIFY",INDEX(IDX_CA!$G$1:$G$1041,SUMPRODUCT(--($E149=IDX_CA!$A$2:$A$1041),--(NXT_COMPO!$P149=IDX_CA!$B$2:$B$1041),--(NXT_COMPO!$Q149=IDX_CA!$C$2:$C$1041),ROW(IDX_CA!$G$2:$G$1041))),INDEX(IDX_COMPOSITION!$F$1:$F$441,SUMPRODUCT(--($E149=IDX_COMPOSITION!$A$2:$A$441),--(NXT_COMPO!$P149=IDX_COMPOSITION!$R$2:$R$441),--(NXT_COMPO!$B$5=IDX_COMPOSITION!$L$2:$L$441),ROW(IDX_COMPOSITION!$F$2:$F$441)))),IF($D149&lt;=$B$4,INDEX(IDX_CA!$G$1:$G$1041,SUMPRODUCT(--($E149=IDX_CA!$A$2:$A$1041),--(NXT_COMPO!$P149=IDX_CA!$B$2:$B$1041),--(NXT_COMPO!$Q149=IDX_CA!$C$2:$C$1041),ROW(IDX_CA!$G$2:$G$1041))),""))</f>
        <v/>
      </c>
      <c r="K149" s="63" t="str">
        <f>IF($D149&lt;&gt;"",VLOOKUP($E149,STK_REF!$A$2:$J$1048576,7,0),"")</f>
        <v/>
      </c>
      <c r="L149" s="5" t="str">
        <f>IF($D149&lt;&gt;"",VLOOKUP($E149,STK_REF!$A$2:$J$1048576,8,0),"")</f>
        <v/>
      </c>
      <c r="M149" s="8" t="str">
        <f>IF($D149&lt;&gt;"",IF($K149=$U149,1,IF(ISNA(VLOOKUP($K149&amp;$U149,CUR_RATES!$A$2:$F$521,4,0)),"",VLOOKUP($K149&amp;$U149,CUR_RATES!$A$2:$F$521,4,0))),"")</f>
        <v/>
      </c>
      <c r="N149" s="61" t="str">
        <f t="shared" si="31"/>
        <v/>
      </c>
      <c r="O149" s="68" t="str">
        <f t="shared" si="32"/>
        <v/>
      </c>
      <c r="P149" s="50" t="str">
        <f>IF(ROW(P149)-ROW($E$1)&lt;=$B$4,INDEX(IDX_COMPO!G:G,ROW(IDX_COMPO!#REF!)),"")</f>
        <v/>
      </c>
      <c r="Q149" s="2" t="str">
        <f>IF(ROW(Q149)-ROW($E$1)&lt;=$B$4,INDEX(IDX_COMPO!F:F,ROW(IDX_COMPO!#REF!)),"")</f>
        <v/>
      </c>
      <c r="R149" s="68" t="str">
        <f t="shared" si="34"/>
        <v/>
      </c>
      <c r="S149" s="61" t="str">
        <f t="shared" si="35"/>
        <v/>
      </c>
      <c r="T149" s="62" t="str">
        <f>IF(D149&lt;&gt;"",IF(SUMPRODUCT(--($E149=STK_DIV!$A$2:$A$5),--(NXT_COMPO!$Q149=STK_DIV!$E$2:$E$5),ROW(STK_DIV!$D$2:$D$5))=0,"",INDEX(STK_DIV!$D$1:$D$5,SUMPRODUCT(--($E149=STK_DIV!$A$2:$A$5),--(NXT_COMPO!$Q149=STK_DIV!$E$2:$E$5),ROW(STK_DIV!$D$2:$D$5)))),"")</f>
        <v/>
      </c>
      <c r="U149" s="54" t="str">
        <f>IF($D149&lt;&gt;"",VLOOKUP($P149,IDX_REF!$2:$1048576,4,0),"")</f>
        <v/>
      </c>
      <c r="W149" s="52" t="str">
        <f t="shared" si="28"/>
        <v/>
      </c>
      <c r="X149" s="5" t="str">
        <f>IF(ROW(X149)-ROW($X$1)&lt;=$B$1,INDEX(IDX_COMPO!A:A,ROW(IDX_COMPO!A149)),"")</f>
        <v/>
      </c>
      <c r="Y149" s="54" t="str">
        <f t="shared" si="29"/>
        <v/>
      </c>
      <c r="Z149" s="54" t="str">
        <f>IF(ROW(Z149)-ROW($Y$1)&lt;=$B$1,INDEX(IDX_COMPO!F:F,ROW(IDX_COMPO!R149)),"")</f>
        <v/>
      </c>
      <c r="AA149" s="2" t="str">
        <f t="array" ref="AA149">IF(X149&lt;&gt;"",IF(SUMPRODUCT(--(X149=IDX_CA!$A$2:$A$1041),--(NXT_COMPO!Y149=IDX_CA!$C$2:$C$1041),--(Z149=IDX_CA!$B$2:$B$1041))&gt;0,IF(INDEX(IDX_CA!$I:$I,SUMPRODUCT(--(X149=IDX_CA!$A$2:$A$1041),--(NXT_COMPO!Y149=IDX_CA!$C$2:$C$1041),--(Z149=IDX_CA!$B$2:$B$1041),ROW(IDX_CA!$I$2:$I$1041)))=1,"YES","MODIFY"),""),"")</f>
        <v/>
      </c>
      <c r="AB149" s="5" t="str">
        <f>IF(X149&lt;&gt;"",IF(AA149="YES","",COUNTIF($AA$2:AA149,"&lt;&gt;YES")),"")</f>
        <v/>
      </c>
      <c r="AC149" s="2"/>
    </row>
    <row r="150" spans="4:29" x14ac:dyDescent="0.2">
      <c r="D150" s="52" t="str">
        <f t="shared" si="26"/>
        <v/>
      </c>
      <c r="E150" s="5" t="str">
        <f t="shared" si="30"/>
        <v/>
      </c>
      <c r="F150" s="5" t="str">
        <f>IF(ROW(F150)-ROW($E$1)&lt;=$B$1-$B$2,INDEX(IDX_COMPO!B:B,ROW(IDX_COMPO!#REF!)),IF(ROW(E150)-ROW($E$1)&lt;=$B$4,VLOOKUP(E150,STK_REF!$A$2:$J$1048576,2,0),""))</f>
        <v/>
      </c>
      <c r="G150" s="69" t="str">
        <f>IF(ROW(G150)-ROW($E$1)&lt;=$B$4,INDEX(IDX_COMPO!C:C,ROW(IDX_COMPO!#REF!)),"")</f>
        <v/>
      </c>
      <c r="H150" s="2" t="str">
        <f>IF(ROW(H150)-ROW($E$1)&lt;=$B$4,INDEX(IDX_COMPO!D:D,ROW(IDX_COMPO!#REF!)),"")</f>
        <v/>
      </c>
      <c r="I150" s="2" t="str">
        <f>IF(ROW(I150)-ROW($E$1)&lt;=$B$4,INDEX(IDX_COMPO!E:E,ROW(IDX_COMPO!#REF!)),"")</f>
        <v/>
      </c>
      <c r="J150" s="62" t="str">
        <f>IF($D150&lt;=$B$1-$B$2,IF(INDEX($AA$2:$AA$1048576,MATCH($D150,$AB$2:$AB$1048576,0))="MODIFY",INDEX(IDX_CA!$G$1:$G$1041,SUMPRODUCT(--($E150=IDX_CA!$A$2:$A$1041),--(NXT_COMPO!$P150=IDX_CA!$B$2:$B$1041),--(NXT_COMPO!$Q150=IDX_CA!$C$2:$C$1041),ROW(IDX_CA!$G$2:$G$1041))),INDEX(IDX_COMPOSITION!$F$1:$F$441,SUMPRODUCT(--($E150=IDX_COMPOSITION!$A$2:$A$441),--(NXT_COMPO!$P150=IDX_COMPOSITION!$R$2:$R$441),--(NXT_COMPO!$B$5=IDX_COMPOSITION!$L$2:$L$441),ROW(IDX_COMPOSITION!$F$2:$F$441)))),IF($D150&lt;=$B$4,INDEX(IDX_CA!$G$1:$G$1041,SUMPRODUCT(--($E150=IDX_CA!$A$2:$A$1041),--(NXT_COMPO!$P150=IDX_CA!$B$2:$B$1041),--(NXT_COMPO!$Q150=IDX_CA!$C$2:$C$1041),ROW(IDX_CA!$G$2:$G$1041))),""))</f>
        <v/>
      </c>
      <c r="K150" s="63" t="str">
        <f>IF($D150&lt;&gt;"",VLOOKUP($E150,STK_REF!$A$2:$J$1048576,7,0),"")</f>
        <v/>
      </c>
      <c r="L150" s="5" t="str">
        <f>IF($D150&lt;&gt;"",VLOOKUP($E150,STK_REF!$A$2:$J$1048576,8,0),"")</f>
        <v/>
      </c>
      <c r="M150" s="8" t="str">
        <f>IF($D150&lt;&gt;"",IF($K150=$U150,1,IF(ISNA(VLOOKUP($K150&amp;$U150,CUR_RATES!$A$2:$F$521,4,0)),"",VLOOKUP($K150&amp;$U150,CUR_RATES!$A$2:$F$521,4,0))),"")</f>
        <v/>
      </c>
      <c r="N150" s="61" t="str">
        <f t="shared" si="31"/>
        <v/>
      </c>
      <c r="O150" s="68" t="str">
        <f t="shared" si="32"/>
        <v/>
      </c>
      <c r="P150" s="50" t="str">
        <f>IF(ROW(P150)-ROW($E$1)&lt;=$B$4,INDEX(IDX_COMPO!G:G,ROW(IDX_COMPO!#REF!)),"")</f>
        <v/>
      </c>
      <c r="Q150" s="2" t="str">
        <f>IF(ROW(Q150)-ROW($E$1)&lt;=$B$4,INDEX(IDX_COMPO!F:F,ROW(IDX_COMPO!#REF!)),"")</f>
        <v/>
      </c>
      <c r="R150" s="68" t="str">
        <f t="shared" si="34"/>
        <v/>
      </c>
      <c r="S150" s="61" t="str">
        <f t="shared" si="35"/>
        <v/>
      </c>
      <c r="T150" s="62" t="str">
        <f>IF(D150&lt;&gt;"",IF(SUMPRODUCT(--($E150=STK_DIV!$A$2:$A$5),--(NXT_COMPO!$Q150=STK_DIV!$E$2:$E$5),ROW(STK_DIV!$D$2:$D$5))=0,"",INDEX(STK_DIV!$D$1:$D$5,SUMPRODUCT(--($E150=STK_DIV!$A$2:$A$5),--(NXT_COMPO!$Q150=STK_DIV!$E$2:$E$5),ROW(STK_DIV!$D$2:$D$5)))),"")</f>
        <v/>
      </c>
      <c r="U150" s="54" t="str">
        <f>IF($D150&lt;&gt;"",VLOOKUP($P150,IDX_REF!$2:$1048576,4,0),"")</f>
        <v/>
      </c>
      <c r="W150" s="52" t="str">
        <f t="shared" si="28"/>
        <v/>
      </c>
      <c r="X150" s="5" t="str">
        <f>IF(ROW(X150)-ROW($X$1)&lt;=$B$1,INDEX(IDX_COMPO!A:A,ROW(IDX_COMPO!A150)),"")</f>
        <v/>
      </c>
      <c r="Y150" s="54" t="str">
        <f t="shared" si="29"/>
        <v/>
      </c>
      <c r="Z150" s="54" t="str">
        <f>IF(ROW(Z150)-ROW($Y$1)&lt;=$B$1,INDEX(IDX_COMPO!F:F,ROW(IDX_COMPO!R150)),"")</f>
        <v/>
      </c>
      <c r="AA150" s="2" t="str">
        <f t="array" ref="AA150">IF(X150&lt;&gt;"",IF(SUMPRODUCT(--(X150=IDX_CA!$A$2:$A$1041),--(NXT_COMPO!Y150=IDX_CA!$C$2:$C$1041),--(Z150=IDX_CA!$B$2:$B$1041))&gt;0,IF(INDEX(IDX_CA!$I:$I,SUMPRODUCT(--(X150=IDX_CA!$A$2:$A$1041),--(NXT_COMPO!Y150=IDX_CA!$C$2:$C$1041),--(Z150=IDX_CA!$B$2:$B$1041),ROW(IDX_CA!$I$2:$I$1041)))=1,"YES","MODIFY"),""),"")</f>
        <v/>
      </c>
      <c r="AB150" s="5" t="str">
        <f>IF(X150&lt;&gt;"",IF(AA150="YES","",COUNTIF($AA$2:AA150,"&lt;&gt;YES")),"")</f>
        <v/>
      </c>
      <c r="AC150" s="2"/>
    </row>
    <row r="151" spans="4:29" x14ac:dyDescent="0.2">
      <c r="D151" s="52" t="str">
        <f t="shared" si="26"/>
        <v/>
      </c>
      <c r="E151" s="5" t="str">
        <f t="shared" si="30"/>
        <v/>
      </c>
      <c r="F151" s="5" t="str">
        <f>IF(ROW(F151)-ROW($E$1)&lt;=$B$1-$B$2,INDEX(IDX_COMPO!B:B,ROW(IDX_COMPO!#REF!)),IF(ROW(E151)-ROW($E$1)&lt;=$B$4,VLOOKUP(E151,STK_REF!$A$2:$J$1048576,2,0),""))</f>
        <v/>
      </c>
      <c r="G151" s="69" t="str">
        <f>IF(ROW(G151)-ROW($E$1)&lt;=$B$4,INDEX(IDX_COMPO!C:C,ROW(IDX_COMPO!#REF!)),"")</f>
        <v/>
      </c>
      <c r="H151" s="2" t="str">
        <f>IF(ROW(H151)-ROW($E$1)&lt;=$B$4,INDEX(IDX_COMPO!D:D,ROW(IDX_COMPO!#REF!)),"")</f>
        <v/>
      </c>
      <c r="I151" s="2" t="str">
        <f>IF(ROW(I151)-ROW($E$1)&lt;=$B$4,INDEX(IDX_COMPO!E:E,ROW(IDX_COMPO!#REF!)),"")</f>
        <v/>
      </c>
      <c r="J151" s="62" t="str">
        <f>IF($D151&lt;=$B$1-$B$2,IF(INDEX($AA$2:$AA$1048576,MATCH($D151,$AB$2:$AB$1048576,0))="MODIFY",INDEX(IDX_CA!$G$1:$G$1041,SUMPRODUCT(--($E151=IDX_CA!$A$2:$A$1041),--(NXT_COMPO!$P151=IDX_CA!$B$2:$B$1041),--(NXT_COMPO!$Q151=IDX_CA!$C$2:$C$1041),ROW(IDX_CA!$G$2:$G$1041))),INDEX(IDX_COMPOSITION!$F$1:$F$441,SUMPRODUCT(--($E151=IDX_COMPOSITION!$A$2:$A$441),--(NXT_COMPO!$P151=IDX_COMPOSITION!$R$2:$R$441),--(NXT_COMPO!$B$5=IDX_COMPOSITION!$L$2:$L$441),ROW(IDX_COMPOSITION!$F$2:$F$441)))),IF($D151&lt;=$B$4,INDEX(IDX_CA!$G$1:$G$1041,SUMPRODUCT(--($E151=IDX_CA!$A$2:$A$1041),--(NXT_COMPO!$P151=IDX_CA!$B$2:$B$1041),--(NXT_COMPO!$Q151=IDX_CA!$C$2:$C$1041),ROW(IDX_CA!$G$2:$G$1041))),""))</f>
        <v/>
      </c>
      <c r="K151" s="63" t="str">
        <f>IF($D151&lt;&gt;"",VLOOKUP($E151,STK_REF!$A$2:$J$1048576,7,0),"")</f>
        <v/>
      </c>
      <c r="L151" s="5" t="str">
        <f>IF($D151&lt;&gt;"",VLOOKUP($E151,STK_REF!$A$2:$J$1048576,8,0),"")</f>
        <v/>
      </c>
      <c r="M151" s="8" t="str">
        <f>IF($D151&lt;&gt;"",IF($K151=$U151,1,IF(ISNA(VLOOKUP($K151&amp;$U151,CUR_RATES!$A$2:$F$521,4,0)),"",VLOOKUP($K151&amp;$U151,CUR_RATES!$A$2:$F$521,4,0))),"")</f>
        <v/>
      </c>
      <c r="N151" s="61" t="str">
        <f t="shared" si="31"/>
        <v/>
      </c>
      <c r="O151" s="68" t="str">
        <f t="shared" si="32"/>
        <v/>
      </c>
      <c r="P151" s="50" t="str">
        <f>IF(ROW(P151)-ROW($E$1)&lt;=$B$4,INDEX(IDX_COMPO!G:G,ROW(IDX_COMPO!#REF!)),"")</f>
        <v/>
      </c>
      <c r="Q151" s="2" t="str">
        <f>IF(ROW(Q151)-ROW($E$1)&lt;=$B$4,INDEX(IDX_COMPO!F:F,ROW(IDX_COMPO!#REF!)),"")</f>
        <v/>
      </c>
      <c r="R151" s="68" t="str">
        <f t="shared" si="34"/>
        <v/>
      </c>
      <c r="S151" s="61" t="str">
        <f t="shared" si="35"/>
        <v/>
      </c>
      <c r="T151" s="62" t="str">
        <f>IF(D151&lt;&gt;"",IF(SUMPRODUCT(--($E151=STK_DIV!$A$2:$A$5),--(NXT_COMPO!$Q151=STK_DIV!$E$2:$E$5),ROW(STK_DIV!$D$2:$D$5))=0,"",INDEX(STK_DIV!$D$1:$D$5,SUMPRODUCT(--($E151=STK_DIV!$A$2:$A$5),--(NXT_COMPO!$Q151=STK_DIV!$E$2:$E$5),ROW(STK_DIV!$D$2:$D$5)))),"")</f>
        <v/>
      </c>
      <c r="U151" s="54" t="str">
        <f>IF($D151&lt;&gt;"",VLOOKUP($P151,IDX_REF!$2:$1048576,4,0),"")</f>
        <v/>
      </c>
      <c r="W151" s="52" t="str">
        <f t="shared" si="28"/>
        <v/>
      </c>
      <c r="X151" s="5" t="str">
        <f>IF(ROW(X151)-ROW($X$1)&lt;=$B$1,INDEX(IDX_COMPO!A:A,ROW(IDX_COMPO!A151)),"")</f>
        <v/>
      </c>
      <c r="Y151" s="54" t="str">
        <f t="shared" si="29"/>
        <v/>
      </c>
      <c r="Z151" s="54" t="str">
        <f>IF(ROW(Z151)-ROW($Y$1)&lt;=$B$1,INDEX(IDX_COMPO!F:F,ROW(IDX_COMPO!R151)),"")</f>
        <v/>
      </c>
      <c r="AA151" s="2" t="str">
        <f t="array" ref="AA151">IF(X151&lt;&gt;"",IF(SUMPRODUCT(--(X151=IDX_CA!$A$2:$A$1041),--(NXT_COMPO!Y151=IDX_CA!$C$2:$C$1041),--(Z151=IDX_CA!$B$2:$B$1041))&gt;0,IF(INDEX(IDX_CA!$I:$I,SUMPRODUCT(--(X151=IDX_CA!$A$2:$A$1041),--(NXT_COMPO!Y151=IDX_CA!$C$2:$C$1041),--(Z151=IDX_CA!$B$2:$B$1041),ROW(IDX_CA!$I$2:$I$1041)))=1,"YES","MODIFY"),""),"")</f>
        <v/>
      </c>
      <c r="AB151" s="5" t="str">
        <f>IF(X151&lt;&gt;"",IF(AA151="YES","",COUNTIF($AA$2:AA151,"&lt;&gt;YES")),"")</f>
        <v/>
      </c>
      <c r="AC151" s="2"/>
    </row>
    <row r="152" spans="4:29" x14ac:dyDescent="0.2">
      <c r="D152" s="52" t="str">
        <f t="shared" si="26"/>
        <v/>
      </c>
      <c r="E152" s="5" t="str">
        <f t="shared" si="30"/>
        <v/>
      </c>
      <c r="F152" s="5" t="str">
        <f>IF(ROW(F152)-ROW($E$1)&lt;=$B$1-$B$2,INDEX(IDX_COMPO!B:B,ROW(IDX_COMPO!#REF!)),IF(ROW(E152)-ROW($E$1)&lt;=$B$4,VLOOKUP(E152,STK_REF!$A$2:$J$1048576,2,0),""))</f>
        <v/>
      </c>
      <c r="G152" s="69" t="str">
        <f>IF(ROW(G152)-ROW($E$1)&lt;=$B$4,INDEX(IDX_COMPO!C:C,ROW(IDX_COMPO!#REF!)),"")</f>
        <v/>
      </c>
      <c r="H152" s="2" t="str">
        <f>IF(ROW(H152)-ROW($E$1)&lt;=$B$4,INDEX(IDX_COMPO!D:D,ROW(IDX_COMPO!#REF!)),"")</f>
        <v/>
      </c>
      <c r="I152" s="2" t="str">
        <f>IF(ROW(I152)-ROW($E$1)&lt;=$B$4,INDEX(IDX_COMPO!E:E,ROW(IDX_COMPO!#REF!)),"")</f>
        <v/>
      </c>
      <c r="J152" s="62" t="str">
        <f>IF($D152&lt;=$B$1-$B$2,IF(INDEX($AA$2:$AA$1048576,MATCH($D152,$AB$2:$AB$1048576,0))="MODIFY",INDEX(IDX_CA!$G$1:$G$1041,SUMPRODUCT(--($E152=IDX_CA!$A$2:$A$1041),--(NXT_COMPO!$P152=IDX_CA!$B$2:$B$1041),--(NXT_COMPO!$Q152=IDX_CA!$C$2:$C$1041),ROW(IDX_CA!$G$2:$G$1041))),INDEX(IDX_COMPOSITION!$F$1:$F$441,SUMPRODUCT(--($E152=IDX_COMPOSITION!$A$2:$A$441),--(NXT_COMPO!$P152=IDX_COMPOSITION!$R$2:$R$441),--(NXT_COMPO!$B$5=IDX_COMPOSITION!$L$2:$L$441),ROW(IDX_COMPOSITION!$F$2:$F$441)))),IF($D152&lt;=$B$4,INDEX(IDX_CA!$G$1:$G$1041,SUMPRODUCT(--($E152=IDX_CA!$A$2:$A$1041),--(NXT_COMPO!$P152=IDX_CA!$B$2:$B$1041),--(NXT_COMPO!$Q152=IDX_CA!$C$2:$C$1041),ROW(IDX_CA!$G$2:$G$1041))),""))</f>
        <v/>
      </c>
      <c r="K152" s="63" t="str">
        <f>IF($D152&lt;&gt;"",VLOOKUP($E152,STK_REF!$A$2:$J$1048576,7,0),"")</f>
        <v/>
      </c>
      <c r="L152" s="5" t="str">
        <f>IF($D152&lt;&gt;"",VLOOKUP($E152,STK_REF!$A$2:$J$1048576,8,0),"")</f>
        <v/>
      </c>
      <c r="M152" s="8" t="str">
        <f>IF($D152&lt;&gt;"",IF($K152=$U152,1,IF(ISNA(VLOOKUP($K152&amp;$U152,CUR_RATES!$A$2:$F$521,4,0)),"",VLOOKUP($K152&amp;$U152,CUR_RATES!$A$2:$F$521,4,0))),"")</f>
        <v/>
      </c>
      <c r="N152" s="61" t="str">
        <f t="shared" si="31"/>
        <v/>
      </c>
      <c r="O152" s="68" t="str">
        <f t="shared" si="32"/>
        <v/>
      </c>
      <c r="P152" s="50" t="str">
        <f>IF(ROW(P152)-ROW($E$1)&lt;=$B$4,INDEX(IDX_COMPO!G:G,ROW(IDX_COMPO!#REF!)),"")</f>
        <v/>
      </c>
      <c r="Q152" s="2" t="str">
        <f>IF(ROW(Q152)-ROW($E$1)&lt;=$B$4,INDEX(IDX_COMPO!F:F,ROW(IDX_COMPO!#REF!)),"")</f>
        <v/>
      </c>
      <c r="R152" s="68" t="str">
        <f t="shared" si="34"/>
        <v/>
      </c>
      <c r="S152" s="61" t="str">
        <f t="shared" si="35"/>
        <v/>
      </c>
      <c r="T152" s="62" t="str">
        <f>IF(D152&lt;&gt;"",IF(SUMPRODUCT(--($E152=STK_DIV!$A$2:$A$5),--(NXT_COMPO!$Q152=STK_DIV!$E$2:$E$5),ROW(STK_DIV!$D$2:$D$5))=0,"",INDEX(STK_DIV!$D$1:$D$5,SUMPRODUCT(--($E152=STK_DIV!$A$2:$A$5),--(NXT_COMPO!$Q152=STK_DIV!$E$2:$E$5),ROW(STK_DIV!$D$2:$D$5)))),"")</f>
        <v/>
      </c>
      <c r="U152" s="54" t="str">
        <f>IF($D152&lt;&gt;"",VLOOKUP($P152,IDX_REF!$2:$1048576,4,0),"")</f>
        <v/>
      </c>
      <c r="W152" s="52" t="str">
        <f t="shared" si="28"/>
        <v/>
      </c>
      <c r="X152" s="5" t="str">
        <f>IF(ROW(X152)-ROW($X$1)&lt;=$B$1,INDEX(IDX_COMPO!A:A,ROW(IDX_COMPO!A152)),"")</f>
        <v/>
      </c>
      <c r="Y152" s="54" t="str">
        <f t="shared" si="29"/>
        <v/>
      </c>
      <c r="Z152" s="54" t="str">
        <f>IF(ROW(Z152)-ROW($Y$1)&lt;=$B$1,INDEX(IDX_COMPO!F:F,ROW(IDX_COMPO!R152)),"")</f>
        <v/>
      </c>
      <c r="AA152" s="2" t="str">
        <f t="array" ref="AA152">IF(X152&lt;&gt;"",IF(SUMPRODUCT(--(X152=IDX_CA!$A$2:$A$1041),--(NXT_COMPO!Y152=IDX_CA!$C$2:$C$1041),--(Z152=IDX_CA!$B$2:$B$1041))&gt;0,IF(INDEX(IDX_CA!$I:$I,SUMPRODUCT(--(X152=IDX_CA!$A$2:$A$1041),--(NXT_COMPO!Y152=IDX_CA!$C$2:$C$1041),--(Z152=IDX_CA!$B$2:$B$1041),ROW(IDX_CA!$I$2:$I$1041)))=1,"YES","MODIFY"),""),"")</f>
        <v/>
      </c>
      <c r="AB152" s="5" t="str">
        <f>IF(X152&lt;&gt;"",IF(AA152="YES","",COUNTIF($AA$2:AA152,"&lt;&gt;YES")),"")</f>
        <v/>
      </c>
      <c r="AC152" s="2"/>
    </row>
    <row r="153" spans="4:29" x14ac:dyDescent="0.2">
      <c r="D153" s="52" t="str">
        <f t="shared" si="26"/>
        <v/>
      </c>
      <c r="E153" s="5" t="str">
        <f t="shared" si="30"/>
        <v/>
      </c>
      <c r="F153" s="5" t="str">
        <f>IF(ROW(F153)-ROW($E$1)&lt;=$B$1-$B$2,INDEX(IDX_COMPO!B:B,ROW(IDX_COMPO!#REF!)),IF(ROW(E153)-ROW($E$1)&lt;=$B$4,VLOOKUP(E153,STK_REF!$A$2:$J$1048576,2,0),""))</f>
        <v/>
      </c>
      <c r="G153" s="69" t="str">
        <f>IF(ROW(G153)-ROW($E$1)&lt;=$B$4,INDEX(IDX_COMPO!C:C,ROW(IDX_COMPO!#REF!)),"")</f>
        <v/>
      </c>
      <c r="H153" s="2" t="str">
        <f>IF(ROW(H153)-ROW($E$1)&lt;=$B$4,INDEX(IDX_COMPO!D:D,ROW(IDX_COMPO!#REF!)),"")</f>
        <v/>
      </c>
      <c r="I153" s="2" t="str">
        <f>IF(ROW(I153)-ROW($E$1)&lt;=$B$4,INDEX(IDX_COMPO!E:E,ROW(IDX_COMPO!#REF!)),"")</f>
        <v/>
      </c>
      <c r="J153" s="62" t="str">
        <f>IF($D153&lt;=$B$1-$B$2,IF(INDEX($AA$2:$AA$1048576,MATCH($D153,$AB$2:$AB$1048576,0))="MODIFY",INDEX(IDX_CA!$G$1:$G$1041,SUMPRODUCT(--($E153=IDX_CA!$A$2:$A$1041),--(NXT_COMPO!$P153=IDX_CA!$B$2:$B$1041),--(NXT_COMPO!$Q153=IDX_CA!$C$2:$C$1041),ROW(IDX_CA!$G$2:$G$1041))),INDEX(IDX_COMPOSITION!$F$1:$F$441,SUMPRODUCT(--($E153=IDX_COMPOSITION!$A$2:$A$441),--(NXT_COMPO!$P153=IDX_COMPOSITION!$R$2:$R$441),--(NXT_COMPO!$B$5=IDX_COMPOSITION!$L$2:$L$441),ROW(IDX_COMPOSITION!$F$2:$F$441)))),IF($D153&lt;=$B$4,INDEX(IDX_CA!$G$1:$G$1041,SUMPRODUCT(--($E153=IDX_CA!$A$2:$A$1041),--(NXT_COMPO!$P153=IDX_CA!$B$2:$B$1041),--(NXT_COMPO!$Q153=IDX_CA!$C$2:$C$1041),ROW(IDX_CA!$G$2:$G$1041))),""))</f>
        <v/>
      </c>
      <c r="K153" s="63" t="str">
        <f>IF($D153&lt;&gt;"",VLOOKUP($E153,STK_REF!$A$2:$J$1048576,7,0),"")</f>
        <v/>
      </c>
      <c r="L153" s="5" t="str">
        <f>IF($D153&lt;&gt;"",VLOOKUP($E153,STK_REF!$A$2:$J$1048576,8,0),"")</f>
        <v/>
      </c>
      <c r="M153" s="8" t="str">
        <f>IF($D153&lt;&gt;"",IF($K153=$U153,1,IF(ISNA(VLOOKUP($K153&amp;$U153,CUR_RATES!$A$2:$F$521,4,0)),"",VLOOKUP($K153&amp;$U153,CUR_RATES!$A$2:$F$521,4,0))),"")</f>
        <v/>
      </c>
      <c r="N153" s="61" t="str">
        <f t="shared" si="31"/>
        <v/>
      </c>
      <c r="O153" s="68" t="str">
        <f t="shared" si="32"/>
        <v/>
      </c>
      <c r="P153" s="50" t="str">
        <f>IF(ROW(P153)-ROW($E$1)&lt;=$B$4,INDEX(IDX_COMPO!G:G,ROW(IDX_COMPO!#REF!)),"")</f>
        <v/>
      </c>
      <c r="Q153" s="2" t="str">
        <f>IF(ROW(Q153)-ROW($E$1)&lt;=$B$4,INDEX(IDX_COMPO!F:F,ROW(IDX_COMPO!#REF!)),"")</f>
        <v/>
      </c>
      <c r="R153" s="68" t="str">
        <f t="shared" si="34"/>
        <v/>
      </c>
      <c r="S153" s="61" t="str">
        <f t="shared" si="35"/>
        <v/>
      </c>
      <c r="T153" s="62" t="str">
        <f>IF(D153&lt;&gt;"",IF(SUMPRODUCT(--($E153=STK_DIV!$A$2:$A$5),--(NXT_COMPO!$Q153=STK_DIV!$E$2:$E$5),ROW(STK_DIV!$D$2:$D$5))=0,"",INDEX(STK_DIV!$D$1:$D$5,SUMPRODUCT(--($E153=STK_DIV!$A$2:$A$5),--(NXT_COMPO!$Q153=STK_DIV!$E$2:$E$5),ROW(STK_DIV!$D$2:$D$5)))),"")</f>
        <v/>
      </c>
      <c r="U153" s="54" t="str">
        <f>IF($D153&lt;&gt;"",VLOOKUP($P153,IDX_REF!$2:$1048576,4,0),"")</f>
        <v/>
      </c>
      <c r="W153" s="52" t="str">
        <f t="shared" si="28"/>
        <v/>
      </c>
      <c r="X153" s="5" t="str">
        <f>IF(ROW(X153)-ROW($X$1)&lt;=$B$1,INDEX(IDX_COMPO!A:A,ROW(IDX_COMPO!A153)),"")</f>
        <v/>
      </c>
      <c r="Y153" s="54" t="str">
        <f t="shared" si="29"/>
        <v/>
      </c>
      <c r="Z153" s="54" t="str">
        <f>IF(ROW(Z153)-ROW($Y$1)&lt;=$B$1,INDEX(IDX_COMPO!F:F,ROW(IDX_COMPO!R153)),"")</f>
        <v/>
      </c>
      <c r="AA153" s="2" t="str">
        <f t="array" ref="AA153">IF(X153&lt;&gt;"",IF(SUMPRODUCT(--(X153=IDX_CA!$A$2:$A$1041),--(NXT_COMPO!Y153=IDX_CA!$C$2:$C$1041),--(Z153=IDX_CA!$B$2:$B$1041))&gt;0,IF(INDEX(IDX_CA!$I:$I,SUMPRODUCT(--(X153=IDX_CA!$A$2:$A$1041),--(NXT_COMPO!Y153=IDX_CA!$C$2:$C$1041),--(Z153=IDX_CA!$B$2:$B$1041),ROW(IDX_CA!$I$2:$I$1041)))=1,"YES","MODIFY"),""),"")</f>
        <v/>
      </c>
      <c r="AB153" s="5" t="str">
        <f>IF(X153&lt;&gt;"",IF(AA153="YES","",COUNTIF($AA$2:AA153,"&lt;&gt;YES")),"")</f>
        <v/>
      </c>
      <c r="AC153" s="2"/>
    </row>
    <row r="154" spans="4:29" x14ac:dyDescent="0.2">
      <c r="D154" s="52" t="str">
        <f t="shared" si="26"/>
        <v/>
      </c>
      <c r="E154" s="5" t="str">
        <f t="shared" si="30"/>
        <v/>
      </c>
      <c r="F154" s="5" t="str">
        <f>IF(ROW(F154)-ROW($E$1)&lt;=$B$1-$B$2,INDEX(IDX_COMPO!B:B,ROW(IDX_COMPO!#REF!)),IF(ROW(E154)-ROW($E$1)&lt;=$B$4,VLOOKUP(E154,STK_REF!$A$2:$J$1048576,2,0),""))</f>
        <v/>
      </c>
      <c r="G154" s="69" t="str">
        <f>IF(ROW(G154)-ROW($E$1)&lt;=$B$4,INDEX(IDX_COMPO!C:C,ROW(IDX_COMPO!#REF!)),"")</f>
        <v/>
      </c>
      <c r="H154" s="2" t="str">
        <f>IF(ROW(H154)-ROW($E$1)&lt;=$B$4,INDEX(IDX_COMPO!D:D,ROW(IDX_COMPO!#REF!)),"")</f>
        <v/>
      </c>
      <c r="I154" s="2" t="str">
        <f>IF(ROW(I154)-ROW($E$1)&lt;=$B$4,INDEX(IDX_COMPO!E:E,ROW(IDX_COMPO!#REF!)),"")</f>
        <v/>
      </c>
      <c r="J154" s="62" t="str">
        <f>IF($D154&lt;=$B$1-$B$2,IF(INDEX($AA$2:$AA$1048576,MATCH($D154,$AB$2:$AB$1048576,0))="MODIFY",INDEX(IDX_CA!$G$1:$G$1041,SUMPRODUCT(--($E154=IDX_CA!$A$2:$A$1041),--(NXT_COMPO!$P154=IDX_CA!$B$2:$B$1041),--(NXT_COMPO!$Q154=IDX_CA!$C$2:$C$1041),ROW(IDX_CA!$G$2:$G$1041))),INDEX(IDX_COMPOSITION!$F$1:$F$441,SUMPRODUCT(--($E154=IDX_COMPOSITION!$A$2:$A$441),--(NXT_COMPO!$P154=IDX_COMPOSITION!$R$2:$R$441),--(NXT_COMPO!$B$5=IDX_COMPOSITION!$L$2:$L$441),ROW(IDX_COMPOSITION!$F$2:$F$441)))),IF($D154&lt;=$B$4,INDEX(IDX_CA!$G$1:$G$1041,SUMPRODUCT(--($E154=IDX_CA!$A$2:$A$1041),--(NXT_COMPO!$P154=IDX_CA!$B$2:$B$1041),--(NXT_COMPO!$Q154=IDX_CA!$C$2:$C$1041),ROW(IDX_CA!$G$2:$G$1041))),""))</f>
        <v/>
      </c>
      <c r="K154" s="63" t="str">
        <f>IF($D154&lt;&gt;"",VLOOKUP($E154,STK_REF!$A$2:$J$1048576,7,0),"")</f>
        <v/>
      </c>
      <c r="L154" s="5" t="str">
        <f>IF($D154&lt;&gt;"",VLOOKUP($E154,STK_REF!$A$2:$J$1048576,8,0),"")</f>
        <v/>
      </c>
      <c r="M154" s="8" t="str">
        <f>IF($D154&lt;&gt;"",IF($K154=$U154,1,IF(ISNA(VLOOKUP($K154&amp;$U154,CUR_RATES!$A$2:$F$521,4,0)),"",VLOOKUP($K154&amp;$U154,CUR_RATES!$A$2:$F$521,4,0))),"")</f>
        <v/>
      </c>
      <c r="N154" s="61" t="str">
        <f t="shared" si="31"/>
        <v/>
      </c>
      <c r="O154" s="68" t="str">
        <f t="shared" si="32"/>
        <v/>
      </c>
      <c r="P154" s="50" t="str">
        <f>IF(ROW(P154)-ROW($E$1)&lt;=$B$4,INDEX(IDX_COMPO!G:G,ROW(IDX_COMPO!#REF!)),"")</f>
        <v/>
      </c>
      <c r="Q154" s="2" t="str">
        <f>IF(ROW(Q154)-ROW($E$1)&lt;=$B$4,INDEX(IDX_COMPO!F:F,ROW(IDX_COMPO!#REF!)),"")</f>
        <v/>
      </c>
      <c r="R154" s="68" t="str">
        <f t="shared" si="34"/>
        <v/>
      </c>
      <c r="S154" s="61" t="str">
        <f t="shared" si="35"/>
        <v/>
      </c>
      <c r="T154" s="62" t="str">
        <f>IF(D154&lt;&gt;"",IF(SUMPRODUCT(--($E154=STK_DIV!$A$2:$A$5),--(NXT_COMPO!$Q154=STK_DIV!$E$2:$E$5),ROW(STK_DIV!$D$2:$D$5))=0,"",INDEX(STK_DIV!$D$1:$D$5,SUMPRODUCT(--($E154=STK_DIV!$A$2:$A$5),--(NXT_COMPO!$Q154=STK_DIV!$E$2:$E$5),ROW(STK_DIV!$D$2:$D$5)))),"")</f>
        <v/>
      </c>
      <c r="U154" s="54" t="str">
        <f>IF($D154&lt;&gt;"",VLOOKUP($P154,IDX_REF!$2:$1048576,4,0),"")</f>
        <v/>
      </c>
      <c r="W154" s="52" t="str">
        <f t="shared" si="28"/>
        <v/>
      </c>
      <c r="X154" s="5" t="str">
        <f>IF(ROW(X154)-ROW($X$1)&lt;=$B$1,INDEX(IDX_COMPO!A:A,ROW(IDX_COMPO!A154)),"")</f>
        <v/>
      </c>
      <c r="Y154" s="54" t="str">
        <f t="shared" si="29"/>
        <v/>
      </c>
      <c r="Z154" s="54" t="str">
        <f>IF(ROW(Z154)-ROW($Y$1)&lt;=$B$1,INDEX(IDX_COMPO!F:F,ROW(IDX_COMPO!R154)),"")</f>
        <v/>
      </c>
      <c r="AA154" s="2" t="str">
        <f t="array" ref="AA154">IF(X154&lt;&gt;"",IF(SUMPRODUCT(--(X154=IDX_CA!$A$2:$A$1041),--(NXT_COMPO!Y154=IDX_CA!$C$2:$C$1041),--(Z154=IDX_CA!$B$2:$B$1041))&gt;0,IF(INDEX(IDX_CA!$I:$I,SUMPRODUCT(--(X154=IDX_CA!$A$2:$A$1041),--(NXT_COMPO!Y154=IDX_CA!$C$2:$C$1041),--(Z154=IDX_CA!$B$2:$B$1041),ROW(IDX_CA!$I$2:$I$1041)))=1,"YES","MODIFY"),""),"")</f>
        <v/>
      </c>
      <c r="AB154" s="5" t="str">
        <f>IF(X154&lt;&gt;"",IF(AA154="YES","",COUNTIF($AA$2:AA154,"&lt;&gt;YES")),"")</f>
        <v/>
      </c>
      <c r="AC154" s="2"/>
    </row>
    <row r="155" spans="4:29" x14ac:dyDescent="0.2">
      <c r="D155" s="52" t="str">
        <f t="shared" si="26"/>
        <v/>
      </c>
      <c r="E155" s="5" t="str">
        <f t="shared" si="30"/>
        <v/>
      </c>
      <c r="F155" s="5" t="str">
        <f>IF(ROW(F155)-ROW($E$1)&lt;=$B$1-$B$2,INDEX(IDX_COMPO!B:B,ROW(IDX_COMPO!#REF!)),IF(ROW(E155)-ROW($E$1)&lt;=$B$4,VLOOKUP(E155,STK_REF!$A$2:$J$1048576,2,0),""))</f>
        <v/>
      </c>
      <c r="G155" s="69" t="str">
        <f>IF(ROW(G155)-ROW($E$1)&lt;=$B$4,INDEX(IDX_COMPO!C:C,ROW(IDX_COMPO!#REF!)),"")</f>
        <v/>
      </c>
      <c r="H155" s="2" t="str">
        <f>IF(ROW(H155)-ROW($E$1)&lt;=$B$4,INDEX(IDX_COMPO!D:D,ROW(IDX_COMPO!#REF!)),"")</f>
        <v/>
      </c>
      <c r="I155" s="2" t="str">
        <f>IF(ROW(I155)-ROW($E$1)&lt;=$B$4,INDEX(IDX_COMPO!E:E,ROW(IDX_COMPO!#REF!)),"")</f>
        <v/>
      </c>
      <c r="J155" s="62" t="str">
        <f>IF($D155&lt;=$B$1-$B$2,IF(INDEX($AA$2:$AA$1048576,MATCH($D155,$AB$2:$AB$1048576,0))="MODIFY",INDEX(IDX_CA!$G$1:$G$1041,SUMPRODUCT(--($E155=IDX_CA!$A$2:$A$1041),--(NXT_COMPO!$P155=IDX_CA!$B$2:$B$1041),--(NXT_COMPO!$Q155=IDX_CA!$C$2:$C$1041),ROW(IDX_CA!$G$2:$G$1041))),INDEX(IDX_COMPOSITION!$F$1:$F$441,SUMPRODUCT(--($E155=IDX_COMPOSITION!$A$2:$A$441),--(NXT_COMPO!$P155=IDX_COMPOSITION!$R$2:$R$441),--(NXT_COMPO!$B$5=IDX_COMPOSITION!$L$2:$L$441),ROW(IDX_COMPOSITION!$F$2:$F$441)))),IF($D155&lt;=$B$4,INDEX(IDX_CA!$G$1:$G$1041,SUMPRODUCT(--($E155=IDX_CA!$A$2:$A$1041),--(NXT_COMPO!$P155=IDX_CA!$B$2:$B$1041),--(NXT_COMPO!$Q155=IDX_CA!$C$2:$C$1041),ROW(IDX_CA!$G$2:$G$1041))),""))</f>
        <v/>
      </c>
      <c r="K155" s="63" t="str">
        <f>IF($D155&lt;&gt;"",VLOOKUP($E155,STK_REF!$A$2:$J$1048576,7,0),"")</f>
        <v/>
      </c>
      <c r="L155" s="5" t="str">
        <f>IF($D155&lt;&gt;"",VLOOKUP($E155,STK_REF!$A$2:$J$1048576,8,0),"")</f>
        <v/>
      </c>
      <c r="M155" s="8" t="str">
        <f>IF($D155&lt;&gt;"",IF($K155=$U155,1,IF(ISNA(VLOOKUP($K155&amp;$U155,CUR_RATES!$A$2:$F$521,4,0)),"",VLOOKUP($K155&amp;$U155,CUR_RATES!$A$2:$F$521,4,0))),"")</f>
        <v/>
      </c>
      <c r="N155" s="61" t="str">
        <f t="shared" si="31"/>
        <v/>
      </c>
      <c r="O155" s="68" t="str">
        <f t="shared" si="32"/>
        <v/>
      </c>
      <c r="P155" s="50" t="str">
        <f>IF(ROW(P155)-ROW($E$1)&lt;=$B$4,INDEX(IDX_COMPO!G:G,ROW(IDX_COMPO!#REF!)),"")</f>
        <v/>
      </c>
      <c r="Q155" s="2" t="str">
        <f>IF(ROW(Q155)-ROW($E$1)&lt;=$B$4,INDEX(IDX_COMPO!F:F,ROW(IDX_COMPO!#REF!)),"")</f>
        <v/>
      </c>
      <c r="R155" s="68" t="str">
        <f t="shared" si="34"/>
        <v/>
      </c>
      <c r="S155" s="61" t="str">
        <f t="shared" si="35"/>
        <v/>
      </c>
      <c r="T155" s="62" t="str">
        <f>IF(D155&lt;&gt;"",IF(SUMPRODUCT(--($E155=STK_DIV!$A$2:$A$5),--(NXT_COMPO!$Q155=STK_DIV!$E$2:$E$5),ROW(STK_DIV!$D$2:$D$5))=0,"",INDEX(STK_DIV!$D$1:$D$5,SUMPRODUCT(--($E155=STK_DIV!$A$2:$A$5),--(NXT_COMPO!$Q155=STK_DIV!$E$2:$E$5),ROW(STK_DIV!$D$2:$D$5)))),"")</f>
        <v/>
      </c>
      <c r="U155" s="54" t="str">
        <f>IF($D155&lt;&gt;"",VLOOKUP($P155,IDX_REF!$2:$1048576,4,0),"")</f>
        <v/>
      </c>
      <c r="W155" s="52" t="str">
        <f t="shared" si="28"/>
        <v/>
      </c>
      <c r="X155" s="5" t="str">
        <f>IF(ROW(X155)-ROW($X$1)&lt;=$B$1,INDEX(IDX_COMPO!A:A,ROW(IDX_COMPO!A155)),"")</f>
        <v/>
      </c>
      <c r="Y155" s="54" t="str">
        <f t="shared" si="29"/>
        <v/>
      </c>
      <c r="Z155" s="54" t="str">
        <f>IF(ROW(Z155)-ROW($Y$1)&lt;=$B$1,INDEX(IDX_COMPO!F:F,ROW(IDX_COMPO!R155)),"")</f>
        <v/>
      </c>
      <c r="AA155" s="2" t="str">
        <f t="array" ref="AA155">IF(X155&lt;&gt;"",IF(SUMPRODUCT(--(X155=IDX_CA!$A$2:$A$1041),--(NXT_COMPO!Y155=IDX_CA!$C$2:$C$1041),--(Z155=IDX_CA!$B$2:$B$1041))&gt;0,IF(INDEX(IDX_CA!$I:$I,SUMPRODUCT(--(X155=IDX_CA!$A$2:$A$1041),--(NXT_COMPO!Y155=IDX_CA!$C$2:$C$1041),--(Z155=IDX_CA!$B$2:$B$1041),ROW(IDX_CA!$I$2:$I$1041)))=1,"YES","MODIFY"),""),"")</f>
        <v/>
      </c>
      <c r="AB155" s="5" t="str">
        <f>IF(X155&lt;&gt;"",IF(AA155="YES","",COUNTIF($AA$2:AA155,"&lt;&gt;YES")),"")</f>
        <v/>
      </c>
      <c r="AC155" s="2"/>
    </row>
    <row r="156" spans="4:29" x14ac:dyDescent="0.2">
      <c r="D156" s="52" t="str">
        <f t="shared" si="26"/>
        <v/>
      </c>
      <c r="E156" s="5" t="str">
        <f t="shared" si="30"/>
        <v/>
      </c>
      <c r="F156" s="5" t="str">
        <f>IF(ROW(F156)-ROW($E$1)&lt;=$B$1-$B$2,INDEX(IDX_COMPO!B:B,ROW(IDX_COMPO!#REF!)),IF(ROW(E156)-ROW($E$1)&lt;=$B$4,VLOOKUP(E156,STK_REF!$A$2:$J$1048576,2,0),""))</f>
        <v/>
      </c>
      <c r="G156" s="69" t="str">
        <f>IF(ROW(G156)-ROW($E$1)&lt;=$B$4,INDEX(IDX_COMPO!C:C,ROW(IDX_COMPO!#REF!)),"")</f>
        <v/>
      </c>
      <c r="H156" s="2" t="str">
        <f>IF(ROW(H156)-ROW($E$1)&lt;=$B$4,INDEX(IDX_COMPO!D:D,ROW(IDX_COMPO!#REF!)),"")</f>
        <v/>
      </c>
      <c r="I156" s="2" t="str">
        <f>IF(ROW(I156)-ROW($E$1)&lt;=$B$4,INDEX(IDX_COMPO!E:E,ROW(IDX_COMPO!#REF!)),"")</f>
        <v/>
      </c>
      <c r="J156" s="62" t="str">
        <f>IF($D156&lt;=$B$1-$B$2,IF(INDEX($AA$2:$AA$1048576,MATCH($D156,$AB$2:$AB$1048576,0))="MODIFY",INDEX(IDX_CA!$G$1:$G$1041,SUMPRODUCT(--($E156=IDX_CA!$A$2:$A$1041),--(NXT_COMPO!$P156=IDX_CA!$B$2:$B$1041),--(NXT_COMPO!$Q156=IDX_CA!$C$2:$C$1041),ROW(IDX_CA!$G$2:$G$1041))),INDEX(IDX_COMPOSITION!$F$1:$F$441,SUMPRODUCT(--($E156=IDX_COMPOSITION!$A$2:$A$441),--(NXT_COMPO!$P156=IDX_COMPOSITION!$R$2:$R$441),--(NXT_COMPO!$B$5=IDX_COMPOSITION!$L$2:$L$441),ROW(IDX_COMPOSITION!$F$2:$F$441)))),IF($D156&lt;=$B$4,INDEX(IDX_CA!$G$1:$G$1041,SUMPRODUCT(--($E156=IDX_CA!$A$2:$A$1041),--(NXT_COMPO!$P156=IDX_CA!$B$2:$B$1041),--(NXT_COMPO!$Q156=IDX_CA!$C$2:$C$1041),ROW(IDX_CA!$G$2:$G$1041))),""))</f>
        <v/>
      </c>
      <c r="K156" s="63" t="str">
        <f>IF($D156&lt;&gt;"",VLOOKUP($E156,STK_REF!$A$2:$J$1048576,7,0),"")</f>
        <v/>
      </c>
      <c r="L156" s="5" t="str">
        <f>IF($D156&lt;&gt;"",VLOOKUP($E156,STK_REF!$A$2:$J$1048576,8,0),"")</f>
        <v/>
      </c>
      <c r="M156" s="8" t="str">
        <f>IF($D156&lt;&gt;"",IF($K156=$U156,1,IF(ISNA(VLOOKUP($K156&amp;$U156,CUR_RATES!$A$2:$F$521,4,0)),"",VLOOKUP($K156&amp;$U156,CUR_RATES!$A$2:$F$521,4,0))),"")</f>
        <v/>
      </c>
      <c r="N156" s="61" t="str">
        <f t="shared" si="31"/>
        <v/>
      </c>
      <c r="O156" s="68" t="str">
        <f t="shared" si="32"/>
        <v/>
      </c>
      <c r="P156" s="50" t="str">
        <f>IF(ROW(P156)-ROW($E$1)&lt;=$B$4,INDEX(IDX_COMPO!G:G,ROW(IDX_COMPO!#REF!)),"")</f>
        <v/>
      </c>
      <c r="Q156" s="2" t="str">
        <f>IF(ROW(Q156)-ROW($E$1)&lt;=$B$4,INDEX(IDX_COMPO!F:F,ROW(IDX_COMPO!#REF!)),"")</f>
        <v/>
      </c>
      <c r="R156" s="68" t="str">
        <f t="shared" si="34"/>
        <v/>
      </c>
      <c r="S156" s="61" t="str">
        <f t="shared" si="35"/>
        <v/>
      </c>
      <c r="T156" s="62" t="str">
        <f>IF(D156&lt;&gt;"",IF(SUMPRODUCT(--($E156=STK_DIV!$A$2:$A$5),--(NXT_COMPO!$Q156=STK_DIV!$E$2:$E$5),ROW(STK_DIV!$D$2:$D$5))=0,"",INDEX(STK_DIV!$D$1:$D$5,SUMPRODUCT(--($E156=STK_DIV!$A$2:$A$5),--(NXT_COMPO!$Q156=STK_DIV!$E$2:$E$5),ROW(STK_DIV!$D$2:$D$5)))),"")</f>
        <v/>
      </c>
      <c r="U156" s="54" t="str">
        <f>IF($D156&lt;&gt;"",VLOOKUP($P156,IDX_REF!$2:$1048576,4,0),"")</f>
        <v/>
      </c>
      <c r="W156" s="52" t="str">
        <f t="shared" si="28"/>
        <v/>
      </c>
      <c r="X156" s="5" t="str">
        <f>IF(ROW(X156)-ROW($X$1)&lt;=$B$1,INDEX(IDX_COMPO!A:A,ROW(IDX_COMPO!A156)),"")</f>
        <v/>
      </c>
      <c r="Y156" s="54" t="str">
        <f t="shared" si="29"/>
        <v/>
      </c>
      <c r="Z156" s="54" t="str">
        <f>IF(ROW(Z156)-ROW($Y$1)&lt;=$B$1,INDEX(IDX_COMPO!F:F,ROW(IDX_COMPO!R156)),"")</f>
        <v/>
      </c>
      <c r="AA156" s="2" t="str">
        <f t="array" ref="AA156">IF(X156&lt;&gt;"",IF(SUMPRODUCT(--(X156=IDX_CA!$A$2:$A$1041),--(NXT_COMPO!Y156=IDX_CA!$C$2:$C$1041),--(Z156=IDX_CA!$B$2:$B$1041))&gt;0,IF(INDEX(IDX_CA!$I:$I,SUMPRODUCT(--(X156=IDX_CA!$A$2:$A$1041),--(NXT_COMPO!Y156=IDX_CA!$C$2:$C$1041),--(Z156=IDX_CA!$B$2:$B$1041),ROW(IDX_CA!$I$2:$I$1041)))=1,"YES","MODIFY"),""),"")</f>
        <v/>
      </c>
      <c r="AB156" s="5" t="str">
        <f>IF(X156&lt;&gt;"",IF(AA156="YES","",COUNTIF($AA$2:AA156,"&lt;&gt;YES")),"")</f>
        <v/>
      </c>
      <c r="AC156" s="2"/>
    </row>
    <row r="157" spans="4:29" x14ac:dyDescent="0.2">
      <c r="D157" s="52" t="str">
        <f t="shared" si="26"/>
        <v/>
      </c>
      <c r="E157" s="5" t="str">
        <f t="shared" si="30"/>
        <v/>
      </c>
      <c r="F157" s="5" t="str">
        <f>IF(ROW(F157)-ROW($E$1)&lt;=$B$1-$B$2,INDEX(IDX_COMPO!B:B,ROW(IDX_COMPO!#REF!)),IF(ROW(E157)-ROW($E$1)&lt;=$B$4,VLOOKUP(E157,STK_REF!$A$2:$J$1048576,2,0),""))</f>
        <v/>
      </c>
      <c r="G157" s="69" t="str">
        <f>IF(ROW(G157)-ROW($E$1)&lt;=$B$4,INDEX(IDX_COMPO!C:C,ROW(IDX_COMPO!#REF!)),"")</f>
        <v/>
      </c>
      <c r="H157" s="2" t="str">
        <f>IF(ROW(H157)-ROW($E$1)&lt;=$B$4,INDEX(IDX_COMPO!D:D,ROW(IDX_COMPO!#REF!)),"")</f>
        <v/>
      </c>
      <c r="I157" s="2" t="str">
        <f>IF(ROW(I157)-ROW($E$1)&lt;=$B$4,INDEX(IDX_COMPO!E:E,ROW(IDX_COMPO!#REF!)),"")</f>
        <v/>
      </c>
      <c r="J157" s="62" t="str">
        <f>IF($D157&lt;=$B$1-$B$2,IF(INDEX($AA$2:$AA$1048576,MATCH($D157,$AB$2:$AB$1048576,0))="MODIFY",INDEX(IDX_CA!$G$1:$G$1041,SUMPRODUCT(--($E157=IDX_CA!$A$2:$A$1041),--(NXT_COMPO!$P157=IDX_CA!$B$2:$B$1041),--(NXT_COMPO!$Q157=IDX_CA!$C$2:$C$1041),ROW(IDX_CA!$G$2:$G$1041))),INDEX(IDX_COMPOSITION!$F$1:$F$441,SUMPRODUCT(--($E157=IDX_COMPOSITION!$A$2:$A$441),--(NXT_COMPO!$P157=IDX_COMPOSITION!$R$2:$R$441),--(NXT_COMPO!$B$5=IDX_COMPOSITION!$L$2:$L$441),ROW(IDX_COMPOSITION!$F$2:$F$441)))),IF($D157&lt;=$B$4,INDEX(IDX_CA!$G$1:$G$1041,SUMPRODUCT(--($E157=IDX_CA!$A$2:$A$1041),--(NXT_COMPO!$P157=IDX_CA!$B$2:$B$1041),--(NXT_COMPO!$Q157=IDX_CA!$C$2:$C$1041),ROW(IDX_CA!$G$2:$G$1041))),""))</f>
        <v/>
      </c>
      <c r="K157" s="63" t="str">
        <f>IF($D157&lt;&gt;"",VLOOKUP($E157,STK_REF!$A$2:$J$1048576,7,0),"")</f>
        <v/>
      </c>
      <c r="L157" s="5" t="str">
        <f>IF($D157&lt;&gt;"",VLOOKUP($E157,STK_REF!$A$2:$J$1048576,8,0),"")</f>
        <v/>
      </c>
      <c r="M157" s="8" t="str">
        <f>IF($D157&lt;&gt;"",IF($K157=$U157,1,IF(ISNA(VLOOKUP($K157&amp;$U157,CUR_RATES!$A$2:$F$521,4,0)),"",VLOOKUP($K157&amp;$U157,CUR_RATES!$A$2:$F$521,4,0))),"")</f>
        <v/>
      </c>
      <c r="N157" s="61" t="str">
        <f t="shared" si="31"/>
        <v/>
      </c>
      <c r="O157" s="68" t="str">
        <f t="shared" si="32"/>
        <v/>
      </c>
      <c r="P157" s="50" t="str">
        <f>IF(ROW(P157)-ROW($E$1)&lt;=$B$4,INDEX(IDX_COMPO!G:G,ROW(IDX_COMPO!#REF!)),"")</f>
        <v/>
      </c>
      <c r="Q157" s="2" t="str">
        <f>IF(ROW(Q157)-ROW($E$1)&lt;=$B$4,INDEX(IDX_COMPO!F:F,ROW(IDX_COMPO!#REF!)),"")</f>
        <v/>
      </c>
      <c r="R157" s="68" t="str">
        <f t="shared" si="34"/>
        <v/>
      </c>
      <c r="S157" s="61" t="str">
        <f t="shared" si="35"/>
        <v/>
      </c>
      <c r="T157" s="62" t="str">
        <f>IF(D157&lt;&gt;"",IF(SUMPRODUCT(--($E157=STK_DIV!$A$2:$A$5),--(NXT_COMPO!$Q157=STK_DIV!$E$2:$E$5),ROW(STK_DIV!$D$2:$D$5))=0,"",INDEX(STK_DIV!$D$1:$D$5,SUMPRODUCT(--($E157=STK_DIV!$A$2:$A$5),--(NXT_COMPO!$Q157=STK_DIV!$E$2:$E$5),ROW(STK_DIV!$D$2:$D$5)))),"")</f>
        <v/>
      </c>
      <c r="U157" s="54" t="str">
        <f>IF($D157&lt;&gt;"",VLOOKUP($P157,IDX_REF!$2:$1048576,4,0),"")</f>
        <v/>
      </c>
      <c r="W157" s="52" t="str">
        <f t="shared" si="28"/>
        <v/>
      </c>
      <c r="X157" s="5" t="str">
        <f>IF(ROW(X157)-ROW($X$1)&lt;=$B$1,INDEX(IDX_COMPO!A:A,ROW(IDX_COMPO!A157)),"")</f>
        <v/>
      </c>
      <c r="Y157" s="54" t="str">
        <f t="shared" si="29"/>
        <v/>
      </c>
      <c r="Z157" s="54" t="str">
        <f>IF(ROW(Z157)-ROW($Y$1)&lt;=$B$1,INDEX(IDX_COMPO!F:F,ROW(IDX_COMPO!R157)),"")</f>
        <v/>
      </c>
      <c r="AA157" s="2" t="str">
        <f t="array" ref="AA157">IF(X157&lt;&gt;"",IF(SUMPRODUCT(--(X157=IDX_CA!$A$2:$A$1041),--(NXT_COMPO!Y157=IDX_CA!$C$2:$C$1041),--(Z157=IDX_CA!$B$2:$B$1041))&gt;0,IF(INDEX(IDX_CA!$I:$I,SUMPRODUCT(--(X157=IDX_CA!$A$2:$A$1041),--(NXT_COMPO!Y157=IDX_CA!$C$2:$C$1041),--(Z157=IDX_CA!$B$2:$B$1041),ROW(IDX_CA!$I$2:$I$1041)))=1,"YES","MODIFY"),""),"")</f>
        <v/>
      </c>
      <c r="AB157" s="5" t="str">
        <f>IF(X157&lt;&gt;"",IF(AA157="YES","",COUNTIF($AA$2:AA157,"&lt;&gt;YES")),"")</f>
        <v/>
      </c>
      <c r="AC157" s="2"/>
    </row>
    <row r="158" spans="4:29" x14ac:dyDescent="0.2">
      <c r="D158" s="52" t="str">
        <f t="shared" si="26"/>
        <v/>
      </c>
      <c r="E158" s="5" t="str">
        <f t="shared" si="30"/>
        <v/>
      </c>
      <c r="F158" s="5" t="str">
        <f>IF(ROW(F158)-ROW($E$1)&lt;=$B$1-$B$2,INDEX(IDX_COMPO!B:B,ROW(IDX_COMPO!#REF!)),IF(ROW(E158)-ROW($E$1)&lt;=$B$4,VLOOKUP(E158,STK_REF!$A$2:$J$1048576,2,0),""))</f>
        <v/>
      </c>
      <c r="G158" s="69" t="str">
        <f>IF(ROW(G158)-ROW($E$1)&lt;=$B$4,INDEX(IDX_COMPO!C:C,ROW(IDX_COMPO!#REF!)),"")</f>
        <v/>
      </c>
      <c r="H158" s="2" t="str">
        <f>IF(ROW(H158)-ROW($E$1)&lt;=$B$4,INDEX(IDX_COMPO!D:D,ROW(IDX_COMPO!#REF!)),"")</f>
        <v/>
      </c>
      <c r="I158" s="2" t="str">
        <f>IF(ROW(I158)-ROW($E$1)&lt;=$B$4,INDEX(IDX_COMPO!E:E,ROW(IDX_COMPO!#REF!)),"")</f>
        <v/>
      </c>
      <c r="J158" s="62" t="str">
        <f>IF($D158&lt;=$B$1-$B$2,IF(INDEX($AA$2:$AA$1048576,MATCH($D158,$AB$2:$AB$1048576,0))="MODIFY",INDEX(IDX_CA!$G$1:$G$1041,SUMPRODUCT(--($E158=IDX_CA!$A$2:$A$1041),--(NXT_COMPO!$P158=IDX_CA!$B$2:$B$1041),--(NXT_COMPO!$Q158=IDX_CA!$C$2:$C$1041),ROW(IDX_CA!$G$2:$G$1041))),INDEX(IDX_COMPOSITION!$F$1:$F$441,SUMPRODUCT(--($E158=IDX_COMPOSITION!$A$2:$A$441),--(NXT_COMPO!$P158=IDX_COMPOSITION!$R$2:$R$441),--(NXT_COMPO!$B$5=IDX_COMPOSITION!$L$2:$L$441),ROW(IDX_COMPOSITION!$F$2:$F$441)))),IF($D158&lt;=$B$4,INDEX(IDX_CA!$G$1:$G$1041,SUMPRODUCT(--($E158=IDX_CA!$A$2:$A$1041),--(NXT_COMPO!$P158=IDX_CA!$B$2:$B$1041),--(NXT_COMPO!$Q158=IDX_CA!$C$2:$C$1041),ROW(IDX_CA!$G$2:$G$1041))),""))</f>
        <v/>
      </c>
      <c r="K158" s="63" t="str">
        <f>IF($D158&lt;&gt;"",VLOOKUP($E158,STK_REF!$A$2:$J$1048576,7,0),"")</f>
        <v/>
      </c>
      <c r="L158" s="5" t="str">
        <f>IF($D158&lt;&gt;"",VLOOKUP($E158,STK_REF!$A$2:$J$1048576,8,0),"")</f>
        <v/>
      </c>
      <c r="M158" s="8" t="str">
        <f>IF($D158&lt;&gt;"",IF($K158=$U158,1,IF(ISNA(VLOOKUP($K158&amp;$U158,CUR_RATES!$A$2:$F$521,4,0)),"",VLOOKUP($K158&amp;$U158,CUR_RATES!$A$2:$F$521,4,0))),"")</f>
        <v/>
      </c>
      <c r="N158" s="61" t="str">
        <f t="shared" si="31"/>
        <v/>
      </c>
      <c r="O158" s="68" t="str">
        <f t="shared" si="32"/>
        <v/>
      </c>
      <c r="P158" s="50" t="str">
        <f>IF(ROW(P158)-ROW($E$1)&lt;=$B$4,INDEX(IDX_COMPO!G:G,ROW(IDX_COMPO!#REF!)),"")</f>
        <v/>
      </c>
      <c r="Q158" s="2" t="str">
        <f>IF(ROW(Q158)-ROW($E$1)&lt;=$B$4,INDEX(IDX_COMPO!F:F,ROW(IDX_COMPO!#REF!)),"")</f>
        <v/>
      </c>
      <c r="R158" s="68" t="str">
        <f t="shared" si="34"/>
        <v/>
      </c>
      <c r="S158" s="61" t="str">
        <f t="shared" si="35"/>
        <v/>
      </c>
      <c r="T158" s="62" t="str">
        <f>IF(D158&lt;&gt;"",IF(SUMPRODUCT(--($E158=STK_DIV!$A$2:$A$5),--(NXT_COMPO!$Q158=STK_DIV!$E$2:$E$5),ROW(STK_DIV!$D$2:$D$5))=0,"",INDEX(STK_DIV!$D$1:$D$5,SUMPRODUCT(--($E158=STK_DIV!$A$2:$A$5),--(NXT_COMPO!$Q158=STK_DIV!$E$2:$E$5),ROW(STK_DIV!$D$2:$D$5)))),"")</f>
        <v/>
      </c>
      <c r="U158" s="54" t="str">
        <f>IF($D158&lt;&gt;"",VLOOKUP($P158,IDX_REF!$2:$1048576,4,0),"")</f>
        <v/>
      </c>
      <c r="W158" s="52" t="str">
        <f t="shared" si="28"/>
        <v/>
      </c>
      <c r="X158" s="5" t="str">
        <f>IF(ROW(X158)-ROW($X$1)&lt;=$B$1,INDEX(IDX_COMPO!A:A,ROW(IDX_COMPO!A158)),"")</f>
        <v/>
      </c>
      <c r="Y158" s="54" t="str">
        <f t="shared" si="29"/>
        <v/>
      </c>
      <c r="Z158" s="54" t="str">
        <f>IF(ROW(Z158)-ROW($Y$1)&lt;=$B$1,INDEX(IDX_COMPO!F:F,ROW(IDX_COMPO!R158)),"")</f>
        <v/>
      </c>
      <c r="AA158" s="2" t="str">
        <f t="array" ref="AA158">IF(X158&lt;&gt;"",IF(SUMPRODUCT(--(X158=IDX_CA!$A$2:$A$1041),--(NXT_COMPO!Y158=IDX_CA!$C$2:$C$1041),--(Z158=IDX_CA!$B$2:$B$1041))&gt;0,IF(INDEX(IDX_CA!$I:$I,SUMPRODUCT(--(X158=IDX_CA!$A$2:$A$1041),--(NXT_COMPO!Y158=IDX_CA!$C$2:$C$1041),--(Z158=IDX_CA!$B$2:$B$1041),ROW(IDX_CA!$I$2:$I$1041)))=1,"YES","MODIFY"),""),"")</f>
        <v/>
      </c>
      <c r="AB158" s="5" t="str">
        <f>IF(X158&lt;&gt;"",IF(AA158="YES","",COUNTIF($AA$2:AA158,"&lt;&gt;YES")),"")</f>
        <v/>
      </c>
      <c r="AC158" s="2"/>
    </row>
    <row r="159" spans="4:29" x14ac:dyDescent="0.2">
      <c r="D159" s="52" t="str">
        <f t="shared" si="26"/>
        <v/>
      </c>
      <c r="E159" s="5" t="str">
        <f t="shared" si="30"/>
        <v/>
      </c>
      <c r="F159" s="5" t="str">
        <f>IF(ROW(F159)-ROW($E$1)&lt;=$B$1-$B$2,INDEX(IDX_COMPO!B:B,ROW(IDX_COMPO!#REF!)),IF(ROW(E159)-ROW($E$1)&lt;=$B$4,VLOOKUP(E159,STK_REF!$A$2:$J$1048576,2,0),""))</f>
        <v/>
      </c>
      <c r="G159" s="69" t="str">
        <f>IF(ROW(G159)-ROW($E$1)&lt;=$B$4,INDEX(IDX_COMPO!C:C,ROW(IDX_COMPO!#REF!)),"")</f>
        <v/>
      </c>
      <c r="H159" s="2" t="str">
        <f>IF(ROW(H159)-ROW($E$1)&lt;=$B$4,INDEX(IDX_COMPO!D:D,ROW(IDX_COMPO!#REF!)),"")</f>
        <v/>
      </c>
      <c r="I159" s="2" t="str">
        <f>IF(ROW(I159)-ROW($E$1)&lt;=$B$4,INDEX(IDX_COMPO!E:E,ROW(IDX_COMPO!#REF!)),"")</f>
        <v/>
      </c>
      <c r="J159" s="62" t="str">
        <f>IF($D159&lt;=$B$1-$B$2,IF(INDEX($AA$2:$AA$1048576,MATCH($D159,$AB$2:$AB$1048576,0))="MODIFY",INDEX(IDX_CA!$G$1:$G$1041,SUMPRODUCT(--($E159=IDX_CA!$A$2:$A$1041),--(NXT_COMPO!$P159=IDX_CA!$B$2:$B$1041),--(NXT_COMPO!$Q159=IDX_CA!$C$2:$C$1041),ROW(IDX_CA!$G$2:$G$1041))),INDEX(IDX_COMPOSITION!$F$1:$F$441,SUMPRODUCT(--($E159=IDX_COMPOSITION!$A$2:$A$441),--(NXT_COMPO!$P159=IDX_COMPOSITION!$R$2:$R$441),--(NXT_COMPO!$B$5=IDX_COMPOSITION!$L$2:$L$441),ROW(IDX_COMPOSITION!$F$2:$F$441)))),IF($D159&lt;=$B$4,INDEX(IDX_CA!$G$1:$G$1041,SUMPRODUCT(--($E159=IDX_CA!$A$2:$A$1041),--(NXT_COMPO!$P159=IDX_CA!$B$2:$B$1041),--(NXT_COMPO!$Q159=IDX_CA!$C$2:$C$1041),ROW(IDX_CA!$G$2:$G$1041))),""))</f>
        <v/>
      </c>
      <c r="K159" s="63" t="str">
        <f>IF($D159&lt;&gt;"",VLOOKUP($E159,STK_REF!$A$2:$J$1048576,7,0),"")</f>
        <v/>
      </c>
      <c r="L159" s="5" t="str">
        <f>IF($D159&lt;&gt;"",VLOOKUP($E159,STK_REF!$A$2:$J$1048576,8,0),"")</f>
        <v/>
      </c>
      <c r="M159" s="8" t="str">
        <f>IF($D159&lt;&gt;"",IF($K159=$U159,1,IF(ISNA(VLOOKUP($K159&amp;$U159,CUR_RATES!$A$2:$F$521,4,0)),"",VLOOKUP($K159&amp;$U159,CUR_RATES!$A$2:$F$521,4,0))),"")</f>
        <v/>
      </c>
      <c r="N159" s="61" t="str">
        <f t="shared" si="31"/>
        <v/>
      </c>
      <c r="O159" s="68" t="str">
        <f t="shared" si="32"/>
        <v/>
      </c>
      <c r="P159" s="50" t="str">
        <f>IF(ROW(P159)-ROW($E$1)&lt;=$B$4,INDEX(IDX_COMPO!G:G,ROW(IDX_COMPO!#REF!)),"")</f>
        <v/>
      </c>
      <c r="Q159" s="2" t="str">
        <f>IF(ROW(Q159)-ROW($E$1)&lt;=$B$4,INDEX(IDX_COMPO!F:F,ROW(IDX_COMPO!#REF!)),"")</f>
        <v/>
      </c>
      <c r="R159" s="68" t="str">
        <f t="shared" si="34"/>
        <v/>
      </c>
      <c r="S159" s="61" t="str">
        <f t="shared" si="35"/>
        <v/>
      </c>
      <c r="T159" s="62" t="str">
        <f>IF(D159&lt;&gt;"",IF(SUMPRODUCT(--($E159=STK_DIV!$A$2:$A$5),--(NXT_COMPO!$Q159=STK_DIV!$E$2:$E$5),ROW(STK_DIV!$D$2:$D$5))=0,"",INDEX(STK_DIV!$D$1:$D$5,SUMPRODUCT(--($E159=STK_DIV!$A$2:$A$5),--(NXT_COMPO!$Q159=STK_DIV!$E$2:$E$5),ROW(STK_DIV!$D$2:$D$5)))),"")</f>
        <v/>
      </c>
      <c r="U159" s="54" t="str">
        <f>IF($D159&lt;&gt;"",VLOOKUP($P159,IDX_REF!$2:$1048576,4,0),"")</f>
        <v/>
      </c>
      <c r="W159" s="52" t="str">
        <f t="shared" si="28"/>
        <v/>
      </c>
      <c r="X159" s="5" t="str">
        <f>IF(ROW(X159)-ROW($X$1)&lt;=$B$1,INDEX(IDX_COMPO!A:A,ROW(IDX_COMPO!A159)),"")</f>
        <v/>
      </c>
      <c r="Y159" s="54" t="str">
        <f t="shared" si="29"/>
        <v/>
      </c>
      <c r="Z159" s="54" t="str">
        <f>IF(ROW(Z159)-ROW($Y$1)&lt;=$B$1,INDEX(IDX_COMPO!F:F,ROW(IDX_COMPO!R159)),"")</f>
        <v/>
      </c>
      <c r="AA159" s="2" t="str">
        <f t="array" ref="AA159">IF(X159&lt;&gt;"",IF(SUMPRODUCT(--(X159=IDX_CA!$A$2:$A$1041),--(NXT_COMPO!Y159=IDX_CA!$C$2:$C$1041),--(Z159=IDX_CA!$B$2:$B$1041))&gt;0,IF(INDEX(IDX_CA!$I:$I,SUMPRODUCT(--(X159=IDX_CA!$A$2:$A$1041),--(NXT_COMPO!Y159=IDX_CA!$C$2:$C$1041),--(Z159=IDX_CA!$B$2:$B$1041),ROW(IDX_CA!$I$2:$I$1041)))=1,"YES","MODIFY"),""),"")</f>
        <v/>
      </c>
      <c r="AB159" s="5" t="str">
        <f>IF(X159&lt;&gt;"",IF(AA159="YES","",COUNTIF($AA$2:AA159,"&lt;&gt;YES")),"")</f>
        <v/>
      </c>
      <c r="AC159" s="2"/>
    </row>
    <row r="160" spans="4:29" x14ac:dyDescent="0.2">
      <c r="D160" s="52" t="str">
        <f t="shared" si="26"/>
        <v/>
      </c>
      <c r="E160" s="5" t="str">
        <f t="shared" si="30"/>
        <v/>
      </c>
      <c r="F160" s="5" t="str">
        <f>IF(ROW(F160)-ROW($E$1)&lt;=$B$1-$B$2,INDEX(IDX_COMPO!B:B,ROW(IDX_COMPO!#REF!)),IF(ROW(E160)-ROW($E$1)&lt;=$B$4,VLOOKUP(E160,STK_REF!$A$2:$J$1048576,2,0),""))</f>
        <v/>
      </c>
      <c r="G160" s="69" t="str">
        <f>IF(ROW(G160)-ROW($E$1)&lt;=$B$4,INDEX(IDX_COMPO!C:C,ROW(IDX_COMPO!#REF!)),"")</f>
        <v/>
      </c>
      <c r="H160" s="2" t="str">
        <f>IF(ROW(H160)-ROW($E$1)&lt;=$B$4,INDEX(IDX_COMPO!D:D,ROW(IDX_COMPO!#REF!)),"")</f>
        <v/>
      </c>
      <c r="I160" s="2" t="str">
        <f>IF(ROW(I160)-ROW($E$1)&lt;=$B$4,INDEX(IDX_COMPO!E:E,ROW(IDX_COMPO!#REF!)),"")</f>
        <v/>
      </c>
      <c r="J160" s="62" t="str">
        <f>IF($D160&lt;=$B$1-$B$2,IF(INDEX($AA$2:$AA$1048576,MATCH($D160,$AB$2:$AB$1048576,0))="MODIFY",INDEX(IDX_CA!$G$1:$G$1041,SUMPRODUCT(--($E160=IDX_CA!$A$2:$A$1041),--(NXT_COMPO!$P160=IDX_CA!$B$2:$B$1041),--(NXT_COMPO!$Q160=IDX_CA!$C$2:$C$1041),ROW(IDX_CA!$G$2:$G$1041))),INDEX(IDX_COMPOSITION!$F$1:$F$441,SUMPRODUCT(--($E160=IDX_COMPOSITION!$A$2:$A$441),--(NXT_COMPO!$P160=IDX_COMPOSITION!$R$2:$R$441),--(NXT_COMPO!$B$5=IDX_COMPOSITION!$L$2:$L$441),ROW(IDX_COMPOSITION!$F$2:$F$441)))),IF($D160&lt;=$B$4,INDEX(IDX_CA!$G$1:$G$1041,SUMPRODUCT(--($E160=IDX_CA!$A$2:$A$1041),--(NXT_COMPO!$P160=IDX_CA!$B$2:$B$1041),--(NXT_COMPO!$Q160=IDX_CA!$C$2:$C$1041),ROW(IDX_CA!$G$2:$G$1041))),""))</f>
        <v/>
      </c>
      <c r="K160" s="63" t="str">
        <f>IF($D160&lt;&gt;"",VLOOKUP($E160,STK_REF!$A$2:$J$1048576,7,0),"")</f>
        <v/>
      </c>
      <c r="L160" s="5" t="str">
        <f>IF($D160&lt;&gt;"",VLOOKUP($E160,STK_REF!$A$2:$J$1048576,8,0),"")</f>
        <v/>
      </c>
      <c r="M160" s="8" t="str">
        <f>IF($D160&lt;&gt;"",IF($K160=$U160,1,IF(ISNA(VLOOKUP($K160&amp;$U160,CUR_RATES!$A$2:$F$521,4,0)),"",VLOOKUP($K160&amp;$U160,CUR_RATES!$A$2:$F$521,4,0))),"")</f>
        <v/>
      </c>
      <c r="N160" s="61" t="str">
        <f t="shared" si="31"/>
        <v/>
      </c>
      <c r="O160" s="68" t="str">
        <f t="shared" si="32"/>
        <v/>
      </c>
      <c r="P160" s="50" t="str">
        <f>IF(ROW(P160)-ROW($E$1)&lt;=$B$4,INDEX(IDX_COMPO!G:G,ROW(IDX_COMPO!#REF!)),"")</f>
        <v/>
      </c>
      <c r="Q160" s="2" t="str">
        <f>IF(ROW(Q160)-ROW($E$1)&lt;=$B$4,INDEX(IDX_COMPO!F:F,ROW(IDX_COMPO!#REF!)),"")</f>
        <v/>
      </c>
      <c r="R160" s="68" t="str">
        <f t="shared" si="34"/>
        <v/>
      </c>
      <c r="S160" s="61" t="str">
        <f t="shared" si="35"/>
        <v/>
      </c>
      <c r="T160" s="62" t="str">
        <f>IF(D160&lt;&gt;"",IF(SUMPRODUCT(--($E160=STK_DIV!$A$2:$A$5),--(NXT_COMPO!$Q160=STK_DIV!$E$2:$E$5),ROW(STK_DIV!$D$2:$D$5))=0,"",INDEX(STK_DIV!$D$1:$D$5,SUMPRODUCT(--($E160=STK_DIV!$A$2:$A$5),--(NXT_COMPO!$Q160=STK_DIV!$E$2:$E$5),ROW(STK_DIV!$D$2:$D$5)))),"")</f>
        <v/>
      </c>
      <c r="U160" s="54" t="str">
        <f>IF($D160&lt;&gt;"",VLOOKUP($P160,IDX_REF!$2:$1048576,4,0),"")</f>
        <v/>
      </c>
      <c r="W160" s="52" t="str">
        <f t="shared" si="28"/>
        <v/>
      </c>
      <c r="X160" s="5" t="str">
        <f>IF(ROW(X160)-ROW($X$1)&lt;=$B$1,INDEX(IDX_COMPO!A:A,ROW(IDX_COMPO!A160)),"")</f>
        <v/>
      </c>
      <c r="Y160" s="54" t="str">
        <f t="shared" si="29"/>
        <v/>
      </c>
      <c r="Z160" s="54" t="str">
        <f>IF(ROW(Z160)-ROW($Y$1)&lt;=$B$1,INDEX(IDX_COMPO!F:F,ROW(IDX_COMPO!R160)),"")</f>
        <v/>
      </c>
      <c r="AA160" s="2" t="str">
        <f t="array" ref="AA160">IF(X160&lt;&gt;"",IF(SUMPRODUCT(--(X160=IDX_CA!$A$2:$A$1041),--(NXT_COMPO!Y160=IDX_CA!$C$2:$C$1041),--(Z160=IDX_CA!$B$2:$B$1041))&gt;0,IF(INDEX(IDX_CA!$I:$I,SUMPRODUCT(--(X160=IDX_CA!$A$2:$A$1041),--(NXT_COMPO!Y160=IDX_CA!$C$2:$C$1041),--(Z160=IDX_CA!$B$2:$B$1041),ROW(IDX_CA!$I$2:$I$1041)))=1,"YES","MODIFY"),""),"")</f>
        <v/>
      </c>
      <c r="AB160" s="5" t="str">
        <f>IF(X160&lt;&gt;"",IF(AA160="YES","",COUNTIF($AA$2:AA160,"&lt;&gt;YES")),"")</f>
        <v/>
      </c>
      <c r="AC160" s="2"/>
    </row>
    <row r="161" spans="4:29" x14ac:dyDescent="0.2">
      <c r="D161" s="52" t="str">
        <f t="shared" si="26"/>
        <v/>
      </c>
      <c r="E161" s="5" t="str">
        <f t="shared" si="30"/>
        <v/>
      </c>
      <c r="F161" s="5" t="str">
        <f>IF(ROW(F161)-ROW($E$1)&lt;=$B$1-$B$2,INDEX(IDX_COMPO!B:B,ROW(IDX_COMPO!#REF!)),IF(ROW(E161)-ROW($E$1)&lt;=$B$4,VLOOKUP(E161,STK_REF!$A$2:$J$1048576,2,0),""))</f>
        <v/>
      </c>
      <c r="G161" s="69" t="str">
        <f>IF(ROW(G161)-ROW($E$1)&lt;=$B$4,INDEX(IDX_COMPO!C:C,ROW(IDX_COMPO!#REF!)),"")</f>
        <v/>
      </c>
      <c r="H161" s="2" t="str">
        <f>IF(ROW(H161)-ROW($E$1)&lt;=$B$4,INDEX(IDX_COMPO!D:D,ROW(IDX_COMPO!#REF!)),"")</f>
        <v/>
      </c>
      <c r="I161" s="2" t="str">
        <f>IF(ROW(I161)-ROW($E$1)&lt;=$B$4,INDEX(IDX_COMPO!E:E,ROW(IDX_COMPO!#REF!)),"")</f>
        <v/>
      </c>
      <c r="J161" s="62" t="str">
        <f>IF($D161&lt;=$B$1-$B$2,IF(INDEX($AA$2:$AA$1048576,MATCH($D161,$AB$2:$AB$1048576,0))="MODIFY",INDEX(IDX_CA!$G$1:$G$1041,SUMPRODUCT(--($E161=IDX_CA!$A$2:$A$1041),--(NXT_COMPO!$P161=IDX_CA!$B$2:$B$1041),--(NXT_COMPO!$Q161=IDX_CA!$C$2:$C$1041),ROW(IDX_CA!$G$2:$G$1041))),INDEX(IDX_COMPOSITION!$F$1:$F$441,SUMPRODUCT(--($E161=IDX_COMPOSITION!$A$2:$A$441),--(NXT_COMPO!$P161=IDX_COMPOSITION!$R$2:$R$441),--(NXT_COMPO!$B$5=IDX_COMPOSITION!$L$2:$L$441),ROW(IDX_COMPOSITION!$F$2:$F$441)))),IF($D161&lt;=$B$4,INDEX(IDX_CA!$G$1:$G$1041,SUMPRODUCT(--($E161=IDX_CA!$A$2:$A$1041),--(NXT_COMPO!$P161=IDX_CA!$B$2:$B$1041),--(NXT_COMPO!$Q161=IDX_CA!$C$2:$C$1041),ROW(IDX_CA!$G$2:$G$1041))),""))</f>
        <v/>
      </c>
      <c r="K161" s="63" t="str">
        <f>IF($D161&lt;&gt;"",VLOOKUP($E161,STK_REF!$A$2:$J$1048576,7,0),"")</f>
        <v/>
      </c>
      <c r="L161" s="5" t="str">
        <f>IF($D161&lt;&gt;"",VLOOKUP($E161,STK_REF!$A$2:$J$1048576,8,0),"")</f>
        <v/>
      </c>
      <c r="M161" s="8" t="str">
        <f>IF($D161&lt;&gt;"",IF($K161=$U161,1,IF(ISNA(VLOOKUP($K161&amp;$U161,CUR_RATES!$A$2:$F$521,4,0)),"",VLOOKUP($K161&amp;$U161,CUR_RATES!$A$2:$F$521,4,0))),"")</f>
        <v/>
      </c>
      <c r="N161" s="61" t="str">
        <f t="shared" si="31"/>
        <v/>
      </c>
      <c r="O161" s="68" t="str">
        <f t="shared" si="32"/>
        <v/>
      </c>
      <c r="P161" s="50" t="str">
        <f>IF(ROW(P161)-ROW($E$1)&lt;=$B$4,INDEX(IDX_COMPO!G:G,ROW(IDX_COMPO!#REF!)),"")</f>
        <v/>
      </c>
      <c r="Q161" s="2" t="str">
        <f>IF(ROW(Q161)-ROW($E$1)&lt;=$B$4,INDEX(IDX_COMPO!F:F,ROW(IDX_COMPO!#REF!)),"")</f>
        <v/>
      </c>
      <c r="R161" s="68" t="str">
        <f t="shared" si="34"/>
        <v/>
      </c>
      <c r="S161" s="61" t="str">
        <f t="shared" si="35"/>
        <v/>
      </c>
      <c r="T161" s="62" t="str">
        <f>IF(D161&lt;&gt;"",IF(SUMPRODUCT(--($E161=STK_DIV!$A$2:$A$5),--(NXT_COMPO!$Q161=STK_DIV!$E$2:$E$5),ROW(STK_DIV!$D$2:$D$5))=0,"",INDEX(STK_DIV!$D$1:$D$5,SUMPRODUCT(--($E161=STK_DIV!$A$2:$A$5),--(NXT_COMPO!$Q161=STK_DIV!$E$2:$E$5),ROW(STK_DIV!$D$2:$D$5)))),"")</f>
        <v/>
      </c>
      <c r="U161" s="54" t="str">
        <f>IF($D161&lt;&gt;"",VLOOKUP($P161,IDX_REF!$2:$1048576,4,0),"")</f>
        <v/>
      </c>
      <c r="W161" s="52" t="str">
        <f t="shared" si="28"/>
        <v/>
      </c>
      <c r="X161" s="5" t="str">
        <f>IF(ROW(X161)-ROW($X$1)&lt;=$B$1,INDEX(IDX_COMPO!A:A,ROW(IDX_COMPO!A161)),"")</f>
        <v/>
      </c>
      <c r="Y161" s="54" t="str">
        <f t="shared" si="29"/>
        <v/>
      </c>
      <c r="Z161" s="54" t="str">
        <f>IF(ROW(Z161)-ROW($Y$1)&lt;=$B$1,INDEX(IDX_COMPO!F:F,ROW(IDX_COMPO!R161)),"")</f>
        <v/>
      </c>
      <c r="AA161" s="2" t="str">
        <f t="array" ref="AA161">IF(X161&lt;&gt;"",IF(SUMPRODUCT(--(X161=IDX_CA!$A$2:$A$1041),--(NXT_COMPO!Y161=IDX_CA!$C$2:$C$1041),--(Z161=IDX_CA!$B$2:$B$1041))&gt;0,IF(INDEX(IDX_CA!$I:$I,SUMPRODUCT(--(X161=IDX_CA!$A$2:$A$1041),--(NXT_COMPO!Y161=IDX_CA!$C$2:$C$1041),--(Z161=IDX_CA!$B$2:$B$1041),ROW(IDX_CA!$I$2:$I$1041)))=1,"YES","MODIFY"),""),"")</f>
        <v/>
      </c>
      <c r="AB161" s="5" t="str">
        <f>IF(X161&lt;&gt;"",IF(AA161="YES","",COUNTIF($AA$2:AA161,"&lt;&gt;YES")),"")</f>
        <v/>
      </c>
      <c r="AC161" s="2"/>
    </row>
    <row r="162" spans="4:29" x14ac:dyDescent="0.2">
      <c r="D162" s="52" t="str">
        <f t="shared" si="26"/>
        <v/>
      </c>
      <c r="E162" s="5" t="str">
        <f t="shared" si="30"/>
        <v/>
      </c>
      <c r="F162" s="5" t="str">
        <f>IF(ROW(F162)-ROW($E$1)&lt;=$B$1-$B$2,INDEX(IDX_COMPO!B:B,ROW(IDX_COMPO!#REF!)),IF(ROW(E162)-ROW($E$1)&lt;=$B$4,VLOOKUP(E162,STK_REF!$A$2:$J$1048576,2,0),""))</f>
        <v/>
      </c>
      <c r="G162" s="69" t="str">
        <f>IF(ROW(G162)-ROW($E$1)&lt;=$B$4,INDEX(IDX_COMPO!C:C,ROW(IDX_COMPO!#REF!)),"")</f>
        <v/>
      </c>
      <c r="H162" s="2" t="str">
        <f>IF(ROW(H162)-ROW($E$1)&lt;=$B$4,INDEX(IDX_COMPO!D:D,ROW(IDX_COMPO!#REF!)),"")</f>
        <v/>
      </c>
      <c r="I162" s="2" t="str">
        <f>IF(ROW(I162)-ROW($E$1)&lt;=$B$4,INDEX(IDX_COMPO!E:E,ROW(IDX_COMPO!#REF!)),"")</f>
        <v/>
      </c>
      <c r="J162" s="62" t="str">
        <f>IF($D162&lt;=$B$1-$B$2,IF(INDEX($AA$2:$AA$1048576,MATCH($D162,$AB$2:$AB$1048576,0))="MODIFY",INDEX(IDX_CA!$G$1:$G$1041,SUMPRODUCT(--($E162=IDX_CA!$A$2:$A$1041),--(NXT_COMPO!$P162=IDX_CA!$B$2:$B$1041),--(NXT_COMPO!$Q162=IDX_CA!$C$2:$C$1041),ROW(IDX_CA!$G$2:$G$1041))),INDEX(IDX_COMPOSITION!$F$1:$F$441,SUMPRODUCT(--($E162=IDX_COMPOSITION!$A$2:$A$441),--(NXT_COMPO!$P162=IDX_COMPOSITION!$R$2:$R$441),--(NXT_COMPO!$B$5=IDX_COMPOSITION!$L$2:$L$441),ROW(IDX_COMPOSITION!$F$2:$F$441)))),IF($D162&lt;=$B$4,INDEX(IDX_CA!$G$1:$G$1041,SUMPRODUCT(--($E162=IDX_CA!$A$2:$A$1041),--(NXT_COMPO!$P162=IDX_CA!$B$2:$B$1041),--(NXT_COMPO!$Q162=IDX_CA!$C$2:$C$1041),ROW(IDX_CA!$G$2:$G$1041))),""))</f>
        <v/>
      </c>
      <c r="K162" s="63" t="str">
        <f>IF($D162&lt;&gt;"",VLOOKUP($E162,STK_REF!$A$2:$J$1048576,7,0),"")</f>
        <v/>
      </c>
      <c r="L162" s="5" t="str">
        <f>IF($D162&lt;&gt;"",VLOOKUP($E162,STK_REF!$A$2:$J$1048576,8,0),"")</f>
        <v/>
      </c>
      <c r="M162" s="8" t="str">
        <f>IF($D162&lt;&gt;"",IF($K162=$U162,1,IF(ISNA(VLOOKUP($K162&amp;$U162,CUR_RATES!$A$2:$F$521,4,0)),"",VLOOKUP($K162&amp;$U162,CUR_RATES!$A$2:$F$521,4,0))),"")</f>
        <v/>
      </c>
      <c r="N162" s="61" t="str">
        <f t="shared" si="31"/>
        <v/>
      </c>
      <c r="O162" s="68" t="str">
        <f t="shared" si="32"/>
        <v/>
      </c>
      <c r="P162" s="50" t="str">
        <f>IF(ROW(P162)-ROW($E$1)&lt;=$B$4,INDEX(IDX_COMPO!G:G,ROW(IDX_COMPO!#REF!)),"")</f>
        <v/>
      </c>
      <c r="Q162" s="2" t="str">
        <f>IF(ROW(Q162)-ROW($E$1)&lt;=$B$4,INDEX(IDX_COMPO!F:F,ROW(IDX_COMPO!#REF!)),"")</f>
        <v/>
      </c>
      <c r="R162" s="68" t="str">
        <f t="shared" si="34"/>
        <v/>
      </c>
      <c r="S162" s="61" t="str">
        <f t="shared" si="35"/>
        <v/>
      </c>
      <c r="T162" s="62" t="str">
        <f>IF(D162&lt;&gt;"",IF(SUMPRODUCT(--($E162=STK_DIV!$A$2:$A$5),--(NXT_COMPO!$Q162=STK_DIV!$E$2:$E$5),ROW(STK_DIV!$D$2:$D$5))=0,"",INDEX(STK_DIV!$D$1:$D$5,SUMPRODUCT(--($E162=STK_DIV!$A$2:$A$5),--(NXT_COMPO!$Q162=STK_DIV!$E$2:$E$5),ROW(STK_DIV!$D$2:$D$5)))),"")</f>
        <v/>
      </c>
      <c r="U162" s="54" t="str">
        <f>IF($D162&lt;&gt;"",VLOOKUP($P162,IDX_REF!$2:$1048576,4,0),"")</f>
        <v/>
      </c>
      <c r="W162" s="52" t="str">
        <f t="shared" ref="W162:W169" si="36">IF(ROW(W162)-ROW($W$1)&lt;=$B$1,ROW(W162)-ROW($W$1),"")</f>
        <v/>
      </c>
      <c r="X162" s="5" t="str">
        <f>IF(ROW(X162)-ROW($X$1)&lt;=$B$1,INDEX(IDX_COMPO!A:A,ROW(IDX_COMPO!A162)),"")</f>
        <v/>
      </c>
      <c r="Y162" s="54" t="str">
        <f t="shared" ref="Y162:Y169" si="37">IF(ROW(Y162)-ROW($Y$1)&lt;=$B$1,$B$6,"")</f>
        <v/>
      </c>
      <c r="Z162" s="54" t="str">
        <f>IF(ROW(Z162)-ROW($Y$1)&lt;=$B$1,INDEX(IDX_COMPO!F:F,ROW(IDX_COMPO!R162)),"")</f>
        <v/>
      </c>
      <c r="AA162" s="2" t="str">
        <f t="array" ref="AA162">IF(X162&lt;&gt;"",IF(SUMPRODUCT(--(X162=IDX_CA!$A$2:$A$1041),--(NXT_COMPO!Y162=IDX_CA!$C$2:$C$1041),--(Z162=IDX_CA!$B$2:$B$1041))&gt;0,IF(INDEX(IDX_CA!$I:$I,SUMPRODUCT(--(X162=IDX_CA!$A$2:$A$1041),--(NXT_COMPO!Y162=IDX_CA!$C$2:$C$1041),--(Z162=IDX_CA!$B$2:$B$1041),ROW(IDX_CA!$I$2:$I$1041)))=1,"YES","MODIFY"),""),"")</f>
        <v/>
      </c>
      <c r="AB162" s="5" t="str">
        <f>IF(X162&lt;&gt;"",IF(AA162="YES","",COUNTIF($AA$2:AA162,"&lt;&gt;YES")),"")</f>
        <v/>
      </c>
      <c r="AC162" s="2"/>
    </row>
    <row r="163" spans="4:29" x14ac:dyDescent="0.2">
      <c r="D163" s="52" t="str">
        <f t="shared" si="26"/>
        <v/>
      </c>
      <c r="E163" s="5" t="str">
        <f t="shared" si="30"/>
        <v/>
      </c>
      <c r="F163" s="5" t="str">
        <f>IF(ROW(F163)-ROW($E$1)&lt;=$B$1-$B$2,INDEX(IDX_COMPO!B:B,ROW(IDX_COMPO!#REF!)),IF(ROW(E163)-ROW($E$1)&lt;=$B$4,VLOOKUP(E163,STK_REF!$A$2:$J$1048576,2,0),""))</f>
        <v/>
      </c>
      <c r="J163" s="62" t="str">
        <f>IF($D163&lt;=$B$1-$B$2,IF(INDEX($AA$2:$AA$1048576,MATCH($D163,$AB$2:$AB$1048576,0))="MODIFY",INDEX(IDX_CA!$G$1:$G$1041,SUMPRODUCT(--($E163=IDX_CA!$A$2:$A$1041),--(NXT_COMPO!$P163=IDX_CA!$B$2:$B$1041),--(NXT_COMPO!$Q163=IDX_CA!$C$2:$C$1041),ROW(IDX_CA!$G$2:$G$1041))),INDEX(IDX_COMPOSITION!$F$1:$F$441,SUMPRODUCT(--($E163=IDX_COMPOSITION!$A$2:$A$441),--(NXT_COMPO!$P163=IDX_COMPOSITION!$R$2:$R$441),--(NXT_COMPO!$B$5=IDX_COMPOSITION!$L$2:$L$441),ROW(IDX_COMPOSITION!$F$2:$F$441)))),IF($D163&lt;=$B$4,INDEX(IDX_CA!$G$1:$G$1041,SUMPRODUCT(--($E163=IDX_CA!$A$2:$A$1041),--(NXT_COMPO!$P163=IDX_CA!$B$2:$B$1041),--(NXT_COMPO!$Q163=IDX_CA!$C$2:$C$1041),ROW(IDX_CA!$G$2:$G$1041))),""))</f>
        <v/>
      </c>
      <c r="K163" s="63" t="str">
        <f>IF($D163&lt;&gt;"",VLOOKUP($E163,STK_REF!$A$2:$J$1048576,7,0),"")</f>
        <v/>
      </c>
      <c r="L163" s="5" t="str">
        <f>IF($D163&lt;&gt;"",VLOOKUP($E163,STK_REF!$A$2:$J$1048576,8,0),"")</f>
        <v/>
      </c>
      <c r="M163" s="8" t="str">
        <f>IF($D163&lt;&gt;"",IF($K163=$U163,1,IF(ISNA(VLOOKUP($K163&amp;$U163,CUR_RATES!$A$2:$F$521,4,0)),"",VLOOKUP($K163&amp;$U163,CUR_RATES!$A$2:$F$521,4,0))),"")</f>
        <v/>
      </c>
      <c r="N163" s="61" t="str">
        <f t="shared" si="31"/>
        <v/>
      </c>
      <c r="O163" s="68" t="str">
        <f t="shared" si="32"/>
        <v/>
      </c>
      <c r="P163" s="24"/>
      <c r="Q163" s="2" t="str">
        <f>IF(ROW(Q163)-ROW($E$1)&lt;=$B$4,INDEX(IDX_COMPO!F:F,ROW(IDX_COMPO!#REF!)),"")</f>
        <v/>
      </c>
      <c r="R163" s="68" t="str">
        <f t="shared" si="34"/>
        <v/>
      </c>
      <c r="S163" s="61" t="str">
        <f t="shared" si="35"/>
        <v/>
      </c>
      <c r="T163" s="62" t="str">
        <f>IF(D163&lt;&gt;"",IF(SUMPRODUCT(--($E163=STK_DIV!$A$2:$A$5),--(NXT_COMPO!$Q163=STK_DIV!$E$2:$E$5),ROW(STK_DIV!$D$2:$D$5))=0,"",INDEX(STK_DIV!$D$1:$D$5,SUMPRODUCT(--($E163=STK_DIV!$A$2:$A$5),--(NXT_COMPO!$Q163=STK_DIV!$E$2:$E$5),ROW(STK_DIV!$D$2:$D$5)))),"")</f>
        <v/>
      </c>
      <c r="U163" s="54" t="str">
        <f>IF($D163&lt;&gt;"",VLOOKUP($P163,IDX_REF!$2:$1048576,4,0),"")</f>
        <v/>
      </c>
      <c r="W163" s="52" t="str">
        <f t="shared" si="36"/>
        <v/>
      </c>
      <c r="X163" s="5" t="str">
        <f>IF(ROW(X163)-ROW($X$1)&lt;=$B$1,INDEX(IDX_COMPO!A:A,ROW(IDX_COMPO!A163)),"")</f>
        <v/>
      </c>
      <c r="Y163" s="54" t="str">
        <f t="shared" si="37"/>
        <v/>
      </c>
      <c r="Z163" s="54" t="str">
        <f>IF(ROW(Z163)-ROW($Y$1)&lt;=$B$1,INDEX(IDX_COMPO!F:F,ROW(IDX_COMPO!R163)),"")</f>
        <v/>
      </c>
      <c r="AA163" s="2" t="str">
        <f t="array" ref="AA163">IF(X163&lt;&gt;"",IF(SUMPRODUCT(--(X163=IDX_CA!$A$2:$A$1041),--(NXT_COMPO!Y163=IDX_CA!$C$2:$C$1041),--(Z163=IDX_CA!$B$2:$B$1041))&gt;0,IF(INDEX(IDX_CA!$I:$I,SUMPRODUCT(--(X163=IDX_CA!$A$2:$A$1041),--(NXT_COMPO!Y163=IDX_CA!$C$2:$C$1041),--(Z163=IDX_CA!$B$2:$B$1041),ROW(IDX_CA!$I$2:$I$1041)))=1,"YES","MODIFY"),""),"")</f>
        <v/>
      </c>
      <c r="AB163" s="5" t="str">
        <f>IF(X163&lt;&gt;"",IF(AA163="YES","",COUNTIF($AA$2:AA163,"&lt;&gt;YES")),"")</f>
        <v/>
      </c>
      <c r="AC163" s="2"/>
    </row>
    <row r="164" spans="4:29" x14ac:dyDescent="0.2">
      <c r="D164" s="52" t="str">
        <f t="shared" si="26"/>
        <v/>
      </c>
      <c r="E164" s="5" t="str">
        <f t="shared" si="30"/>
        <v/>
      </c>
      <c r="F164" s="5" t="str">
        <f>IF(ROW(F164)-ROW($E$1)&lt;=$B$1-$B$2,INDEX(IDX_COMPO!B:B,ROW(IDX_COMPO!#REF!)),IF(ROW(E164)-ROW($E$1)&lt;=$B$4,VLOOKUP(E164,STK_REF!$A$2:$J$1048576,2,0),""))</f>
        <v/>
      </c>
      <c r="J164" s="62" t="str">
        <f>IF($D164&lt;=$B$1-$B$2,IF(INDEX($AA$2:$AA$1048576,MATCH($D164,$AB$2:$AB$1048576,0))="MODIFY",INDEX(IDX_CA!$G$1:$G$1041,SUMPRODUCT(--($E164=IDX_CA!$A$2:$A$1041),--(NXT_COMPO!$P164=IDX_CA!$B$2:$B$1041),--(NXT_COMPO!$Q164=IDX_CA!$C$2:$C$1041),ROW(IDX_CA!$G$2:$G$1041))),INDEX(IDX_COMPOSITION!$F$1:$F$441,SUMPRODUCT(--($E164=IDX_COMPOSITION!$A$2:$A$441),--(NXT_COMPO!$P164=IDX_COMPOSITION!$R$2:$R$441),--(NXT_COMPO!$B$5=IDX_COMPOSITION!$L$2:$L$441),ROW(IDX_COMPOSITION!$F$2:$F$441)))),IF($D164&lt;=$B$4,INDEX(IDX_CA!$G$1:$G$1041,SUMPRODUCT(--($E164=IDX_CA!$A$2:$A$1041),--(NXT_COMPO!$P164=IDX_CA!$B$2:$B$1041),--(NXT_COMPO!$Q164=IDX_CA!$C$2:$C$1041),ROW(IDX_CA!$G$2:$G$1041))),""))</f>
        <v/>
      </c>
      <c r="K164" s="63" t="str">
        <f>IF($D164&lt;&gt;"",VLOOKUP($E164,STK_REF!$A$2:$J$1048576,7,0),"")</f>
        <v/>
      </c>
      <c r="L164" s="5" t="str">
        <f>IF($D164&lt;&gt;"",VLOOKUP($E164,STK_REF!$A$2:$J$1048576,8,0),"")</f>
        <v/>
      </c>
      <c r="M164" s="8" t="str">
        <f>IF($D164&lt;&gt;"",IF($K164=$U164,1,IF(ISNA(VLOOKUP($K164&amp;$U164,CUR_RATES!$A$2:$F$521,4,0)),"",VLOOKUP($K164&amp;$U164,CUR_RATES!$A$2:$F$521,4,0))),"")</f>
        <v/>
      </c>
      <c r="N164" s="61" t="str">
        <f t="shared" si="31"/>
        <v/>
      </c>
      <c r="O164" s="68" t="str">
        <f t="shared" si="32"/>
        <v/>
      </c>
      <c r="P164" s="24"/>
      <c r="Q164" s="2" t="str">
        <f>IF(ROW(Q164)-ROW($E$1)&lt;=$B$4,INDEX(IDX_COMPO!F:F,ROW(IDX_COMPO!#REF!)),"")</f>
        <v/>
      </c>
      <c r="R164" s="68" t="str">
        <f t="shared" si="34"/>
        <v/>
      </c>
      <c r="S164" s="61" t="str">
        <f t="shared" si="35"/>
        <v/>
      </c>
      <c r="T164" s="62" t="str">
        <f>IF(D164&lt;&gt;"",IF(SUMPRODUCT(--($E164=STK_DIV!$A$2:$A$5),--(NXT_COMPO!$Q164=STK_DIV!$E$2:$E$5),ROW(STK_DIV!$D$2:$D$5))=0,"",INDEX(STK_DIV!$D$1:$D$5,SUMPRODUCT(--($E164=STK_DIV!$A$2:$A$5),--(NXT_COMPO!$Q164=STK_DIV!$E$2:$E$5),ROW(STK_DIV!$D$2:$D$5)))),"")</f>
        <v/>
      </c>
      <c r="U164" s="54" t="str">
        <f>IF($D164&lt;&gt;"",VLOOKUP($P164,IDX_REF!$2:$1048576,4,0),"")</f>
        <v/>
      </c>
      <c r="W164" s="52" t="str">
        <f t="shared" si="36"/>
        <v/>
      </c>
      <c r="X164" s="5" t="str">
        <f>IF(ROW(X164)-ROW($X$1)&lt;=$B$1,INDEX(IDX_COMPO!A:A,ROW(IDX_COMPO!A164)),"")</f>
        <v/>
      </c>
      <c r="Y164" s="54" t="str">
        <f t="shared" si="37"/>
        <v/>
      </c>
      <c r="Z164" s="54" t="str">
        <f>IF(ROW(Z164)-ROW($Y$1)&lt;=$B$1,INDEX(IDX_COMPO!F:F,ROW(IDX_COMPO!R164)),"")</f>
        <v/>
      </c>
      <c r="AA164" s="2" t="str">
        <f t="array" ref="AA164">IF(X164&lt;&gt;"",IF(SUMPRODUCT(--(X164=IDX_CA!$A$2:$A$1041),--(NXT_COMPO!Y164=IDX_CA!$C$2:$C$1041),--(Z164=IDX_CA!$B$2:$B$1041))&gt;0,IF(INDEX(IDX_CA!$I:$I,SUMPRODUCT(--(X164=IDX_CA!$A$2:$A$1041),--(NXT_COMPO!Y164=IDX_CA!$C$2:$C$1041),--(Z164=IDX_CA!$B$2:$B$1041),ROW(IDX_CA!$I$2:$I$1041)))=1,"YES","MODIFY"),""),"")</f>
        <v/>
      </c>
      <c r="AB164" s="2"/>
      <c r="AC164" s="2"/>
    </row>
    <row r="165" spans="4:29" x14ac:dyDescent="0.2">
      <c r="D165" s="52" t="str">
        <f t="shared" si="26"/>
        <v/>
      </c>
      <c r="E165" s="5" t="str">
        <f t="shared" si="30"/>
        <v/>
      </c>
      <c r="F165" s="5" t="str">
        <f>IF(ROW(F165)-ROW($E$1)&lt;=$B$1-$B$2,INDEX(IDX_COMPO!B:B,ROW(IDX_COMPO!#REF!)),IF(ROW(E165)-ROW($E$1)&lt;=$B$4,VLOOKUP(E165,STK_REF!$A$2:$J$1048576,2,0),""))</f>
        <v/>
      </c>
      <c r="J165" s="62" t="str">
        <f>IF($D165&lt;=$B$1-$B$2,IF(INDEX($AA$2:$AA$1048576,MATCH($D165,$AB$2:$AB$1048576,0))="MODIFY",INDEX(IDX_CA!$G$1:$G$1041,SUMPRODUCT(--($E165=IDX_CA!$A$2:$A$1041),--(NXT_COMPO!$P165=IDX_CA!$B$2:$B$1041),--(NXT_COMPO!$Q165=IDX_CA!$C$2:$C$1041),ROW(IDX_CA!$G$2:$G$1041))),INDEX(IDX_COMPOSITION!$F$1:$F$441,SUMPRODUCT(--($E165=IDX_COMPOSITION!$A$2:$A$441),--(NXT_COMPO!$P165=IDX_COMPOSITION!$R$2:$R$441),--(NXT_COMPO!$B$5=IDX_COMPOSITION!$L$2:$L$441),ROW(IDX_COMPOSITION!$F$2:$F$441)))),IF($D165&lt;=$B$4,INDEX(IDX_CA!$G$1:$G$1041,SUMPRODUCT(--($E165=IDX_CA!$A$2:$A$1041),--(NXT_COMPO!$P165=IDX_CA!$B$2:$B$1041),--(NXT_COMPO!$Q165=IDX_CA!$C$2:$C$1041),ROW(IDX_CA!$G$2:$G$1041))),""))</f>
        <v/>
      </c>
      <c r="K165" s="63" t="str">
        <f>IF($D165&lt;&gt;"",VLOOKUP($E165,STK_REF!$A$2:$J$1048576,7,0),"")</f>
        <v/>
      </c>
      <c r="L165" s="5" t="str">
        <f>IF($D165&lt;&gt;"",VLOOKUP($E165,STK_REF!$A$2:$J$1048576,8,0),"")</f>
        <v/>
      </c>
      <c r="M165" s="8" t="str">
        <f>IF($D165&lt;&gt;"",IF($K165=$U165,1,IF(ISNA(VLOOKUP($K165&amp;$U165,CUR_RATES!$A$2:$F$521,4,0)),"",VLOOKUP($K165&amp;$U165,CUR_RATES!$A$2:$F$521,4,0))),"")</f>
        <v/>
      </c>
      <c r="N165" s="61" t="str">
        <f t="shared" si="31"/>
        <v/>
      </c>
      <c r="O165" s="68" t="str">
        <f t="shared" si="32"/>
        <v/>
      </c>
      <c r="P165" s="24"/>
      <c r="Q165" s="2" t="str">
        <f>IF(ROW(Q165)-ROW($E$1)&lt;=$B$4,INDEX(IDX_COMPO!F:F,ROW(IDX_COMPO!#REF!)),"")</f>
        <v/>
      </c>
      <c r="R165" s="68" t="str">
        <f t="shared" si="34"/>
        <v/>
      </c>
      <c r="S165" s="61" t="str">
        <f t="shared" si="35"/>
        <v/>
      </c>
      <c r="T165" s="62" t="str">
        <f>IF(D165&lt;&gt;"",IF(SUMPRODUCT(--($E165=STK_DIV!$A$2:$A$5),--(NXT_COMPO!$Q165=STK_DIV!$E$2:$E$5),ROW(STK_DIV!$D$2:$D$5))=0,"",INDEX(STK_DIV!$D$1:$D$5,SUMPRODUCT(--($E165=STK_DIV!$A$2:$A$5),--(NXT_COMPO!$Q165=STK_DIV!$E$2:$E$5),ROW(STK_DIV!$D$2:$D$5)))),"")</f>
        <v/>
      </c>
      <c r="U165" s="54" t="str">
        <f>IF($D165&lt;&gt;"",VLOOKUP($P165,IDX_REF!$2:$1048576,4,0),"")</f>
        <v/>
      </c>
      <c r="W165" s="52" t="str">
        <f t="shared" si="36"/>
        <v/>
      </c>
      <c r="X165" s="5" t="str">
        <f>IF(ROW(X165)-ROW($X$1)&lt;=$B$1,INDEX(IDX_COMPO!A:A,ROW(IDX_COMPO!A165)),"")</f>
        <v/>
      </c>
      <c r="Y165" s="54" t="str">
        <f t="shared" si="37"/>
        <v/>
      </c>
      <c r="Z165" s="54" t="str">
        <f>IF(ROW(Z165)-ROW($Y$1)&lt;=$B$1,INDEX(IDX_COMPO!F:F,ROW(IDX_COMPO!R165)),"")</f>
        <v/>
      </c>
      <c r="AA165" s="2" t="str">
        <f t="array" ref="AA165">IF(X165&lt;&gt;"",IF(SUMPRODUCT(--(X165=IDX_CA!$A$2:$A$1041),--(NXT_COMPO!Y165=IDX_CA!$C$2:$C$1041),--(Z165=IDX_CA!$B$2:$B$1041))&gt;0,IF(INDEX(IDX_CA!$I:$I,SUMPRODUCT(--(X165=IDX_CA!$A$2:$A$1041),--(NXT_COMPO!Y165=IDX_CA!$C$2:$C$1041),--(Z165=IDX_CA!$B$2:$B$1041),ROW(IDX_CA!$I$2:$I$1041)))=1,"YES","MODIFY"),""),"")</f>
        <v/>
      </c>
      <c r="AB165" s="2"/>
      <c r="AC165" s="2"/>
    </row>
    <row r="166" spans="4:29" x14ac:dyDescent="0.2">
      <c r="D166" s="52" t="str">
        <f t="shared" si="26"/>
        <v/>
      </c>
      <c r="E166" s="5" t="str">
        <f t="shared" si="30"/>
        <v/>
      </c>
      <c r="F166" s="5" t="str">
        <f>IF(ROW(F166)-ROW($E$1)&lt;=$B$1-$B$2,INDEX(IDX_COMPO!B:B,ROW(IDX_COMPO!#REF!)),IF(ROW(E166)-ROW($E$1)&lt;=$B$4,VLOOKUP(E166,STK_REF!$A$2:$J$1048576,2,0),""))</f>
        <v/>
      </c>
      <c r="J166" s="62" t="str">
        <f>IF($D166&lt;=$B$1-$B$2,IF(INDEX($AA$2:$AA$1048576,MATCH($D166,$AB$2:$AB$1048576,0))="MODIFY",INDEX(IDX_CA!$G$1:$G$1041,SUMPRODUCT(--($E166=IDX_CA!$A$2:$A$1041),--(NXT_COMPO!$P166=IDX_CA!$B$2:$B$1041),--(NXT_COMPO!$Q166=IDX_CA!$C$2:$C$1041),ROW(IDX_CA!$G$2:$G$1041))),INDEX(IDX_COMPOSITION!$F$1:$F$441,SUMPRODUCT(--($E166=IDX_COMPOSITION!$A$2:$A$441),--(NXT_COMPO!$P166=IDX_COMPOSITION!$R$2:$R$441),--(NXT_COMPO!$B$5=IDX_COMPOSITION!$L$2:$L$441),ROW(IDX_COMPOSITION!$F$2:$F$441)))),IF($D166&lt;=$B$4,INDEX(IDX_CA!$G$1:$G$1041,SUMPRODUCT(--($E166=IDX_CA!$A$2:$A$1041),--(NXT_COMPO!$P166=IDX_CA!$B$2:$B$1041),--(NXT_COMPO!$Q166=IDX_CA!$C$2:$C$1041),ROW(IDX_CA!$G$2:$G$1041))),""))</f>
        <v/>
      </c>
      <c r="K166" s="63" t="str">
        <f>IF($D166&lt;&gt;"",VLOOKUP($E166,STK_REF!$A$2:$J$1048576,7,0),"")</f>
        <v/>
      </c>
      <c r="L166" s="5" t="str">
        <f>IF($D166&lt;&gt;"",VLOOKUP($E166,STK_REF!$A$2:$J$1048576,8,0),"")</f>
        <v/>
      </c>
      <c r="M166" s="8" t="str">
        <f>IF($D166&lt;&gt;"",IF($K166=$U166,1,IF(ISNA(VLOOKUP($K166&amp;$U166,CUR_RATES!$A$2:$F$521,4,0)),"",VLOOKUP($K166&amp;$U166,CUR_RATES!$A$2:$F$521,4,0))),"")</f>
        <v/>
      </c>
      <c r="N166" s="61" t="str">
        <f t="shared" si="31"/>
        <v/>
      </c>
      <c r="O166" s="68" t="str">
        <f t="shared" si="32"/>
        <v/>
      </c>
      <c r="P166" s="24"/>
      <c r="Q166" s="2" t="str">
        <f>IF(ROW(Q166)-ROW($E$1)&lt;=$B$4,INDEX(IDX_COMPO!F:F,ROW(IDX_COMPO!#REF!)),"")</f>
        <v/>
      </c>
      <c r="R166" s="68" t="str">
        <f t="shared" si="34"/>
        <v/>
      </c>
      <c r="S166" s="61" t="str">
        <f t="shared" si="35"/>
        <v/>
      </c>
      <c r="T166" s="62" t="str">
        <f>IF(D166&lt;&gt;"",IF(SUMPRODUCT(--($E166=STK_DIV!$A$2:$A$5),--(NXT_COMPO!$Q166=STK_DIV!$E$2:$E$5),ROW(STK_DIV!$D$2:$D$5))=0,"",INDEX(STK_DIV!$D$1:$D$5,SUMPRODUCT(--($E166=STK_DIV!$A$2:$A$5),--(NXT_COMPO!$Q166=STK_DIV!$E$2:$E$5),ROW(STK_DIV!$D$2:$D$5)))),"")</f>
        <v/>
      </c>
      <c r="U166" s="54" t="str">
        <f>IF($D166&lt;&gt;"",VLOOKUP($P166,IDX_REF!$2:$1048576,4,0),"")</f>
        <v/>
      </c>
      <c r="W166" s="52" t="str">
        <f t="shared" si="36"/>
        <v/>
      </c>
      <c r="X166" s="5" t="str">
        <f>IF(ROW(X166)-ROW($X$1)&lt;=$B$1,INDEX(IDX_COMPO!A:A,ROW(IDX_COMPO!A166)),"")</f>
        <v/>
      </c>
      <c r="Y166" s="54" t="str">
        <f t="shared" si="37"/>
        <v/>
      </c>
      <c r="Z166" s="54" t="str">
        <f>IF(ROW(Z166)-ROW($Y$1)&lt;=$B$1,INDEX(IDX_COMPO!F:F,ROW(IDX_COMPO!R166)),"")</f>
        <v/>
      </c>
      <c r="AA166" s="2" t="str">
        <f t="array" ref="AA166">IF(X166&lt;&gt;"",IF(SUMPRODUCT(--(X166=IDX_CA!$A$2:$A$1041),--(NXT_COMPO!Y166=IDX_CA!$C$2:$C$1041),--(Z166=IDX_CA!$B$2:$B$1041))&gt;0,IF(INDEX(IDX_CA!$I:$I,SUMPRODUCT(--(X166=IDX_CA!$A$2:$A$1041),--(NXT_COMPO!Y166=IDX_CA!$C$2:$C$1041),--(Z166=IDX_CA!$B$2:$B$1041),ROW(IDX_CA!$I$2:$I$1041)))=1,"YES","MODIFY"),""),"")</f>
        <v/>
      </c>
      <c r="AB166" s="2"/>
      <c r="AC166" s="2"/>
    </row>
    <row r="167" spans="4:29" x14ac:dyDescent="0.2">
      <c r="D167" s="52" t="str">
        <f t="shared" si="26"/>
        <v/>
      </c>
      <c r="E167" s="5" t="str">
        <f t="shared" si="30"/>
        <v/>
      </c>
      <c r="F167" s="5" t="str">
        <f>IF(ROW(F167)-ROW($E$1)&lt;=$B$1-$B$2,INDEX(IDX_COMPO!B:B,ROW(IDX_COMPO!#REF!)),IF(ROW(E167)-ROW($E$1)&lt;=$B$4,VLOOKUP(E167,STK_REF!$A$2:$J$1048576,2,0),""))</f>
        <v/>
      </c>
      <c r="J167" s="62" t="str">
        <f>IF($D167&lt;=$B$1-$B$2,IF(INDEX($AA$2:$AA$1048576,MATCH($D167,$AB$2:$AB$1048576,0))="MODIFY",INDEX(IDX_CA!$G$1:$G$1041,SUMPRODUCT(--($E167=IDX_CA!$A$2:$A$1041),--(NXT_COMPO!$P167=IDX_CA!$B$2:$B$1041),--(NXT_COMPO!$Q167=IDX_CA!$C$2:$C$1041),ROW(IDX_CA!$G$2:$G$1041))),INDEX(IDX_COMPOSITION!$F$1:$F$441,SUMPRODUCT(--($E167=IDX_COMPOSITION!$A$2:$A$441),--(NXT_COMPO!$P167=IDX_COMPOSITION!$R$2:$R$441),--(NXT_COMPO!$B$5=IDX_COMPOSITION!$L$2:$L$441),ROW(IDX_COMPOSITION!$F$2:$F$441)))),IF($D167&lt;=$B$4,INDEX(IDX_CA!$G$1:$G$1041,SUMPRODUCT(--($E167=IDX_CA!$A$2:$A$1041),--(NXT_COMPO!$P167=IDX_CA!$B$2:$B$1041),--(NXT_COMPO!$Q167=IDX_CA!$C$2:$C$1041),ROW(IDX_CA!$G$2:$G$1041))),""))</f>
        <v/>
      </c>
      <c r="K167" s="63" t="str">
        <f>IF($D167&lt;&gt;"",VLOOKUP($E167,STK_REF!$A$2:$J$1048576,7,0),"")</f>
        <v/>
      </c>
      <c r="L167" s="5" t="str">
        <f>IF($D167&lt;&gt;"",VLOOKUP($E167,STK_REF!$A$2:$J$1048576,8,0),"")</f>
        <v/>
      </c>
      <c r="M167" s="8" t="str">
        <f>IF($D167&lt;&gt;"",IF($K167=$U167,1,IF(ISNA(VLOOKUP($K167&amp;$U167,CUR_RATES!$A$2:$F$521,4,0)),"",VLOOKUP($K167&amp;$U167,CUR_RATES!$A$2:$F$521,4,0))),"")</f>
        <v/>
      </c>
      <c r="N167" s="61" t="str">
        <f t="shared" si="31"/>
        <v/>
      </c>
      <c r="O167" s="68" t="str">
        <f t="shared" si="32"/>
        <v/>
      </c>
      <c r="P167" s="24"/>
      <c r="Q167" s="2" t="str">
        <f>IF(ROW(Q167)-ROW($E$1)&lt;=$B$4,INDEX(IDX_COMPO!F:F,ROW(IDX_COMPO!#REF!)),"")</f>
        <v/>
      </c>
      <c r="R167" s="68" t="str">
        <f t="shared" si="34"/>
        <v/>
      </c>
      <c r="S167" s="61" t="str">
        <f t="shared" si="35"/>
        <v/>
      </c>
      <c r="T167" s="62" t="str">
        <f>IF(D167&lt;&gt;"",IF(SUMPRODUCT(--($E167=STK_DIV!$A$2:$A$5),--(NXT_COMPO!$Q167=STK_DIV!$E$2:$E$5),ROW(STK_DIV!$D$2:$D$5))=0,"",INDEX(STK_DIV!$D$1:$D$5,SUMPRODUCT(--($E167=STK_DIV!$A$2:$A$5),--(NXT_COMPO!$Q167=STK_DIV!$E$2:$E$5),ROW(STK_DIV!$D$2:$D$5)))),"")</f>
        <v/>
      </c>
      <c r="U167" s="54" t="str">
        <f>IF($D167&lt;&gt;"",VLOOKUP($P167,IDX_REF!$2:$1048576,4,0),"")</f>
        <v/>
      </c>
      <c r="W167" s="52" t="str">
        <f t="shared" si="36"/>
        <v/>
      </c>
      <c r="X167" s="5" t="str">
        <f>IF(ROW(X167)-ROW($X$1)&lt;=$B$1,INDEX(IDX_COMPO!A:A,ROW(IDX_COMPO!A167)),"")</f>
        <v/>
      </c>
      <c r="Y167" s="54" t="str">
        <f t="shared" si="37"/>
        <v/>
      </c>
      <c r="Z167" s="54" t="str">
        <f>IF(ROW(Z167)-ROW($Y$1)&lt;=$B$1,INDEX(IDX_COMPO!F:F,ROW(IDX_COMPO!R167)),"")</f>
        <v/>
      </c>
      <c r="AA167" s="2" t="str">
        <f t="array" ref="AA167">IF(X167&lt;&gt;"",IF(SUMPRODUCT(--(X167=IDX_CA!$A$2:$A$1041),--(NXT_COMPO!Y167=IDX_CA!$C$2:$C$1041),--(Z167=IDX_CA!$B$2:$B$1041))&gt;0,IF(INDEX(IDX_CA!$I:$I,SUMPRODUCT(--(X167=IDX_CA!$A$2:$A$1041),--(NXT_COMPO!Y167=IDX_CA!$C$2:$C$1041),--(Z167=IDX_CA!$B$2:$B$1041),ROW(IDX_CA!$I$2:$I$1041)))=1,"YES","MODIFY"),""),"")</f>
        <v/>
      </c>
      <c r="AB167" s="2"/>
      <c r="AC167" s="2"/>
    </row>
    <row r="168" spans="4:29" x14ac:dyDescent="0.2">
      <c r="D168" s="52" t="str">
        <f t="shared" si="26"/>
        <v/>
      </c>
      <c r="E168" s="5" t="str">
        <f t="shared" si="30"/>
        <v/>
      </c>
      <c r="F168" s="5" t="str">
        <f>IF(ROW(F168)-ROW($E$1)&lt;=$B$1-$B$2,INDEX(IDX_COMPO!B:B,ROW(IDX_COMPO!#REF!)),IF(ROW(E168)-ROW($E$1)&lt;=$B$4,VLOOKUP(E168,STK_REF!$A$2:$J$1048576,2,0),""))</f>
        <v/>
      </c>
      <c r="J168" s="62" t="str">
        <f>IF($D168&lt;=$B$1-$B$2,IF(INDEX($AA$2:$AA$1048576,MATCH($D168,$AB$2:$AB$1048576,0))="MODIFY",INDEX(IDX_CA!$G$1:$G$1041,SUMPRODUCT(--($E168=IDX_CA!$A$2:$A$1041),--(NXT_COMPO!$P168=IDX_CA!$B$2:$B$1041),--(NXT_COMPO!$Q168=IDX_CA!$C$2:$C$1041),ROW(IDX_CA!$G$2:$G$1041))),INDEX(IDX_COMPOSITION!$F$1:$F$441,SUMPRODUCT(--($E168=IDX_COMPOSITION!$A$2:$A$441),--(NXT_COMPO!$P168=IDX_COMPOSITION!$R$2:$R$441),--(NXT_COMPO!$B$5=IDX_COMPOSITION!$L$2:$L$441),ROW(IDX_COMPOSITION!$F$2:$F$441)))),IF($D168&lt;=$B$4,INDEX(IDX_CA!$G$1:$G$1041,SUMPRODUCT(--($E168=IDX_CA!$A$2:$A$1041),--(NXT_COMPO!$P168=IDX_CA!$B$2:$B$1041),--(NXT_COMPO!$Q168=IDX_CA!$C$2:$C$1041),ROW(IDX_CA!$G$2:$G$1041))),""))</f>
        <v/>
      </c>
      <c r="K168" s="63" t="str">
        <f>IF($D168&lt;&gt;"",VLOOKUP($E168,STK_REF!$A$2:$J$1048576,7,0),"")</f>
        <v/>
      </c>
      <c r="L168" s="5" t="str">
        <f>IF($D168&lt;&gt;"",VLOOKUP($E168,STK_REF!$A$2:$J$1048576,8,0),"")</f>
        <v/>
      </c>
      <c r="M168" s="8" t="str">
        <f>IF($D168&lt;&gt;"",IF($K168=$U168,1,IF(ISNA(VLOOKUP($K168&amp;$U168,CUR_RATES!$A$2:$F$521,4,0)),"",VLOOKUP($K168&amp;$U168,CUR_RATES!$A$2:$F$521,4,0))),"")</f>
        <v/>
      </c>
      <c r="N168" s="61" t="str">
        <f t="shared" si="31"/>
        <v/>
      </c>
      <c r="O168" s="68" t="str">
        <f t="shared" si="32"/>
        <v/>
      </c>
      <c r="P168" s="24"/>
      <c r="Q168" s="2" t="str">
        <f>IF(ROW(Q168)-ROW($E$1)&lt;=$B$4,INDEX(IDX_COMPO!F:F,ROW(IDX_COMPO!#REF!)),"")</f>
        <v/>
      </c>
      <c r="R168" s="68" t="str">
        <f t="shared" si="34"/>
        <v/>
      </c>
      <c r="S168" s="61" t="str">
        <f t="shared" si="35"/>
        <v/>
      </c>
      <c r="T168" s="62" t="str">
        <f>IF(D168&lt;&gt;"",IF(SUMPRODUCT(--($E168=STK_DIV!$A$2:$A$5),--(NXT_COMPO!$Q168=STK_DIV!$E$2:$E$5),ROW(STK_DIV!$D$2:$D$5))=0,"",INDEX(STK_DIV!$D$1:$D$5,SUMPRODUCT(--($E168=STK_DIV!$A$2:$A$5),--(NXT_COMPO!$Q168=STK_DIV!$E$2:$E$5),ROW(STK_DIV!$D$2:$D$5)))),"")</f>
        <v/>
      </c>
      <c r="U168" s="54" t="str">
        <f>IF($D168&lt;&gt;"",VLOOKUP($P168,IDX_REF!$2:$1048576,4,0),"")</f>
        <v/>
      </c>
      <c r="W168" s="52" t="str">
        <f t="shared" si="36"/>
        <v/>
      </c>
      <c r="X168" s="5" t="str">
        <f>IF(ROW(X168)-ROW($X$1)&lt;=$B$1,INDEX(IDX_COMPO!A:A,ROW(IDX_COMPO!A168)),"")</f>
        <v/>
      </c>
      <c r="Y168" s="54" t="str">
        <f t="shared" si="37"/>
        <v/>
      </c>
      <c r="Z168" s="54" t="str">
        <f>IF(ROW(Z168)-ROW($Y$1)&lt;=$B$1,INDEX(IDX_COMPO!F:F,ROW(IDX_COMPO!R168)),"")</f>
        <v/>
      </c>
      <c r="AA168" s="2" t="str">
        <f t="array" ref="AA168">IF(X168&lt;&gt;"",IF(SUMPRODUCT(--(X168=IDX_CA!$A$2:$A$1041),--(NXT_COMPO!Y168=IDX_CA!$C$2:$C$1041),--(Z168=IDX_CA!$B$2:$B$1041))&gt;0,IF(INDEX(IDX_CA!$I:$I,SUMPRODUCT(--(X168=IDX_CA!$A$2:$A$1041),--(NXT_COMPO!Y168=IDX_CA!$C$2:$C$1041),--(Z168=IDX_CA!$B$2:$B$1041),ROW(IDX_CA!$I$2:$I$1041)))=1,"YES","MODIFY"),""),"")</f>
        <v/>
      </c>
      <c r="AB168" s="2"/>
      <c r="AC168" s="2"/>
    </row>
    <row r="169" spans="4:29" x14ac:dyDescent="0.2">
      <c r="D169" s="52" t="str">
        <f t="shared" si="26"/>
        <v/>
      </c>
      <c r="E169" s="5" t="str">
        <f t="shared" si="30"/>
        <v/>
      </c>
      <c r="F169" s="5" t="str">
        <f>IF(ROW(F169)-ROW($E$1)&lt;=$B$1-$B$2,INDEX(IDX_COMPO!B:B,ROW(IDX_COMPO!#REF!)),IF(ROW(E169)-ROW($E$1)&lt;=$B$4,VLOOKUP(E169,STK_REF!$A$2:$J$1048576,2,0),""))</f>
        <v/>
      </c>
      <c r="J169" s="62" t="str">
        <f>IF($D169&lt;=$B$1-$B$2,IF(INDEX($AA$2:$AA$1048576,MATCH($D169,$AB$2:$AB$1048576,0))="MODIFY",INDEX(IDX_CA!$G$1:$G$1041,SUMPRODUCT(--($E169=IDX_CA!$A$2:$A$1041),--(NXT_COMPO!$P169=IDX_CA!$B$2:$B$1041),--(NXT_COMPO!$Q169=IDX_CA!$C$2:$C$1041),ROW(IDX_CA!$G$2:$G$1041))),INDEX(IDX_COMPOSITION!$F$1:$F$441,SUMPRODUCT(--($E169=IDX_COMPOSITION!$A$2:$A$441),--(NXT_COMPO!$P169=IDX_COMPOSITION!$R$2:$R$441),--(NXT_COMPO!$B$5=IDX_COMPOSITION!$L$2:$L$441),ROW(IDX_COMPOSITION!$F$2:$F$441)))),IF($D169&lt;=$B$4,INDEX(IDX_CA!$G$1:$G$1041,SUMPRODUCT(--($E169=IDX_CA!$A$2:$A$1041),--(NXT_COMPO!$P169=IDX_CA!$B$2:$B$1041),--(NXT_COMPO!$Q169=IDX_CA!$C$2:$C$1041),ROW(IDX_CA!$G$2:$G$1041))),""))</f>
        <v/>
      </c>
      <c r="K169" s="63" t="str">
        <f>IF($D169&lt;&gt;"",VLOOKUP($E169,STK_REF!$A$2:$J$1048576,7,0),"")</f>
        <v/>
      </c>
      <c r="L169" s="5" t="str">
        <f>IF($D169&lt;&gt;"",VLOOKUP($E169,STK_REF!$A$2:$J$1048576,8,0),"")</f>
        <v/>
      </c>
      <c r="M169" s="8" t="str">
        <f>IF($D169&lt;&gt;"",IF($K169=$U169,1,IF(ISNA(VLOOKUP($K169&amp;$U169,CUR_RATES!$A$2:$F$521,4,0)),"",VLOOKUP($K169&amp;$U169,CUR_RATES!$A$2:$F$521,4,0))),"")</f>
        <v/>
      </c>
      <c r="N169" s="61" t="str">
        <f t="shared" si="31"/>
        <v/>
      </c>
      <c r="O169" s="68" t="str">
        <f t="shared" si="32"/>
        <v/>
      </c>
      <c r="P169" s="24"/>
      <c r="Q169" s="2" t="str">
        <f>IF(ROW(Q169)-ROW($E$1)&lt;=$B$4,INDEX(IDX_COMPO!F:F,ROW(IDX_COMPO!#REF!)),"")</f>
        <v/>
      </c>
      <c r="R169" s="68" t="str">
        <f t="shared" si="34"/>
        <v/>
      </c>
      <c r="S169" s="61" t="str">
        <f t="shared" si="35"/>
        <v/>
      </c>
      <c r="T169" s="62" t="str">
        <f>IF(D169&lt;&gt;"",IF(SUMPRODUCT(--($E169=STK_DIV!$A$2:$A$5),--(NXT_COMPO!$Q169=STK_DIV!$E$2:$E$5),ROW(STK_DIV!$D$2:$D$5))=0,"",INDEX(STK_DIV!$D$1:$D$5,SUMPRODUCT(--($E169=STK_DIV!$A$2:$A$5),--(NXT_COMPO!$Q169=STK_DIV!$E$2:$E$5),ROW(STK_DIV!$D$2:$D$5)))),"")</f>
        <v/>
      </c>
      <c r="U169" s="54" t="str">
        <f>IF($D169&lt;&gt;"",VLOOKUP($P169,IDX_REF!$2:$1048576,4,0),"")</f>
        <v/>
      </c>
      <c r="W169" s="52" t="str">
        <f t="shared" si="36"/>
        <v/>
      </c>
      <c r="X169" s="5" t="str">
        <f>IF(ROW(X169)-ROW($X$1)&lt;=$B$1,INDEX(IDX_COMPO!A:A,ROW(IDX_COMPO!A169)),"")</f>
        <v/>
      </c>
      <c r="Y169" s="54" t="str">
        <f t="shared" si="37"/>
        <v/>
      </c>
      <c r="Z169" s="54" t="str">
        <f>IF(ROW(Z169)-ROW($Y$1)&lt;=$B$1,INDEX(IDX_COMPO!F:F,ROW(IDX_COMPO!R169)),"")</f>
        <v/>
      </c>
      <c r="AA169" s="2" t="str">
        <f t="array" ref="AA169">IF(X169&lt;&gt;"",IF(SUMPRODUCT(--(X169=IDX_CA!$A$2:$A$1041),--(NXT_COMPO!Y169=IDX_CA!$C$2:$C$1041),--(Z169=IDX_CA!$B$2:$B$1041))&gt;0,IF(INDEX(IDX_CA!$I:$I,SUMPRODUCT(--(X169=IDX_CA!$A$2:$A$1041),--(NXT_COMPO!Y169=IDX_CA!$C$2:$C$1041),--(Z169=IDX_CA!$B$2:$B$1041),ROW(IDX_CA!$I$2:$I$1041)))=1,"YES","MODIFY"),""),"")</f>
        <v/>
      </c>
      <c r="AB169" s="2"/>
      <c r="AC169" s="2"/>
    </row>
    <row r="170" spans="4:29" x14ac:dyDescent="0.2">
      <c r="D170" s="52" t="str">
        <f t="shared" si="26"/>
        <v/>
      </c>
      <c r="E170" s="5" t="str">
        <f t="shared" si="30"/>
        <v/>
      </c>
      <c r="F170" s="5" t="str">
        <f>IF(ROW(F170)-ROW($E$1)&lt;=$B$1-$B$2,INDEX(IDX_COMPO!B:B,ROW(IDX_COMPO!#REF!)),IF(ROW(E170)-ROW($E$1)&lt;=$B$4,VLOOKUP(E170,STK_REF!$A$2:$J$1048576,2,0),""))</f>
        <v/>
      </c>
      <c r="J170" s="62" t="str">
        <f>IF($D170&lt;=$B$1-$B$2,IF(INDEX($AA$2:$AA$1048576,MATCH($D170,$AB$2:$AB$1048576,0))="MODIFY",INDEX(IDX_CA!$G$1:$G$1041,SUMPRODUCT(--($E170=IDX_CA!$A$2:$A$1041),--(NXT_COMPO!$P170=IDX_CA!$B$2:$B$1041),--(NXT_COMPO!$Q170=IDX_CA!$C$2:$C$1041),ROW(IDX_CA!$G$2:$G$1041))),INDEX(IDX_COMPOSITION!$F$1:$F$441,SUMPRODUCT(--($E170=IDX_COMPOSITION!$A$2:$A$441),--(NXT_COMPO!$P170=IDX_COMPOSITION!$R$2:$R$441),--(NXT_COMPO!$B$5=IDX_COMPOSITION!$L$2:$L$441),ROW(IDX_COMPOSITION!$F$2:$F$441)))),IF($D170&lt;=$B$4,INDEX(IDX_CA!$G$1:$G$1041,SUMPRODUCT(--($E170=IDX_CA!$A$2:$A$1041),--(NXT_COMPO!$P170=IDX_CA!$B$2:$B$1041),--(NXT_COMPO!$Q170=IDX_CA!$C$2:$C$1041),ROW(IDX_CA!$G$2:$G$1041))),""))</f>
        <v/>
      </c>
      <c r="K170" s="63" t="str">
        <f>IF($D170&lt;&gt;"",VLOOKUP($E170,STK_REF!$A$2:$J$1048576,7,0),"")</f>
        <v/>
      </c>
      <c r="L170" s="5" t="str">
        <f>IF($D170&lt;&gt;"",VLOOKUP($E170,STK_REF!$A$2:$J$1048576,8,0),"")</f>
        <v/>
      </c>
      <c r="M170" s="8" t="str">
        <f>IF($D170&lt;&gt;"",IF($K170=$U170,1,IF(ISNA(VLOOKUP($K170&amp;$U170,CUR_RATES!$A$2:$F$521,4,0)),"",VLOOKUP($K170&amp;$U170,CUR_RATES!$A$2:$F$521,4,0))),"")</f>
        <v/>
      </c>
      <c r="N170" s="61" t="str">
        <f t="shared" si="31"/>
        <v/>
      </c>
      <c r="O170" s="68" t="str">
        <f t="shared" si="32"/>
        <v/>
      </c>
      <c r="P170" s="24"/>
      <c r="Q170" s="2" t="str">
        <f>IF(ROW(Q170)-ROW($E$1)&lt;=$B$4,INDEX(IDX_COMPO!F:F,ROW(IDX_COMPO!#REF!)),"")</f>
        <v/>
      </c>
      <c r="R170" s="68" t="str">
        <f t="shared" si="34"/>
        <v/>
      </c>
      <c r="S170" s="61" t="str">
        <f t="shared" si="35"/>
        <v/>
      </c>
      <c r="T170" s="62" t="str">
        <f>IF(D170&lt;&gt;"",IF(SUMPRODUCT(--($E170=STK_DIV!$A$2:$A$5),--(NXT_COMPO!$Q170=STK_DIV!$E$2:$E$5),ROW(STK_DIV!$D$2:$D$5))=0,"",INDEX(STK_DIV!$D$1:$D$5,SUMPRODUCT(--($E170=STK_DIV!$A$2:$A$5),--(NXT_COMPO!$Q170=STK_DIV!$E$2:$E$5),ROW(STK_DIV!$D$2:$D$5)))),"")</f>
        <v/>
      </c>
      <c r="U170" s="54" t="str">
        <f>IF($D170&lt;&gt;"",VLOOKUP($P170,IDX_REF!$2:$1048576,4,0),"")</f>
        <v/>
      </c>
    </row>
    <row r="171" spans="4:29" x14ac:dyDescent="0.2">
      <c r="D171" s="52" t="str">
        <f t="shared" si="26"/>
        <v/>
      </c>
      <c r="E171" s="5" t="str">
        <f t="shared" si="30"/>
        <v/>
      </c>
      <c r="F171" s="5" t="str">
        <f>IF(ROW(F171)-ROW($E$1)&lt;=$B$1-$B$2,INDEX(IDX_COMPO!B:B,ROW(IDX_COMPO!#REF!)),IF(ROW(E171)-ROW($E$1)&lt;=$B$4,VLOOKUP(E171,STK_REF!$A$2:$J$1048576,2,0),""))</f>
        <v/>
      </c>
      <c r="J171" s="62" t="str">
        <f>IF($D171&lt;=$B$1-$B$2,IF(INDEX($AA$2:$AA$1048576,MATCH($D171,$AB$2:$AB$1048576,0))="MODIFY",INDEX(IDX_CA!$G$1:$G$1041,SUMPRODUCT(--($E171=IDX_CA!$A$2:$A$1041),--(NXT_COMPO!$P171=IDX_CA!$B$2:$B$1041),--(NXT_COMPO!$Q171=IDX_CA!$C$2:$C$1041),ROW(IDX_CA!$G$2:$G$1041))),INDEX(IDX_COMPOSITION!$F$1:$F$441,SUMPRODUCT(--($E171=IDX_COMPOSITION!$A$2:$A$441),--(NXT_COMPO!$P171=IDX_COMPOSITION!$R$2:$R$441),--(NXT_COMPO!$B$5=IDX_COMPOSITION!$L$2:$L$441),ROW(IDX_COMPOSITION!$F$2:$F$441)))),IF($D171&lt;=$B$4,INDEX(IDX_CA!$G$1:$G$1041,SUMPRODUCT(--($E171=IDX_CA!$A$2:$A$1041),--(NXT_COMPO!$P171=IDX_CA!$B$2:$B$1041),--(NXT_COMPO!$Q171=IDX_CA!$C$2:$C$1041),ROW(IDX_CA!$G$2:$G$1041))),""))</f>
        <v/>
      </c>
      <c r="K171" s="63" t="str">
        <f>IF($D171&lt;&gt;"",VLOOKUP($E171,STK_REF!$A$2:$J$1048576,7,0),"")</f>
        <v/>
      </c>
      <c r="L171" s="5" t="str">
        <f>IF($D171&lt;&gt;"",VLOOKUP($E171,STK_REF!$A$2:$J$1048576,8,0),"")</f>
        <v/>
      </c>
      <c r="M171" s="8" t="str">
        <f>IF($D171&lt;&gt;"",IF($K171=$U171,1,IF(ISNA(VLOOKUP($K171&amp;$U171,CUR_RATES!$A$2:$F$521,4,0)),"",VLOOKUP($K171&amp;$U171,CUR_RATES!$A$2:$F$521,4,0))),"")</f>
        <v/>
      </c>
      <c r="N171" s="61" t="str">
        <f t="shared" si="31"/>
        <v/>
      </c>
      <c r="O171" s="68" t="str">
        <f t="shared" si="32"/>
        <v/>
      </c>
      <c r="P171" s="24"/>
      <c r="Q171" s="2" t="str">
        <f>IF(ROW(Q171)-ROW($E$1)&lt;=$B$4,INDEX(IDX_COMPO!F:F,ROW(IDX_COMPO!#REF!)),"")</f>
        <v/>
      </c>
      <c r="R171" s="68" t="str">
        <f t="shared" si="34"/>
        <v/>
      </c>
      <c r="S171" s="61" t="str">
        <f t="shared" si="35"/>
        <v/>
      </c>
      <c r="T171" s="62" t="str">
        <f>IF(D171&lt;&gt;"",IF(SUMPRODUCT(--($E171=STK_DIV!$A$2:$A$5),--(NXT_COMPO!$Q171=STK_DIV!$E$2:$E$5),ROW(STK_DIV!$D$2:$D$5))=0,"",INDEX(STK_DIV!$D$1:$D$5,SUMPRODUCT(--($E171=STK_DIV!$A$2:$A$5),--(NXT_COMPO!$Q171=STK_DIV!$E$2:$E$5),ROW(STK_DIV!$D$2:$D$5)))),"")</f>
        <v/>
      </c>
      <c r="U171" s="54" t="str">
        <f>IF($D171&lt;&gt;"",VLOOKUP($P171,IDX_REF!$2:$1048576,4,0),"")</f>
        <v/>
      </c>
    </row>
    <row r="172" spans="4:29" x14ac:dyDescent="0.2">
      <c r="D172" s="52" t="str">
        <f t="shared" si="26"/>
        <v/>
      </c>
      <c r="E172" s="5" t="str">
        <f t="shared" si="30"/>
        <v/>
      </c>
      <c r="F172" s="5" t="str">
        <f>IF(ROW(F172)-ROW($E$1)&lt;=$B$1-$B$2,INDEX(IDX_COMPO!B:B,ROW(IDX_COMPO!#REF!)),IF(ROW(E172)-ROW($E$1)&lt;=$B$4,VLOOKUP(E172,STK_REF!$A$2:$J$1048576,2,0),""))</f>
        <v/>
      </c>
      <c r="J172" s="62" t="str">
        <f>IF($D172&lt;=$B$1-$B$2,IF(INDEX($AA$2:$AA$1048576,MATCH($D172,$AB$2:$AB$1048576,0))="MODIFY",INDEX(IDX_CA!$G$1:$G$1041,SUMPRODUCT(--($E172=IDX_CA!$A$2:$A$1041),--(NXT_COMPO!$P172=IDX_CA!$B$2:$B$1041),--(NXT_COMPO!$Q172=IDX_CA!$C$2:$C$1041),ROW(IDX_CA!$G$2:$G$1041))),INDEX(IDX_COMPOSITION!$F$1:$F$441,SUMPRODUCT(--($E172=IDX_COMPOSITION!$A$2:$A$441),--(NXT_COMPO!$P172=IDX_COMPOSITION!$R$2:$R$441),--(NXT_COMPO!$B$5=IDX_COMPOSITION!$L$2:$L$441),ROW(IDX_COMPOSITION!$F$2:$F$441)))),IF($D172&lt;=$B$4,INDEX(IDX_CA!$G$1:$G$1041,SUMPRODUCT(--($E172=IDX_CA!$A$2:$A$1041),--(NXT_COMPO!$P172=IDX_CA!$B$2:$B$1041),--(NXT_COMPO!$Q172=IDX_CA!$C$2:$C$1041),ROW(IDX_CA!$G$2:$G$1041))),""))</f>
        <v/>
      </c>
      <c r="K172" s="63" t="str">
        <f>IF($D172&lt;&gt;"",VLOOKUP($E172,STK_REF!$A$2:$J$1048576,7,0),"")</f>
        <v/>
      </c>
      <c r="L172" s="5" t="str">
        <f>IF($D172&lt;&gt;"",VLOOKUP($E172,STK_REF!$A$2:$J$1048576,8,0),"")</f>
        <v/>
      </c>
      <c r="M172" s="8" t="str">
        <f>IF($D172&lt;&gt;"",IF($K172=$U172,1,IF(ISNA(VLOOKUP($K172&amp;$U172,CUR_RATES!$A$2:$F$521,4,0)),"",VLOOKUP($K172&amp;$U172,CUR_RATES!$A$2:$F$521,4,0))),"")</f>
        <v/>
      </c>
      <c r="N172" s="61" t="str">
        <f t="shared" si="31"/>
        <v/>
      </c>
      <c r="O172" s="68" t="str">
        <f t="shared" si="32"/>
        <v/>
      </c>
      <c r="P172" s="24"/>
      <c r="Q172" s="2" t="str">
        <f>IF(ROW(Q172)-ROW($E$1)&lt;=$B$4,INDEX(IDX_COMPO!F:F,ROW(IDX_COMPO!#REF!)),"")</f>
        <v/>
      </c>
      <c r="R172" s="68" t="str">
        <f t="shared" si="34"/>
        <v/>
      </c>
      <c r="S172" s="61" t="str">
        <f t="shared" si="35"/>
        <v/>
      </c>
      <c r="T172" s="62" t="str">
        <f>IF(D172&lt;&gt;"",IF(SUMPRODUCT(--($E172=STK_DIV!$A$2:$A$5),--(NXT_COMPO!$Q172=STK_DIV!$E$2:$E$5),ROW(STK_DIV!$D$2:$D$5))=0,"",INDEX(STK_DIV!$D$1:$D$5,SUMPRODUCT(--($E172=STK_DIV!$A$2:$A$5),--(NXT_COMPO!$Q172=STK_DIV!$E$2:$E$5),ROW(STK_DIV!$D$2:$D$5)))),"")</f>
        <v/>
      </c>
      <c r="U172" s="54" t="str">
        <f>IF($D172&lt;&gt;"",VLOOKUP($P172,IDX_REF!$2:$1048576,4,0),"")</f>
        <v/>
      </c>
    </row>
    <row r="173" spans="4:29" x14ac:dyDescent="0.2">
      <c r="D173" s="52" t="str">
        <f t="shared" si="26"/>
        <v/>
      </c>
      <c r="E173" s="5" t="str">
        <f t="shared" si="30"/>
        <v/>
      </c>
      <c r="F173" s="5" t="str">
        <f>IF(ROW(F173)-ROW($E$1)&lt;=$B$1-$B$2,INDEX(IDX_COMPO!B:B,ROW(IDX_COMPO!#REF!)),IF(ROW(E173)-ROW($E$1)&lt;=$B$4,VLOOKUP(E173,STK_REF!$A$2:$J$1048576,2,0),""))</f>
        <v/>
      </c>
      <c r="J173" s="62" t="str">
        <f>IF($D173&lt;=$B$1-$B$2,IF(INDEX($AA$2:$AA$1048576,MATCH($D173,$AB$2:$AB$1048576,0))="MODIFY",INDEX(IDX_CA!$G$1:$G$1041,SUMPRODUCT(--($E173=IDX_CA!$A$2:$A$1041),--(NXT_COMPO!$P173=IDX_CA!$B$2:$B$1041),--(NXT_COMPO!$Q173=IDX_CA!$C$2:$C$1041),ROW(IDX_CA!$G$2:$G$1041))),INDEX(IDX_COMPOSITION!$F$1:$F$441,SUMPRODUCT(--($E173=IDX_COMPOSITION!$A$2:$A$441),--(NXT_COMPO!$P173=IDX_COMPOSITION!$R$2:$R$441),--(NXT_COMPO!$B$5=IDX_COMPOSITION!$L$2:$L$441),ROW(IDX_COMPOSITION!$F$2:$F$441)))),IF($D173&lt;=$B$4,INDEX(IDX_CA!$G$1:$G$1041,SUMPRODUCT(--($E173=IDX_CA!$A$2:$A$1041),--(NXT_COMPO!$P173=IDX_CA!$B$2:$B$1041),--(NXT_COMPO!$Q173=IDX_CA!$C$2:$C$1041),ROW(IDX_CA!$G$2:$G$1041))),""))</f>
        <v/>
      </c>
      <c r="K173" s="63" t="str">
        <f>IF($D173&lt;&gt;"",VLOOKUP($E173,STK_REF!$A$2:$J$1048576,7,0),"")</f>
        <v/>
      </c>
      <c r="L173" s="5" t="str">
        <f>IF($D173&lt;&gt;"",VLOOKUP($E173,STK_REF!$A$2:$J$1048576,8,0),"")</f>
        <v/>
      </c>
      <c r="M173" s="8" t="str">
        <f>IF($D173&lt;&gt;"",IF($K173=$U173,1,IF(ISNA(VLOOKUP($K173&amp;$U173,CUR_RATES!$A$2:$F$521,4,0)),"",VLOOKUP($K173&amp;$U173,CUR_RATES!$A$2:$F$521,4,0))),"")</f>
        <v/>
      </c>
      <c r="N173" s="61" t="str">
        <f t="shared" si="31"/>
        <v/>
      </c>
      <c r="O173" s="68" t="str">
        <f t="shared" si="32"/>
        <v/>
      </c>
      <c r="P173" s="24"/>
      <c r="Q173" s="2" t="str">
        <f>IF(ROW(Q173)-ROW($E$1)&lt;=$B$4,INDEX(IDX_COMPO!F:F,ROW(IDX_COMPO!#REF!)),"")</f>
        <v/>
      </c>
      <c r="R173" s="68" t="str">
        <f t="shared" si="34"/>
        <v/>
      </c>
      <c r="S173" s="61" t="str">
        <f t="shared" si="35"/>
        <v/>
      </c>
      <c r="T173" s="62" t="str">
        <f>IF(D173&lt;&gt;"",IF(SUMPRODUCT(--($E173=STK_DIV!$A$2:$A$5),--(NXT_COMPO!$Q173=STK_DIV!$E$2:$E$5),ROW(STK_DIV!$D$2:$D$5))=0,"",INDEX(STK_DIV!$D$1:$D$5,SUMPRODUCT(--($E173=STK_DIV!$A$2:$A$5),--(NXT_COMPO!$Q173=STK_DIV!$E$2:$E$5),ROW(STK_DIV!$D$2:$D$5)))),"")</f>
        <v/>
      </c>
      <c r="U173" s="54" t="str">
        <f>IF($D173&lt;&gt;"",VLOOKUP($P173,IDX_REF!$2:$1048576,4,0),"")</f>
        <v/>
      </c>
    </row>
    <row r="174" spans="4:29" x14ac:dyDescent="0.2">
      <c r="D174" s="52" t="str">
        <f t="shared" si="26"/>
        <v/>
      </c>
      <c r="E174" s="5" t="str">
        <f t="shared" si="30"/>
        <v/>
      </c>
      <c r="F174" s="5" t="str">
        <f>IF(ROW(F174)-ROW($E$1)&lt;=$B$1-$B$2,INDEX(IDX_COMPO!B:B,ROW(IDX_COMPO!#REF!)),IF(ROW(E174)-ROW($E$1)&lt;=$B$4,VLOOKUP(E174,STK_REF!$A$2:$J$1048576,2,0),""))</f>
        <v/>
      </c>
      <c r="J174" s="62" t="str">
        <f>IF($D174&lt;=$B$1-$B$2,IF(INDEX($AA$2:$AA$1048576,MATCH($D174,$AB$2:$AB$1048576,0))="MODIFY",INDEX(IDX_CA!$G$1:$G$1041,SUMPRODUCT(--($E174=IDX_CA!$A$2:$A$1041),--(NXT_COMPO!$P174=IDX_CA!$B$2:$B$1041),--(NXT_COMPO!$Q174=IDX_CA!$C$2:$C$1041),ROW(IDX_CA!$G$2:$G$1041))),INDEX(IDX_COMPOSITION!$F$1:$F$441,SUMPRODUCT(--($E174=IDX_COMPOSITION!$A$2:$A$441),--(NXT_COMPO!$P174=IDX_COMPOSITION!$R$2:$R$441),--(NXT_COMPO!$B$5=IDX_COMPOSITION!$L$2:$L$441),ROW(IDX_COMPOSITION!$F$2:$F$441)))),IF($D174&lt;=$B$4,INDEX(IDX_CA!$G$1:$G$1041,SUMPRODUCT(--($E174=IDX_CA!$A$2:$A$1041),--(NXT_COMPO!$P174=IDX_CA!$B$2:$B$1041),--(NXT_COMPO!$Q174=IDX_CA!$C$2:$C$1041),ROW(IDX_CA!$G$2:$G$1041))),""))</f>
        <v/>
      </c>
      <c r="K174" s="63" t="str">
        <f>IF($D174&lt;&gt;"",VLOOKUP($E174,STK_REF!$A$2:$J$1048576,7,0),"")</f>
        <v/>
      </c>
      <c r="L174" s="5" t="str">
        <f>IF($D174&lt;&gt;"",VLOOKUP($E174,STK_REF!$A$2:$J$1048576,8,0),"")</f>
        <v/>
      </c>
      <c r="M174" s="8" t="str">
        <f>IF($D174&lt;&gt;"",IF($K174=$U174,1,IF(ISNA(VLOOKUP($K174&amp;$U174,CUR_RATES!$A$2:$F$521,4,0)),"",VLOOKUP($K174&amp;$U174,CUR_RATES!$A$2:$F$521,4,0))),"")</f>
        <v/>
      </c>
      <c r="N174" s="61" t="str">
        <f t="shared" si="31"/>
        <v/>
      </c>
      <c r="O174" s="68" t="str">
        <f t="shared" si="32"/>
        <v/>
      </c>
      <c r="P174" s="24"/>
      <c r="Q174" s="2" t="str">
        <f>IF(ROW(Q174)-ROW($E$1)&lt;=$B$4,INDEX(IDX_COMPO!F:F,ROW(IDX_COMPO!#REF!)),"")</f>
        <v/>
      </c>
      <c r="R174" s="68" t="str">
        <f t="shared" si="34"/>
        <v/>
      </c>
      <c r="S174" s="61" t="str">
        <f t="shared" si="35"/>
        <v/>
      </c>
      <c r="T174" s="62" t="str">
        <f>IF(D174&lt;&gt;"",IF(SUMPRODUCT(--($E174=STK_DIV!$A$2:$A$5),--(NXT_COMPO!$Q174=STK_DIV!$E$2:$E$5),ROW(STK_DIV!$D$2:$D$5))=0,"",INDEX(STK_DIV!$D$1:$D$5,SUMPRODUCT(--($E174=STK_DIV!$A$2:$A$5),--(NXT_COMPO!$Q174=STK_DIV!$E$2:$E$5),ROW(STK_DIV!$D$2:$D$5)))),"")</f>
        <v/>
      </c>
      <c r="U174" s="54" t="str">
        <f>IF($D174&lt;&gt;"",VLOOKUP($P174,IDX_REF!$2:$1048576,4,0),"")</f>
        <v/>
      </c>
    </row>
    <row r="175" spans="4:29" x14ac:dyDescent="0.2">
      <c r="D175" s="52" t="str">
        <f t="shared" si="26"/>
        <v/>
      </c>
      <c r="E175" s="5" t="str">
        <f t="shared" si="30"/>
        <v/>
      </c>
      <c r="F175" s="5" t="str">
        <f>IF(ROW(F175)-ROW($E$1)&lt;=$B$1-$B$2,INDEX(IDX_COMPO!B:B,ROW(IDX_COMPO!#REF!)),IF(ROW(E175)-ROW($E$1)&lt;=$B$4,VLOOKUP(E175,STK_REF!$A$2:$J$1048576,2,0),""))</f>
        <v/>
      </c>
      <c r="J175" s="62" t="str">
        <f>IF($D175&lt;=$B$1-$B$2,IF(INDEX($AA$2:$AA$1048576,MATCH($D175,$AB$2:$AB$1048576,0))="MODIFY",INDEX(IDX_CA!$G$1:$G$1041,SUMPRODUCT(--($E175=IDX_CA!$A$2:$A$1041),--(NXT_COMPO!$P175=IDX_CA!$B$2:$B$1041),--(NXT_COMPO!$Q175=IDX_CA!$C$2:$C$1041),ROW(IDX_CA!$G$2:$G$1041))),INDEX(IDX_COMPOSITION!$F$1:$F$441,SUMPRODUCT(--($E175=IDX_COMPOSITION!$A$2:$A$441),--(NXT_COMPO!$P175=IDX_COMPOSITION!$R$2:$R$441),--(NXT_COMPO!$B$5=IDX_COMPOSITION!$L$2:$L$441),ROW(IDX_COMPOSITION!$F$2:$F$441)))),IF($D175&lt;=$B$4,INDEX(IDX_CA!$G$1:$G$1041,SUMPRODUCT(--($E175=IDX_CA!$A$2:$A$1041),--(NXT_COMPO!$P175=IDX_CA!$B$2:$B$1041),--(NXT_COMPO!$Q175=IDX_CA!$C$2:$C$1041),ROW(IDX_CA!$G$2:$G$1041))),""))</f>
        <v/>
      </c>
      <c r="K175" s="63" t="str">
        <f>IF($D175&lt;&gt;"",VLOOKUP($E175,STK_REF!$A$2:$J$1048576,7,0),"")</f>
        <v/>
      </c>
      <c r="L175" s="5" t="str">
        <f>IF($D175&lt;&gt;"",VLOOKUP($E175,STK_REF!$A$2:$J$1048576,8,0),"")</f>
        <v/>
      </c>
      <c r="M175" s="8" t="str">
        <f>IF($D175&lt;&gt;"",IF($K175=$U175,1,IF(ISNA(VLOOKUP($K175&amp;$U175,CUR_RATES!$A$2:$F$521,4,0)),"",VLOOKUP($K175&amp;$U175,CUR_RATES!$A$2:$F$521,4,0))),"")</f>
        <v/>
      </c>
      <c r="N175" s="61" t="str">
        <f t="shared" si="31"/>
        <v/>
      </c>
      <c r="O175" s="68" t="str">
        <f t="shared" si="32"/>
        <v/>
      </c>
      <c r="P175" s="24"/>
      <c r="Q175" s="2" t="str">
        <f>IF(ROW(Q175)-ROW($E$1)&lt;=$B$4,INDEX(IDX_COMPO!F:F,ROW(IDX_COMPO!#REF!)),"")</f>
        <v/>
      </c>
      <c r="R175" s="68" t="str">
        <f t="shared" si="34"/>
        <v/>
      </c>
      <c r="S175" s="61" t="str">
        <f t="shared" si="35"/>
        <v/>
      </c>
      <c r="T175" s="62" t="str">
        <f>IF(D175&lt;&gt;"",IF(SUMPRODUCT(--($E175=STK_DIV!$A$2:$A$5),--(NXT_COMPO!$Q175=STK_DIV!$E$2:$E$5),ROW(STK_DIV!$D$2:$D$5))=0,"",INDEX(STK_DIV!$D$1:$D$5,SUMPRODUCT(--($E175=STK_DIV!$A$2:$A$5),--(NXT_COMPO!$Q175=STK_DIV!$E$2:$E$5),ROW(STK_DIV!$D$2:$D$5)))),"")</f>
        <v/>
      </c>
      <c r="U175" s="54" t="str">
        <f>IF($D175&lt;&gt;"",VLOOKUP($P175,IDX_REF!$2:$1048576,4,0),"")</f>
        <v/>
      </c>
    </row>
    <row r="176" spans="4:29" x14ac:dyDescent="0.2">
      <c r="D176" s="52" t="str">
        <f t="shared" si="26"/>
        <v/>
      </c>
      <c r="E176" s="5" t="str">
        <f t="shared" si="30"/>
        <v/>
      </c>
      <c r="F176" s="5" t="str">
        <f>IF(ROW(F176)-ROW($E$1)&lt;=$B$1-$B$2,INDEX(IDX_COMPO!B:B,ROW(IDX_COMPO!#REF!)),IF(ROW(E176)-ROW($E$1)&lt;=$B$4,VLOOKUP(E176,STK_REF!$A$2:$J$1048576,2,0),""))</f>
        <v/>
      </c>
      <c r="J176" s="62" t="str">
        <f>IF($D176&lt;=$B$1-$B$2,IF(INDEX($AA$2:$AA$1048576,MATCH($D176,$AB$2:$AB$1048576,0))="MODIFY",INDEX(IDX_CA!$G$1:$G$1041,SUMPRODUCT(--($E176=IDX_CA!$A$2:$A$1041),--(NXT_COMPO!$P176=IDX_CA!$B$2:$B$1041),--(NXT_COMPO!$Q176=IDX_CA!$C$2:$C$1041),ROW(IDX_CA!$G$2:$G$1041))),INDEX(IDX_COMPOSITION!$F$1:$F$441,SUMPRODUCT(--($E176=IDX_COMPOSITION!$A$2:$A$441),--(NXT_COMPO!$P176=IDX_COMPOSITION!$R$2:$R$441),--(NXT_COMPO!$B$5=IDX_COMPOSITION!$L$2:$L$441),ROW(IDX_COMPOSITION!$F$2:$F$441)))),IF($D176&lt;=$B$4,INDEX(IDX_CA!$G$1:$G$1041,SUMPRODUCT(--($E176=IDX_CA!$A$2:$A$1041),--(NXT_COMPO!$P176=IDX_CA!$B$2:$B$1041),--(NXT_COMPO!$Q176=IDX_CA!$C$2:$C$1041),ROW(IDX_CA!$G$2:$G$1041))),""))</f>
        <v/>
      </c>
      <c r="K176" s="63" t="str">
        <f>IF($D176&lt;&gt;"",VLOOKUP($E176,STK_REF!$A$2:$J$1048576,7,0),"")</f>
        <v/>
      </c>
      <c r="L176" s="5" t="str">
        <f>IF($D176&lt;&gt;"",VLOOKUP($E176,STK_REF!$A$2:$J$1048576,8,0),"")</f>
        <v/>
      </c>
      <c r="M176" s="8" t="str">
        <f>IF($D176&lt;&gt;"",IF($K176=$U176,1,IF(ISNA(VLOOKUP($K176&amp;$U176,CUR_RATES!$A$2:$F$521,4,0)),"",VLOOKUP($K176&amp;$U176,CUR_RATES!$A$2:$F$521,4,0))),"")</f>
        <v/>
      </c>
      <c r="N176" s="61" t="str">
        <f t="shared" si="31"/>
        <v/>
      </c>
      <c r="O176" s="68" t="str">
        <f t="shared" si="32"/>
        <v/>
      </c>
      <c r="P176" s="24"/>
      <c r="Q176" s="2" t="str">
        <f>IF(ROW(Q176)-ROW($E$1)&lt;=$B$4,INDEX(IDX_COMPO!F:F,ROW(IDX_COMPO!#REF!)),"")</f>
        <v/>
      </c>
      <c r="R176" s="68" t="str">
        <f t="shared" si="34"/>
        <v/>
      </c>
      <c r="S176" s="61" t="str">
        <f t="shared" si="35"/>
        <v/>
      </c>
      <c r="T176" s="62" t="str">
        <f>IF(D176&lt;&gt;"",IF(SUMPRODUCT(--($E176=STK_DIV!$A$2:$A$5),--(NXT_COMPO!$Q176=STK_DIV!$E$2:$E$5),ROW(STK_DIV!$D$2:$D$5))=0,"",INDEX(STK_DIV!$D$1:$D$5,SUMPRODUCT(--($E176=STK_DIV!$A$2:$A$5),--(NXT_COMPO!$Q176=STK_DIV!$E$2:$E$5),ROW(STK_DIV!$D$2:$D$5)))),"")</f>
        <v/>
      </c>
      <c r="U176" s="54" t="str">
        <f>IF($D176&lt;&gt;"",VLOOKUP($P176,IDX_REF!$2:$1048576,4,0),"")</f>
        <v/>
      </c>
    </row>
    <row r="177" spans="4:21" x14ac:dyDescent="0.2">
      <c r="D177" s="52" t="str">
        <f t="shared" si="26"/>
        <v/>
      </c>
      <c r="E177" s="5" t="str">
        <f t="shared" si="30"/>
        <v/>
      </c>
      <c r="F177" s="5" t="str">
        <f>IF(ROW(F177)-ROW($E$1)&lt;=$B$1-$B$2,INDEX(IDX_COMPO!B:B,ROW(IDX_COMPO!#REF!)),IF(ROW(E177)-ROW($E$1)&lt;=$B$4,VLOOKUP(E177,STK_REF!$A$2:$J$1048576,2,0),""))</f>
        <v/>
      </c>
      <c r="J177" s="62" t="str">
        <f>IF($D177&lt;=$B$1-$B$2,IF(INDEX($AA$2:$AA$1048576,MATCH($D177,$AB$2:$AB$1048576,0))="MODIFY",INDEX(IDX_CA!$G$1:$G$1041,SUMPRODUCT(--($E177=IDX_CA!$A$2:$A$1041),--(NXT_COMPO!$P177=IDX_CA!$B$2:$B$1041),--(NXT_COMPO!$Q177=IDX_CA!$C$2:$C$1041),ROW(IDX_CA!$G$2:$G$1041))),INDEX(IDX_COMPOSITION!$F$1:$F$441,SUMPRODUCT(--($E177=IDX_COMPOSITION!$A$2:$A$441),--(NXT_COMPO!$P177=IDX_COMPOSITION!$R$2:$R$441),--(NXT_COMPO!$B$5=IDX_COMPOSITION!$L$2:$L$441),ROW(IDX_COMPOSITION!$F$2:$F$441)))),IF($D177&lt;=$B$4,INDEX(IDX_CA!$G$1:$G$1041,SUMPRODUCT(--($E177=IDX_CA!$A$2:$A$1041),--(NXT_COMPO!$P177=IDX_CA!$B$2:$B$1041),--(NXT_COMPO!$Q177=IDX_CA!$C$2:$C$1041),ROW(IDX_CA!$G$2:$G$1041))),""))</f>
        <v/>
      </c>
      <c r="K177" s="63" t="str">
        <f>IF($D177&lt;&gt;"",VLOOKUP($E177,STK_REF!$A$2:$J$1048576,7,0),"")</f>
        <v/>
      </c>
      <c r="L177" s="5" t="str">
        <f>IF($D177&lt;&gt;"",VLOOKUP($E177,STK_REF!$A$2:$J$1048576,8,0),"")</f>
        <v/>
      </c>
      <c r="M177" s="8" t="str">
        <f>IF($D177&lt;&gt;"",IF($K177=$U177,1,IF(ISNA(VLOOKUP($K177&amp;$U177,CUR_RATES!$A$2:$F$521,4,0)),"",VLOOKUP($K177&amp;$U177,CUR_RATES!$A$2:$F$521,4,0))),"")</f>
        <v/>
      </c>
      <c r="N177" s="61" t="str">
        <f t="shared" si="31"/>
        <v/>
      </c>
      <c r="O177" s="68" t="str">
        <f t="shared" si="32"/>
        <v/>
      </c>
      <c r="P177" s="24"/>
      <c r="Q177" s="2" t="str">
        <f>IF(ROW(Q177)-ROW($E$1)&lt;=$B$4,INDEX(IDX_COMPO!F:F,ROW(IDX_COMPO!#REF!)),"")</f>
        <v/>
      </c>
      <c r="R177" s="68" t="str">
        <f t="shared" si="34"/>
        <v/>
      </c>
      <c r="S177" s="61" t="str">
        <f t="shared" si="35"/>
        <v/>
      </c>
      <c r="T177" s="62" t="str">
        <f>IF(D177&lt;&gt;"",IF(SUMPRODUCT(--($E177=STK_DIV!$A$2:$A$5),--(NXT_COMPO!$Q177=STK_DIV!$E$2:$E$5),ROW(STK_DIV!$D$2:$D$5))=0,"",INDEX(STK_DIV!$D$1:$D$5,SUMPRODUCT(--($E177=STK_DIV!$A$2:$A$5),--(NXT_COMPO!$Q177=STK_DIV!$E$2:$E$5),ROW(STK_DIV!$D$2:$D$5)))),"")</f>
        <v/>
      </c>
      <c r="U177" s="54" t="str">
        <f>IF($D177&lt;&gt;"",VLOOKUP($P177,IDX_REF!$2:$1048576,4,0),"")</f>
        <v/>
      </c>
    </row>
    <row r="178" spans="4:21" x14ac:dyDescent="0.2">
      <c r="D178" s="52" t="str">
        <f t="shared" si="26"/>
        <v/>
      </c>
      <c r="E178" s="5" t="str">
        <f t="shared" si="30"/>
        <v/>
      </c>
      <c r="F178" s="5" t="str">
        <f>IF(ROW(F178)-ROW($E$1)&lt;=$B$1-$B$2,INDEX(IDX_COMPO!B:B,ROW(IDX_COMPO!#REF!)),IF(ROW(E178)-ROW($E$1)&lt;=$B$4,VLOOKUP(E178,STK_REF!$A$2:$J$1048576,2,0),""))</f>
        <v/>
      </c>
      <c r="J178" s="62" t="str">
        <f>IF($D178&lt;=$B$1-$B$2,IF(INDEX($AA$2:$AA$1048576,MATCH($D178,$AB$2:$AB$1048576,0))="MODIFY",INDEX(IDX_CA!$G$1:$G$1041,SUMPRODUCT(--($E178=IDX_CA!$A$2:$A$1041),--(NXT_COMPO!$P178=IDX_CA!$B$2:$B$1041),--(NXT_COMPO!$Q178=IDX_CA!$C$2:$C$1041),ROW(IDX_CA!$G$2:$G$1041))),INDEX(IDX_COMPOSITION!$F$1:$F$441,SUMPRODUCT(--($E178=IDX_COMPOSITION!$A$2:$A$441),--(NXT_COMPO!$P178=IDX_COMPOSITION!$R$2:$R$441),--(NXT_COMPO!$B$5=IDX_COMPOSITION!$L$2:$L$441),ROW(IDX_COMPOSITION!$F$2:$F$441)))),IF($D178&lt;=$B$4,INDEX(IDX_CA!$G$1:$G$1041,SUMPRODUCT(--($E178=IDX_CA!$A$2:$A$1041),--(NXT_COMPO!$P178=IDX_CA!$B$2:$B$1041),--(NXT_COMPO!$Q178=IDX_CA!$C$2:$C$1041),ROW(IDX_CA!$G$2:$G$1041))),""))</f>
        <v/>
      </c>
      <c r="K178" s="63" t="str">
        <f>IF($D178&lt;&gt;"",VLOOKUP($E178,STK_REF!$A$2:$J$1048576,7,0),"")</f>
        <v/>
      </c>
      <c r="L178" s="5" t="str">
        <f>IF($D178&lt;&gt;"",VLOOKUP($E178,STK_REF!$A$2:$J$1048576,8,0),"")</f>
        <v/>
      </c>
      <c r="M178" s="8" t="str">
        <f>IF($D178&lt;&gt;"",IF($K178=$U178,1,IF(ISNA(VLOOKUP($K178&amp;$U178,CUR_RATES!$A$2:$F$521,4,0)),"",VLOOKUP($K178&amp;$U178,CUR_RATES!$A$2:$F$521,4,0))),"")</f>
        <v/>
      </c>
      <c r="N178" s="61" t="str">
        <f t="shared" si="31"/>
        <v/>
      </c>
      <c r="O178" s="68" t="str">
        <f t="shared" si="32"/>
        <v/>
      </c>
      <c r="P178" s="24"/>
      <c r="Q178" s="2" t="str">
        <f>IF(ROW(Q178)-ROW($E$1)&lt;=$B$4,INDEX(IDX_COMPO!F:F,ROW(IDX_COMPO!#REF!)),"")</f>
        <v/>
      </c>
      <c r="R178" s="68" t="str">
        <f t="shared" si="34"/>
        <v/>
      </c>
      <c r="S178" s="61" t="str">
        <f t="shared" si="35"/>
        <v/>
      </c>
      <c r="T178" s="62" t="str">
        <f>IF(D178&lt;&gt;"",IF(SUMPRODUCT(--($E178=STK_DIV!$A$2:$A$5),--(NXT_COMPO!$Q178=STK_DIV!$E$2:$E$5),ROW(STK_DIV!$D$2:$D$5))=0,"",INDEX(STK_DIV!$D$1:$D$5,SUMPRODUCT(--($E178=STK_DIV!$A$2:$A$5),--(NXT_COMPO!$Q178=STK_DIV!$E$2:$E$5),ROW(STK_DIV!$D$2:$D$5)))),"")</f>
        <v/>
      </c>
      <c r="U178" s="54" t="str">
        <f>IF($D178&lt;&gt;"",VLOOKUP($P178,IDX_REF!$2:$1048576,4,0),"")</f>
        <v/>
      </c>
    </row>
    <row r="179" spans="4:21" x14ac:dyDescent="0.2">
      <c r="D179" s="52" t="str">
        <f t="shared" si="26"/>
        <v/>
      </c>
      <c r="E179" s="5" t="str">
        <f t="shared" si="30"/>
        <v/>
      </c>
      <c r="F179" s="5" t="str">
        <f>IF(ROW(F179)-ROW($E$1)&lt;=$B$1-$B$2,INDEX(IDX_COMPO!B:B,ROW(IDX_COMPO!#REF!)),IF(ROW(E179)-ROW($E$1)&lt;=$B$4,VLOOKUP(E179,STK_REF!$A$2:$J$1048576,2,0),""))</f>
        <v/>
      </c>
      <c r="J179" s="62" t="str">
        <f>IF($D179&lt;=$B$1-$B$2,IF(INDEX($AA$2:$AA$1048576,MATCH($D179,$AB$2:$AB$1048576,0))="MODIFY",INDEX(IDX_CA!$G$1:$G$1041,SUMPRODUCT(--($E179=IDX_CA!$A$2:$A$1041),--(NXT_COMPO!$P179=IDX_CA!$B$2:$B$1041),--(NXT_COMPO!$Q179=IDX_CA!$C$2:$C$1041),ROW(IDX_CA!$G$2:$G$1041))),INDEX(IDX_COMPOSITION!$F$1:$F$441,SUMPRODUCT(--($E179=IDX_COMPOSITION!$A$2:$A$441),--(NXT_COMPO!$P179=IDX_COMPOSITION!$R$2:$R$441),--(NXT_COMPO!$B$5=IDX_COMPOSITION!$L$2:$L$441),ROW(IDX_COMPOSITION!$F$2:$F$441)))),IF($D179&lt;=$B$4,INDEX(IDX_CA!$G$1:$G$1041,SUMPRODUCT(--($E179=IDX_CA!$A$2:$A$1041),--(NXT_COMPO!$P179=IDX_CA!$B$2:$B$1041),--(NXT_COMPO!$Q179=IDX_CA!$C$2:$C$1041),ROW(IDX_CA!$G$2:$G$1041))),""))</f>
        <v/>
      </c>
      <c r="K179" s="63" t="str">
        <f>IF($D179&lt;&gt;"",VLOOKUP($E179,STK_REF!$A$2:$J$1048576,7,0),"")</f>
        <v/>
      </c>
      <c r="L179" s="5" t="str">
        <f>IF($D179&lt;&gt;"",VLOOKUP($E179,STK_REF!$A$2:$J$1048576,8,0),"")</f>
        <v/>
      </c>
      <c r="M179" s="8" t="str">
        <f>IF($D179&lt;&gt;"",IF($K179=$U179,1,IF(ISNA(VLOOKUP($K179&amp;$U179,CUR_RATES!$A$2:$F$521,4,0)),"",VLOOKUP($K179&amp;$U179,CUR_RATES!$A$2:$F$521,4,0))),"")</f>
        <v/>
      </c>
      <c r="N179" s="61" t="str">
        <f t="shared" si="31"/>
        <v/>
      </c>
      <c r="O179" s="68" t="str">
        <f t="shared" si="32"/>
        <v/>
      </c>
      <c r="P179" s="24"/>
      <c r="Q179" s="2" t="str">
        <f>IF(ROW(Q179)-ROW($E$1)&lt;=$B$4,INDEX(IDX_COMPO!F:F,ROW(IDX_COMPO!#REF!)),"")</f>
        <v/>
      </c>
      <c r="R179" s="68" t="str">
        <f t="shared" si="34"/>
        <v/>
      </c>
      <c r="S179" s="61" t="str">
        <f t="shared" si="35"/>
        <v/>
      </c>
      <c r="T179" s="62" t="str">
        <f>IF(D179&lt;&gt;"",IF(SUMPRODUCT(--($E179=STK_DIV!$A$2:$A$5),--(NXT_COMPO!$Q179=STK_DIV!$E$2:$E$5),ROW(STK_DIV!$D$2:$D$5))=0,"",INDEX(STK_DIV!$D$1:$D$5,SUMPRODUCT(--($E179=STK_DIV!$A$2:$A$5),--(NXT_COMPO!$Q179=STK_DIV!$E$2:$E$5),ROW(STK_DIV!$D$2:$D$5)))),"")</f>
        <v/>
      </c>
      <c r="U179" s="54" t="str">
        <f>IF($D179&lt;&gt;"",VLOOKUP($P179,IDX_REF!$2:$1048576,4,0),"")</f>
        <v/>
      </c>
    </row>
    <row r="180" spans="4:21" x14ac:dyDescent="0.2">
      <c r="D180" s="52" t="str">
        <f t="shared" si="26"/>
        <v/>
      </c>
      <c r="E180" s="5" t="str">
        <f t="shared" si="30"/>
        <v/>
      </c>
      <c r="F180" s="5" t="str">
        <f>IF(ROW(F180)-ROW($E$1)&lt;=$B$1-$B$2,INDEX(IDX_COMPO!B:B,ROW(IDX_COMPO!#REF!)),IF(ROW(E180)-ROW($E$1)&lt;=$B$4,VLOOKUP(E180,STK_REF!$A$2:$J$1048576,2,0),""))</f>
        <v/>
      </c>
      <c r="J180" s="62" t="str">
        <f>IF($D180&lt;=$B$1-$B$2,IF(INDEX($AA$2:$AA$1048576,MATCH($D180,$AB$2:$AB$1048576,0))="MODIFY",INDEX(IDX_CA!$G$1:$G$1041,SUMPRODUCT(--($E180=IDX_CA!$A$2:$A$1041),--(NXT_COMPO!$P180=IDX_CA!$B$2:$B$1041),--(NXT_COMPO!$Q180=IDX_CA!$C$2:$C$1041),ROW(IDX_CA!$G$2:$G$1041))),INDEX(IDX_COMPOSITION!$F$1:$F$441,SUMPRODUCT(--($E180=IDX_COMPOSITION!$A$2:$A$441),--(NXT_COMPO!$P180=IDX_COMPOSITION!$R$2:$R$441),--(NXT_COMPO!$B$5=IDX_COMPOSITION!$L$2:$L$441),ROW(IDX_COMPOSITION!$F$2:$F$441)))),IF($D180&lt;=$B$4,INDEX(IDX_CA!$G$1:$G$1041,SUMPRODUCT(--($E180=IDX_CA!$A$2:$A$1041),--(NXT_COMPO!$P180=IDX_CA!$B$2:$B$1041),--(NXT_COMPO!$Q180=IDX_CA!$C$2:$C$1041),ROW(IDX_CA!$G$2:$G$1041))),""))</f>
        <v/>
      </c>
      <c r="K180" s="63" t="str">
        <f>IF($D180&lt;&gt;"",VLOOKUP($E180,STK_REF!$A$2:$J$1048576,7,0),"")</f>
        <v/>
      </c>
      <c r="L180" s="5" t="str">
        <f>IF($D180&lt;&gt;"",VLOOKUP($E180,STK_REF!$A$2:$J$1048576,8,0),"")</f>
        <v/>
      </c>
      <c r="M180" s="8" t="str">
        <f>IF($D180&lt;&gt;"",IF($K180=$U180,1,IF(ISNA(VLOOKUP($K180&amp;$U180,CUR_RATES!$A$2:$F$521,4,0)),"",VLOOKUP($K180&amp;$U180,CUR_RATES!$A$2:$F$521,4,0))),"")</f>
        <v/>
      </c>
      <c r="N180" s="61" t="str">
        <f t="shared" si="31"/>
        <v/>
      </c>
      <c r="O180" s="68" t="str">
        <f t="shared" si="32"/>
        <v/>
      </c>
      <c r="P180" s="24"/>
      <c r="Q180" s="2" t="str">
        <f>IF(ROW(Q180)-ROW($E$1)&lt;=$B$4,INDEX(IDX_COMPO!F:F,ROW(IDX_COMPO!#REF!)),"")</f>
        <v/>
      </c>
      <c r="R180" s="68" t="str">
        <f t="shared" si="34"/>
        <v/>
      </c>
      <c r="S180" s="61" t="str">
        <f t="shared" si="35"/>
        <v/>
      </c>
      <c r="T180" s="62" t="str">
        <f>IF(D180&lt;&gt;"",IF(SUMPRODUCT(--($E180=STK_DIV!$A$2:$A$5),--(NXT_COMPO!$Q180=STK_DIV!$E$2:$E$5),ROW(STK_DIV!$D$2:$D$5))=0,"",INDEX(STK_DIV!$D$1:$D$5,SUMPRODUCT(--($E180=STK_DIV!$A$2:$A$5),--(NXT_COMPO!$Q180=STK_DIV!$E$2:$E$5),ROW(STK_DIV!$D$2:$D$5)))),"")</f>
        <v/>
      </c>
      <c r="U180" s="54" t="str">
        <f>IF($D180&lt;&gt;"",VLOOKUP($P180,IDX_REF!$2:$1048576,4,0),"")</f>
        <v/>
      </c>
    </row>
    <row r="181" spans="4:21" x14ac:dyDescent="0.2">
      <c r="D181" s="52" t="str">
        <f t="shared" si="26"/>
        <v/>
      </c>
      <c r="E181" s="5" t="str">
        <f t="shared" si="30"/>
        <v/>
      </c>
      <c r="F181" s="5" t="str">
        <f>IF(ROW(F181)-ROW($E$1)&lt;=$B$1-$B$2,INDEX(IDX_COMPO!B:B,ROW(IDX_COMPO!#REF!)),IF(ROW(E181)-ROW($E$1)&lt;=$B$4,VLOOKUP(E181,STK_REF!$A$2:$J$1048576,2,0),""))</f>
        <v/>
      </c>
      <c r="J181" s="62" t="str">
        <f>IF($D181&lt;=$B$1-$B$2,IF(INDEX($AA$2:$AA$1048576,MATCH($D181,$AB$2:$AB$1048576,0))="MODIFY",INDEX(IDX_CA!$G$1:$G$1041,SUMPRODUCT(--($E181=IDX_CA!$A$2:$A$1041),--(NXT_COMPO!$P181=IDX_CA!$B$2:$B$1041),--(NXT_COMPO!$Q181=IDX_CA!$C$2:$C$1041),ROW(IDX_CA!$G$2:$G$1041))),INDEX(IDX_COMPOSITION!$F$1:$F$441,SUMPRODUCT(--($E181=IDX_COMPOSITION!$A$2:$A$441),--(NXT_COMPO!$P181=IDX_COMPOSITION!$R$2:$R$441),--(NXT_COMPO!$B$5=IDX_COMPOSITION!$L$2:$L$441),ROW(IDX_COMPOSITION!$F$2:$F$441)))),IF($D181&lt;=$B$4,INDEX(IDX_CA!$G$1:$G$1041,SUMPRODUCT(--($E181=IDX_CA!$A$2:$A$1041),--(NXT_COMPO!$P181=IDX_CA!$B$2:$B$1041),--(NXT_COMPO!$Q181=IDX_CA!$C$2:$C$1041),ROW(IDX_CA!$G$2:$G$1041))),""))</f>
        <v/>
      </c>
      <c r="K181" s="63" t="str">
        <f>IF($D181&lt;&gt;"",VLOOKUP($E181,STK_REF!$A$2:$J$1048576,7,0),"")</f>
        <v/>
      </c>
      <c r="L181" s="5" t="str">
        <f>IF($D181&lt;&gt;"",VLOOKUP($E181,STK_REF!$A$2:$J$1048576,8,0),"")</f>
        <v/>
      </c>
      <c r="M181" s="8" t="str">
        <f>IF($D181&lt;&gt;"",IF($K181=$U181,1,IF(ISNA(VLOOKUP($K181&amp;$U181,CUR_RATES!$A$2:$F$521,4,0)),"",VLOOKUP($K181&amp;$U181,CUR_RATES!$A$2:$F$521,4,0))),"")</f>
        <v/>
      </c>
      <c r="N181" s="61" t="str">
        <f t="shared" si="31"/>
        <v/>
      </c>
      <c r="O181" s="68" t="str">
        <f t="shared" si="32"/>
        <v/>
      </c>
      <c r="P181" s="24"/>
      <c r="Q181" s="2" t="str">
        <f>IF(ROW(Q181)-ROW($E$1)&lt;=$B$4,INDEX(IDX_COMPO!F:F,ROW(IDX_COMPO!#REF!)),"")</f>
        <v/>
      </c>
      <c r="R181" s="68" t="str">
        <f t="shared" si="34"/>
        <v/>
      </c>
      <c r="S181" s="61" t="str">
        <f t="shared" si="35"/>
        <v/>
      </c>
      <c r="T181" s="62" t="str">
        <f>IF(D181&lt;&gt;"",IF(SUMPRODUCT(--($E181=STK_DIV!$A$2:$A$5),--(NXT_COMPO!$Q181=STK_DIV!$E$2:$E$5),ROW(STK_DIV!$D$2:$D$5))=0,"",INDEX(STK_DIV!$D$1:$D$5,SUMPRODUCT(--($E181=STK_DIV!$A$2:$A$5),--(NXT_COMPO!$Q181=STK_DIV!$E$2:$E$5),ROW(STK_DIV!$D$2:$D$5)))),"")</f>
        <v/>
      </c>
      <c r="U181" s="54" t="str">
        <f>IF($D181&lt;&gt;"",VLOOKUP($P181,IDX_REF!$2:$1048576,4,0),"")</f>
        <v/>
      </c>
    </row>
    <row r="182" spans="4:21" x14ac:dyDescent="0.2">
      <c r="D182" s="52" t="str">
        <f t="shared" si="26"/>
        <v/>
      </c>
      <c r="E182" s="5" t="str">
        <f t="shared" si="30"/>
        <v/>
      </c>
      <c r="F182" s="5" t="str">
        <f>IF(ROW(F182)-ROW($E$1)&lt;=$B$1-$B$2,INDEX(IDX_COMPO!B:B,ROW(IDX_COMPO!#REF!)),IF(ROW(E182)-ROW($E$1)&lt;=$B$4,VLOOKUP(E182,STK_REF!$A$2:$J$1048576,2,0),""))</f>
        <v/>
      </c>
      <c r="J182" s="62" t="str">
        <f>IF($D182&lt;=$B$1-$B$2,IF(INDEX($AA$2:$AA$1048576,MATCH($D182,$AB$2:$AB$1048576,0))="MODIFY",INDEX(IDX_CA!$G$1:$G$1041,SUMPRODUCT(--($E182=IDX_CA!$A$2:$A$1041),--(NXT_COMPO!$P182=IDX_CA!$B$2:$B$1041),--(NXT_COMPO!$Q182=IDX_CA!$C$2:$C$1041),ROW(IDX_CA!$G$2:$G$1041))),INDEX(IDX_COMPOSITION!$F$1:$F$441,SUMPRODUCT(--($E182=IDX_COMPOSITION!$A$2:$A$441),--(NXT_COMPO!$P182=IDX_COMPOSITION!$R$2:$R$441),--(NXT_COMPO!$B$5=IDX_COMPOSITION!$L$2:$L$441),ROW(IDX_COMPOSITION!$F$2:$F$441)))),IF($D182&lt;=$B$4,INDEX(IDX_CA!$G$1:$G$1041,SUMPRODUCT(--($E182=IDX_CA!$A$2:$A$1041),--(NXT_COMPO!$P182=IDX_CA!$B$2:$B$1041),--(NXT_COMPO!$Q182=IDX_CA!$C$2:$C$1041),ROW(IDX_CA!$G$2:$G$1041))),""))</f>
        <v/>
      </c>
      <c r="K182" s="63" t="str">
        <f>IF($D182&lt;&gt;"",VLOOKUP($E182,STK_REF!$A$2:$J$1048576,7,0),"")</f>
        <v/>
      </c>
      <c r="L182" s="5" t="str">
        <f>IF($D182&lt;&gt;"",VLOOKUP($E182,STK_REF!$A$2:$J$1048576,8,0),"")</f>
        <v/>
      </c>
      <c r="M182" s="8" t="str">
        <f>IF($D182&lt;&gt;"",IF($K182=$U182,1,IF(ISNA(VLOOKUP($K182&amp;$U182,CUR_RATES!$A$2:$F$521,4,0)),"",VLOOKUP($K182&amp;$U182,CUR_RATES!$A$2:$F$521,4,0))),"")</f>
        <v/>
      </c>
      <c r="N182" s="61" t="str">
        <f t="shared" si="31"/>
        <v/>
      </c>
      <c r="O182" s="68" t="str">
        <f t="shared" si="32"/>
        <v/>
      </c>
      <c r="P182" s="24"/>
      <c r="Q182" s="2" t="str">
        <f>IF(ROW(Q182)-ROW($E$1)&lt;=$B$4,INDEX(IDX_COMPO!F:F,ROW(IDX_COMPO!#REF!)),"")</f>
        <v/>
      </c>
      <c r="R182" s="68" t="str">
        <f t="shared" si="34"/>
        <v/>
      </c>
      <c r="S182" s="61" t="str">
        <f t="shared" si="35"/>
        <v/>
      </c>
      <c r="T182" s="62" t="str">
        <f>IF(D182&lt;&gt;"",IF(SUMPRODUCT(--($E182=STK_DIV!$A$2:$A$5),--(NXT_COMPO!$Q182=STK_DIV!$E$2:$E$5),ROW(STK_DIV!$D$2:$D$5))=0,"",INDEX(STK_DIV!$D$1:$D$5,SUMPRODUCT(--($E182=STK_DIV!$A$2:$A$5),--(NXT_COMPO!$Q182=STK_DIV!$E$2:$E$5),ROW(STK_DIV!$D$2:$D$5)))),"")</f>
        <v/>
      </c>
      <c r="U182" s="54" t="str">
        <f>IF($D182&lt;&gt;"",VLOOKUP($P182,IDX_REF!$2:$1048576,4,0),"")</f>
        <v/>
      </c>
    </row>
    <row r="183" spans="4:21" x14ac:dyDescent="0.2">
      <c r="D183" s="52" t="str">
        <f t="shared" si="26"/>
        <v/>
      </c>
      <c r="E183" s="5" t="str">
        <f t="shared" si="30"/>
        <v/>
      </c>
      <c r="F183" s="5" t="str">
        <f>IF(ROW(F183)-ROW($E$1)&lt;=$B$1-$B$2,INDEX(IDX_COMPO!B:B,ROW(IDX_COMPO!#REF!)),IF(ROW(E183)-ROW($E$1)&lt;=$B$4,VLOOKUP(E183,STK_REF!$A$2:$J$1048576,2,0),""))</f>
        <v/>
      </c>
      <c r="J183" s="62" t="str">
        <f>IF($D183&lt;=$B$1-$B$2,IF(INDEX($AA$2:$AA$1048576,MATCH($D183,$AB$2:$AB$1048576,0))="MODIFY",INDEX(IDX_CA!$G$1:$G$1041,SUMPRODUCT(--($E183=IDX_CA!$A$2:$A$1041),--(NXT_COMPO!$P183=IDX_CA!$B$2:$B$1041),--(NXT_COMPO!$Q183=IDX_CA!$C$2:$C$1041),ROW(IDX_CA!$G$2:$G$1041))),INDEX(IDX_COMPOSITION!$F$1:$F$441,SUMPRODUCT(--($E183=IDX_COMPOSITION!$A$2:$A$441),--(NXT_COMPO!$P183=IDX_COMPOSITION!$R$2:$R$441),--(NXT_COMPO!$B$5=IDX_COMPOSITION!$L$2:$L$441),ROW(IDX_COMPOSITION!$F$2:$F$441)))),IF($D183&lt;=$B$4,INDEX(IDX_CA!$G$1:$G$1041,SUMPRODUCT(--($E183=IDX_CA!$A$2:$A$1041),--(NXT_COMPO!$P183=IDX_CA!$B$2:$B$1041),--(NXT_COMPO!$Q183=IDX_CA!$C$2:$C$1041),ROW(IDX_CA!$G$2:$G$1041))),""))</f>
        <v/>
      </c>
      <c r="K183" s="63" t="str">
        <f>IF($D183&lt;&gt;"",VLOOKUP($E183,STK_REF!$A$2:$J$1048576,7,0),"")</f>
        <v/>
      </c>
      <c r="L183" s="5" t="str">
        <f>IF($D183&lt;&gt;"",VLOOKUP($E183,STK_REF!$A$2:$J$1048576,8,0),"")</f>
        <v/>
      </c>
      <c r="M183" s="8" t="str">
        <f>IF($D183&lt;&gt;"",IF($K183=$U183,1,IF(ISNA(VLOOKUP($K183&amp;$U183,CUR_RATES!$A$2:$F$521,4,0)),"",VLOOKUP($K183&amp;$U183,CUR_RATES!$A$2:$F$521,4,0))),"")</f>
        <v/>
      </c>
      <c r="N183" s="61" t="str">
        <f t="shared" si="31"/>
        <v/>
      </c>
      <c r="O183" s="68" t="str">
        <f t="shared" si="32"/>
        <v/>
      </c>
      <c r="P183" s="24"/>
      <c r="Q183" s="2" t="str">
        <f>IF(ROW(Q183)-ROW($E$1)&lt;=$B$4,INDEX(IDX_COMPO!F:F,ROW(IDX_COMPO!#REF!)),"")</f>
        <v/>
      </c>
      <c r="R183" s="68" t="str">
        <f t="shared" si="34"/>
        <v/>
      </c>
      <c r="S183" s="61" t="str">
        <f t="shared" si="35"/>
        <v/>
      </c>
      <c r="T183" s="62" t="str">
        <f>IF(D183&lt;&gt;"",IF(SUMPRODUCT(--($E183=STK_DIV!$A$2:$A$5),--(NXT_COMPO!$Q183=STK_DIV!$E$2:$E$5),ROW(STK_DIV!$D$2:$D$5))=0,"",INDEX(STK_DIV!$D$1:$D$5,SUMPRODUCT(--($E183=STK_DIV!$A$2:$A$5),--(NXT_COMPO!$Q183=STK_DIV!$E$2:$E$5),ROW(STK_DIV!$D$2:$D$5)))),"")</f>
        <v/>
      </c>
      <c r="U183" s="54" t="str">
        <f>IF($D183&lt;&gt;"",VLOOKUP($P183,IDX_REF!$2:$1048576,4,0),"")</f>
        <v/>
      </c>
    </row>
    <row r="184" spans="4:21" x14ac:dyDescent="0.2">
      <c r="D184" s="52" t="str">
        <f t="shared" si="26"/>
        <v/>
      </c>
      <c r="E184" s="5" t="str">
        <f t="shared" si="30"/>
        <v/>
      </c>
      <c r="F184" s="5" t="str">
        <f>IF(ROW(F184)-ROW($E$1)&lt;=$B$1-$B$2,INDEX(IDX_COMPO!B:B,ROW(IDX_COMPO!#REF!)),IF(ROW(E184)-ROW($E$1)&lt;=$B$4,VLOOKUP(E184,STK_REF!$A$2:$J$1048576,2,0),""))</f>
        <v/>
      </c>
      <c r="J184" s="62" t="str">
        <f>IF($D184&lt;=$B$1-$B$2,IF(INDEX($AA$2:$AA$1048576,MATCH($D184,$AB$2:$AB$1048576,0))="MODIFY",INDEX(IDX_CA!$G$1:$G$1041,SUMPRODUCT(--($E184=IDX_CA!$A$2:$A$1041),--(NXT_COMPO!$P184=IDX_CA!$B$2:$B$1041),--(NXT_COMPO!$Q184=IDX_CA!$C$2:$C$1041),ROW(IDX_CA!$G$2:$G$1041))),INDEX(IDX_COMPOSITION!$F$1:$F$441,SUMPRODUCT(--($E184=IDX_COMPOSITION!$A$2:$A$441),--(NXT_COMPO!$P184=IDX_COMPOSITION!$R$2:$R$441),--(NXT_COMPO!$B$5=IDX_COMPOSITION!$L$2:$L$441),ROW(IDX_COMPOSITION!$F$2:$F$441)))),IF($D184&lt;=$B$4,INDEX(IDX_CA!$G$1:$G$1041,SUMPRODUCT(--($E184=IDX_CA!$A$2:$A$1041),--(NXT_COMPO!$P184=IDX_CA!$B$2:$B$1041),--(NXT_COMPO!$Q184=IDX_CA!$C$2:$C$1041),ROW(IDX_CA!$G$2:$G$1041))),""))</f>
        <v/>
      </c>
      <c r="K184" s="63" t="str">
        <f>IF($D184&lt;&gt;"",VLOOKUP($E184,STK_REF!$A$2:$J$1048576,7,0),"")</f>
        <v/>
      </c>
      <c r="L184" s="5" t="str">
        <f>IF($D184&lt;&gt;"",VLOOKUP($E184,STK_REF!$A$2:$J$1048576,8,0),"")</f>
        <v/>
      </c>
      <c r="M184" s="8" t="str">
        <f>IF($D184&lt;&gt;"",IF($K184=$U184,1,IF(ISNA(VLOOKUP($K184&amp;$U184,CUR_RATES!$A$2:$F$521,4,0)),"",VLOOKUP($K184&amp;$U184,CUR_RATES!$A$2:$F$521,4,0))),"")</f>
        <v/>
      </c>
      <c r="N184" s="61" t="str">
        <f t="shared" si="31"/>
        <v/>
      </c>
      <c r="O184" s="68" t="str">
        <f t="shared" si="32"/>
        <v/>
      </c>
      <c r="P184" s="24"/>
      <c r="Q184" s="2" t="str">
        <f>IF(ROW(Q184)-ROW($E$1)&lt;=$B$4,INDEX(IDX_COMPO!F:F,ROW(IDX_COMPO!#REF!)),"")</f>
        <v/>
      </c>
      <c r="R184" s="68" t="str">
        <f t="shared" si="34"/>
        <v/>
      </c>
      <c r="S184" s="61" t="str">
        <f t="shared" si="35"/>
        <v/>
      </c>
      <c r="T184" s="62" t="str">
        <f>IF(D184&lt;&gt;"",IF(SUMPRODUCT(--($E184=STK_DIV!$A$2:$A$5),--(NXT_COMPO!$Q184=STK_DIV!$E$2:$E$5),ROW(STK_DIV!$D$2:$D$5))=0,"",INDEX(STK_DIV!$D$1:$D$5,SUMPRODUCT(--($E184=STK_DIV!$A$2:$A$5),--(NXT_COMPO!$Q184=STK_DIV!$E$2:$E$5),ROW(STK_DIV!$D$2:$D$5)))),"")</f>
        <v/>
      </c>
      <c r="U184" s="54" t="str">
        <f>IF($D184&lt;&gt;"",VLOOKUP($P184,IDX_REF!$2:$1048576,4,0),"")</f>
        <v/>
      </c>
    </row>
    <row r="185" spans="4:21" x14ac:dyDescent="0.2">
      <c r="D185" s="52" t="str">
        <f t="shared" si="26"/>
        <v/>
      </c>
      <c r="E185" s="5" t="str">
        <f t="shared" si="30"/>
        <v/>
      </c>
      <c r="F185" s="5" t="str">
        <f>IF(ROW(F185)-ROW($E$1)&lt;=$B$1-$B$2,INDEX(IDX_COMPO!B:B,ROW(IDX_COMPO!#REF!)),IF(ROW(E185)-ROW($E$1)&lt;=$B$4,VLOOKUP(E185,STK_REF!$A$2:$J$1048576,2,0),""))</f>
        <v/>
      </c>
      <c r="J185" s="62" t="str">
        <f>IF($D185&lt;=$B$1-$B$2,IF(INDEX($AA$2:$AA$1048576,MATCH($D185,$AB$2:$AB$1048576,0))="MODIFY",INDEX(IDX_CA!$G$1:$G$1041,SUMPRODUCT(--($E185=IDX_CA!$A$2:$A$1041),--(NXT_COMPO!$P185=IDX_CA!$B$2:$B$1041),--(NXT_COMPO!$Q185=IDX_CA!$C$2:$C$1041),ROW(IDX_CA!$G$2:$G$1041))),INDEX(IDX_COMPOSITION!$F$1:$F$441,SUMPRODUCT(--($E185=IDX_COMPOSITION!$A$2:$A$441),--(NXT_COMPO!$P185=IDX_COMPOSITION!$R$2:$R$441),--(NXT_COMPO!$B$5=IDX_COMPOSITION!$L$2:$L$441),ROW(IDX_COMPOSITION!$F$2:$F$441)))),IF($D185&lt;=$B$4,INDEX(IDX_CA!$G$1:$G$1041,SUMPRODUCT(--($E185=IDX_CA!$A$2:$A$1041),--(NXT_COMPO!$P185=IDX_CA!$B$2:$B$1041),--(NXT_COMPO!$Q185=IDX_CA!$C$2:$C$1041),ROW(IDX_CA!$G$2:$G$1041))),""))</f>
        <v/>
      </c>
      <c r="K185" s="63" t="str">
        <f>IF($D185&lt;&gt;"",VLOOKUP($E185,STK_REF!$A$2:$J$1048576,7,0),"")</f>
        <v/>
      </c>
      <c r="L185" s="5" t="str">
        <f>IF($D185&lt;&gt;"",VLOOKUP($E185,STK_REF!$A$2:$J$1048576,8,0),"")</f>
        <v/>
      </c>
      <c r="M185" s="8" t="str">
        <f>IF($D185&lt;&gt;"",IF($K185=$U185,1,IF(ISNA(VLOOKUP($K185&amp;$U185,CUR_RATES!$A$2:$F$521,4,0)),"",VLOOKUP($K185&amp;$U185,CUR_RATES!$A$2:$F$521,4,0))),"")</f>
        <v/>
      </c>
      <c r="N185" s="61" t="str">
        <f t="shared" si="31"/>
        <v/>
      </c>
      <c r="O185" s="68" t="str">
        <f t="shared" si="32"/>
        <v/>
      </c>
      <c r="P185" s="24"/>
      <c r="Q185" s="2" t="str">
        <f>IF(ROW(Q185)-ROW($E$1)&lt;=$B$4,INDEX(IDX_COMPO!F:F,ROW(IDX_COMPO!#REF!)),"")</f>
        <v/>
      </c>
      <c r="R185" s="68" t="str">
        <f t="shared" si="34"/>
        <v/>
      </c>
      <c r="S185" s="61" t="str">
        <f t="shared" si="35"/>
        <v/>
      </c>
      <c r="T185" s="62" t="str">
        <f>IF(D185&lt;&gt;"",IF(SUMPRODUCT(--($E185=STK_DIV!$A$2:$A$5),--(NXT_COMPO!$Q185=STK_DIV!$E$2:$E$5),ROW(STK_DIV!$D$2:$D$5))=0,"",INDEX(STK_DIV!$D$1:$D$5,SUMPRODUCT(--($E185=STK_DIV!$A$2:$A$5),--(NXT_COMPO!$Q185=STK_DIV!$E$2:$E$5),ROW(STK_DIV!$D$2:$D$5)))),"")</f>
        <v/>
      </c>
      <c r="U185" s="54" t="str">
        <f>IF($D185&lt;&gt;"",VLOOKUP($P185,IDX_REF!$2:$1048576,4,0),"")</f>
        <v/>
      </c>
    </row>
    <row r="186" spans="4:21" x14ac:dyDescent="0.2">
      <c r="D186" s="52" t="str">
        <f t="shared" si="26"/>
        <v/>
      </c>
      <c r="E186" s="5" t="str">
        <f t="shared" si="30"/>
        <v/>
      </c>
      <c r="F186" s="5" t="str">
        <f>IF(ROW(F186)-ROW($E$1)&lt;=$B$1-$B$2,INDEX(IDX_COMPO!B:B,ROW(IDX_COMPO!#REF!)),IF(ROW(E186)-ROW($E$1)&lt;=$B$4,VLOOKUP(E186,STK_REF!$A$2:$J$1048576,2,0),""))</f>
        <v/>
      </c>
      <c r="J186" s="62" t="str">
        <f>IF($D186&lt;=$B$1-$B$2,IF(INDEX($AA$2:$AA$1048576,MATCH($D186,$AB$2:$AB$1048576,0))="MODIFY",INDEX(IDX_CA!$G$1:$G$1041,SUMPRODUCT(--($E186=IDX_CA!$A$2:$A$1041),--(NXT_COMPO!$P186=IDX_CA!$B$2:$B$1041),--(NXT_COMPO!$Q186=IDX_CA!$C$2:$C$1041),ROW(IDX_CA!$G$2:$G$1041))),INDEX(IDX_COMPOSITION!$F$1:$F$441,SUMPRODUCT(--($E186=IDX_COMPOSITION!$A$2:$A$441),--(NXT_COMPO!$P186=IDX_COMPOSITION!$R$2:$R$441),--(NXT_COMPO!$B$5=IDX_COMPOSITION!$L$2:$L$441),ROW(IDX_COMPOSITION!$F$2:$F$441)))),IF($D186&lt;=$B$4,INDEX(IDX_CA!$G$1:$G$1041,SUMPRODUCT(--($E186=IDX_CA!$A$2:$A$1041),--(NXT_COMPO!$P186=IDX_CA!$B$2:$B$1041),--(NXT_COMPO!$Q186=IDX_CA!$C$2:$C$1041),ROW(IDX_CA!$G$2:$G$1041))),""))</f>
        <v/>
      </c>
      <c r="K186" s="63" t="str">
        <f>IF($D186&lt;&gt;"",VLOOKUP($E186,STK_REF!$A$2:$J$1048576,7,0),"")</f>
        <v/>
      </c>
      <c r="L186" s="5" t="str">
        <f>IF($D186&lt;&gt;"",VLOOKUP($E186,STK_REF!$A$2:$J$1048576,8,0),"")</f>
        <v/>
      </c>
      <c r="M186" s="8" t="str">
        <f>IF($D186&lt;&gt;"",IF($K186=$U186,1,IF(ISNA(VLOOKUP($K186&amp;$U186,CUR_RATES!$A$2:$F$521,4,0)),"",VLOOKUP($K186&amp;$U186,CUR_RATES!$A$2:$F$521,4,0))),"")</f>
        <v/>
      </c>
      <c r="N186" s="61" t="str">
        <f t="shared" si="31"/>
        <v/>
      </c>
      <c r="O186" s="68" t="str">
        <f t="shared" si="32"/>
        <v/>
      </c>
      <c r="P186" s="24"/>
      <c r="Q186" s="2" t="str">
        <f>IF(ROW(Q186)-ROW($E$1)&lt;=$B$4,INDEX(IDX_COMPO!F:F,ROW(IDX_COMPO!#REF!)),"")</f>
        <v/>
      </c>
      <c r="R186" s="68" t="str">
        <f t="shared" si="34"/>
        <v/>
      </c>
      <c r="S186" s="61" t="str">
        <f t="shared" si="35"/>
        <v/>
      </c>
      <c r="T186" s="62" t="str">
        <f>IF(D186&lt;&gt;"",IF(SUMPRODUCT(--($E186=STK_DIV!$A$2:$A$5),--(NXT_COMPO!$Q186=STK_DIV!$E$2:$E$5),ROW(STK_DIV!$D$2:$D$5))=0,"",INDEX(STK_DIV!$D$1:$D$5,SUMPRODUCT(--($E186=STK_DIV!$A$2:$A$5),--(NXT_COMPO!$Q186=STK_DIV!$E$2:$E$5),ROW(STK_DIV!$D$2:$D$5)))),"")</f>
        <v/>
      </c>
      <c r="U186" s="54" t="str">
        <f>IF($D186&lt;&gt;"",VLOOKUP($P186,IDX_REF!$2:$1048576,4,0),"")</f>
        <v/>
      </c>
    </row>
    <row r="187" spans="4:21" x14ac:dyDescent="0.2">
      <c r="D187" s="52" t="str">
        <f t="shared" si="26"/>
        <v/>
      </c>
      <c r="E187" s="5" t="str">
        <f t="shared" si="30"/>
        <v/>
      </c>
      <c r="F187" s="5" t="str">
        <f>IF(ROW(F187)-ROW($E$1)&lt;=$B$1-$B$2,INDEX(IDX_COMPO!B:B,ROW(IDX_COMPO!#REF!)),IF(ROW(E187)-ROW($E$1)&lt;=$B$4,VLOOKUP(E187,STK_REF!$A$2:$J$1048576,2,0),""))</f>
        <v/>
      </c>
      <c r="J187" s="62" t="str">
        <f>IF($D187&lt;=$B$1-$B$2,IF(INDEX($AA$2:$AA$1048576,MATCH($D187,$AB$2:$AB$1048576,0))="MODIFY",INDEX(IDX_CA!$G$1:$G$1041,SUMPRODUCT(--($E187=IDX_CA!$A$2:$A$1041),--(NXT_COMPO!$P187=IDX_CA!$B$2:$B$1041),--(NXT_COMPO!$Q187=IDX_CA!$C$2:$C$1041),ROW(IDX_CA!$G$2:$G$1041))),INDEX(IDX_COMPOSITION!$F$1:$F$441,SUMPRODUCT(--($E187=IDX_COMPOSITION!$A$2:$A$441),--(NXT_COMPO!$P187=IDX_COMPOSITION!$R$2:$R$441),--(NXT_COMPO!$B$5=IDX_COMPOSITION!$L$2:$L$441),ROW(IDX_COMPOSITION!$F$2:$F$441)))),IF($D187&lt;=$B$4,INDEX(IDX_CA!$G$1:$G$1041,SUMPRODUCT(--($E187=IDX_CA!$A$2:$A$1041),--(NXT_COMPO!$P187=IDX_CA!$B$2:$B$1041),--(NXT_COMPO!$Q187=IDX_CA!$C$2:$C$1041),ROW(IDX_CA!$G$2:$G$1041))),""))</f>
        <v/>
      </c>
      <c r="K187" s="63" t="str">
        <f>IF($D187&lt;&gt;"",VLOOKUP($E187,STK_REF!$A$2:$J$1048576,7,0),"")</f>
        <v/>
      </c>
      <c r="L187" s="5" t="str">
        <f>IF($D187&lt;&gt;"",VLOOKUP($E187,STK_REF!$A$2:$J$1048576,8,0),"")</f>
        <v/>
      </c>
      <c r="M187" s="8" t="str">
        <f>IF($D187&lt;&gt;"",IF($K187=$U187,1,IF(ISNA(VLOOKUP($K187&amp;$U187,CUR_RATES!$A$2:$F$521,4,0)),"",VLOOKUP($K187&amp;$U187,CUR_RATES!$A$2:$F$521,4,0))),"")</f>
        <v/>
      </c>
      <c r="N187" s="61" t="str">
        <f t="shared" si="31"/>
        <v/>
      </c>
      <c r="O187" s="68" t="str">
        <f t="shared" si="32"/>
        <v/>
      </c>
      <c r="P187" s="24"/>
      <c r="Q187" s="2" t="str">
        <f>IF(ROW(Q187)-ROW($E$1)&lt;=$B$4,INDEX(IDX_COMPO!F:F,ROW(IDX_COMPO!#REF!)),"")</f>
        <v/>
      </c>
      <c r="R187" s="68" t="str">
        <f t="shared" si="34"/>
        <v/>
      </c>
      <c r="S187" s="61" t="str">
        <f t="shared" si="35"/>
        <v/>
      </c>
      <c r="T187" s="62" t="str">
        <f>IF(D187&lt;&gt;"",IF(SUMPRODUCT(--($E187=STK_DIV!$A$2:$A$5),--(NXT_COMPO!$Q187=STK_DIV!$E$2:$E$5),ROW(STK_DIV!$D$2:$D$5))=0,"",INDEX(STK_DIV!$D$1:$D$5,SUMPRODUCT(--($E187=STK_DIV!$A$2:$A$5),--(NXT_COMPO!$Q187=STK_DIV!$E$2:$E$5),ROW(STK_DIV!$D$2:$D$5)))),"")</f>
        <v/>
      </c>
      <c r="U187" s="54" t="str">
        <f>IF($D187&lt;&gt;"",VLOOKUP($P187,IDX_REF!$2:$1048576,4,0),"")</f>
        <v/>
      </c>
    </row>
    <row r="188" spans="4:21" x14ac:dyDescent="0.2">
      <c r="D188" s="52" t="str">
        <f t="shared" si="26"/>
        <v/>
      </c>
      <c r="E188" s="5" t="str">
        <f t="shared" si="30"/>
        <v/>
      </c>
      <c r="F188" s="5" t="str">
        <f>IF(ROW(F188)-ROW($E$1)&lt;=$B$1-$B$2,INDEX(IDX_COMPO!B:B,ROW(IDX_COMPO!#REF!)),IF(ROW(E188)-ROW($E$1)&lt;=$B$4,VLOOKUP(E188,STK_REF!$A$2:$J$1048576,2,0),""))</f>
        <v/>
      </c>
      <c r="J188" s="62" t="str">
        <f>IF($D188&lt;=$B$1-$B$2,IF(INDEX($AA$2:$AA$1048576,MATCH($D188,$AB$2:$AB$1048576,0))="MODIFY",INDEX(IDX_CA!$G$1:$G$1041,SUMPRODUCT(--($E188=IDX_CA!$A$2:$A$1041),--(NXT_COMPO!$P188=IDX_CA!$B$2:$B$1041),--(NXT_COMPO!$Q188=IDX_CA!$C$2:$C$1041),ROW(IDX_CA!$G$2:$G$1041))),INDEX(IDX_COMPOSITION!$F$1:$F$441,SUMPRODUCT(--($E188=IDX_COMPOSITION!$A$2:$A$441),--(NXT_COMPO!$P188=IDX_COMPOSITION!$R$2:$R$441),--(NXT_COMPO!$B$5=IDX_COMPOSITION!$L$2:$L$441),ROW(IDX_COMPOSITION!$F$2:$F$441)))),IF($D188&lt;=$B$4,INDEX(IDX_CA!$G$1:$G$1041,SUMPRODUCT(--($E188=IDX_CA!$A$2:$A$1041),--(NXT_COMPO!$P188=IDX_CA!$B$2:$B$1041),--(NXT_COMPO!$Q188=IDX_CA!$C$2:$C$1041),ROW(IDX_CA!$G$2:$G$1041))),""))</f>
        <v/>
      </c>
      <c r="K188" s="63" t="str">
        <f>IF($D188&lt;&gt;"",VLOOKUP($E188,STK_REF!$A$2:$J$1048576,7,0),"")</f>
        <v/>
      </c>
      <c r="L188" s="5" t="str">
        <f>IF($D188&lt;&gt;"",VLOOKUP($E188,STK_REF!$A$2:$J$1048576,8,0),"")</f>
        <v/>
      </c>
      <c r="M188" s="8" t="str">
        <f>IF($D188&lt;&gt;"",IF($K188=$U188,1,IF(ISNA(VLOOKUP($K188&amp;$U188,CUR_RATES!$A$2:$F$521,4,0)),"",VLOOKUP($K188&amp;$U188,CUR_RATES!$A$2:$F$521,4,0))),"")</f>
        <v/>
      </c>
      <c r="N188" s="61" t="str">
        <f t="shared" si="31"/>
        <v/>
      </c>
      <c r="O188" s="68" t="str">
        <f t="shared" si="32"/>
        <v/>
      </c>
      <c r="P188" s="24"/>
      <c r="Q188" s="2" t="str">
        <f>IF(ROW(Q188)-ROW($E$1)&lt;=$B$4,INDEX(IDX_COMPO!F:F,ROW(IDX_COMPO!#REF!)),"")</f>
        <v/>
      </c>
      <c r="R188" s="68" t="str">
        <f t="shared" si="34"/>
        <v/>
      </c>
      <c r="S188" s="61" t="str">
        <f t="shared" si="35"/>
        <v/>
      </c>
      <c r="T188" s="62" t="str">
        <f>IF(D188&lt;&gt;"",IF(SUMPRODUCT(--($E188=STK_DIV!$A$2:$A$5),--(NXT_COMPO!$Q188=STK_DIV!$E$2:$E$5),ROW(STK_DIV!$D$2:$D$5))=0,"",INDEX(STK_DIV!$D$1:$D$5,SUMPRODUCT(--($E188=STK_DIV!$A$2:$A$5),--(NXT_COMPO!$Q188=STK_DIV!$E$2:$E$5),ROW(STK_DIV!$D$2:$D$5)))),"")</f>
        <v/>
      </c>
      <c r="U188" s="54" t="str">
        <f>IF($D188&lt;&gt;"",VLOOKUP($P188,IDX_REF!$2:$1048576,4,0),"")</f>
        <v/>
      </c>
    </row>
    <row r="189" spans="4:21" x14ac:dyDescent="0.2">
      <c r="D189" s="52" t="str">
        <f t="shared" si="26"/>
        <v/>
      </c>
      <c r="E189" s="5" t="str">
        <f t="shared" si="30"/>
        <v/>
      </c>
      <c r="F189" s="5" t="str">
        <f>IF(ROW(F189)-ROW($E$1)&lt;=$B$1-$B$2,INDEX(IDX_COMPO!B:B,ROW(IDX_COMPO!#REF!)),IF(ROW(E189)-ROW($E$1)&lt;=$B$4,VLOOKUP(E189,STK_REF!$A$2:$J$1048576,2,0),""))</f>
        <v/>
      </c>
      <c r="J189" s="62" t="str">
        <f>IF($D189&lt;=$B$1-$B$2,IF(INDEX($AA$2:$AA$1048576,MATCH($D189,$AB$2:$AB$1048576,0))="MODIFY",INDEX(IDX_CA!$G$1:$G$1041,SUMPRODUCT(--($E189=IDX_CA!$A$2:$A$1041),--(NXT_COMPO!$P189=IDX_CA!$B$2:$B$1041),--(NXT_COMPO!$Q189=IDX_CA!$C$2:$C$1041),ROW(IDX_CA!$G$2:$G$1041))),INDEX(IDX_COMPOSITION!$F$1:$F$441,SUMPRODUCT(--($E189=IDX_COMPOSITION!$A$2:$A$441),--(NXT_COMPO!$P189=IDX_COMPOSITION!$R$2:$R$441),--(NXT_COMPO!$B$5=IDX_COMPOSITION!$L$2:$L$441),ROW(IDX_COMPOSITION!$F$2:$F$441)))),IF($D189&lt;=$B$4,INDEX(IDX_CA!$G$1:$G$1041,SUMPRODUCT(--($E189=IDX_CA!$A$2:$A$1041),--(NXT_COMPO!$P189=IDX_CA!$B$2:$B$1041),--(NXT_COMPO!$Q189=IDX_CA!$C$2:$C$1041),ROW(IDX_CA!$G$2:$G$1041))),""))</f>
        <v/>
      </c>
      <c r="K189" s="63" t="str">
        <f>IF($D189&lt;&gt;"",VLOOKUP($E189,STK_REF!$A$2:$J$1048576,7,0),"")</f>
        <v/>
      </c>
      <c r="L189" s="5" t="str">
        <f>IF($D189&lt;&gt;"",VLOOKUP($E189,STK_REF!$A$2:$J$1048576,8,0),"")</f>
        <v/>
      </c>
      <c r="M189" s="8" t="str">
        <f>IF($D189&lt;&gt;"",IF($K189=$U189,1,IF(ISNA(VLOOKUP($K189&amp;$U189,CUR_RATES!$A$2:$F$521,4,0)),"",VLOOKUP($K189&amp;$U189,CUR_RATES!$A$2:$F$521,4,0))),"")</f>
        <v/>
      </c>
      <c r="N189" s="61" t="str">
        <f t="shared" si="31"/>
        <v/>
      </c>
      <c r="O189" s="68" t="str">
        <f t="shared" si="32"/>
        <v/>
      </c>
      <c r="P189" s="24"/>
      <c r="Q189" s="2" t="str">
        <f>IF(ROW(Q189)-ROW($E$1)&lt;=$B$4,INDEX(IDX_COMPO!F:F,ROW(IDX_COMPO!#REF!)),"")</f>
        <v/>
      </c>
      <c r="R189" s="68" t="str">
        <f t="shared" si="34"/>
        <v/>
      </c>
      <c r="S189" s="61" t="str">
        <f t="shared" si="35"/>
        <v/>
      </c>
      <c r="T189" s="62" t="str">
        <f>IF(D189&lt;&gt;"",IF(SUMPRODUCT(--($E189=STK_DIV!$A$2:$A$5),--(NXT_COMPO!$Q189=STK_DIV!$E$2:$E$5),ROW(STK_DIV!$D$2:$D$5))=0,"",INDEX(STK_DIV!$D$1:$D$5,SUMPRODUCT(--($E189=STK_DIV!$A$2:$A$5),--(NXT_COMPO!$Q189=STK_DIV!$E$2:$E$5),ROW(STK_DIV!$D$2:$D$5)))),"")</f>
        <v/>
      </c>
      <c r="U189" s="54" t="str">
        <f>IF($D189&lt;&gt;"",VLOOKUP($P189,IDX_REF!$2:$1048576,4,0),"")</f>
        <v/>
      </c>
    </row>
    <row r="190" spans="4:21" x14ac:dyDescent="0.2">
      <c r="D190" s="52" t="str">
        <f t="shared" si="26"/>
        <v/>
      </c>
      <c r="E190" s="5" t="str">
        <f t="shared" si="30"/>
        <v/>
      </c>
      <c r="F190" s="5" t="str">
        <f>IF(ROW(F190)-ROW($E$1)&lt;=$B$1-$B$2,INDEX(IDX_COMPO!B:B,ROW(IDX_COMPO!#REF!)),IF(ROW(E190)-ROW($E$1)&lt;=$B$4,VLOOKUP(E190,STK_REF!$A$2:$J$1048576,2,0),""))</f>
        <v/>
      </c>
      <c r="J190" s="62" t="str">
        <f>IF($D190&lt;=$B$1-$B$2,IF(INDEX($AA$2:$AA$1048576,MATCH($D190,$AB$2:$AB$1048576,0))="MODIFY",INDEX(IDX_CA!$G$1:$G$1041,SUMPRODUCT(--($E190=IDX_CA!$A$2:$A$1041),--(NXT_COMPO!$P190=IDX_CA!$B$2:$B$1041),--(NXT_COMPO!$Q190=IDX_CA!$C$2:$C$1041),ROW(IDX_CA!$G$2:$G$1041))),INDEX(IDX_COMPOSITION!$F$1:$F$441,SUMPRODUCT(--($E190=IDX_COMPOSITION!$A$2:$A$441),--(NXT_COMPO!$P190=IDX_COMPOSITION!$R$2:$R$441),--(NXT_COMPO!$B$5=IDX_COMPOSITION!$L$2:$L$441),ROW(IDX_COMPOSITION!$F$2:$F$441)))),IF($D190&lt;=$B$4,INDEX(IDX_CA!$G$1:$G$1041,SUMPRODUCT(--($E190=IDX_CA!$A$2:$A$1041),--(NXT_COMPO!$P190=IDX_CA!$B$2:$B$1041),--(NXT_COMPO!$Q190=IDX_CA!$C$2:$C$1041),ROW(IDX_CA!$G$2:$G$1041))),""))</f>
        <v/>
      </c>
      <c r="K190" s="63" t="str">
        <f>IF($D190&lt;&gt;"",VLOOKUP($E190,STK_REF!$A$2:$J$1048576,7,0),"")</f>
        <v/>
      </c>
      <c r="L190" s="5" t="str">
        <f>IF($D190&lt;&gt;"",VLOOKUP($E190,STK_REF!$A$2:$J$1048576,8,0),"")</f>
        <v/>
      </c>
      <c r="M190" s="8" t="str">
        <f>IF($D190&lt;&gt;"",IF($K190=$U190,1,IF(ISNA(VLOOKUP($K190&amp;$U190,CUR_RATES!$A$2:$F$521,4,0)),"",VLOOKUP($K190&amp;$U190,CUR_RATES!$A$2:$F$521,4,0))),"")</f>
        <v/>
      </c>
      <c r="N190" s="61" t="str">
        <f t="shared" si="31"/>
        <v/>
      </c>
      <c r="O190" s="68" t="str">
        <f t="shared" si="32"/>
        <v/>
      </c>
      <c r="P190" s="24"/>
      <c r="Q190" s="2" t="str">
        <f>IF(ROW(Q190)-ROW($E$1)&lt;=$B$4,INDEX(IDX_COMPO!F:F,ROW(IDX_COMPO!#REF!)),"")</f>
        <v/>
      </c>
      <c r="R190" s="68" t="str">
        <f t="shared" si="34"/>
        <v/>
      </c>
      <c r="S190" s="61" t="str">
        <f t="shared" si="35"/>
        <v/>
      </c>
      <c r="T190" s="62" t="str">
        <f>IF(D190&lt;&gt;"",IF(SUMPRODUCT(--($E190=STK_DIV!$A$2:$A$5),--(NXT_COMPO!$Q190=STK_DIV!$E$2:$E$5),ROW(STK_DIV!$D$2:$D$5))=0,"",INDEX(STK_DIV!$D$1:$D$5,SUMPRODUCT(--($E190=STK_DIV!$A$2:$A$5),--(NXT_COMPO!$Q190=STK_DIV!$E$2:$E$5),ROW(STK_DIV!$D$2:$D$5)))),"")</f>
        <v/>
      </c>
      <c r="U190" s="54" t="str">
        <f>IF($D190&lt;&gt;"",VLOOKUP($P190,IDX_REF!$2:$1048576,4,0),"")</f>
        <v/>
      </c>
    </row>
    <row r="191" spans="4:21" x14ac:dyDescent="0.2">
      <c r="D191" s="52" t="str">
        <f t="shared" si="26"/>
        <v/>
      </c>
      <c r="E191" s="5" t="str">
        <f t="shared" si="30"/>
        <v/>
      </c>
      <c r="F191" s="5" t="str">
        <f>IF(ROW(F191)-ROW($E$1)&lt;=$B$1-$B$2,INDEX(IDX_COMPO!B:B,ROW(IDX_COMPO!#REF!)),IF(ROW(E191)-ROW($E$1)&lt;=$B$4,VLOOKUP(E191,STK_REF!$A$2:$J$1048576,2,0),""))</f>
        <v/>
      </c>
      <c r="J191" s="62" t="str">
        <f>IF($D191&lt;=$B$1-$B$2,IF(INDEX($AA$2:$AA$1048576,MATCH($D191,$AB$2:$AB$1048576,0))="MODIFY",INDEX(IDX_CA!$G$1:$G$1041,SUMPRODUCT(--($E191=IDX_CA!$A$2:$A$1041),--(NXT_COMPO!$P191=IDX_CA!$B$2:$B$1041),--(NXT_COMPO!$Q191=IDX_CA!$C$2:$C$1041),ROW(IDX_CA!$G$2:$G$1041))),INDEX(IDX_COMPOSITION!$F$1:$F$441,SUMPRODUCT(--($E191=IDX_COMPOSITION!$A$2:$A$441),--(NXT_COMPO!$P191=IDX_COMPOSITION!$R$2:$R$441),--(NXT_COMPO!$B$5=IDX_COMPOSITION!$L$2:$L$441),ROW(IDX_COMPOSITION!$F$2:$F$441)))),IF($D191&lt;=$B$4,INDEX(IDX_CA!$G$1:$G$1041,SUMPRODUCT(--($E191=IDX_CA!$A$2:$A$1041),--(NXT_COMPO!$P191=IDX_CA!$B$2:$B$1041),--(NXT_COMPO!$Q191=IDX_CA!$C$2:$C$1041),ROW(IDX_CA!$G$2:$G$1041))),""))</f>
        <v/>
      </c>
      <c r="K191" s="63" t="str">
        <f>IF($D191&lt;&gt;"",VLOOKUP($E191,STK_REF!$A$2:$J$1048576,7,0),"")</f>
        <v/>
      </c>
      <c r="L191" s="5" t="str">
        <f>IF($D191&lt;&gt;"",VLOOKUP($E191,STK_REF!$A$2:$J$1048576,8,0),"")</f>
        <v/>
      </c>
      <c r="M191" s="8" t="str">
        <f>IF($D191&lt;&gt;"",IF($K191=$U191,1,IF(ISNA(VLOOKUP($K191&amp;$U191,CUR_RATES!$A$2:$F$521,4,0)),"",VLOOKUP($K191&amp;$U191,CUR_RATES!$A$2:$F$521,4,0))),"")</f>
        <v/>
      </c>
      <c r="N191" s="61" t="str">
        <f t="shared" si="31"/>
        <v/>
      </c>
      <c r="O191" s="68" t="str">
        <f t="shared" si="32"/>
        <v/>
      </c>
      <c r="P191" s="24"/>
      <c r="Q191" s="2" t="str">
        <f>IF(ROW(Q191)-ROW($E$1)&lt;=$B$4,INDEX(IDX_COMPO!F:F,ROW(IDX_COMPO!#REF!)),"")</f>
        <v/>
      </c>
      <c r="R191" s="68" t="str">
        <f t="shared" si="34"/>
        <v/>
      </c>
      <c r="S191" s="61" t="str">
        <f t="shared" si="35"/>
        <v/>
      </c>
      <c r="T191" s="62" t="str">
        <f>IF(D191&lt;&gt;"",IF(SUMPRODUCT(--($E191=STK_DIV!$A$2:$A$5),--(NXT_COMPO!$Q191=STK_DIV!$E$2:$E$5),ROW(STK_DIV!$D$2:$D$5))=0,"",INDEX(STK_DIV!$D$1:$D$5,SUMPRODUCT(--($E191=STK_DIV!$A$2:$A$5),--(NXT_COMPO!$Q191=STK_DIV!$E$2:$E$5),ROW(STK_DIV!$D$2:$D$5)))),"")</f>
        <v/>
      </c>
      <c r="U191" s="54" t="str">
        <f>IF($D191&lt;&gt;"",VLOOKUP($P191,IDX_REF!$2:$1048576,4,0),"")</f>
        <v/>
      </c>
    </row>
    <row r="192" spans="4:21" x14ac:dyDescent="0.2">
      <c r="D192" s="52" t="str">
        <f t="shared" si="26"/>
        <v/>
      </c>
      <c r="E192" s="5" t="str">
        <f t="shared" si="30"/>
        <v/>
      </c>
      <c r="F192" s="5" t="str">
        <f>IF(ROW(F192)-ROW($E$1)&lt;=$B$1-$B$2,INDEX(IDX_COMPO!B:B,ROW(IDX_COMPO!#REF!)),IF(ROW(E192)-ROW($E$1)&lt;=$B$4,VLOOKUP(E192,STK_REF!$A$2:$J$1048576,2,0),""))</f>
        <v/>
      </c>
      <c r="J192" s="62" t="str">
        <f>IF($D192&lt;=$B$1-$B$2,IF(INDEX($AA$2:$AA$1048576,MATCH($D192,$AB$2:$AB$1048576,0))="MODIFY",INDEX(IDX_CA!$G$1:$G$1041,SUMPRODUCT(--($E192=IDX_CA!$A$2:$A$1041),--(NXT_COMPO!$P192=IDX_CA!$B$2:$B$1041),--(NXT_COMPO!$Q192=IDX_CA!$C$2:$C$1041),ROW(IDX_CA!$G$2:$G$1041))),INDEX(IDX_COMPOSITION!$F$1:$F$441,SUMPRODUCT(--($E192=IDX_COMPOSITION!$A$2:$A$441),--(NXT_COMPO!$P192=IDX_COMPOSITION!$R$2:$R$441),--(NXT_COMPO!$B$5=IDX_COMPOSITION!$L$2:$L$441),ROW(IDX_COMPOSITION!$F$2:$F$441)))),IF($D192&lt;=$B$4,INDEX(IDX_CA!$G$1:$G$1041,SUMPRODUCT(--($E192=IDX_CA!$A$2:$A$1041),--(NXT_COMPO!$P192=IDX_CA!$B$2:$B$1041),--(NXT_COMPO!$Q192=IDX_CA!$C$2:$C$1041),ROW(IDX_CA!$G$2:$G$1041))),""))</f>
        <v/>
      </c>
      <c r="K192" s="63" t="str">
        <f>IF($D192&lt;&gt;"",VLOOKUP($E192,STK_REF!$A$2:$J$1048576,7,0),"")</f>
        <v/>
      </c>
      <c r="L192" s="5" t="str">
        <f>IF($D192&lt;&gt;"",VLOOKUP($E192,STK_REF!$A$2:$J$1048576,8,0),"")</f>
        <v/>
      </c>
      <c r="M192" s="8" t="str">
        <f>IF($D192&lt;&gt;"",IF($K192=$U192,1,IF(ISNA(VLOOKUP($K192&amp;$U192,CUR_RATES!$A$2:$F$521,4,0)),"",VLOOKUP($K192&amp;$U192,CUR_RATES!$A$2:$F$521,4,0))),"")</f>
        <v/>
      </c>
      <c r="N192" s="61" t="str">
        <f t="shared" si="31"/>
        <v/>
      </c>
      <c r="O192" s="68" t="str">
        <f t="shared" si="32"/>
        <v/>
      </c>
      <c r="P192" s="24"/>
      <c r="Q192" s="2" t="str">
        <f>IF(ROW(Q192)-ROW($E$1)&lt;=$B$4,INDEX(IDX_COMPO!F:F,ROW(IDX_COMPO!#REF!)),"")</f>
        <v/>
      </c>
      <c r="R192" s="68" t="str">
        <f t="shared" si="34"/>
        <v/>
      </c>
      <c r="S192" s="61" t="str">
        <f t="shared" si="35"/>
        <v/>
      </c>
      <c r="T192" s="62" t="str">
        <f>IF(D192&lt;&gt;"",IF(SUMPRODUCT(--($E192=STK_DIV!$A$2:$A$5),--(NXT_COMPO!$Q192=STK_DIV!$E$2:$E$5),ROW(STK_DIV!$D$2:$D$5))=0,"",INDEX(STK_DIV!$D$1:$D$5,SUMPRODUCT(--($E192=STK_DIV!$A$2:$A$5),--(NXT_COMPO!$Q192=STK_DIV!$E$2:$E$5),ROW(STK_DIV!$D$2:$D$5)))),"")</f>
        <v/>
      </c>
      <c r="U192" s="54" t="str">
        <f>IF($D192&lt;&gt;"",VLOOKUP($P192,IDX_REF!$2:$1048576,4,0),"")</f>
        <v/>
      </c>
    </row>
    <row r="193" spans="4:21" x14ac:dyDescent="0.2">
      <c r="D193" s="52" t="str">
        <f t="shared" si="26"/>
        <v/>
      </c>
      <c r="E193" s="5" t="str">
        <f t="shared" si="30"/>
        <v/>
      </c>
      <c r="F193" s="5" t="str">
        <f>IF(ROW(F193)-ROW($E$1)&lt;=$B$1-$B$2,INDEX(IDX_COMPO!B:B,ROW(IDX_COMPO!#REF!)),IF(ROW(E193)-ROW($E$1)&lt;=$B$4,VLOOKUP(E193,STK_REF!$A$2:$J$1048576,2,0),""))</f>
        <v/>
      </c>
      <c r="J193" s="62" t="str">
        <f>IF($D193&lt;=$B$1-$B$2,IF(INDEX($AA$2:$AA$1048576,MATCH($D193,$AB$2:$AB$1048576,0))="MODIFY",INDEX(IDX_CA!$G$1:$G$1041,SUMPRODUCT(--($E193=IDX_CA!$A$2:$A$1041),--(NXT_COMPO!$P193=IDX_CA!$B$2:$B$1041),--(NXT_COMPO!$Q193=IDX_CA!$C$2:$C$1041),ROW(IDX_CA!$G$2:$G$1041))),INDEX(IDX_COMPOSITION!$F$1:$F$441,SUMPRODUCT(--($E193=IDX_COMPOSITION!$A$2:$A$441),--(NXT_COMPO!$P193=IDX_COMPOSITION!$R$2:$R$441),--(NXT_COMPO!$B$5=IDX_COMPOSITION!$L$2:$L$441),ROW(IDX_COMPOSITION!$F$2:$F$441)))),IF($D193&lt;=$B$4,INDEX(IDX_CA!$G$1:$G$1041,SUMPRODUCT(--($E193=IDX_CA!$A$2:$A$1041),--(NXT_COMPO!$P193=IDX_CA!$B$2:$B$1041),--(NXT_COMPO!$Q193=IDX_CA!$C$2:$C$1041),ROW(IDX_CA!$G$2:$G$1041))),""))</f>
        <v/>
      </c>
      <c r="K193" s="63" t="str">
        <f>IF($D193&lt;&gt;"",VLOOKUP($E193,STK_REF!$A$2:$J$1048576,7,0),"")</f>
        <v/>
      </c>
      <c r="L193" s="5" t="str">
        <f>IF($D193&lt;&gt;"",VLOOKUP($E193,STK_REF!$A$2:$J$1048576,8,0),"")</f>
        <v/>
      </c>
      <c r="M193" s="8" t="str">
        <f>IF($D193&lt;&gt;"",IF($K193=$U193,1,IF(ISNA(VLOOKUP($K193&amp;$U193,CUR_RATES!$A$2:$F$521,4,0)),"",VLOOKUP($K193&amp;$U193,CUR_RATES!$A$2:$F$521,4,0))),"")</f>
        <v/>
      </c>
      <c r="N193" s="61" t="str">
        <f t="shared" si="31"/>
        <v/>
      </c>
      <c r="O193" s="68" t="str">
        <f t="shared" si="32"/>
        <v/>
      </c>
      <c r="P193" s="24"/>
      <c r="Q193" s="2" t="str">
        <f>IF(ROW(Q193)-ROW($E$1)&lt;=$B$4,INDEX(IDX_COMPO!F:F,ROW(IDX_COMPO!#REF!)),"")</f>
        <v/>
      </c>
      <c r="R193" s="68" t="str">
        <f t="shared" si="34"/>
        <v/>
      </c>
      <c r="S193" s="61" t="str">
        <f t="shared" si="35"/>
        <v/>
      </c>
      <c r="T193" s="62" t="str">
        <f>IF(D193&lt;&gt;"",IF(SUMPRODUCT(--($E193=STK_DIV!$A$2:$A$5),--(NXT_COMPO!$Q193=STK_DIV!$E$2:$E$5),ROW(STK_DIV!$D$2:$D$5))=0,"",INDEX(STK_DIV!$D$1:$D$5,SUMPRODUCT(--($E193=STK_DIV!$A$2:$A$5),--(NXT_COMPO!$Q193=STK_DIV!$E$2:$E$5),ROW(STK_DIV!$D$2:$D$5)))),"")</f>
        <v/>
      </c>
      <c r="U193" s="54" t="str">
        <f>IF($D193&lt;&gt;"",VLOOKUP($P193,IDX_REF!$2:$1048576,4,0),"")</f>
        <v/>
      </c>
    </row>
    <row r="194" spans="4:21" x14ac:dyDescent="0.2">
      <c r="D194" s="52" t="str">
        <f t="shared" ref="D194:D257" si="38">IF(ROW(D194)-ROW($D$1)&lt;=$B$4,ROW(D194)-ROW($D$1),"")</f>
        <v/>
      </c>
      <c r="E194" s="5" t="str">
        <f t="shared" si="30"/>
        <v/>
      </c>
      <c r="F194" s="5" t="str">
        <f>IF(ROW(F194)-ROW($E$1)&lt;=$B$1-$B$2,INDEX(IDX_COMPO!B:B,ROW(IDX_COMPO!#REF!)),IF(ROW(E194)-ROW($E$1)&lt;=$B$4,VLOOKUP(E194,STK_REF!$A$2:$J$1048576,2,0),""))</f>
        <v/>
      </c>
      <c r="J194" s="62" t="str">
        <f>IF($D194&lt;=$B$1-$B$2,IF(INDEX($AA$2:$AA$1048576,MATCH($D194,$AB$2:$AB$1048576,0))="MODIFY",INDEX(IDX_CA!$G$1:$G$1041,SUMPRODUCT(--($E194=IDX_CA!$A$2:$A$1041),--(NXT_COMPO!$P194=IDX_CA!$B$2:$B$1041),--(NXT_COMPO!$Q194=IDX_CA!$C$2:$C$1041),ROW(IDX_CA!$G$2:$G$1041))),INDEX(IDX_COMPOSITION!$F$1:$F$441,SUMPRODUCT(--($E194=IDX_COMPOSITION!$A$2:$A$441),--(NXT_COMPO!$P194=IDX_COMPOSITION!$R$2:$R$441),--(NXT_COMPO!$B$5=IDX_COMPOSITION!$L$2:$L$441),ROW(IDX_COMPOSITION!$F$2:$F$441)))),IF($D194&lt;=$B$4,INDEX(IDX_CA!$G$1:$G$1041,SUMPRODUCT(--($E194=IDX_CA!$A$2:$A$1041),--(NXT_COMPO!$P194=IDX_CA!$B$2:$B$1041),--(NXT_COMPO!$Q194=IDX_CA!$C$2:$C$1041),ROW(IDX_CA!$G$2:$G$1041))),""))</f>
        <v/>
      </c>
      <c r="K194" s="63" t="str">
        <f>IF($D194&lt;&gt;"",VLOOKUP($E194,STK_REF!$A$2:$J$1048576,7,0),"")</f>
        <v/>
      </c>
      <c r="L194" s="5" t="str">
        <f>IF($D194&lt;&gt;"",VLOOKUP($E194,STK_REF!$A$2:$J$1048576,8,0),"")</f>
        <v/>
      </c>
      <c r="M194" s="8" t="str">
        <f>IF($D194&lt;&gt;"",IF($K194=$U194,1,IF(ISNA(VLOOKUP($K194&amp;$U194,CUR_RATES!$A$2:$F$521,4,0)),"",VLOOKUP($K194&amp;$U194,CUR_RATES!$A$2:$F$521,4,0))),"")</f>
        <v/>
      </c>
      <c r="N194" s="61" t="str">
        <f t="shared" si="31"/>
        <v/>
      </c>
      <c r="O194" s="68" t="str">
        <f t="shared" si="32"/>
        <v/>
      </c>
      <c r="P194" s="24"/>
      <c r="Q194" s="2" t="str">
        <f>IF(ROW(Q194)-ROW($E$1)&lt;=$B$4,INDEX(IDX_COMPO!F:F,ROW(IDX_COMPO!#REF!)),"")</f>
        <v/>
      </c>
      <c r="R194" s="68" t="str">
        <f t="shared" si="34"/>
        <v/>
      </c>
      <c r="S194" s="61" t="str">
        <f t="shared" si="35"/>
        <v/>
      </c>
      <c r="T194" s="62" t="str">
        <f>IF(D194&lt;&gt;"",IF(SUMPRODUCT(--($E194=STK_DIV!$A$2:$A$5),--(NXT_COMPO!$Q194=STK_DIV!$E$2:$E$5),ROW(STK_DIV!$D$2:$D$5))=0,"",INDEX(STK_DIV!$D$1:$D$5,SUMPRODUCT(--($E194=STK_DIV!$A$2:$A$5),--(NXT_COMPO!$Q194=STK_DIV!$E$2:$E$5),ROW(STK_DIV!$D$2:$D$5)))),"")</f>
        <v/>
      </c>
      <c r="U194" s="54" t="str">
        <f>IF($D194&lt;&gt;"",VLOOKUP($P194,IDX_REF!$2:$1048576,4,0),"")</f>
        <v/>
      </c>
    </row>
    <row r="195" spans="4:21" x14ac:dyDescent="0.2">
      <c r="D195" s="52" t="str">
        <f t="shared" si="38"/>
        <v/>
      </c>
      <c r="E195" s="5" t="str">
        <f t="shared" ref="E195:E258" si="39">IF(D195&lt;=$B$1-$B$2,INDEX($X$2:$X$1048576,MATCH(D195,$AB$2:$AB$1048576,0)),IF(D195&lt;=$B$4,INDEX($AE$2:$AE$1048576,MATCH(D195-$B$1+$B$2,$AI$2:$AI$1048576,0)),""))</f>
        <v/>
      </c>
      <c r="F195" s="5" t="str">
        <f>IF(ROW(F195)-ROW($E$1)&lt;=$B$1-$B$2,INDEX(IDX_COMPO!B:B,ROW(IDX_COMPO!#REF!)),IF(ROW(E195)-ROW($E$1)&lt;=$B$4,VLOOKUP(E195,STK_REF!$A$2:$J$1048576,2,0),""))</f>
        <v/>
      </c>
      <c r="J195" s="62" t="str">
        <f>IF($D195&lt;=$B$1-$B$2,IF(INDEX($AA$2:$AA$1048576,MATCH($D195,$AB$2:$AB$1048576,0))="MODIFY",INDEX(IDX_CA!$G$1:$G$1041,SUMPRODUCT(--($E195=IDX_CA!$A$2:$A$1041),--(NXT_COMPO!$P195=IDX_CA!$B$2:$B$1041),--(NXT_COMPO!$Q195=IDX_CA!$C$2:$C$1041),ROW(IDX_CA!$G$2:$G$1041))),INDEX(IDX_COMPOSITION!$F$1:$F$441,SUMPRODUCT(--($E195=IDX_COMPOSITION!$A$2:$A$441),--(NXT_COMPO!$P195=IDX_COMPOSITION!$R$2:$R$441),--(NXT_COMPO!$B$5=IDX_COMPOSITION!$L$2:$L$441),ROW(IDX_COMPOSITION!$F$2:$F$441)))),IF($D195&lt;=$B$4,INDEX(IDX_CA!$G$1:$G$1041,SUMPRODUCT(--($E195=IDX_CA!$A$2:$A$1041),--(NXT_COMPO!$P195=IDX_CA!$B$2:$B$1041),--(NXT_COMPO!$Q195=IDX_CA!$C$2:$C$1041),ROW(IDX_CA!$G$2:$G$1041))),""))</f>
        <v/>
      </c>
      <c r="K195" s="63" t="str">
        <f>IF($D195&lt;&gt;"",VLOOKUP($E195,STK_REF!$A$2:$J$1048576,7,0),"")</f>
        <v/>
      </c>
      <c r="L195" s="5" t="str">
        <f>IF($D195&lt;&gt;"",VLOOKUP($E195,STK_REF!$A$2:$J$1048576,8,0),"")</f>
        <v/>
      </c>
      <c r="M195" s="8" t="str">
        <f>IF($D195&lt;&gt;"",IF($K195=$U195,1,IF(ISNA(VLOOKUP($K195&amp;$U195,CUR_RATES!$A$2:$F$521,4,0)),"",VLOOKUP($K195&amp;$U195,CUR_RATES!$A$2:$F$521,4,0))),"")</f>
        <v/>
      </c>
      <c r="N195" s="61" t="str">
        <f t="shared" ref="N195:N258" si="40">IF($D195&lt;&gt;"",$J195*$M195,"")</f>
        <v/>
      </c>
      <c r="O195" s="68" t="str">
        <f t="shared" ref="O195:O258" si="41">IF($D195&lt;&gt;"",$G195*($H195/100)*($I195/100)*$N195*(1/$L195),"")</f>
        <v/>
      </c>
      <c r="P195" s="24"/>
      <c r="Q195" s="2" t="str">
        <f>IF(ROW(Q195)-ROW($E$1)&lt;=$B$4,INDEX(IDX_COMPO!F:F,ROW(IDX_COMPO!#REF!)),"")</f>
        <v/>
      </c>
      <c r="R195" s="68" t="str">
        <f t="shared" ref="R195:R258" si="42">IF(AND($D195&lt;&gt;"",$T195&lt;&gt;""),$G195*($H195/100)*($I195/100)*$S195*(1/$L195),"")</f>
        <v/>
      </c>
      <c r="S195" s="61" t="str">
        <f t="shared" ref="S195:S258" si="43">IF($T195&lt;&gt;"",$T195*$M195,"")</f>
        <v/>
      </c>
      <c r="T195" s="62" t="str">
        <f>IF(D195&lt;&gt;"",IF(SUMPRODUCT(--($E195=STK_DIV!$A$2:$A$5),--(NXT_COMPO!$Q195=STK_DIV!$E$2:$E$5),ROW(STK_DIV!$D$2:$D$5))=0,"",INDEX(STK_DIV!$D$1:$D$5,SUMPRODUCT(--($E195=STK_DIV!$A$2:$A$5),--(NXT_COMPO!$Q195=STK_DIV!$E$2:$E$5),ROW(STK_DIV!$D$2:$D$5)))),"")</f>
        <v/>
      </c>
      <c r="U195" s="54" t="str">
        <f>IF($D195&lt;&gt;"",VLOOKUP($P195,IDX_REF!$2:$1048576,4,0),"")</f>
        <v/>
      </c>
    </row>
    <row r="196" spans="4:21" x14ac:dyDescent="0.2">
      <c r="D196" s="52" t="str">
        <f t="shared" si="38"/>
        <v/>
      </c>
      <c r="E196" s="5" t="str">
        <f t="shared" si="39"/>
        <v/>
      </c>
      <c r="F196" s="5" t="str">
        <f>IF(ROW(F196)-ROW($E$1)&lt;=$B$1-$B$2,INDEX(IDX_COMPO!B:B,ROW(IDX_COMPO!#REF!)),IF(ROW(E196)-ROW($E$1)&lt;=$B$4,VLOOKUP(E196,STK_REF!$A$2:$J$1048576,2,0),""))</f>
        <v/>
      </c>
      <c r="J196" s="62" t="str">
        <f>IF($D196&lt;=$B$1-$B$2,IF(INDEX($AA$2:$AA$1048576,MATCH($D196,$AB$2:$AB$1048576,0))="MODIFY",INDEX(IDX_CA!$G$1:$G$1041,SUMPRODUCT(--($E196=IDX_CA!$A$2:$A$1041),--(NXT_COMPO!$P196=IDX_CA!$B$2:$B$1041),--(NXT_COMPO!$Q196=IDX_CA!$C$2:$C$1041),ROW(IDX_CA!$G$2:$G$1041))),INDEX(IDX_COMPOSITION!$F$1:$F$441,SUMPRODUCT(--($E196=IDX_COMPOSITION!$A$2:$A$441),--(NXT_COMPO!$P196=IDX_COMPOSITION!$R$2:$R$441),--(NXT_COMPO!$B$5=IDX_COMPOSITION!$L$2:$L$441),ROW(IDX_COMPOSITION!$F$2:$F$441)))),IF($D196&lt;=$B$4,INDEX(IDX_CA!$G$1:$G$1041,SUMPRODUCT(--($E196=IDX_CA!$A$2:$A$1041),--(NXT_COMPO!$P196=IDX_CA!$B$2:$B$1041),--(NXT_COMPO!$Q196=IDX_CA!$C$2:$C$1041),ROW(IDX_CA!$G$2:$G$1041))),""))</f>
        <v/>
      </c>
      <c r="K196" s="63" t="str">
        <f>IF($D196&lt;&gt;"",VLOOKUP($E196,STK_REF!$A$2:$J$1048576,7,0),"")</f>
        <v/>
      </c>
      <c r="L196" s="5" t="str">
        <f>IF($D196&lt;&gt;"",VLOOKUP($E196,STK_REF!$A$2:$J$1048576,8,0),"")</f>
        <v/>
      </c>
      <c r="M196" s="8" t="str">
        <f>IF($D196&lt;&gt;"",IF($K196=$U196,1,IF(ISNA(VLOOKUP($K196&amp;$U196,CUR_RATES!$A$2:$F$521,4,0)),"",VLOOKUP($K196&amp;$U196,CUR_RATES!$A$2:$F$521,4,0))),"")</f>
        <v/>
      </c>
      <c r="N196" s="61" t="str">
        <f t="shared" si="40"/>
        <v/>
      </c>
      <c r="O196" s="68" t="str">
        <f t="shared" si="41"/>
        <v/>
      </c>
      <c r="P196" s="24"/>
      <c r="Q196" s="2" t="str">
        <f>IF(ROW(Q196)-ROW($E$1)&lt;=$B$4,INDEX(IDX_COMPO!F:F,ROW(IDX_COMPO!#REF!)),"")</f>
        <v/>
      </c>
      <c r="R196" s="68" t="str">
        <f t="shared" si="42"/>
        <v/>
      </c>
      <c r="S196" s="61" t="str">
        <f t="shared" si="43"/>
        <v/>
      </c>
      <c r="T196" s="62" t="str">
        <f>IF(D196&lt;&gt;"",IF(SUMPRODUCT(--($E196=STK_DIV!$A$2:$A$5),--(NXT_COMPO!$Q196=STK_DIV!$E$2:$E$5),ROW(STK_DIV!$D$2:$D$5))=0,"",INDEX(STK_DIV!$D$1:$D$5,SUMPRODUCT(--($E196=STK_DIV!$A$2:$A$5),--(NXT_COMPO!$Q196=STK_DIV!$E$2:$E$5),ROW(STK_DIV!$D$2:$D$5)))),"")</f>
        <v/>
      </c>
      <c r="U196" s="54" t="str">
        <f>IF($D196&lt;&gt;"",VLOOKUP($P196,IDX_REF!$2:$1048576,4,0),"")</f>
        <v/>
      </c>
    </row>
    <row r="197" spans="4:21" x14ac:dyDescent="0.2">
      <c r="D197" s="52" t="str">
        <f t="shared" si="38"/>
        <v/>
      </c>
      <c r="E197" s="5" t="str">
        <f t="shared" si="39"/>
        <v/>
      </c>
      <c r="F197" s="5" t="str">
        <f>IF(ROW(F197)-ROW($E$1)&lt;=$B$1-$B$2,INDEX(IDX_COMPO!B:B,ROW(IDX_COMPO!#REF!)),IF(ROW(E197)-ROW($E$1)&lt;=$B$4,VLOOKUP(E197,STK_REF!$A$2:$J$1048576,2,0),""))</f>
        <v/>
      </c>
      <c r="J197" s="62" t="str">
        <f>IF($D197&lt;=$B$1-$B$2,IF(INDEX($AA$2:$AA$1048576,MATCH($D197,$AB$2:$AB$1048576,0))="MODIFY",INDEX(IDX_CA!$G$1:$G$1041,SUMPRODUCT(--($E197=IDX_CA!$A$2:$A$1041),--(NXT_COMPO!$P197=IDX_CA!$B$2:$B$1041),--(NXT_COMPO!$Q197=IDX_CA!$C$2:$C$1041),ROW(IDX_CA!$G$2:$G$1041))),INDEX(IDX_COMPOSITION!$F$1:$F$441,SUMPRODUCT(--($E197=IDX_COMPOSITION!$A$2:$A$441),--(NXT_COMPO!$P197=IDX_COMPOSITION!$R$2:$R$441),--(NXT_COMPO!$B$5=IDX_COMPOSITION!$L$2:$L$441),ROW(IDX_COMPOSITION!$F$2:$F$441)))),IF($D197&lt;=$B$4,INDEX(IDX_CA!$G$1:$G$1041,SUMPRODUCT(--($E197=IDX_CA!$A$2:$A$1041),--(NXT_COMPO!$P197=IDX_CA!$B$2:$B$1041),--(NXT_COMPO!$Q197=IDX_CA!$C$2:$C$1041),ROW(IDX_CA!$G$2:$G$1041))),""))</f>
        <v/>
      </c>
      <c r="K197" s="63" t="str">
        <f>IF($D197&lt;&gt;"",VLOOKUP($E197,STK_REF!$A$2:$J$1048576,7,0),"")</f>
        <v/>
      </c>
      <c r="L197" s="5" t="str">
        <f>IF($D197&lt;&gt;"",VLOOKUP($E197,STK_REF!$A$2:$J$1048576,8,0),"")</f>
        <v/>
      </c>
      <c r="M197" s="8" t="str">
        <f>IF($D197&lt;&gt;"",IF($K197=$U197,1,IF(ISNA(VLOOKUP($K197&amp;$U197,CUR_RATES!$A$2:$F$521,4,0)),"",VLOOKUP($K197&amp;$U197,CUR_RATES!$A$2:$F$521,4,0))),"")</f>
        <v/>
      </c>
      <c r="N197" s="61" t="str">
        <f t="shared" si="40"/>
        <v/>
      </c>
      <c r="O197" s="68" t="str">
        <f t="shared" si="41"/>
        <v/>
      </c>
      <c r="P197" s="24"/>
      <c r="Q197" s="2" t="str">
        <f>IF(ROW(Q197)-ROW($E$1)&lt;=$B$4,INDEX(IDX_COMPO!F:F,ROW(IDX_COMPO!#REF!)),"")</f>
        <v/>
      </c>
      <c r="R197" s="68" t="str">
        <f t="shared" si="42"/>
        <v/>
      </c>
      <c r="S197" s="61" t="str">
        <f t="shared" si="43"/>
        <v/>
      </c>
      <c r="T197" s="62" t="str">
        <f>IF(D197&lt;&gt;"",IF(SUMPRODUCT(--($E197=STK_DIV!$A$2:$A$5),--(NXT_COMPO!$Q197=STK_DIV!$E$2:$E$5),ROW(STK_DIV!$D$2:$D$5))=0,"",INDEX(STK_DIV!$D$1:$D$5,SUMPRODUCT(--($E197=STK_DIV!$A$2:$A$5),--(NXT_COMPO!$Q197=STK_DIV!$E$2:$E$5),ROW(STK_DIV!$D$2:$D$5)))),"")</f>
        <v/>
      </c>
      <c r="U197" s="54" t="str">
        <f>IF($D197&lt;&gt;"",VLOOKUP($P197,IDX_REF!$2:$1048576,4,0),"")</f>
        <v/>
      </c>
    </row>
    <row r="198" spans="4:21" x14ac:dyDescent="0.2">
      <c r="D198" s="52" t="str">
        <f t="shared" si="38"/>
        <v/>
      </c>
      <c r="E198" s="5" t="str">
        <f t="shared" si="39"/>
        <v/>
      </c>
      <c r="F198" s="5" t="str">
        <f>IF(ROW(F198)-ROW($E$1)&lt;=$B$1-$B$2,INDEX(IDX_COMPO!B:B,ROW(IDX_COMPO!#REF!)),IF(ROW(E198)-ROW($E$1)&lt;=$B$4,VLOOKUP(E198,STK_REF!$A$2:$J$1048576,2,0),""))</f>
        <v/>
      </c>
      <c r="J198" s="62" t="str">
        <f>IF($D198&lt;=$B$1-$B$2,IF(INDEX($AA$2:$AA$1048576,MATCH($D198,$AB$2:$AB$1048576,0))="MODIFY",INDEX(IDX_CA!$G$1:$G$1041,SUMPRODUCT(--($E198=IDX_CA!$A$2:$A$1041),--(NXT_COMPO!$P198=IDX_CA!$B$2:$B$1041),--(NXT_COMPO!$Q198=IDX_CA!$C$2:$C$1041),ROW(IDX_CA!$G$2:$G$1041))),INDEX(IDX_COMPOSITION!$F$1:$F$441,SUMPRODUCT(--($E198=IDX_COMPOSITION!$A$2:$A$441),--(NXT_COMPO!$P198=IDX_COMPOSITION!$R$2:$R$441),--(NXT_COMPO!$B$5=IDX_COMPOSITION!$L$2:$L$441),ROW(IDX_COMPOSITION!$F$2:$F$441)))),IF($D198&lt;=$B$4,INDEX(IDX_CA!$G$1:$G$1041,SUMPRODUCT(--($E198=IDX_CA!$A$2:$A$1041),--(NXT_COMPO!$P198=IDX_CA!$B$2:$B$1041),--(NXT_COMPO!$Q198=IDX_CA!$C$2:$C$1041),ROW(IDX_CA!$G$2:$G$1041))),""))</f>
        <v/>
      </c>
      <c r="K198" s="63" t="str">
        <f>IF($D198&lt;&gt;"",VLOOKUP($E198,STK_REF!$A$2:$J$1048576,7,0),"")</f>
        <v/>
      </c>
      <c r="L198" s="5" t="str">
        <f>IF($D198&lt;&gt;"",VLOOKUP($E198,STK_REF!$A$2:$J$1048576,8,0),"")</f>
        <v/>
      </c>
      <c r="M198" s="8" t="str">
        <f>IF($D198&lt;&gt;"",IF($K198=$U198,1,IF(ISNA(VLOOKUP($K198&amp;$U198,CUR_RATES!$A$2:$F$521,4,0)),"",VLOOKUP($K198&amp;$U198,CUR_RATES!$A$2:$F$521,4,0))),"")</f>
        <v/>
      </c>
      <c r="N198" s="61" t="str">
        <f t="shared" si="40"/>
        <v/>
      </c>
      <c r="O198" s="68" t="str">
        <f t="shared" si="41"/>
        <v/>
      </c>
      <c r="P198" s="24"/>
      <c r="Q198" s="2" t="str">
        <f>IF(ROW(Q198)-ROW($E$1)&lt;=$B$4,INDEX(IDX_COMPO!F:F,ROW(IDX_COMPO!#REF!)),"")</f>
        <v/>
      </c>
      <c r="R198" s="68" t="str">
        <f t="shared" si="42"/>
        <v/>
      </c>
      <c r="S198" s="61" t="str">
        <f t="shared" si="43"/>
        <v/>
      </c>
      <c r="T198" s="62" t="str">
        <f>IF(D198&lt;&gt;"",IF(SUMPRODUCT(--($E198=STK_DIV!$A$2:$A$5),--(NXT_COMPO!$Q198=STK_DIV!$E$2:$E$5),ROW(STK_DIV!$D$2:$D$5))=0,"",INDEX(STK_DIV!$D$1:$D$5,SUMPRODUCT(--($E198=STK_DIV!$A$2:$A$5),--(NXT_COMPO!$Q198=STK_DIV!$E$2:$E$5),ROW(STK_DIV!$D$2:$D$5)))),"")</f>
        <v/>
      </c>
      <c r="U198" s="54" t="str">
        <f>IF($D198&lt;&gt;"",VLOOKUP($P198,IDX_REF!$2:$1048576,4,0),"")</f>
        <v/>
      </c>
    </row>
    <row r="199" spans="4:21" x14ac:dyDescent="0.2">
      <c r="D199" s="52" t="str">
        <f t="shared" si="38"/>
        <v/>
      </c>
      <c r="E199" s="5" t="str">
        <f t="shared" si="39"/>
        <v/>
      </c>
      <c r="F199" s="5" t="str">
        <f>IF(ROW(F199)-ROW($E$1)&lt;=$B$1-$B$2,INDEX(IDX_COMPO!B:B,ROW(IDX_COMPO!#REF!)),IF(ROW(E199)-ROW($E$1)&lt;=$B$4,VLOOKUP(E199,STK_REF!$A$2:$J$1048576,2,0),""))</f>
        <v/>
      </c>
      <c r="J199" s="62" t="str">
        <f>IF($D199&lt;=$B$1-$B$2,IF(INDEX($AA$2:$AA$1048576,MATCH($D199,$AB$2:$AB$1048576,0))="MODIFY",INDEX(IDX_CA!$G$1:$G$1041,SUMPRODUCT(--($E199=IDX_CA!$A$2:$A$1041),--(NXT_COMPO!$P199=IDX_CA!$B$2:$B$1041),--(NXT_COMPO!$Q199=IDX_CA!$C$2:$C$1041),ROW(IDX_CA!$G$2:$G$1041))),INDEX(IDX_COMPOSITION!$F$1:$F$441,SUMPRODUCT(--($E199=IDX_COMPOSITION!$A$2:$A$441),--(NXT_COMPO!$P199=IDX_COMPOSITION!$R$2:$R$441),--(NXT_COMPO!$B$5=IDX_COMPOSITION!$L$2:$L$441),ROW(IDX_COMPOSITION!$F$2:$F$441)))),IF($D199&lt;=$B$4,INDEX(IDX_CA!$G$1:$G$1041,SUMPRODUCT(--($E199=IDX_CA!$A$2:$A$1041),--(NXT_COMPO!$P199=IDX_CA!$B$2:$B$1041),--(NXT_COMPO!$Q199=IDX_CA!$C$2:$C$1041),ROW(IDX_CA!$G$2:$G$1041))),""))</f>
        <v/>
      </c>
      <c r="K199" s="63" t="str">
        <f>IF($D199&lt;&gt;"",VLOOKUP($E199,STK_REF!$A$2:$J$1048576,7,0),"")</f>
        <v/>
      </c>
      <c r="L199" s="5" t="str">
        <f>IF($D199&lt;&gt;"",VLOOKUP($E199,STK_REF!$A$2:$J$1048576,8,0),"")</f>
        <v/>
      </c>
      <c r="M199" s="8" t="str">
        <f>IF($D199&lt;&gt;"",IF($K199=$U199,1,IF(ISNA(VLOOKUP($K199&amp;$U199,CUR_RATES!$A$2:$F$521,4,0)),"",VLOOKUP($K199&amp;$U199,CUR_RATES!$A$2:$F$521,4,0))),"")</f>
        <v/>
      </c>
      <c r="N199" s="61" t="str">
        <f t="shared" si="40"/>
        <v/>
      </c>
      <c r="O199" s="68" t="str">
        <f t="shared" si="41"/>
        <v/>
      </c>
      <c r="P199" s="24"/>
      <c r="Q199" s="2" t="str">
        <f>IF(ROW(Q199)-ROW($E$1)&lt;=$B$4,INDEX(IDX_COMPO!F:F,ROW(IDX_COMPO!#REF!)),"")</f>
        <v/>
      </c>
      <c r="R199" s="68" t="str">
        <f t="shared" si="42"/>
        <v/>
      </c>
      <c r="S199" s="61" t="str">
        <f t="shared" si="43"/>
        <v/>
      </c>
      <c r="T199" s="62" t="str">
        <f>IF(D199&lt;&gt;"",IF(SUMPRODUCT(--($E199=STK_DIV!$A$2:$A$5),--(NXT_COMPO!$Q199=STK_DIV!$E$2:$E$5),ROW(STK_DIV!$D$2:$D$5))=0,"",INDEX(STK_DIV!$D$1:$D$5,SUMPRODUCT(--($E199=STK_DIV!$A$2:$A$5),--(NXT_COMPO!$Q199=STK_DIV!$E$2:$E$5),ROW(STK_DIV!$D$2:$D$5)))),"")</f>
        <v/>
      </c>
      <c r="U199" s="54" t="str">
        <f>IF($D199&lt;&gt;"",VLOOKUP($P199,IDX_REF!$2:$1048576,4,0),"")</f>
        <v/>
      </c>
    </row>
    <row r="200" spans="4:21" x14ac:dyDescent="0.2">
      <c r="D200" s="52" t="str">
        <f t="shared" si="38"/>
        <v/>
      </c>
      <c r="E200" s="5" t="str">
        <f t="shared" si="39"/>
        <v/>
      </c>
      <c r="F200" s="5" t="str">
        <f>IF(ROW(F200)-ROW($E$1)&lt;=$B$1-$B$2,INDEX(IDX_COMPO!B:B,ROW(IDX_COMPO!#REF!)),IF(ROW(E200)-ROW($E$1)&lt;=$B$4,VLOOKUP(E200,STK_REF!$A$2:$J$1048576,2,0),""))</f>
        <v/>
      </c>
      <c r="J200" s="62" t="str">
        <f>IF($D200&lt;=$B$1-$B$2,IF(INDEX($AA$2:$AA$1048576,MATCH($D200,$AB$2:$AB$1048576,0))="MODIFY",INDEX(IDX_CA!$G$1:$G$1041,SUMPRODUCT(--($E200=IDX_CA!$A$2:$A$1041),--(NXT_COMPO!$P200=IDX_CA!$B$2:$B$1041),--(NXT_COMPO!$Q200=IDX_CA!$C$2:$C$1041),ROW(IDX_CA!$G$2:$G$1041))),INDEX(IDX_COMPOSITION!$F$1:$F$441,SUMPRODUCT(--($E200=IDX_COMPOSITION!$A$2:$A$441),--(NXT_COMPO!$P200=IDX_COMPOSITION!$R$2:$R$441),--(NXT_COMPO!$B$5=IDX_COMPOSITION!$L$2:$L$441),ROW(IDX_COMPOSITION!$F$2:$F$441)))),IF($D200&lt;=$B$4,INDEX(IDX_CA!$G$1:$G$1041,SUMPRODUCT(--($E200=IDX_CA!$A$2:$A$1041),--(NXT_COMPO!$P200=IDX_CA!$B$2:$B$1041),--(NXT_COMPO!$Q200=IDX_CA!$C$2:$C$1041),ROW(IDX_CA!$G$2:$G$1041))),""))</f>
        <v/>
      </c>
      <c r="K200" s="63" t="str">
        <f>IF($D200&lt;&gt;"",VLOOKUP($E200,STK_REF!$A$2:$J$1048576,7,0),"")</f>
        <v/>
      </c>
      <c r="L200" s="5" t="str">
        <f>IF($D200&lt;&gt;"",VLOOKUP($E200,STK_REF!$A$2:$J$1048576,8,0),"")</f>
        <v/>
      </c>
      <c r="M200" s="8" t="str">
        <f>IF($D200&lt;&gt;"",IF($K200=$U200,1,IF(ISNA(VLOOKUP($K200&amp;$U200,CUR_RATES!$A$2:$F$521,4,0)),"",VLOOKUP($K200&amp;$U200,CUR_RATES!$A$2:$F$521,4,0))),"")</f>
        <v/>
      </c>
      <c r="N200" s="61" t="str">
        <f t="shared" si="40"/>
        <v/>
      </c>
      <c r="O200" s="68" t="str">
        <f t="shared" si="41"/>
        <v/>
      </c>
      <c r="P200" s="24"/>
      <c r="Q200" s="2" t="str">
        <f>IF(ROW(Q200)-ROW($E$1)&lt;=$B$4,INDEX(IDX_COMPO!F:F,ROW(IDX_COMPO!#REF!)),"")</f>
        <v/>
      </c>
      <c r="R200" s="68" t="str">
        <f t="shared" si="42"/>
        <v/>
      </c>
      <c r="S200" s="61" t="str">
        <f t="shared" si="43"/>
        <v/>
      </c>
      <c r="T200" s="62" t="str">
        <f>IF(D200&lt;&gt;"",IF(SUMPRODUCT(--($E200=STK_DIV!$A$2:$A$5),--(NXT_COMPO!$Q200=STK_DIV!$E$2:$E$5),ROW(STK_DIV!$D$2:$D$5))=0,"",INDEX(STK_DIV!$D$1:$D$5,SUMPRODUCT(--($E200=STK_DIV!$A$2:$A$5),--(NXT_COMPO!$Q200=STK_DIV!$E$2:$E$5),ROW(STK_DIV!$D$2:$D$5)))),"")</f>
        <v/>
      </c>
      <c r="U200" s="54" t="str">
        <f>IF($D200&lt;&gt;"",VLOOKUP($P200,IDX_REF!$2:$1048576,4,0),"")</f>
        <v/>
      </c>
    </row>
    <row r="201" spans="4:21" x14ac:dyDescent="0.2">
      <c r="D201" s="52" t="str">
        <f t="shared" si="38"/>
        <v/>
      </c>
      <c r="E201" s="5" t="str">
        <f t="shared" si="39"/>
        <v/>
      </c>
      <c r="F201" s="5" t="str">
        <f>IF(ROW(F201)-ROW($E$1)&lt;=$B$1-$B$2,INDEX(IDX_COMPO!B:B,ROW(IDX_COMPO!#REF!)),IF(ROW(E201)-ROW($E$1)&lt;=$B$4,VLOOKUP(E201,STK_REF!$A$2:$J$1048576,2,0),""))</f>
        <v/>
      </c>
      <c r="J201" s="62" t="str">
        <f>IF($D201&lt;=$B$1-$B$2,IF(INDEX($AA$2:$AA$1048576,MATCH($D201,$AB$2:$AB$1048576,0))="MODIFY",INDEX(IDX_CA!$G$1:$G$1041,SUMPRODUCT(--($E201=IDX_CA!$A$2:$A$1041),--(NXT_COMPO!$P201=IDX_CA!$B$2:$B$1041),--(NXT_COMPO!$Q201=IDX_CA!$C$2:$C$1041),ROW(IDX_CA!$G$2:$G$1041))),INDEX(IDX_COMPOSITION!$F$1:$F$441,SUMPRODUCT(--($E201=IDX_COMPOSITION!$A$2:$A$441),--(NXT_COMPO!$P201=IDX_COMPOSITION!$R$2:$R$441),--(NXT_COMPO!$B$5=IDX_COMPOSITION!$L$2:$L$441),ROW(IDX_COMPOSITION!$F$2:$F$441)))),IF($D201&lt;=$B$4,INDEX(IDX_CA!$G$1:$G$1041,SUMPRODUCT(--($E201=IDX_CA!$A$2:$A$1041),--(NXT_COMPO!$P201=IDX_CA!$B$2:$B$1041),--(NXT_COMPO!$Q201=IDX_CA!$C$2:$C$1041),ROW(IDX_CA!$G$2:$G$1041))),""))</f>
        <v/>
      </c>
      <c r="K201" s="63" t="str">
        <f>IF($D201&lt;&gt;"",VLOOKUP($E201,STK_REF!$A$2:$J$1048576,7,0),"")</f>
        <v/>
      </c>
      <c r="L201" s="5" t="str">
        <f>IF($D201&lt;&gt;"",VLOOKUP($E201,STK_REF!$A$2:$J$1048576,8,0),"")</f>
        <v/>
      </c>
      <c r="M201" s="8" t="str">
        <f>IF($D201&lt;&gt;"",IF($K201=$U201,1,IF(ISNA(VLOOKUP($K201&amp;$U201,CUR_RATES!$A$2:$F$521,4,0)),"",VLOOKUP($K201&amp;$U201,CUR_RATES!$A$2:$F$521,4,0))),"")</f>
        <v/>
      </c>
      <c r="N201" s="61" t="str">
        <f t="shared" si="40"/>
        <v/>
      </c>
      <c r="O201" s="68" t="str">
        <f t="shared" si="41"/>
        <v/>
      </c>
      <c r="P201" s="24"/>
      <c r="Q201" s="2" t="str">
        <f>IF(ROW(Q201)-ROW($E$1)&lt;=$B$4,INDEX(IDX_COMPO!F:F,ROW(IDX_COMPO!#REF!)),"")</f>
        <v/>
      </c>
      <c r="R201" s="68" t="str">
        <f t="shared" si="42"/>
        <v/>
      </c>
      <c r="S201" s="61" t="str">
        <f t="shared" si="43"/>
        <v/>
      </c>
      <c r="T201" s="62" t="str">
        <f>IF(D201&lt;&gt;"",IF(SUMPRODUCT(--($E201=STK_DIV!$A$2:$A$5),--(NXT_COMPO!$Q201=STK_DIV!$E$2:$E$5),ROW(STK_DIV!$D$2:$D$5))=0,"",INDEX(STK_DIV!$D$1:$D$5,SUMPRODUCT(--($E201=STK_DIV!$A$2:$A$5),--(NXT_COMPO!$Q201=STK_DIV!$E$2:$E$5),ROW(STK_DIV!$D$2:$D$5)))),"")</f>
        <v/>
      </c>
      <c r="U201" s="54" t="str">
        <f>IF($D201&lt;&gt;"",VLOOKUP($P201,IDX_REF!$2:$1048576,4,0),"")</f>
        <v/>
      </c>
    </row>
    <row r="202" spans="4:21" x14ac:dyDescent="0.2">
      <c r="D202" s="52" t="str">
        <f t="shared" si="38"/>
        <v/>
      </c>
      <c r="E202" s="5" t="str">
        <f t="shared" si="39"/>
        <v/>
      </c>
      <c r="F202" s="5" t="str">
        <f>IF(ROW(F202)-ROW($E$1)&lt;=$B$1-$B$2,INDEX(IDX_COMPO!B:B,ROW(IDX_COMPO!#REF!)),IF(ROW(E202)-ROW($E$1)&lt;=$B$4,VLOOKUP(E202,STK_REF!$A$2:$J$1048576,2,0),""))</f>
        <v/>
      </c>
      <c r="J202" s="62" t="str">
        <f>IF($D202&lt;=$B$1-$B$2,IF(INDEX($AA$2:$AA$1048576,MATCH($D202,$AB$2:$AB$1048576,0))="MODIFY",INDEX(IDX_CA!$G$1:$G$1041,SUMPRODUCT(--($E202=IDX_CA!$A$2:$A$1041),--(NXT_COMPO!$P202=IDX_CA!$B$2:$B$1041),--(NXT_COMPO!$Q202=IDX_CA!$C$2:$C$1041),ROW(IDX_CA!$G$2:$G$1041))),INDEX(IDX_COMPOSITION!$F$1:$F$441,SUMPRODUCT(--($E202=IDX_COMPOSITION!$A$2:$A$441),--(NXT_COMPO!$P202=IDX_COMPOSITION!$R$2:$R$441),--(NXT_COMPO!$B$5=IDX_COMPOSITION!$L$2:$L$441),ROW(IDX_COMPOSITION!$F$2:$F$441)))),IF($D202&lt;=$B$4,INDEX(IDX_CA!$G$1:$G$1041,SUMPRODUCT(--($E202=IDX_CA!$A$2:$A$1041),--(NXT_COMPO!$P202=IDX_CA!$B$2:$B$1041),--(NXT_COMPO!$Q202=IDX_CA!$C$2:$C$1041),ROW(IDX_CA!$G$2:$G$1041))),""))</f>
        <v/>
      </c>
      <c r="K202" s="63" t="str">
        <f>IF($D202&lt;&gt;"",VLOOKUP($E202,STK_REF!$A$2:$J$1048576,7,0),"")</f>
        <v/>
      </c>
      <c r="L202" s="5" t="str">
        <f>IF($D202&lt;&gt;"",VLOOKUP($E202,STK_REF!$A$2:$J$1048576,8,0),"")</f>
        <v/>
      </c>
      <c r="M202" s="8" t="str">
        <f>IF($D202&lt;&gt;"",IF($K202=$U202,1,IF(ISNA(VLOOKUP($K202&amp;$U202,CUR_RATES!$A$2:$F$521,4,0)),"",VLOOKUP($K202&amp;$U202,CUR_RATES!$A$2:$F$521,4,0))),"")</f>
        <v/>
      </c>
      <c r="N202" s="61" t="str">
        <f t="shared" si="40"/>
        <v/>
      </c>
      <c r="O202" s="68" t="str">
        <f t="shared" si="41"/>
        <v/>
      </c>
      <c r="P202" s="24"/>
      <c r="Q202" s="2" t="str">
        <f>IF(ROW(Q202)-ROW($E$1)&lt;=$B$4,INDEX(IDX_COMPO!F:F,ROW(IDX_COMPO!#REF!)),"")</f>
        <v/>
      </c>
      <c r="R202" s="68" t="str">
        <f t="shared" si="42"/>
        <v/>
      </c>
      <c r="S202" s="61" t="str">
        <f t="shared" si="43"/>
        <v/>
      </c>
      <c r="T202" s="62" t="str">
        <f>IF(D202&lt;&gt;"",IF(SUMPRODUCT(--($E202=STK_DIV!$A$2:$A$5),--(NXT_COMPO!$Q202=STK_DIV!$E$2:$E$5),ROW(STK_DIV!$D$2:$D$5))=0,"",INDEX(STK_DIV!$D$1:$D$5,SUMPRODUCT(--($E202=STK_DIV!$A$2:$A$5),--(NXT_COMPO!$Q202=STK_DIV!$E$2:$E$5),ROW(STK_DIV!$D$2:$D$5)))),"")</f>
        <v/>
      </c>
      <c r="U202" s="54" t="str">
        <f>IF($D202&lt;&gt;"",VLOOKUP($P202,IDX_REF!$2:$1048576,4,0),"")</f>
        <v/>
      </c>
    </row>
    <row r="203" spans="4:21" x14ac:dyDescent="0.2">
      <c r="D203" s="52" t="str">
        <f t="shared" si="38"/>
        <v/>
      </c>
      <c r="E203" s="5" t="str">
        <f t="shared" si="39"/>
        <v/>
      </c>
      <c r="F203" s="5" t="str">
        <f>IF(ROW(F203)-ROW($E$1)&lt;=$B$1-$B$2,INDEX(IDX_COMPO!B:B,ROW(IDX_COMPO!#REF!)),IF(ROW(E203)-ROW($E$1)&lt;=$B$4,VLOOKUP(E203,STK_REF!$A$2:$J$1048576,2,0),""))</f>
        <v/>
      </c>
      <c r="J203" s="62" t="str">
        <f>IF($D203&lt;=$B$1-$B$2,IF(INDEX($AA$2:$AA$1048576,MATCH($D203,$AB$2:$AB$1048576,0))="MODIFY",INDEX(IDX_CA!$G$1:$G$1041,SUMPRODUCT(--($E203=IDX_CA!$A$2:$A$1041),--(NXT_COMPO!$P203=IDX_CA!$B$2:$B$1041),--(NXT_COMPO!$Q203=IDX_CA!$C$2:$C$1041),ROW(IDX_CA!$G$2:$G$1041))),INDEX(IDX_COMPOSITION!$F$1:$F$441,SUMPRODUCT(--($E203=IDX_COMPOSITION!$A$2:$A$441),--(NXT_COMPO!$P203=IDX_COMPOSITION!$R$2:$R$441),--(NXT_COMPO!$B$5=IDX_COMPOSITION!$L$2:$L$441),ROW(IDX_COMPOSITION!$F$2:$F$441)))),IF($D203&lt;=$B$4,INDEX(IDX_CA!$G$1:$G$1041,SUMPRODUCT(--($E203=IDX_CA!$A$2:$A$1041),--(NXT_COMPO!$P203=IDX_CA!$B$2:$B$1041),--(NXT_COMPO!$Q203=IDX_CA!$C$2:$C$1041),ROW(IDX_CA!$G$2:$G$1041))),""))</f>
        <v/>
      </c>
      <c r="K203" s="63" t="str">
        <f>IF($D203&lt;&gt;"",VLOOKUP($E203,STK_REF!$A$2:$J$1048576,7,0),"")</f>
        <v/>
      </c>
      <c r="L203" s="5" t="str">
        <f>IF($D203&lt;&gt;"",VLOOKUP($E203,STK_REF!$A$2:$J$1048576,8,0),"")</f>
        <v/>
      </c>
      <c r="M203" s="8" t="str">
        <f>IF($D203&lt;&gt;"",IF($K203=$U203,1,IF(ISNA(VLOOKUP($K203&amp;$U203,CUR_RATES!$A$2:$F$521,4,0)),"",VLOOKUP($K203&amp;$U203,CUR_RATES!$A$2:$F$521,4,0))),"")</f>
        <v/>
      </c>
      <c r="N203" s="61" t="str">
        <f t="shared" si="40"/>
        <v/>
      </c>
      <c r="O203" s="68" t="str">
        <f t="shared" si="41"/>
        <v/>
      </c>
      <c r="P203" s="24"/>
      <c r="Q203" s="2" t="str">
        <f>IF(ROW(Q203)-ROW($E$1)&lt;=$B$4,INDEX(IDX_COMPO!F:F,ROW(IDX_COMPO!#REF!)),"")</f>
        <v/>
      </c>
      <c r="R203" s="68" t="str">
        <f t="shared" si="42"/>
        <v/>
      </c>
      <c r="S203" s="61" t="str">
        <f t="shared" si="43"/>
        <v/>
      </c>
      <c r="T203" s="62" t="str">
        <f>IF(D203&lt;&gt;"",IF(SUMPRODUCT(--($E203=STK_DIV!$A$2:$A$5),--(NXT_COMPO!$Q203=STK_DIV!$E$2:$E$5),ROW(STK_DIV!$D$2:$D$5))=0,"",INDEX(STK_DIV!$D$1:$D$5,SUMPRODUCT(--($E203=STK_DIV!$A$2:$A$5),--(NXT_COMPO!$Q203=STK_DIV!$E$2:$E$5),ROW(STK_DIV!$D$2:$D$5)))),"")</f>
        <v/>
      </c>
      <c r="U203" s="54" t="str">
        <f>IF($D203&lt;&gt;"",VLOOKUP($P203,IDX_REF!$2:$1048576,4,0),"")</f>
        <v/>
      </c>
    </row>
    <row r="204" spans="4:21" x14ac:dyDescent="0.2">
      <c r="D204" s="52" t="str">
        <f t="shared" si="38"/>
        <v/>
      </c>
      <c r="E204" s="5" t="str">
        <f t="shared" si="39"/>
        <v/>
      </c>
      <c r="F204" s="5" t="str">
        <f>IF(ROW(F204)-ROW($E$1)&lt;=$B$1-$B$2,INDEX(IDX_COMPO!B:B,ROW(IDX_COMPO!#REF!)),IF(ROW(E204)-ROW($E$1)&lt;=$B$4,VLOOKUP(E204,STK_REF!$A$2:$J$1048576,2,0),""))</f>
        <v/>
      </c>
      <c r="J204" s="62" t="str">
        <f>IF($D204&lt;=$B$1-$B$2,IF(INDEX($AA$2:$AA$1048576,MATCH($D204,$AB$2:$AB$1048576,0))="MODIFY",INDEX(IDX_CA!$G$1:$G$1041,SUMPRODUCT(--($E204=IDX_CA!$A$2:$A$1041),--(NXT_COMPO!$P204=IDX_CA!$B$2:$B$1041),--(NXT_COMPO!$Q204=IDX_CA!$C$2:$C$1041),ROW(IDX_CA!$G$2:$G$1041))),INDEX(IDX_COMPOSITION!$F$1:$F$441,SUMPRODUCT(--($E204=IDX_COMPOSITION!$A$2:$A$441),--(NXT_COMPO!$P204=IDX_COMPOSITION!$R$2:$R$441),--(NXT_COMPO!$B$5=IDX_COMPOSITION!$L$2:$L$441),ROW(IDX_COMPOSITION!$F$2:$F$441)))),IF($D204&lt;=$B$4,INDEX(IDX_CA!$G$1:$G$1041,SUMPRODUCT(--($E204=IDX_CA!$A$2:$A$1041),--(NXT_COMPO!$P204=IDX_CA!$B$2:$B$1041),--(NXT_COMPO!$Q204=IDX_CA!$C$2:$C$1041),ROW(IDX_CA!$G$2:$G$1041))),""))</f>
        <v/>
      </c>
      <c r="K204" s="63" t="str">
        <f>IF($D204&lt;&gt;"",VLOOKUP($E204,STK_REF!$A$2:$J$1048576,7,0),"")</f>
        <v/>
      </c>
      <c r="L204" s="5" t="str">
        <f>IF($D204&lt;&gt;"",VLOOKUP($E204,STK_REF!$A$2:$J$1048576,8,0),"")</f>
        <v/>
      </c>
      <c r="M204" s="8" t="str">
        <f>IF($D204&lt;&gt;"",IF($K204=$U204,1,IF(ISNA(VLOOKUP($K204&amp;$U204,CUR_RATES!$A$2:$F$521,4,0)),"",VLOOKUP($K204&amp;$U204,CUR_RATES!$A$2:$F$521,4,0))),"")</f>
        <v/>
      </c>
      <c r="N204" s="61" t="str">
        <f t="shared" si="40"/>
        <v/>
      </c>
      <c r="O204" s="68" t="str">
        <f t="shared" si="41"/>
        <v/>
      </c>
      <c r="P204" s="24"/>
      <c r="Q204" s="2" t="str">
        <f>IF(ROW(Q204)-ROW($E$1)&lt;=$B$4,INDEX(IDX_COMPO!F:F,ROW(IDX_COMPO!#REF!)),"")</f>
        <v/>
      </c>
      <c r="R204" s="68" t="str">
        <f t="shared" si="42"/>
        <v/>
      </c>
      <c r="S204" s="61" t="str">
        <f t="shared" si="43"/>
        <v/>
      </c>
      <c r="T204" s="62" t="str">
        <f>IF(D204&lt;&gt;"",IF(SUMPRODUCT(--($E204=STK_DIV!$A$2:$A$5),--(NXT_COMPO!$Q204=STK_DIV!$E$2:$E$5),ROW(STK_DIV!$D$2:$D$5))=0,"",INDEX(STK_DIV!$D$1:$D$5,SUMPRODUCT(--($E204=STK_DIV!$A$2:$A$5),--(NXT_COMPO!$Q204=STK_DIV!$E$2:$E$5),ROW(STK_DIV!$D$2:$D$5)))),"")</f>
        <v/>
      </c>
      <c r="U204" s="54" t="str">
        <f>IF($D204&lt;&gt;"",VLOOKUP($P204,IDX_REF!$2:$1048576,4,0),"")</f>
        <v/>
      </c>
    </row>
    <row r="205" spans="4:21" x14ac:dyDescent="0.2">
      <c r="D205" s="52" t="str">
        <f t="shared" si="38"/>
        <v/>
      </c>
      <c r="E205" s="5" t="str">
        <f t="shared" si="39"/>
        <v/>
      </c>
      <c r="F205" s="5" t="str">
        <f>IF(ROW(F205)-ROW($E$1)&lt;=$B$1-$B$2,INDEX(IDX_COMPO!B:B,ROW(IDX_COMPO!#REF!)),IF(ROW(E205)-ROW($E$1)&lt;=$B$4,VLOOKUP(E205,STK_REF!$A$2:$J$1048576,2,0),""))</f>
        <v/>
      </c>
      <c r="J205" s="62" t="str">
        <f>IF($D205&lt;=$B$1-$B$2,IF(INDEX($AA$2:$AA$1048576,MATCH($D205,$AB$2:$AB$1048576,0))="MODIFY",INDEX(IDX_CA!$G$1:$G$1041,SUMPRODUCT(--($E205=IDX_CA!$A$2:$A$1041),--(NXT_COMPO!$P205=IDX_CA!$B$2:$B$1041),--(NXT_COMPO!$Q205=IDX_CA!$C$2:$C$1041),ROW(IDX_CA!$G$2:$G$1041))),INDEX(IDX_COMPOSITION!$F$1:$F$441,SUMPRODUCT(--($E205=IDX_COMPOSITION!$A$2:$A$441),--(NXT_COMPO!$P205=IDX_COMPOSITION!$R$2:$R$441),--(NXT_COMPO!$B$5=IDX_COMPOSITION!$L$2:$L$441),ROW(IDX_COMPOSITION!$F$2:$F$441)))),IF($D205&lt;=$B$4,INDEX(IDX_CA!$G$1:$G$1041,SUMPRODUCT(--($E205=IDX_CA!$A$2:$A$1041),--(NXT_COMPO!$P205=IDX_CA!$B$2:$B$1041),--(NXT_COMPO!$Q205=IDX_CA!$C$2:$C$1041),ROW(IDX_CA!$G$2:$G$1041))),""))</f>
        <v/>
      </c>
      <c r="K205" s="63" t="str">
        <f>IF($D205&lt;&gt;"",VLOOKUP($E205,STK_REF!$A$2:$J$1048576,7,0),"")</f>
        <v/>
      </c>
      <c r="L205" s="5" t="str">
        <f>IF($D205&lt;&gt;"",VLOOKUP($E205,STK_REF!$A$2:$J$1048576,8,0),"")</f>
        <v/>
      </c>
      <c r="M205" s="8" t="str">
        <f>IF($D205&lt;&gt;"",IF($K205=$U205,1,IF(ISNA(VLOOKUP($K205&amp;$U205,CUR_RATES!$A$2:$F$521,4,0)),"",VLOOKUP($K205&amp;$U205,CUR_RATES!$A$2:$F$521,4,0))),"")</f>
        <v/>
      </c>
      <c r="N205" s="61" t="str">
        <f t="shared" si="40"/>
        <v/>
      </c>
      <c r="O205" s="68" t="str">
        <f t="shared" si="41"/>
        <v/>
      </c>
      <c r="P205" s="24"/>
      <c r="Q205" s="2" t="str">
        <f>IF(ROW(Q205)-ROW($E$1)&lt;=$B$4,INDEX(IDX_COMPO!F:F,ROW(IDX_COMPO!#REF!)),"")</f>
        <v/>
      </c>
      <c r="R205" s="68" t="str">
        <f t="shared" si="42"/>
        <v/>
      </c>
      <c r="S205" s="61" t="str">
        <f t="shared" si="43"/>
        <v/>
      </c>
      <c r="T205" s="62" t="str">
        <f>IF(D205&lt;&gt;"",IF(SUMPRODUCT(--($E205=STK_DIV!$A$2:$A$5),--(NXT_COMPO!$Q205=STK_DIV!$E$2:$E$5),ROW(STK_DIV!$D$2:$D$5))=0,"",INDEX(STK_DIV!$D$1:$D$5,SUMPRODUCT(--($E205=STK_DIV!$A$2:$A$5),--(NXT_COMPO!$Q205=STK_DIV!$E$2:$E$5),ROW(STK_DIV!$D$2:$D$5)))),"")</f>
        <v/>
      </c>
      <c r="U205" s="54" t="str">
        <f>IF($D205&lt;&gt;"",VLOOKUP($P205,IDX_REF!$2:$1048576,4,0),"")</f>
        <v/>
      </c>
    </row>
    <row r="206" spans="4:21" x14ac:dyDescent="0.2">
      <c r="D206" s="52" t="str">
        <f t="shared" si="38"/>
        <v/>
      </c>
      <c r="E206" s="5" t="str">
        <f t="shared" si="39"/>
        <v/>
      </c>
      <c r="F206" s="5" t="str">
        <f>IF(ROW(F206)-ROW($E$1)&lt;=$B$1-$B$2,INDEX(IDX_COMPO!B:B,ROW(IDX_COMPO!#REF!)),IF(ROW(E206)-ROW($E$1)&lt;=$B$4,VLOOKUP(E206,STK_REF!$A$2:$J$1048576,2,0),""))</f>
        <v/>
      </c>
      <c r="J206" s="62" t="str">
        <f>IF($D206&lt;=$B$1-$B$2,IF(INDEX($AA$2:$AA$1048576,MATCH($D206,$AB$2:$AB$1048576,0))="MODIFY",INDEX(IDX_CA!$G$1:$G$1041,SUMPRODUCT(--($E206=IDX_CA!$A$2:$A$1041),--(NXT_COMPO!$P206=IDX_CA!$B$2:$B$1041),--(NXT_COMPO!$Q206=IDX_CA!$C$2:$C$1041),ROW(IDX_CA!$G$2:$G$1041))),INDEX(IDX_COMPOSITION!$F$1:$F$441,SUMPRODUCT(--($E206=IDX_COMPOSITION!$A$2:$A$441),--(NXT_COMPO!$P206=IDX_COMPOSITION!$R$2:$R$441),--(NXT_COMPO!$B$5=IDX_COMPOSITION!$L$2:$L$441),ROW(IDX_COMPOSITION!$F$2:$F$441)))),IF($D206&lt;=$B$4,INDEX(IDX_CA!$G$1:$G$1041,SUMPRODUCT(--($E206=IDX_CA!$A$2:$A$1041),--(NXT_COMPO!$P206=IDX_CA!$B$2:$B$1041),--(NXT_COMPO!$Q206=IDX_CA!$C$2:$C$1041),ROW(IDX_CA!$G$2:$G$1041))),""))</f>
        <v/>
      </c>
      <c r="K206" s="63" t="str">
        <f>IF($D206&lt;&gt;"",VLOOKUP($E206,STK_REF!$A$2:$J$1048576,7,0),"")</f>
        <v/>
      </c>
      <c r="L206" s="5" t="str">
        <f>IF($D206&lt;&gt;"",VLOOKUP($E206,STK_REF!$A$2:$J$1048576,8,0),"")</f>
        <v/>
      </c>
      <c r="M206" s="8" t="str">
        <f>IF($D206&lt;&gt;"",IF($K206=$U206,1,IF(ISNA(VLOOKUP($K206&amp;$U206,CUR_RATES!$A$2:$F$521,4,0)),"",VLOOKUP($K206&amp;$U206,CUR_RATES!$A$2:$F$521,4,0))),"")</f>
        <v/>
      </c>
      <c r="N206" s="61" t="str">
        <f t="shared" si="40"/>
        <v/>
      </c>
      <c r="O206" s="68" t="str">
        <f t="shared" si="41"/>
        <v/>
      </c>
      <c r="P206" s="24"/>
      <c r="Q206" s="2" t="str">
        <f>IF(ROW(Q206)-ROW($E$1)&lt;=$B$4,INDEX(IDX_COMPO!F:F,ROW(IDX_COMPO!#REF!)),"")</f>
        <v/>
      </c>
      <c r="R206" s="68" t="str">
        <f t="shared" si="42"/>
        <v/>
      </c>
      <c r="S206" s="61" t="str">
        <f t="shared" si="43"/>
        <v/>
      </c>
      <c r="T206" s="62" t="str">
        <f>IF(D206&lt;&gt;"",IF(SUMPRODUCT(--($E206=STK_DIV!$A$2:$A$5),--(NXT_COMPO!$Q206=STK_DIV!$E$2:$E$5),ROW(STK_DIV!$D$2:$D$5))=0,"",INDEX(STK_DIV!$D$1:$D$5,SUMPRODUCT(--($E206=STK_DIV!$A$2:$A$5),--(NXT_COMPO!$Q206=STK_DIV!$E$2:$E$5),ROW(STK_DIV!$D$2:$D$5)))),"")</f>
        <v/>
      </c>
      <c r="U206" s="54" t="str">
        <f>IF($D206&lt;&gt;"",VLOOKUP($P206,IDX_REF!$2:$1048576,4,0),"")</f>
        <v/>
      </c>
    </row>
    <row r="207" spans="4:21" x14ac:dyDescent="0.2">
      <c r="D207" s="52" t="str">
        <f t="shared" si="38"/>
        <v/>
      </c>
      <c r="E207" s="5" t="str">
        <f t="shared" si="39"/>
        <v/>
      </c>
      <c r="F207" s="5" t="str">
        <f>IF(ROW(F207)-ROW($E$1)&lt;=$B$1-$B$2,INDEX(IDX_COMPO!B:B,ROW(IDX_COMPO!#REF!)),IF(ROW(E207)-ROW($E$1)&lt;=$B$4,VLOOKUP(E207,STK_REF!$A$2:$J$1048576,2,0),""))</f>
        <v/>
      </c>
      <c r="J207" s="62" t="str">
        <f>IF($D207&lt;=$B$1-$B$2,IF(INDEX($AA$2:$AA$1048576,MATCH($D207,$AB$2:$AB$1048576,0))="MODIFY",INDEX(IDX_CA!$G$1:$G$1041,SUMPRODUCT(--($E207=IDX_CA!$A$2:$A$1041),--(NXT_COMPO!$P207=IDX_CA!$B$2:$B$1041),--(NXT_COMPO!$Q207=IDX_CA!$C$2:$C$1041),ROW(IDX_CA!$G$2:$G$1041))),INDEX(IDX_COMPOSITION!$F$1:$F$441,SUMPRODUCT(--($E207=IDX_COMPOSITION!$A$2:$A$441),--(NXT_COMPO!$P207=IDX_COMPOSITION!$R$2:$R$441),--(NXT_COMPO!$B$5=IDX_COMPOSITION!$L$2:$L$441),ROW(IDX_COMPOSITION!$F$2:$F$441)))),IF($D207&lt;=$B$4,INDEX(IDX_CA!$G$1:$G$1041,SUMPRODUCT(--($E207=IDX_CA!$A$2:$A$1041),--(NXT_COMPO!$P207=IDX_CA!$B$2:$B$1041),--(NXT_COMPO!$Q207=IDX_CA!$C$2:$C$1041),ROW(IDX_CA!$G$2:$G$1041))),""))</f>
        <v/>
      </c>
      <c r="K207" s="63" t="str">
        <f>IF($D207&lt;&gt;"",VLOOKUP($E207,STK_REF!$A$2:$J$1048576,7,0),"")</f>
        <v/>
      </c>
      <c r="L207" s="5" t="str">
        <f>IF($D207&lt;&gt;"",VLOOKUP($E207,STK_REF!$A$2:$J$1048576,8,0),"")</f>
        <v/>
      </c>
      <c r="M207" s="8" t="str">
        <f>IF($D207&lt;&gt;"",IF($K207=$U207,1,IF(ISNA(VLOOKUP($K207&amp;$U207,CUR_RATES!$A$2:$F$521,4,0)),"",VLOOKUP($K207&amp;$U207,CUR_RATES!$A$2:$F$521,4,0))),"")</f>
        <v/>
      </c>
      <c r="N207" s="61" t="str">
        <f t="shared" si="40"/>
        <v/>
      </c>
      <c r="O207" s="68" t="str">
        <f t="shared" si="41"/>
        <v/>
      </c>
      <c r="P207" s="24"/>
      <c r="Q207" s="2" t="str">
        <f>IF(ROW(Q207)-ROW($E$1)&lt;=$B$4,INDEX(IDX_COMPO!F:F,ROW(IDX_COMPO!#REF!)),"")</f>
        <v/>
      </c>
      <c r="R207" s="68" t="str">
        <f t="shared" si="42"/>
        <v/>
      </c>
      <c r="S207" s="61" t="str">
        <f t="shared" si="43"/>
        <v/>
      </c>
      <c r="T207" s="62" t="str">
        <f>IF(D207&lt;&gt;"",IF(SUMPRODUCT(--($E207=STK_DIV!$A$2:$A$5),--(NXT_COMPO!$Q207=STK_DIV!$E$2:$E$5),ROW(STK_DIV!$D$2:$D$5))=0,"",INDEX(STK_DIV!$D$1:$D$5,SUMPRODUCT(--($E207=STK_DIV!$A$2:$A$5),--(NXT_COMPO!$Q207=STK_DIV!$E$2:$E$5),ROW(STK_DIV!$D$2:$D$5)))),"")</f>
        <v/>
      </c>
      <c r="U207" s="54" t="str">
        <f>IF($D207&lt;&gt;"",VLOOKUP($P207,IDX_REF!$2:$1048576,4,0),"")</f>
        <v/>
      </c>
    </row>
    <row r="208" spans="4:21" x14ac:dyDescent="0.2">
      <c r="D208" s="52" t="str">
        <f t="shared" si="38"/>
        <v/>
      </c>
      <c r="E208" s="5" t="str">
        <f t="shared" si="39"/>
        <v/>
      </c>
      <c r="F208" s="5" t="str">
        <f>IF(ROW(F208)-ROW($E$1)&lt;=$B$1-$B$2,INDEX(IDX_COMPO!B:B,ROW(IDX_COMPO!#REF!)),IF(ROW(E208)-ROW($E$1)&lt;=$B$4,VLOOKUP(E208,STK_REF!$A$2:$J$1048576,2,0),""))</f>
        <v/>
      </c>
      <c r="J208" s="62" t="str">
        <f>IF($D208&lt;=$B$1-$B$2,IF(INDEX($AA$2:$AA$1048576,MATCH($D208,$AB$2:$AB$1048576,0))="MODIFY",INDEX(IDX_CA!$G$1:$G$1041,SUMPRODUCT(--($E208=IDX_CA!$A$2:$A$1041),--(NXT_COMPO!$P208=IDX_CA!$B$2:$B$1041),--(NXT_COMPO!$Q208=IDX_CA!$C$2:$C$1041),ROW(IDX_CA!$G$2:$G$1041))),INDEX(IDX_COMPOSITION!$F$1:$F$441,SUMPRODUCT(--($E208=IDX_COMPOSITION!$A$2:$A$441),--(NXT_COMPO!$P208=IDX_COMPOSITION!$R$2:$R$441),--(NXT_COMPO!$B$5=IDX_COMPOSITION!$L$2:$L$441),ROW(IDX_COMPOSITION!$F$2:$F$441)))),IF($D208&lt;=$B$4,INDEX(IDX_CA!$G$1:$G$1041,SUMPRODUCT(--($E208=IDX_CA!$A$2:$A$1041),--(NXT_COMPO!$P208=IDX_CA!$B$2:$B$1041),--(NXT_COMPO!$Q208=IDX_CA!$C$2:$C$1041),ROW(IDX_CA!$G$2:$G$1041))),""))</f>
        <v/>
      </c>
      <c r="K208" s="63" t="str">
        <f>IF($D208&lt;&gt;"",VLOOKUP($E208,STK_REF!$A$2:$J$1048576,7,0),"")</f>
        <v/>
      </c>
      <c r="L208" s="5" t="str">
        <f>IF($D208&lt;&gt;"",VLOOKUP($E208,STK_REF!$A$2:$J$1048576,8,0),"")</f>
        <v/>
      </c>
      <c r="M208" s="8" t="str">
        <f>IF($D208&lt;&gt;"",IF($K208=$U208,1,IF(ISNA(VLOOKUP($K208&amp;$U208,CUR_RATES!$A$2:$F$521,4,0)),"",VLOOKUP($K208&amp;$U208,CUR_RATES!$A$2:$F$521,4,0))),"")</f>
        <v/>
      </c>
      <c r="N208" s="61" t="str">
        <f t="shared" si="40"/>
        <v/>
      </c>
      <c r="O208" s="68" t="str">
        <f t="shared" si="41"/>
        <v/>
      </c>
      <c r="P208" s="24"/>
      <c r="Q208" s="2" t="str">
        <f>IF(ROW(Q208)-ROW($E$1)&lt;=$B$4,INDEX(IDX_COMPO!F:F,ROW(IDX_COMPO!#REF!)),"")</f>
        <v/>
      </c>
      <c r="R208" s="68" t="str">
        <f t="shared" si="42"/>
        <v/>
      </c>
      <c r="S208" s="61" t="str">
        <f t="shared" si="43"/>
        <v/>
      </c>
      <c r="T208" s="62" t="str">
        <f>IF(D208&lt;&gt;"",IF(SUMPRODUCT(--($E208=STK_DIV!$A$2:$A$5),--(NXT_COMPO!$Q208=STK_DIV!$E$2:$E$5),ROW(STK_DIV!$D$2:$D$5))=0,"",INDEX(STK_DIV!$D$1:$D$5,SUMPRODUCT(--($E208=STK_DIV!$A$2:$A$5),--(NXT_COMPO!$Q208=STK_DIV!$E$2:$E$5),ROW(STK_DIV!$D$2:$D$5)))),"")</f>
        <v/>
      </c>
      <c r="U208" s="54" t="str">
        <f>IF($D208&lt;&gt;"",VLOOKUP($P208,IDX_REF!$2:$1048576,4,0),"")</f>
        <v/>
      </c>
    </row>
    <row r="209" spans="4:21" x14ac:dyDescent="0.2">
      <c r="D209" s="52" t="str">
        <f t="shared" si="38"/>
        <v/>
      </c>
      <c r="E209" s="5" t="str">
        <f t="shared" si="39"/>
        <v/>
      </c>
      <c r="F209" s="5" t="str">
        <f>IF(ROW(F209)-ROW($E$1)&lt;=$B$1-$B$2,INDEX(IDX_COMPO!B:B,ROW(IDX_COMPO!#REF!)),IF(ROW(E209)-ROW($E$1)&lt;=$B$4,VLOOKUP(E209,STK_REF!$A$2:$J$1048576,2,0),""))</f>
        <v/>
      </c>
      <c r="J209" s="62" t="str">
        <f>IF($D209&lt;=$B$1-$B$2,IF(INDEX($AA$2:$AA$1048576,MATCH($D209,$AB$2:$AB$1048576,0))="MODIFY",INDEX(IDX_CA!$G$1:$G$1041,SUMPRODUCT(--($E209=IDX_CA!$A$2:$A$1041),--(NXT_COMPO!$P209=IDX_CA!$B$2:$B$1041),--(NXT_COMPO!$Q209=IDX_CA!$C$2:$C$1041),ROW(IDX_CA!$G$2:$G$1041))),INDEX(IDX_COMPOSITION!$F$1:$F$441,SUMPRODUCT(--($E209=IDX_COMPOSITION!$A$2:$A$441),--(NXT_COMPO!$P209=IDX_COMPOSITION!$R$2:$R$441),--(NXT_COMPO!$B$5=IDX_COMPOSITION!$L$2:$L$441),ROW(IDX_COMPOSITION!$F$2:$F$441)))),IF($D209&lt;=$B$4,INDEX(IDX_CA!$G$1:$G$1041,SUMPRODUCT(--($E209=IDX_CA!$A$2:$A$1041),--(NXT_COMPO!$P209=IDX_CA!$B$2:$B$1041),--(NXT_COMPO!$Q209=IDX_CA!$C$2:$C$1041),ROW(IDX_CA!$G$2:$G$1041))),""))</f>
        <v/>
      </c>
      <c r="K209" s="63" t="str">
        <f>IF($D209&lt;&gt;"",VLOOKUP($E209,STK_REF!$A$2:$J$1048576,7,0),"")</f>
        <v/>
      </c>
      <c r="L209" s="5" t="str">
        <f>IF($D209&lt;&gt;"",VLOOKUP($E209,STK_REF!$A$2:$J$1048576,8,0),"")</f>
        <v/>
      </c>
      <c r="M209" s="8" t="str">
        <f>IF($D209&lt;&gt;"",IF($K209=$U209,1,IF(ISNA(VLOOKUP($K209&amp;$U209,CUR_RATES!$A$2:$F$521,4,0)),"",VLOOKUP($K209&amp;$U209,CUR_RATES!$A$2:$F$521,4,0))),"")</f>
        <v/>
      </c>
      <c r="N209" s="61" t="str">
        <f t="shared" si="40"/>
        <v/>
      </c>
      <c r="O209" s="68" t="str">
        <f t="shared" si="41"/>
        <v/>
      </c>
      <c r="P209" s="24"/>
      <c r="Q209" s="2" t="str">
        <f>IF(ROW(Q209)-ROW($E$1)&lt;=$B$4,INDEX(IDX_COMPO!F:F,ROW(IDX_COMPO!#REF!)),"")</f>
        <v/>
      </c>
      <c r="R209" s="68" t="str">
        <f t="shared" si="42"/>
        <v/>
      </c>
      <c r="S209" s="61" t="str">
        <f t="shared" si="43"/>
        <v/>
      </c>
      <c r="T209" s="62" t="str">
        <f>IF(D209&lt;&gt;"",IF(SUMPRODUCT(--($E209=STK_DIV!$A$2:$A$5),--(NXT_COMPO!$Q209=STK_DIV!$E$2:$E$5),ROW(STK_DIV!$D$2:$D$5))=0,"",INDEX(STK_DIV!$D$1:$D$5,SUMPRODUCT(--($E209=STK_DIV!$A$2:$A$5),--(NXT_COMPO!$Q209=STK_DIV!$E$2:$E$5),ROW(STK_DIV!$D$2:$D$5)))),"")</f>
        <v/>
      </c>
      <c r="U209" s="54" t="str">
        <f>IF($D209&lt;&gt;"",VLOOKUP($P209,IDX_REF!$2:$1048576,4,0),"")</f>
        <v/>
      </c>
    </row>
    <row r="210" spans="4:21" x14ac:dyDescent="0.2">
      <c r="D210" s="52" t="str">
        <f t="shared" si="38"/>
        <v/>
      </c>
      <c r="E210" s="5" t="str">
        <f t="shared" si="39"/>
        <v/>
      </c>
      <c r="F210" s="5" t="str">
        <f>IF(ROW(F210)-ROW($E$1)&lt;=$B$1-$B$2,INDEX(IDX_COMPO!B:B,ROW(IDX_COMPO!#REF!)),IF(ROW(E210)-ROW($E$1)&lt;=$B$4,VLOOKUP(E210,STK_REF!$A$2:$J$1048576,2,0),""))</f>
        <v/>
      </c>
      <c r="J210" s="62" t="str">
        <f>IF($D210&lt;=$B$1-$B$2,IF(INDEX($AA$2:$AA$1048576,MATCH($D210,$AB$2:$AB$1048576,0))="MODIFY",INDEX(IDX_CA!$G$1:$G$1041,SUMPRODUCT(--($E210=IDX_CA!$A$2:$A$1041),--(NXT_COMPO!$P210=IDX_CA!$B$2:$B$1041),--(NXT_COMPO!$Q210=IDX_CA!$C$2:$C$1041),ROW(IDX_CA!$G$2:$G$1041))),INDEX(IDX_COMPOSITION!$F$1:$F$441,SUMPRODUCT(--($E210=IDX_COMPOSITION!$A$2:$A$441),--(NXT_COMPO!$P210=IDX_COMPOSITION!$R$2:$R$441),--(NXT_COMPO!$B$5=IDX_COMPOSITION!$L$2:$L$441),ROW(IDX_COMPOSITION!$F$2:$F$441)))),IF($D210&lt;=$B$4,INDEX(IDX_CA!$G$1:$G$1041,SUMPRODUCT(--($E210=IDX_CA!$A$2:$A$1041),--(NXT_COMPO!$P210=IDX_CA!$B$2:$B$1041),--(NXT_COMPO!$Q210=IDX_CA!$C$2:$C$1041),ROW(IDX_CA!$G$2:$G$1041))),""))</f>
        <v/>
      </c>
      <c r="K210" s="63" t="str">
        <f>IF($D210&lt;&gt;"",VLOOKUP($E210,STK_REF!$A$2:$J$1048576,7,0),"")</f>
        <v/>
      </c>
      <c r="L210" s="5" t="str">
        <f>IF($D210&lt;&gt;"",VLOOKUP($E210,STK_REF!$A$2:$J$1048576,8,0),"")</f>
        <v/>
      </c>
      <c r="M210" s="8" t="str">
        <f>IF($D210&lt;&gt;"",IF($K210=$U210,1,IF(ISNA(VLOOKUP($K210&amp;$U210,CUR_RATES!$A$2:$F$521,4,0)),"",VLOOKUP($K210&amp;$U210,CUR_RATES!$A$2:$F$521,4,0))),"")</f>
        <v/>
      </c>
      <c r="N210" s="61" t="str">
        <f t="shared" si="40"/>
        <v/>
      </c>
      <c r="O210" s="68" t="str">
        <f t="shared" si="41"/>
        <v/>
      </c>
      <c r="P210" s="24"/>
      <c r="Q210" s="2" t="str">
        <f>IF(ROW(Q210)-ROW($E$1)&lt;=$B$4,INDEX(IDX_COMPO!F:F,ROW(IDX_COMPO!#REF!)),"")</f>
        <v/>
      </c>
      <c r="R210" s="68" t="str">
        <f t="shared" si="42"/>
        <v/>
      </c>
      <c r="S210" s="61" t="str">
        <f t="shared" si="43"/>
        <v/>
      </c>
      <c r="T210" s="62" t="str">
        <f>IF(D210&lt;&gt;"",IF(SUMPRODUCT(--($E210=STK_DIV!$A$2:$A$5),--(NXT_COMPO!$Q210=STK_DIV!$E$2:$E$5),ROW(STK_DIV!$D$2:$D$5))=0,"",INDEX(STK_DIV!$D$1:$D$5,SUMPRODUCT(--($E210=STK_DIV!$A$2:$A$5),--(NXT_COMPO!$Q210=STK_DIV!$E$2:$E$5),ROW(STK_DIV!$D$2:$D$5)))),"")</f>
        <v/>
      </c>
      <c r="U210" s="54" t="str">
        <f>IF($D210&lt;&gt;"",VLOOKUP($P210,IDX_REF!$2:$1048576,4,0),"")</f>
        <v/>
      </c>
    </row>
    <row r="211" spans="4:21" x14ac:dyDescent="0.2">
      <c r="D211" s="52" t="str">
        <f t="shared" si="38"/>
        <v/>
      </c>
      <c r="E211" s="5" t="str">
        <f t="shared" si="39"/>
        <v/>
      </c>
      <c r="F211" s="5" t="str">
        <f>IF(ROW(F211)-ROW($E$1)&lt;=$B$1-$B$2,INDEX(IDX_COMPO!B:B,ROW(IDX_COMPO!#REF!)),IF(ROW(E211)-ROW($E$1)&lt;=$B$4,VLOOKUP(E211,STK_REF!$A$2:$J$1048576,2,0),""))</f>
        <v/>
      </c>
      <c r="J211" s="62" t="str">
        <f>IF($D211&lt;=$B$1-$B$2,IF(INDEX($AA$2:$AA$1048576,MATCH($D211,$AB$2:$AB$1048576,0))="MODIFY",INDEX(IDX_CA!$G$1:$G$1041,SUMPRODUCT(--($E211=IDX_CA!$A$2:$A$1041),--(NXT_COMPO!$P211=IDX_CA!$B$2:$B$1041),--(NXT_COMPO!$Q211=IDX_CA!$C$2:$C$1041),ROW(IDX_CA!$G$2:$G$1041))),INDEX(IDX_COMPOSITION!$F$1:$F$441,SUMPRODUCT(--($E211=IDX_COMPOSITION!$A$2:$A$441),--(NXT_COMPO!$P211=IDX_COMPOSITION!$R$2:$R$441),--(NXT_COMPO!$B$5=IDX_COMPOSITION!$L$2:$L$441),ROW(IDX_COMPOSITION!$F$2:$F$441)))),IF($D211&lt;=$B$4,INDEX(IDX_CA!$G$1:$G$1041,SUMPRODUCT(--($E211=IDX_CA!$A$2:$A$1041),--(NXT_COMPO!$P211=IDX_CA!$B$2:$B$1041),--(NXT_COMPO!$Q211=IDX_CA!$C$2:$C$1041),ROW(IDX_CA!$G$2:$G$1041))),""))</f>
        <v/>
      </c>
      <c r="K211" s="63" t="str">
        <f>IF($D211&lt;&gt;"",VLOOKUP($E211,STK_REF!$A$2:$J$1048576,7,0),"")</f>
        <v/>
      </c>
      <c r="L211" s="5" t="str">
        <f>IF($D211&lt;&gt;"",VLOOKUP($E211,STK_REF!$A$2:$J$1048576,8,0),"")</f>
        <v/>
      </c>
      <c r="M211" s="8" t="str">
        <f>IF($D211&lt;&gt;"",IF($K211=$U211,1,IF(ISNA(VLOOKUP($K211&amp;$U211,CUR_RATES!$A$2:$F$521,4,0)),"",VLOOKUP($K211&amp;$U211,CUR_RATES!$A$2:$F$521,4,0))),"")</f>
        <v/>
      </c>
      <c r="N211" s="61" t="str">
        <f t="shared" si="40"/>
        <v/>
      </c>
      <c r="O211" s="68" t="str">
        <f t="shared" si="41"/>
        <v/>
      </c>
      <c r="P211" s="24"/>
      <c r="Q211" s="2" t="str">
        <f>IF(ROW(Q211)-ROW($E$1)&lt;=$B$4,INDEX(IDX_COMPO!F:F,ROW(IDX_COMPO!#REF!)),"")</f>
        <v/>
      </c>
      <c r="R211" s="68" t="str">
        <f t="shared" si="42"/>
        <v/>
      </c>
      <c r="S211" s="61" t="str">
        <f t="shared" si="43"/>
        <v/>
      </c>
      <c r="T211" s="62" t="str">
        <f>IF(D211&lt;&gt;"",IF(SUMPRODUCT(--($E211=STK_DIV!$A$2:$A$5),--(NXT_COMPO!$Q211=STK_DIV!$E$2:$E$5),ROW(STK_DIV!$D$2:$D$5))=0,"",INDEX(STK_DIV!$D$1:$D$5,SUMPRODUCT(--($E211=STK_DIV!$A$2:$A$5),--(NXT_COMPO!$Q211=STK_DIV!$E$2:$E$5),ROW(STK_DIV!$D$2:$D$5)))),"")</f>
        <v/>
      </c>
      <c r="U211" s="54" t="str">
        <f>IF($D211&lt;&gt;"",VLOOKUP($P211,IDX_REF!$2:$1048576,4,0),"")</f>
        <v/>
      </c>
    </row>
    <row r="212" spans="4:21" x14ac:dyDescent="0.2">
      <c r="D212" s="52" t="str">
        <f t="shared" si="38"/>
        <v/>
      </c>
      <c r="E212" s="5" t="str">
        <f t="shared" si="39"/>
        <v/>
      </c>
      <c r="F212" s="5" t="str">
        <f>IF(ROW(F212)-ROW($E$1)&lt;=$B$1-$B$2,INDEX(IDX_COMPO!B:B,ROW(IDX_COMPO!#REF!)),IF(ROW(E212)-ROW($E$1)&lt;=$B$4,VLOOKUP(E212,STK_REF!$A$2:$J$1048576,2,0),""))</f>
        <v/>
      </c>
      <c r="J212" s="62" t="str">
        <f>IF($D212&lt;=$B$1-$B$2,IF(INDEX($AA$2:$AA$1048576,MATCH($D212,$AB$2:$AB$1048576,0))="MODIFY",INDEX(IDX_CA!$G$1:$G$1041,SUMPRODUCT(--($E212=IDX_CA!$A$2:$A$1041),--(NXT_COMPO!$P212=IDX_CA!$B$2:$B$1041),--(NXT_COMPO!$Q212=IDX_CA!$C$2:$C$1041),ROW(IDX_CA!$G$2:$G$1041))),INDEX(IDX_COMPOSITION!$F$1:$F$441,SUMPRODUCT(--($E212=IDX_COMPOSITION!$A$2:$A$441),--(NXT_COMPO!$P212=IDX_COMPOSITION!$R$2:$R$441),--(NXT_COMPO!$B$5=IDX_COMPOSITION!$L$2:$L$441),ROW(IDX_COMPOSITION!$F$2:$F$441)))),IF($D212&lt;=$B$4,INDEX(IDX_CA!$G$1:$G$1041,SUMPRODUCT(--($E212=IDX_CA!$A$2:$A$1041),--(NXT_COMPO!$P212=IDX_CA!$B$2:$B$1041),--(NXT_COMPO!$Q212=IDX_CA!$C$2:$C$1041),ROW(IDX_CA!$G$2:$G$1041))),""))</f>
        <v/>
      </c>
      <c r="K212" s="63" t="str">
        <f>IF($D212&lt;&gt;"",VLOOKUP($E212,STK_REF!$A$2:$J$1048576,7,0),"")</f>
        <v/>
      </c>
      <c r="L212" s="5" t="str">
        <f>IF($D212&lt;&gt;"",VLOOKUP($E212,STK_REF!$A$2:$J$1048576,8,0),"")</f>
        <v/>
      </c>
      <c r="M212" s="8" t="str">
        <f>IF($D212&lt;&gt;"",IF($K212=$U212,1,IF(ISNA(VLOOKUP($K212&amp;$U212,CUR_RATES!$A$2:$F$521,4,0)),"",VLOOKUP($K212&amp;$U212,CUR_RATES!$A$2:$F$521,4,0))),"")</f>
        <v/>
      </c>
      <c r="N212" s="61" t="str">
        <f t="shared" si="40"/>
        <v/>
      </c>
      <c r="O212" s="68" t="str">
        <f t="shared" si="41"/>
        <v/>
      </c>
      <c r="P212" s="24"/>
      <c r="Q212" s="2" t="str">
        <f>IF(ROW(Q212)-ROW($E$1)&lt;=$B$4,INDEX(IDX_COMPO!F:F,ROW(IDX_COMPO!#REF!)),"")</f>
        <v/>
      </c>
      <c r="R212" s="68" t="str">
        <f t="shared" si="42"/>
        <v/>
      </c>
      <c r="S212" s="61" t="str">
        <f t="shared" si="43"/>
        <v/>
      </c>
      <c r="T212" s="62" t="str">
        <f>IF(D212&lt;&gt;"",IF(SUMPRODUCT(--($E212=STK_DIV!$A$2:$A$5),--(NXT_COMPO!$Q212=STK_DIV!$E$2:$E$5),ROW(STK_DIV!$D$2:$D$5))=0,"",INDEX(STK_DIV!$D$1:$D$5,SUMPRODUCT(--($E212=STK_DIV!$A$2:$A$5),--(NXT_COMPO!$Q212=STK_DIV!$E$2:$E$5),ROW(STK_DIV!$D$2:$D$5)))),"")</f>
        <v/>
      </c>
      <c r="U212" s="54" t="str">
        <f>IF($D212&lt;&gt;"",VLOOKUP($P212,IDX_REF!$2:$1048576,4,0),"")</f>
        <v/>
      </c>
    </row>
    <row r="213" spans="4:21" x14ac:dyDescent="0.2">
      <c r="D213" s="52" t="str">
        <f t="shared" si="38"/>
        <v/>
      </c>
      <c r="E213" s="5" t="str">
        <f t="shared" si="39"/>
        <v/>
      </c>
      <c r="F213" s="5" t="str">
        <f>IF(ROW(F213)-ROW($E$1)&lt;=$B$1-$B$2,INDEX(IDX_COMPO!B:B,ROW(IDX_COMPO!#REF!)),IF(ROW(E213)-ROW($E$1)&lt;=$B$4,VLOOKUP(E213,STK_REF!$A$2:$J$1048576,2,0),""))</f>
        <v/>
      </c>
      <c r="J213" s="62" t="str">
        <f>IF($D213&lt;=$B$1-$B$2,IF(INDEX($AA$2:$AA$1048576,MATCH($D213,$AB$2:$AB$1048576,0))="MODIFY",INDEX(IDX_CA!$G$1:$G$1041,SUMPRODUCT(--($E213=IDX_CA!$A$2:$A$1041),--(NXT_COMPO!$P213=IDX_CA!$B$2:$B$1041),--(NXT_COMPO!$Q213=IDX_CA!$C$2:$C$1041),ROW(IDX_CA!$G$2:$G$1041))),INDEX(IDX_COMPOSITION!$F$1:$F$441,SUMPRODUCT(--($E213=IDX_COMPOSITION!$A$2:$A$441),--(NXT_COMPO!$P213=IDX_COMPOSITION!$R$2:$R$441),--(NXT_COMPO!$B$5=IDX_COMPOSITION!$L$2:$L$441),ROW(IDX_COMPOSITION!$F$2:$F$441)))),IF($D213&lt;=$B$4,INDEX(IDX_CA!$G$1:$G$1041,SUMPRODUCT(--($E213=IDX_CA!$A$2:$A$1041),--(NXT_COMPO!$P213=IDX_CA!$B$2:$B$1041),--(NXT_COMPO!$Q213=IDX_CA!$C$2:$C$1041),ROW(IDX_CA!$G$2:$G$1041))),""))</f>
        <v/>
      </c>
      <c r="K213" s="63" t="str">
        <f>IF($D213&lt;&gt;"",VLOOKUP($E213,STK_REF!$A$2:$J$1048576,7,0),"")</f>
        <v/>
      </c>
      <c r="L213" s="5" t="str">
        <f>IF($D213&lt;&gt;"",VLOOKUP($E213,STK_REF!$A$2:$J$1048576,8,0),"")</f>
        <v/>
      </c>
      <c r="M213" s="8" t="str">
        <f>IF($D213&lt;&gt;"",IF($K213=$U213,1,IF(ISNA(VLOOKUP($K213&amp;$U213,CUR_RATES!$A$2:$F$521,4,0)),"",VLOOKUP($K213&amp;$U213,CUR_RATES!$A$2:$F$521,4,0))),"")</f>
        <v/>
      </c>
      <c r="N213" s="61" t="str">
        <f t="shared" si="40"/>
        <v/>
      </c>
      <c r="O213" s="68" t="str">
        <f t="shared" si="41"/>
        <v/>
      </c>
      <c r="P213" s="24"/>
      <c r="Q213" s="2" t="str">
        <f>IF(ROW(Q213)-ROW($E$1)&lt;=$B$4,INDEX(IDX_COMPO!F:F,ROW(IDX_COMPO!#REF!)),"")</f>
        <v/>
      </c>
      <c r="R213" s="68" t="str">
        <f t="shared" si="42"/>
        <v/>
      </c>
      <c r="S213" s="61" t="str">
        <f t="shared" si="43"/>
        <v/>
      </c>
      <c r="T213" s="62" t="str">
        <f>IF(D213&lt;&gt;"",IF(SUMPRODUCT(--($E213=STK_DIV!$A$2:$A$5),--(NXT_COMPO!$Q213=STK_DIV!$E$2:$E$5),ROW(STK_DIV!$D$2:$D$5))=0,"",INDEX(STK_DIV!$D$1:$D$5,SUMPRODUCT(--($E213=STK_DIV!$A$2:$A$5),--(NXT_COMPO!$Q213=STK_DIV!$E$2:$E$5),ROW(STK_DIV!$D$2:$D$5)))),"")</f>
        <v/>
      </c>
      <c r="U213" s="54" t="str">
        <f>IF($D213&lt;&gt;"",VLOOKUP($P213,IDX_REF!$2:$1048576,4,0),"")</f>
        <v/>
      </c>
    </row>
    <row r="214" spans="4:21" x14ac:dyDescent="0.2">
      <c r="D214" s="52" t="str">
        <f t="shared" si="38"/>
        <v/>
      </c>
      <c r="E214" s="5" t="str">
        <f t="shared" si="39"/>
        <v/>
      </c>
      <c r="F214" s="5" t="str">
        <f>IF(ROW(F214)-ROW($E$1)&lt;=$B$1-$B$2,INDEX(IDX_COMPO!B:B,ROW(IDX_COMPO!#REF!)),IF(ROW(E214)-ROW($E$1)&lt;=$B$4,VLOOKUP(E214,STK_REF!$A$2:$J$1048576,2,0),""))</f>
        <v/>
      </c>
      <c r="J214" s="62" t="str">
        <f>IF($D214&lt;=$B$1-$B$2,IF(INDEX($AA$2:$AA$1048576,MATCH($D214,$AB$2:$AB$1048576,0))="MODIFY",INDEX(IDX_CA!$G$1:$G$1041,SUMPRODUCT(--($E214=IDX_CA!$A$2:$A$1041),--(NXT_COMPO!$P214=IDX_CA!$B$2:$B$1041),--(NXT_COMPO!$Q214=IDX_CA!$C$2:$C$1041),ROW(IDX_CA!$G$2:$G$1041))),INDEX(IDX_COMPOSITION!$F$1:$F$441,SUMPRODUCT(--($E214=IDX_COMPOSITION!$A$2:$A$441),--(NXT_COMPO!$P214=IDX_COMPOSITION!$R$2:$R$441),--(NXT_COMPO!$B$5=IDX_COMPOSITION!$L$2:$L$441),ROW(IDX_COMPOSITION!$F$2:$F$441)))),IF($D214&lt;=$B$4,INDEX(IDX_CA!$G$1:$G$1041,SUMPRODUCT(--($E214=IDX_CA!$A$2:$A$1041),--(NXT_COMPO!$P214=IDX_CA!$B$2:$B$1041),--(NXT_COMPO!$Q214=IDX_CA!$C$2:$C$1041),ROW(IDX_CA!$G$2:$G$1041))),""))</f>
        <v/>
      </c>
      <c r="K214" s="63" t="str">
        <f>IF($D214&lt;&gt;"",VLOOKUP($E214,STK_REF!$A$2:$J$1048576,7,0),"")</f>
        <v/>
      </c>
      <c r="L214" s="5" t="str">
        <f>IF($D214&lt;&gt;"",VLOOKUP($E214,STK_REF!$A$2:$J$1048576,8,0),"")</f>
        <v/>
      </c>
      <c r="M214" s="8" t="str">
        <f>IF($D214&lt;&gt;"",IF($K214=$U214,1,IF(ISNA(VLOOKUP($K214&amp;$U214,CUR_RATES!$A$2:$F$521,4,0)),"",VLOOKUP($K214&amp;$U214,CUR_RATES!$A$2:$F$521,4,0))),"")</f>
        <v/>
      </c>
      <c r="N214" s="61" t="str">
        <f t="shared" si="40"/>
        <v/>
      </c>
      <c r="O214" s="68" t="str">
        <f t="shared" si="41"/>
        <v/>
      </c>
      <c r="P214" s="24"/>
      <c r="Q214" s="2" t="str">
        <f>IF(ROW(Q214)-ROW($E$1)&lt;=$B$4,INDEX(IDX_COMPO!F:F,ROW(IDX_COMPO!#REF!)),"")</f>
        <v/>
      </c>
      <c r="R214" s="68" t="str">
        <f t="shared" si="42"/>
        <v/>
      </c>
      <c r="S214" s="61" t="str">
        <f t="shared" si="43"/>
        <v/>
      </c>
      <c r="T214" s="62" t="str">
        <f>IF(D214&lt;&gt;"",IF(SUMPRODUCT(--($E214=STK_DIV!$A$2:$A$5),--(NXT_COMPO!$Q214=STK_DIV!$E$2:$E$5),ROW(STK_DIV!$D$2:$D$5))=0,"",INDEX(STK_DIV!$D$1:$D$5,SUMPRODUCT(--($E214=STK_DIV!$A$2:$A$5),--(NXT_COMPO!$Q214=STK_DIV!$E$2:$E$5),ROW(STK_DIV!$D$2:$D$5)))),"")</f>
        <v/>
      </c>
      <c r="U214" s="54" t="str">
        <f>IF($D214&lt;&gt;"",VLOOKUP($P214,IDX_REF!$2:$1048576,4,0),"")</f>
        <v/>
      </c>
    </row>
    <row r="215" spans="4:21" x14ac:dyDescent="0.2">
      <c r="D215" s="52" t="str">
        <f t="shared" si="38"/>
        <v/>
      </c>
      <c r="E215" s="5" t="str">
        <f t="shared" si="39"/>
        <v/>
      </c>
      <c r="F215" s="5" t="str">
        <f>IF(ROW(F215)-ROW($E$1)&lt;=$B$1-$B$2,INDEX(IDX_COMPO!B:B,ROW(IDX_COMPO!#REF!)),IF(ROW(E215)-ROW($E$1)&lt;=$B$4,VLOOKUP(E215,STK_REF!$A$2:$J$1048576,2,0),""))</f>
        <v/>
      </c>
      <c r="J215" s="62" t="str">
        <f>IF($D215&lt;=$B$1-$B$2,IF(INDEX($AA$2:$AA$1048576,MATCH($D215,$AB$2:$AB$1048576,0))="MODIFY",INDEX(IDX_CA!$G$1:$G$1041,SUMPRODUCT(--($E215=IDX_CA!$A$2:$A$1041),--(NXT_COMPO!$P215=IDX_CA!$B$2:$B$1041),--(NXT_COMPO!$Q215=IDX_CA!$C$2:$C$1041),ROW(IDX_CA!$G$2:$G$1041))),INDEX(IDX_COMPOSITION!$F$1:$F$441,SUMPRODUCT(--($E215=IDX_COMPOSITION!$A$2:$A$441),--(NXT_COMPO!$P215=IDX_COMPOSITION!$R$2:$R$441),--(NXT_COMPO!$B$5=IDX_COMPOSITION!$L$2:$L$441),ROW(IDX_COMPOSITION!$F$2:$F$441)))),IF($D215&lt;=$B$4,INDEX(IDX_CA!$G$1:$G$1041,SUMPRODUCT(--($E215=IDX_CA!$A$2:$A$1041),--(NXT_COMPO!$P215=IDX_CA!$B$2:$B$1041),--(NXT_COMPO!$Q215=IDX_CA!$C$2:$C$1041),ROW(IDX_CA!$G$2:$G$1041))),""))</f>
        <v/>
      </c>
      <c r="K215" s="63" t="str">
        <f>IF($D215&lt;&gt;"",VLOOKUP($E215,STK_REF!$A$2:$J$1048576,7,0),"")</f>
        <v/>
      </c>
      <c r="L215" s="5" t="str">
        <f>IF($D215&lt;&gt;"",VLOOKUP($E215,STK_REF!$A$2:$J$1048576,8,0),"")</f>
        <v/>
      </c>
      <c r="M215" s="8" t="str">
        <f>IF($D215&lt;&gt;"",IF($K215=$U215,1,IF(ISNA(VLOOKUP($K215&amp;$U215,CUR_RATES!$A$2:$F$521,4,0)),"",VLOOKUP($K215&amp;$U215,CUR_RATES!$A$2:$F$521,4,0))),"")</f>
        <v/>
      </c>
      <c r="N215" s="61" t="str">
        <f t="shared" si="40"/>
        <v/>
      </c>
      <c r="O215" s="68" t="str">
        <f t="shared" si="41"/>
        <v/>
      </c>
      <c r="P215" s="24"/>
      <c r="Q215" s="2" t="str">
        <f>IF(ROW(Q215)-ROW($E$1)&lt;=$B$4,INDEX(IDX_COMPO!F:F,ROW(IDX_COMPO!#REF!)),"")</f>
        <v/>
      </c>
      <c r="R215" s="68" t="str">
        <f t="shared" si="42"/>
        <v/>
      </c>
      <c r="S215" s="61" t="str">
        <f t="shared" si="43"/>
        <v/>
      </c>
      <c r="T215" s="62" t="str">
        <f>IF(D215&lt;&gt;"",IF(SUMPRODUCT(--($E215=STK_DIV!$A$2:$A$5),--(NXT_COMPO!$Q215=STK_DIV!$E$2:$E$5),ROW(STK_DIV!$D$2:$D$5))=0,"",INDEX(STK_DIV!$D$1:$D$5,SUMPRODUCT(--($E215=STK_DIV!$A$2:$A$5),--(NXT_COMPO!$Q215=STK_DIV!$E$2:$E$5),ROW(STK_DIV!$D$2:$D$5)))),"")</f>
        <v/>
      </c>
      <c r="U215" s="54" t="str">
        <f>IF($D215&lt;&gt;"",VLOOKUP($P215,IDX_REF!$2:$1048576,4,0),"")</f>
        <v/>
      </c>
    </row>
    <row r="216" spans="4:21" x14ac:dyDescent="0.2">
      <c r="D216" s="52" t="str">
        <f t="shared" si="38"/>
        <v/>
      </c>
      <c r="E216" s="5" t="str">
        <f t="shared" si="39"/>
        <v/>
      </c>
      <c r="F216" s="5" t="str">
        <f>IF(ROW(F216)-ROW($E$1)&lt;=$B$1-$B$2,INDEX(IDX_COMPO!B:B,ROW(IDX_COMPO!#REF!)),IF(ROW(E216)-ROW($E$1)&lt;=$B$4,VLOOKUP(E216,STK_REF!$A$2:$J$1048576,2,0),""))</f>
        <v/>
      </c>
      <c r="J216" s="62" t="str">
        <f>IF($D216&lt;=$B$1-$B$2,IF(INDEX($AA$2:$AA$1048576,MATCH($D216,$AB$2:$AB$1048576,0))="MODIFY",INDEX(IDX_CA!$G$1:$G$1041,SUMPRODUCT(--($E216=IDX_CA!$A$2:$A$1041),--(NXT_COMPO!$P216=IDX_CA!$B$2:$B$1041),--(NXT_COMPO!$Q216=IDX_CA!$C$2:$C$1041),ROW(IDX_CA!$G$2:$G$1041))),INDEX(IDX_COMPOSITION!$F$1:$F$441,SUMPRODUCT(--($E216=IDX_COMPOSITION!$A$2:$A$441),--(NXT_COMPO!$P216=IDX_COMPOSITION!$R$2:$R$441),--(NXT_COMPO!$B$5=IDX_COMPOSITION!$L$2:$L$441),ROW(IDX_COMPOSITION!$F$2:$F$441)))),IF($D216&lt;=$B$4,INDEX(IDX_CA!$G$1:$G$1041,SUMPRODUCT(--($E216=IDX_CA!$A$2:$A$1041),--(NXT_COMPO!$P216=IDX_CA!$B$2:$B$1041),--(NXT_COMPO!$Q216=IDX_CA!$C$2:$C$1041),ROW(IDX_CA!$G$2:$G$1041))),""))</f>
        <v/>
      </c>
      <c r="K216" s="63" t="str">
        <f>IF($D216&lt;&gt;"",VLOOKUP($E216,STK_REF!$A$2:$J$1048576,7,0),"")</f>
        <v/>
      </c>
      <c r="L216" s="5" t="str">
        <f>IF($D216&lt;&gt;"",VLOOKUP($E216,STK_REF!$A$2:$J$1048576,8,0),"")</f>
        <v/>
      </c>
      <c r="M216" s="8" t="str">
        <f>IF($D216&lt;&gt;"",IF($K216=$U216,1,IF(ISNA(VLOOKUP($K216&amp;$U216,CUR_RATES!$A$2:$F$521,4,0)),"",VLOOKUP($K216&amp;$U216,CUR_RATES!$A$2:$F$521,4,0))),"")</f>
        <v/>
      </c>
      <c r="N216" s="61" t="str">
        <f t="shared" si="40"/>
        <v/>
      </c>
      <c r="O216" s="68" t="str">
        <f t="shared" si="41"/>
        <v/>
      </c>
      <c r="P216" s="24"/>
      <c r="Q216" s="2" t="str">
        <f>IF(ROW(Q216)-ROW($E$1)&lt;=$B$4,INDEX(IDX_COMPO!F:F,ROW(IDX_COMPO!#REF!)),"")</f>
        <v/>
      </c>
      <c r="R216" s="68" t="str">
        <f t="shared" si="42"/>
        <v/>
      </c>
      <c r="S216" s="61" t="str">
        <f t="shared" si="43"/>
        <v/>
      </c>
      <c r="T216" s="62" t="str">
        <f>IF(D216&lt;&gt;"",IF(SUMPRODUCT(--($E216=STK_DIV!$A$2:$A$5),--(NXT_COMPO!$Q216=STK_DIV!$E$2:$E$5),ROW(STK_DIV!$D$2:$D$5))=0,"",INDEX(STK_DIV!$D$1:$D$5,SUMPRODUCT(--($E216=STK_DIV!$A$2:$A$5),--(NXT_COMPO!$Q216=STK_DIV!$E$2:$E$5),ROW(STK_DIV!$D$2:$D$5)))),"")</f>
        <v/>
      </c>
      <c r="U216" s="54" t="str">
        <f>IF($D216&lt;&gt;"",VLOOKUP($P216,IDX_REF!$2:$1048576,4,0),"")</f>
        <v/>
      </c>
    </row>
    <row r="217" spans="4:21" x14ac:dyDescent="0.2">
      <c r="D217" s="52" t="str">
        <f t="shared" si="38"/>
        <v/>
      </c>
      <c r="E217" s="5" t="str">
        <f t="shared" si="39"/>
        <v/>
      </c>
      <c r="F217" s="5" t="str">
        <f>IF(ROW(F217)-ROW($E$1)&lt;=$B$1-$B$2,INDEX(IDX_COMPO!B:B,ROW(IDX_COMPO!#REF!)),IF(ROW(E217)-ROW($E$1)&lt;=$B$4,VLOOKUP(E217,STK_REF!$A$2:$J$1048576,2,0),""))</f>
        <v/>
      </c>
      <c r="J217" s="62" t="str">
        <f>IF($D217&lt;=$B$1-$B$2,IF(INDEX($AA$2:$AA$1048576,MATCH($D217,$AB$2:$AB$1048576,0))="MODIFY",INDEX(IDX_CA!$G$1:$G$1041,SUMPRODUCT(--($E217=IDX_CA!$A$2:$A$1041),--(NXT_COMPO!$P217=IDX_CA!$B$2:$B$1041),--(NXT_COMPO!$Q217=IDX_CA!$C$2:$C$1041),ROW(IDX_CA!$G$2:$G$1041))),INDEX(IDX_COMPOSITION!$F$1:$F$441,SUMPRODUCT(--($E217=IDX_COMPOSITION!$A$2:$A$441),--(NXT_COMPO!$P217=IDX_COMPOSITION!$R$2:$R$441),--(NXT_COMPO!$B$5=IDX_COMPOSITION!$L$2:$L$441),ROW(IDX_COMPOSITION!$F$2:$F$441)))),IF($D217&lt;=$B$4,INDEX(IDX_CA!$G$1:$G$1041,SUMPRODUCT(--($E217=IDX_CA!$A$2:$A$1041),--(NXT_COMPO!$P217=IDX_CA!$B$2:$B$1041),--(NXT_COMPO!$Q217=IDX_CA!$C$2:$C$1041),ROW(IDX_CA!$G$2:$G$1041))),""))</f>
        <v/>
      </c>
      <c r="K217" s="63" t="str">
        <f>IF($D217&lt;&gt;"",VLOOKUP($E217,STK_REF!$A$2:$J$1048576,7,0),"")</f>
        <v/>
      </c>
      <c r="L217" s="5" t="str">
        <f>IF($D217&lt;&gt;"",VLOOKUP($E217,STK_REF!$A$2:$J$1048576,8,0),"")</f>
        <v/>
      </c>
      <c r="M217" s="8" t="str">
        <f>IF($D217&lt;&gt;"",IF($K217=$U217,1,IF(ISNA(VLOOKUP($K217&amp;$U217,CUR_RATES!$A$2:$F$521,4,0)),"",VLOOKUP($K217&amp;$U217,CUR_RATES!$A$2:$F$521,4,0))),"")</f>
        <v/>
      </c>
      <c r="N217" s="61" t="str">
        <f t="shared" si="40"/>
        <v/>
      </c>
      <c r="O217" s="68" t="str">
        <f t="shared" si="41"/>
        <v/>
      </c>
      <c r="P217" s="24"/>
      <c r="Q217" s="2" t="str">
        <f>IF(ROW(Q217)-ROW($E$1)&lt;=$B$4,INDEX(IDX_COMPO!F:F,ROW(IDX_COMPO!#REF!)),"")</f>
        <v/>
      </c>
      <c r="R217" s="68" t="str">
        <f t="shared" si="42"/>
        <v/>
      </c>
      <c r="S217" s="61" t="str">
        <f t="shared" si="43"/>
        <v/>
      </c>
      <c r="T217" s="62" t="str">
        <f>IF(D217&lt;&gt;"",IF(SUMPRODUCT(--($E217=STK_DIV!$A$2:$A$5),--(NXT_COMPO!$Q217=STK_DIV!$E$2:$E$5),ROW(STK_DIV!$D$2:$D$5))=0,"",INDEX(STK_DIV!$D$1:$D$5,SUMPRODUCT(--($E217=STK_DIV!$A$2:$A$5),--(NXT_COMPO!$Q217=STK_DIV!$E$2:$E$5),ROW(STK_DIV!$D$2:$D$5)))),"")</f>
        <v/>
      </c>
      <c r="U217" s="54" t="str">
        <f>IF($D217&lt;&gt;"",VLOOKUP($P217,IDX_REF!$2:$1048576,4,0),"")</f>
        <v/>
      </c>
    </row>
    <row r="218" spans="4:21" x14ac:dyDescent="0.2">
      <c r="D218" s="52" t="str">
        <f t="shared" si="38"/>
        <v/>
      </c>
      <c r="E218" s="5" t="str">
        <f t="shared" si="39"/>
        <v/>
      </c>
      <c r="F218" s="5" t="str">
        <f>IF(ROW(F218)-ROW($E$1)&lt;=$B$1-$B$2,INDEX(IDX_COMPO!B:B,ROW(IDX_COMPO!#REF!)),IF(ROW(E218)-ROW($E$1)&lt;=$B$4,VLOOKUP(E218,STK_REF!$A$2:$J$1048576,2,0),""))</f>
        <v/>
      </c>
      <c r="J218" s="62" t="str">
        <f>IF($D218&lt;=$B$1-$B$2,IF(INDEX($AA$2:$AA$1048576,MATCH($D218,$AB$2:$AB$1048576,0))="MODIFY",INDEX(IDX_CA!$G$1:$G$1041,SUMPRODUCT(--($E218=IDX_CA!$A$2:$A$1041),--(NXT_COMPO!$P218=IDX_CA!$B$2:$B$1041),--(NXT_COMPO!$Q218=IDX_CA!$C$2:$C$1041),ROW(IDX_CA!$G$2:$G$1041))),INDEX(IDX_COMPOSITION!$F$1:$F$441,SUMPRODUCT(--($E218=IDX_COMPOSITION!$A$2:$A$441),--(NXT_COMPO!$P218=IDX_COMPOSITION!$R$2:$R$441),--(NXT_COMPO!$B$5=IDX_COMPOSITION!$L$2:$L$441),ROW(IDX_COMPOSITION!$F$2:$F$441)))),IF($D218&lt;=$B$4,INDEX(IDX_CA!$G$1:$G$1041,SUMPRODUCT(--($E218=IDX_CA!$A$2:$A$1041),--(NXT_COMPO!$P218=IDX_CA!$B$2:$B$1041),--(NXT_COMPO!$Q218=IDX_CA!$C$2:$C$1041),ROW(IDX_CA!$G$2:$G$1041))),""))</f>
        <v/>
      </c>
      <c r="K218" s="63" t="str">
        <f>IF($D218&lt;&gt;"",VLOOKUP($E218,STK_REF!$A$2:$J$1048576,7,0),"")</f>
        <v/>
      </c>
      <c r="L218" s="5" t="str">
        <f>IF($D218&lt;&gt;"",VLOOKUP($E218,STK_REF!$A$2:$J$1048576,8,0),"")</f>
        <v/>
      </c>
      <c r="M218" s="8" t="str">
        <f>IF($D218&lt;&gt;"",IF($K218=$U218,1,IF(ISNA(VLOOKUP($K218&amp;$U218,CUR_RATES!$A$2:$F$521,4,0)),"",VLOOKUP($K218&amp;$U218,CUR_RATES!$A$2:$F$521,4,0))),"")</f>
        <v/>
      </c>
      <c r="N218" s="61" t="str">
        <f t="shared" si="40"/>
        <v/>
      </c>
      <c r="O218" s="68" t="str">
        <f t="shared" si="41"/>
        <v/>
      </c>
      <c r="P218" s="24"/>
      <c r="Q218" s="2" t="str">
        <f>IF(ROW(Q218)-ROW($E$1)&lt;=$B$4,INDEX(IDX_COMPO!F:F,ROW(IDX_COMPO!#REF!)),"")</f>
        <v/>
      </c>
      <c r="R218" s="68" t="str">
        <f t="shared" si="42"/>
        <v/>
      </c>
      <c r="S218" s="61" t="str">
        <f t="shared" si="43"/>
        <v/>
      </c>
      <c r="T218" s="62" t="str">
        <f>IF(D218&lt;&gt;"",IF(SUMPRODUCT(--($E218=STK_DIV!$A$2:$A$5),--(NXT_COMPO!$Q218=STK_DIV!$E$2:$E$5),ROW(STK_DIV!$D$2:$D$5))=0,"",INDEX(STK_DIV!$D$1:$D$5,SUMPRODUCT(--($E218=STK_DIV!$A$2:$A$5),--(NXT_COMPO!$Q218=STK_DIV!$E$2:$E$5),ROW(STK_DIV!$D$2:$D$5)))),"")</f>
        <v/>
      </c>
      <c r="U218" s="54" t="str">
        <f>IF($D218&lt;&gt;"",VLOOKUP($P218,IDX_REF!$2:$1048576,4,0),"")</f>
        <v/>
      </c>
    </row>
    <row r="219" spans="4:21" x14ac:dyDescent="0.2">
      <c r="D219" s="52" t="str">
        <f t="shared" si="38"/>
        <v/>
      </c>
      <c r="E219" s="5" t="str">
        <f t="shared" si="39"/>
        <v/>
      </c>
      <c r="F219" s="5" t="str">
        <f>IF(ROW(F219)-ROW($E$1)&lt;=$B$1-$B$2,INDEX(IDX_COMPO!B:B,ROW(IDX_COMPO!#REF!)),IF(ROW(E219)-ROW($E$1)&lt;=$B$4,VLOOKUP(E219,STK_REF!$A$2:$J$1048576,2,0),""))</f>
        <v/>
      </c>
      <c r="J219" s="62" t="str">
        <f>IF($D219&lt;=$B$1-$B$2,IF(INDEX($AA$2:$AA$1048576,MATCH($D219,$AB$2:$AB$1048576,0))="MODIFY",INDEX(IDX_CA!$G$1:$G$1041,SUMPRODUCT(--($E219=IDX_CA!$A$2:$A$1041),--(NXT_COMPO!$P219=IDX_CA!$B$2:$B$1041),--(NXT_COMPO!$Q219=IDX_CA!$C$2:$C$1041),ROW(IDX_CA!$G$2:$G$1041))),INDEX(IDX_COMPOSITION!$F$1:$F$441,SUMPRODUCT(--($E219=IDX_COMPOSITION!$A$2:$A$441),--(NXT_COMPO!$P219=IDX_COMPOSITION!$R$2:$R$441),--(NXT_COMPO!$B$5=IDX_COMPOSITION!$L$2:$L$441),ROW(IDX_COMPOSITION!$F$2:$F$441)))),IF($D219&lt;=$B$4,INDEX(IDX_CA!$G$1:$G$1041,SUMPRODUCT(--($E219=IDX_CA!$A$2:$A$1041),--(NXT_COMPO!$P219=IDX_CA!$B$2:$B$1041),--(NXT_COMPO!$Q219=IDX_CA!$C$2:$C$1041),ROW(IDX_CA!$G$2:$G$1041))),""))</f>
        <v/>
      </c>
      <c r="K219" s="63" t="str">
        <f>IF($D219&lt;&gt;"",VLOOKUP($E219,STK_REF!$A$2:$J$1048576,7,0),"")</f>
        <v/>
      </c>
      <c r="L219" s="5" t="str">
        <f>IF($D219&lt;&gt;"",VLOOKUP($E219,STK_REF!$A$2:$J$1048576,8,0),"")</f>
        <v/>
      </c>
      <c r="M219" s="8" t="str">
        <f>IF($D219&lt;&gt;"",IF($K219=$U219,1,IF(ISNA(VLOOKUP($K219&amp;$U219,CUR_RATES!$A$2:$F$521,4,0)),"",VLOOKUP($K219&amp;$U219,CUR_RATES!$A$2:$F$521,4,0))),"")</f>
        <v/>
      </c>
      <c r="N219" s="61" t="str">
        <f t="shared" si="40"/>
        <v/>
      </c>
      <c r="O219" s="68" t="str">
        <f t="shared" si="41"/>
        <v/>
      </c>
      <c r="P219" s="24"/>
      <c r="Q219" s="2" t="str">
        <f>IF(ROW(Q219)-ROW($E$1)&lt;=$B$4,INDEX(IDX_COMPO!F:F,ROW(IDX_COMPO!#REF!)),"")</f>
        <v/>
      </c>
      <c r="R219" s="68" t="str">
        <f t="shared" si="42"/>
        <v/>
      </c>
      <c r="S219" s="61" t="str">
        <f t="shared" si="43"/>
        <v/>
      </c>
      <c r="T219" s="62" t="str">
        <f>IF(D219&lt;&gt;"",IF(SUMPRODUCT(--($E219=STK_DIV!$A$2:$A$5),--(NXT_COMPO!$Q219=STK_DIV!$E$2:$E$5),ROW(STK_DIV!$D$2:$D$5))=0,"",INDEX(STK_DIV!$D$1:$D$5,SUMPRODUCT(--($E219=STK_DIV!$A$2:$A$5),--(NXT_COMPO!$Q219=STK_DIV!$E$2:$E$5),ROW(STK_DIV!$D$2:$D$5)))),"")</f>
        <v/>
      </c>
      <c r="U219" s="54" t="str">
        <f>IF($D219&lt;&gt;"",VLOOKUP($P219,IDX_REF!$2:$1048576,4,0),"")</f>
        <v/>
      </c>
    </row>
    <row r="220" spans="4:21" x14ac:dyDescent="0.2">
      <c r="D220" s="52" t="str">
        <f t="shared" si="38"/>
        <v/>
      </c>
      <c r="E220" s="5" t="str">
        <f t="shared" si="39"/>
        <v/>
      </c>
      <c r="F220" s="5" t="str">
        <f>IF(ROW(F220)-ROW($E$1)&lt;=$B$1-$B$2,INDEX(IDX_COMPO!B:B,ROW(IDX_COMPO!#REF!)),IF(ROW(E220)-ROW($E$1)&lt;=$B$4,VLOOKUP(E220,STK_REF!$A$2:$J$1048576,2,0),""))</f>
        <v/>
      </c>
      <c r="J220" s="62" t="str">
        <f>IF($D220&lt;=$B$1-$B$2,IF(INDEX($AA$2:$AA$1048576,MATCH($D220,$AB$2:$AB$1048576,0))="MODIFY",INDEX(IDX_CA!$G$1:$G$1041,SUMPRODUCT(--($E220=IDX_CA!$A$2:$A$1041),--(NXT_COMPO!$P220=IDX_CA!$B$2:$B$1041),--(NXT_COMPO!$Q220=IDX_CA!$C$2:$C$1041),ROW(IDX_CA!$G$2:$G$1041))),INDEX(IDX_COMPOSITION!$F$1:$F$441,SUMPRODUCT(--($E220=IDX_COMPOSITION!$A$2:$A$441),--(NXT_COMPO!$P220=IDX_COMPOSITION!$R$2:$R$441),--(NXT_COMPO!$B$5=IDX_COMPOSITION!$L$2:$L$441),ROW(IDX_COMPOSITION!$F$2:$F$441)))),IF($D220&lt;=$B$4,INDEX(IDX_CA!$G$1:$G$1041,SUMPRODUCT(--($E220=IDX_CA!$A$2:$A$1041),--(NXT_COMPO!$P220=IDX_CA!$B$2:$B$1041),--(NXT_COMPO!$Q220=IDX_CA!$C$2:$C$1041),ROW(IDX_CA!$G$2:$G$1041))),""))</f>
        <v/>
      </c>
      <c r="K220" s="63" t="str">
        <f>IF($D220&lt;&gt;"",VLOOKUP($E220,STK_REF!$A$2:$J$1048576,7,0),"")</f>
        <v/>
      </c>
      <c r="L220" s="5" t="str">
        <f>IF($D220&lt;&gt;"",VLOOKUP($E220,STK_REF!$A$2:$J$1048576,8,0),"")</f>
        <v/>
      </c>
      <c r="M220" s="8" t="str">
        <f>IF($D220&lt;&gt;"",IF($K220=$U220,1,IF(ISNA(VLOOKUP($K220&amp;$U220,CUR_RATES!$A$2:$F$521,4,0)),"",VLOOKUP($K220&amp;$U220,CUR_RATES!$A$2:$F$521,4,0))),"")</f>
        <v/>
      </c>
      <c r="N220" s="61" t="str">
        <f t="shared" si="40"/>
        <v/>
      </c>
      <c r="O220" s="68" t="str">
        <f t="shared" si="41"/>
        <v/>
      </c>
      <c r="P220" s="24"/>
      <c r="Q220" s="2" t="str">
        <f>IF(ROW(Q220)-ROW($E$1)&lt;=$B$4,INDEX(IDX_COMPO!F:F,ROW(IDX_COMPO!#REF!)),"")</f>
        <v/>
      </c>
      <c r="R220" s="68" t="str">
        <f t="shared" si="42"/>
        <v/>
      </c>
      <c r="S220" s="61" t="str">
        <f t="shared" si="43"/>
        <v/>
      </c>
      <c r="T220" s="62" t="str">
        <f>IF(D220&lt;&gt;"",IF(SUMPRODUCT(--($E220=STK_DIV!$A$2:$A$5),--(NXT_COMPO!$Q220=STK_DIV!$E$2:$E$5),ROW(STK_DIV!$D$2:$D$5))=0,"",INDEX(STK_DIV!$D$1:$D$5,SUMPRODUCT(--($E220=STK_DIV!$A$2:$A$5),--(NXT_COMPO!$Q220=STK_DIV!$E$2:$E$5),ROW(STK_DIV!$D$2:$D$5)))),"")</f>
        <v/>
      </c>
      <c r="U220" s="54" t="str">
        <f>IF($D220&lt;&gt;"",VLOOKUP($P220,IDX_REF!$2:$1048576,4,0),"")</f>
        <v/>
      </c>
    </row>
    <row r="221" spans="4:21" x14ac:dyDescent="0.2">
      <c r="D221" s="52" t="str">
        <f t="shared" si="38"/>
        <v/>
      </c>
      <c r="E221" s="5" t="str">
        <f t="shared" si="39"/>
        <v/>
      </c>
      <c r="F221" s="5" t="str">
        <f>IF(ROW(F221)-ROW($E$1)&lt;=$B$1-$B$2,INDEX(IDX_COMPO!B:B,ROW(IDX_COMPO!#REF!)),IF(ROW(E221)-ROW($E$1)&lt;=$B$4,VLOOKUP(E221,STK_REF!$A$2:$J$1048576,2,0),""))</f>
        <v/>
      </c>
      <c r="J221" s="62" t="str">
        <f>IF($D221&lt;=$B$1-$B$2,IF(INDEX($AA$2:$AA$1048576,MATCH($D221,$AB$2:$AB$1048576,0))="MODIFY",INDEX(IDX_CA!$G$1:$G$1041,SUMPRODUCT(--($E221=IDX_CA!$A$2:$A$1041),--(NXT_COMPO!$P221=IDX_CA!$B$2:$B$1041),--(NXT_COMPO!$Q221=IDX_CA!$C$2:$C$1041),ROW(IDX_CA!$G$2:$G$1041))),INDEX(IDX_COMPOSITION!$F$1:$F$441,SUMPRODUCT(--($E221=IDX_COMPOSITION!$A$2:$A$441),--(NXT_COMPO!$P221=IDX_COMPOSITION!$R$2:$R$441),--(NXT_COMPO!$B$5=IDX_COMPOSITION!$L$2:$L$441),ROW(IDX_COMPOSITION!$F$2:$F$441)))),IF($D221&lt;=$B$4,INDEX(IDX_CA!$G$1:$G$1041,SUMPRODUCT(--($E221=IDX_CA!$A$2:$A$1041),--(NXT_COMPO!$P221=IDX_CA!$B$2:$B$1041),--(NXT_COMPO!$Q221=IDX_CA!$C$2:$C$1041),ROW(IDX_CA!$G$2:$G$1041))),""))</f>
        <v/>
      </c>
      <c r="K221" s="63" t="str">
        <f>IF($D221&lt;&gt;"",VLOOKUP($E221,STK_REF!$A$2:$J$1048576,7,0),"")</f>
        <v/>
      </c>
      <c r="L221" s="5" t="str">
        <f>IF($D221&lt;&gt;"",VLOOKUP($E221,STK_REF!$A$2:$J$1048576,8,0),"")</f>
        <v/>
      </c>
      <c r="M221" s="8" t="str">
        <f>IF($D221&lt;&gt;"",IF($K221=$U221,1,IF(ISNA(VLOOKUP($K221&amp;$U221,CUR_RATES!$A$2:$F$521,4,0)),"",VLOOKUP($K221&amp;$U221,CUR_RATES!$A$2:$F$521,4,0))),"")</f>
        <v/>
      </c>
      <c r="N221" s="61" t="str">
        <f t="shared" si="40"/>
        <v/>
      </c>
      <c r="O221" s="68" t="str">
        <f t="shared" si="41"/>
        <v/>
      </c>
      <c r="P221" s="24"/>
      <c r="Q221" s="2" t="str">
        <f>IF(ROW(Q221)-ROW($E$1)&lt;=$B$4,INDEX(IDX_COMPO!F:F,ROW(IDX_COMPO!#REF!)),"")</f>
        <v/>
      </c>
      <c r="R221" s="68" t="str">
        <f t="shared" si="42"/>
        <v/>
      </c>
      <c r="S221" s="61" t="str">
        <f t="shared" si="43"/>
        <v/>
      </c>
      <c r="T221" s="62" t="str">
        <f>IF(D221&lt;&gt;"",IF(SUMPRODUCT(--($E221=STK_DIV!$A$2:$A$5),--(NXT_COMPO!$Q221=STK_DIV!$E$2:$E$5),ROW(STK_DIV!$D$2:$D$5))=0,"",INDEX(STK_DIV!$D$1:$D$5,SUMPRODUCT(--($E221=STK_DIV!$A$2:$A$5),--(NXT_COMPO!$Q221=STK_DIV!$E$2:$E$5),ROW(STK_DIV!$D$2:$D$5)))),"")</f>
        <v/>
      </c>
      <c r="U221" s="54" t="str">
        <f>IF($D221&lt;&gt;"",VLOOKUP($P221,IDX_REF!$2:$1048576,4,0),"")</f>
        <v/>
      </c>
    </row>
    <row r="222" spans="4:21" x14ac:dyDescent="0.2">
      <c r="D222" s="52" t="str">
        <f t="shared" si="38"/>
        <v/>
      </c>
      <c r="E222" s="5" t="str">
        <f t="shared" si="39"/>
        <v/>
      </c>
      <c r="F222" s="5" t="str">
        <f>IF(ROW(F222)-ROW($E$1)&lt;=$B$1-$B$2,INDEX(IDX_COMPO!B:B,ROW(IDX_COMPO!#REF!)),IF(ROW(E222)-ROW($E$1)&lt;=$B$4,VLOOKUP(E222,STK_REF!$A$2:$J$1048576,2,0),""))</f>
        <v/>
      </c>
      <c r="J222" s="62" t="str">
        <f>IF($D222&lt;=$B$1-$B$2,IF(INDEX($AA$2:$AA$1048576,MATCH($D222,$AB$2:$AB$1048576,0))="MODIFY",INDEX(IDX_CA!$G$1:$G$1041,SUMPRODUCT(--($E222=IDX_CA!$A$2:$A$1041),--(NXT_COMPO!$P222=IDX_CA!$B$2:$B$1041),--(NXT_COMPO!$Q222=IDX_CA!$C$2:$C$1041),ROW(IDX_CA!$G$2:$G$1041))),INDEX(IDX_COMPOSITION!$F$1:$F$441,SUMPRODUCT(--($E222=IDX_COMPOSITION!$A$2:$A$441),--(NXT_COMPO!$P222=IDX_COMPOSITION!$R$2:$R$441),--(NXT_COMPO!$B$5=IDX_COMPOSITION!$L$2:$L$441),ROW(IDX_COMPOSITION!$F$2:$F$441)))),IF($D222&lt;=$B$4,INDEX(IDX_CA!$G$1:$G$1041,SUMPRODUCT(--($E222=IDX_CA!$A$2:$A$1041),--(NXT_COMPO!$P222=IDX_CA!$B$2:$B$1041),--(NXT_COMPO!$Q222=IDX_CA!$C$2:$C$1041),ROW(IDX_CA!$G$2:$G$1041))),""))</f>
        <v/>
      </c>
      <c r="K222" s="63" t="str">
        <f>IF($D222&lt;&gt;"",VLOOKUP($E222,STK_REF!$A$2:$J$1048576,7,0),"")</f>
        <v/>
      </c>
      <c r="L222" s="5" t="str">
        <f>IF($D222&lt;&gt;"",VLOOKUP($E222,STK_REF!$A$2:$J$1048576,8,0),"")</f>
        <v/>
      </c>
      <c r="M222" s="8" t="str">
        <f>IF($D222&lt;&gt;"",IF($K222=$U222,1,IF(ISNA(VLOOKUP($K222&amp;$U222,CUR_RATES!$A$2:$F$521,4,0)),"",VLOOKUP($K222&amp;$U222,CUR_RATES!$A$2:$F$521,4,0))),"")</f>
        <v/>
      </c>
      <c r="N222" s="61" t="str">
        <f t="shared" si="40"/>
        <v/>
      </c>
      <c r="O222" s="68" t="str">
        <f t="shared" si="41"/>
        <v/>
      </c>
      <c r="P222" s="24"/>
      <c r="Q222" s="2" t="str">
        <f>IF(ROW(Q222)-ROW($E$1)&lt;=$B$4,INDEX(IDX_COMPO!F:F,ROW(IDX_COMPO!#REF!)),"")</f>
        <v/>
      </c>
      <c r="R222" s="68" t="str">
        <f t="shared" si="42"/>
        <v/>
      </c>
      <c r="S222" s="61" t="str">
        <f t="shared" si="43"/>
        <v/>
      </c>
      <c r="T222" s="62" t="str">
        <f>IF(D222&lt;&gt;"",IF(SUMPRODUCT(--($E222=STK_DIV!$A$2:$A$5),--(NXT_COMPO!$Q222=STK_DIV!$E$2:$E$5),ROW(STK_DIV!$D$2:$D$5))=0,"",INDEX(STK_DIV!$D$1:$D$5,SUMPRODUCT(--($E222=STK_DIV!$A$2:$A$5),--(NXT_COMPO!$Q222=STK_DIV!$E$2:$E$5),ROW(STK_DIV!$D$2:$D$5)))),"")</f>
        <v/>
      </c>
      <c r="U222" s="54" t="str">
        <f>IF($D222&lt;&gt;"",VLOOKUP($P222,IDX_REF!$2:$1048576,4,0),"")</f>
        <v/>
      </c>
    </row>
    <row r="223" spans="4:21" x14ac:dyDescent="0.2">
      <c r="D223" s="52" t="str">
        <f t="shared" si="38"/>
        <v/>
      </c>
      <c r="E223" s="5" t="str">
        <f t="shared" si="39"/>
        <v/>
      </c>
      <c r="F223" s="5" t="str">
        <f>IF(ROW(F223)-ROW($E$1)&lt;=$B$1-$B$2,INDEX(IDX_COMPO!B:B,ROW(IDX_COMPO!#REF!)),IF(ROW(E223)-ROW($E$1)&lt;=$B$4,VLOOKUP(E223,STK_REF!$A$2:$J$1048576,2,0),""))</f>
        <v/>
      </c>
      <c r="J223" s="62" t="str">
        <f>IF($D223&lt;=$B$1-$B$2,IF(INDEX($AA$2:$AA$1048576,MATCH($D223,$AB$2:$AB$1048576,0))="MODIFY",INDEX(IDX_CA!$G$1:$G$1041,SUMPRODUCT(--($E223=IDX_CA!$A$2:$A$1041),--(NXT_COMPO!$P223=IDX_CA!$B$2:$B$1041),--(NXT_COMPO!$Q223=IDX_CA!$C$2:$C$1041),ROW(IDX_CA!$G$2:$G$1041))),INDEX(IDX_COMPOSITION!$F$1:$F$441,SUMPRODUCT(--($E223=IDX_COMPOSITION!$A$2:$A$441),--(NXT_COMPO!$P223=IDX_COMPOSITION!$R$2:$R$441),--(NXT_COMPO!$B$5=IDX_COMPOSITION!$L$2:$L$441),ROW(IDX_COMPOSITION!$F$2:$F$441)))),IF($D223&lt;=$B$4,INDEX(IDX_CA!$G$1:$G$1041,SUMPRODUCT(--($E223=IDX_CA!$A$2:$A$1041),--(NXT_COMPO!$P223=IDX_CA!$B$2:$B$1041),--(NXT_COMPO!$Q223=IDX_CA!$C$2:$C$1041),ROW(IDX_CA!$G$2:$G$1041))),""))</f>
        <v/>
      </c>
      <c r="K223" s="63" t="str">
        <f>IF($D223&lt;&gt;"",VLOOKUP($E223,STK_REF!$A$2:$J$1048576,7,0),"")</f>
        <v/>
      </c>
      <c r="L223" s="5" t="str">
        <f>IF($D223&lt;&gt;"",VLOOKUP($E223,STK_REF!$A$2:$J$1048576,8,0),"")</f>
        <v/>
      </c>
      <c r="M223" s="8" t="str">
        <f>IF($D223&lt;&gt;"",IF($K223=$U223,1,IF(ISNA(VLOOKUP($K223&amp;$U223,CUR_RATES!$A$2:$F$521,4,0)),"",VLOOKUP($K223&amp;$U223,CUR_RATES!$A$2:$F$521,4,0))),"")</f>
        <v/>
      </c>
      <c r="N223" s="61" t="str">
        <f t="shared" si="40"/>
        <v/>
      </c>
      <c r="O223" s="68" t="str">
        <f t="shared" si="41"/>
        <v/>
      </c>
      <c r="P223" s="24"/>
      <c r="Q223" s="2" t="str">
        <f>IF(ROW(Q223)-ROW($E$1)&lt;=$B$4,INDEX(IDX_COMPO!F:F,ROW(IDX_COMPO!#REF!)),"")</f>
        <v/>
      </c>
      <c r="R223" s="68" t="str">
        <f t="shared" si="42"/>
        <v/>
      </c>
      <c r="S223" s="61" t="str">
        <f t="shared" si="43"/>
        <v/>
      </c>
      <c r="T223" s="62" t="str">
        <f>IF(D223&lt;&gt;"",IF(SUMPRODUCT(--($E223=STK_DIV!$A$2:$A$5),--(NXT_COMPO!$Q223=STK_DIV!$E$2:$E$5),ROW(STK_DIV!$D$2:$D$5))=0,"",INDEX(STK_DIV!$D$1:$D$5,SUMPRODUCT(--($E223=STK_DIV!$A$2:$A$5),--(NXT_COMPO!$Q223=STK_DIV!$E$2:$E$5),ROW(STK_DIV!$D$2:$D$5)))),"")</f>
        <v/>
      </c>
      <c r="U223" s="54" t="str">
        <f>IF($D223&lt;&gt;"",VLOOKUP($P223,IDX_REF!$2:$1048576,4,0),"")</f>
        <v/>
      </c>
    </row>
    <row r="224" spans="4:21" x14ac:dyDescent="0.2">
      <c r="D224" s="52" t="str">
        <f t="shared" si="38"/>
        <v/>
      </c>
      <c r="E224" s="5" t="str">
        <f t="shared" si="39"/>
        <v/>
      </c>
      <c r="F224" s="5" t="str">
        <f>IF(ROW(F224)-ROW($E$1)&lt;=$B$1-$B$2,INDEX(IDX_COMPO!B:B,ROW(IDX_COMPO!#REF!)),IF(ROW(E224)-ROW($E$1)&lt;=$B$4,VLOOKUP(E224,STK_REF!$A$2:$J$1048576,2,0),""))</f>
        <v/>
      </c>
      <c r="J224" s="62" t="str">
        <f>IF($D224&lt;=$B$1-$B$2,IF(INDEX($AA$2:$AA$1048576,MATCH($D224,$AB$2:$AB$1048576,0))="MODIFY",INDEX(IDX_CA!$G$1:$G$1041,SUMPRODUCT(--($E224=IDX_CA!$A$2:$A$1041),--(NXT_COMPO!$P224=IDX_CA!$B$2:$B$1041),--(NXT_COMPO!$Q224=IDX_CA!$C$2:$C$1041),ROW(IDX_CA!$G$2:$G$1041))),INDEX(IDX_COMPOSITION!$F$1:$F$441,SUMPRODUCT(--($E224=IDX_COMPOSITION!$A$2:$A$441),--(NXT_COMPO!$P224=IDX_COMPOSITION!$R$2:$R$441),--(NXT_COMPO!$B$5=IDX_COMPOSITION!$L$2:$L$441),ROW(IDX_COMPOSITION!$F$2:$F$441)))),IF($D224&lt;=$B$4,INDEX(IDX_CA!$G$1:$G$1041,SUMPRODUCT(--($E224=IDX_CA!$A$2:$A$1041),--(NXT_COMPO!$P224=IDX_CA!$B$2:$B$1041),--(NXT_COMPO!$Q224=IDX_CA!$C$2:$C$1041),ROW(IDX_CA!$G$2:$G$1041))),""))</f>
        <v/>
      </c>
      <c r="K224" s="63" t="str">
        <f>IF($D224&lt;&gt;"",VLOOKUP($E224,STK_REF!$A$2:$J$1048576,7,0),"")</f>
        <v/>
      </c>
      <c r="L224" s="5" t="str">
        <f>IF($D224&lt;&gt;"",VLOOKUP($E224,STK_REF!$A$2:$J$1048576,8,0),"")</f>
        <v/>
      </c>
      <c r="M224" s="8" t="str">
        <f>IF($D224&lt;&gt;"",IF($K224=$U224,1,IF(ISNA(VLOOKUP($K224&amp;$U224,CUR_RATES!$A$2:$F$521,4,0)),"",VLOOKUP($K224&amp;$U224,CUR_RATES!$A$2:$F$521,4,0))),"")</f>
        <v/>
      </c>
      <c r="N224" s="61" t="str">
        <f t="shared" si="40"/>
        <v/>
      </c>
      <c r="O224" s="68" t="str">
        <f t="shared" si="41"/>
        <v/>
      </c>
      <c r="P224" s="24"/>
      <c r="Q224" s="2" t="str">
        <f>IF(ROW(Q224)-ROW($E$1)&lt;=$B$4,INDEX(IDX_COMPO!F:F,ROW(IDX_COMPO!#REF!)),"")</f>
        <v/>
      </c>
      <c r="R224" s="68" t="str">
        <f t="shared" si="42"/>
        <v/>
      </c>
      <c r="S224" s="61" t="str">
        <f t="shared" si="43"/>
        <v/>
      </c>
      <c r="T224" s="62" t="str">
        <f>IF(D224&lt;&gt;"",IF(SUMPRODUCT(--($E224=STK_DIV!$A$2:$A$5),--(NXT_COMPO!$Q224=STK_DIV!$E$2:$E$5),ROW(STK_DIV!$D$2:$D$5))=0,"",INDEX(STK_DIV!$D$1:$D$5,SUMPRODUCT(--($E224=STK_DIV!$A$2:$A$5),--(NXT_COMPO!$Q224=STK_DIV!$E$2:$E$5),ROW(STK_DIV!$D$2:$D$5)))),"")</f>
        <v/>
      </c>
      <c r="U224" s="54" t="str">
        <f>IF($D224&lt;&gt;"",VLOOKUP($P224,IDX_REF!$2:$1048576,4,0),"")</f>
        <v/>
      </c>
    </row>
    <row r="225" spans="4:21" x14ac:dyDescent="0.2">
      <c r="D225" s="52" t="str">
        <f t="shared" si="38"/>
        <v/>
      </c>
      <c r="E225" s="5" t="str">
        <f t="shared" si="39"/>
        <v/>
      </c>
      <c r="F225" s="5" t="str">
        <f>IF(ROW(F225)-ROW($E$1)&lt;=$B$1-$B$2,INDEX(IDX_COMPO!B:B,ROW(IDX_COMPO!#REF!)),IF(ROW(E225)-ROW($E$1)&lt;=$B$4,VLOOKUP(E225,STK_REF!$A$2:$J$1048576,2,0),""))</f>
        <v/>
      </c>
      <c r="J225" s="62" t="str">
        <f>IF($D225&lt;=$B$1-$B$2,IF(INDEX($AA$2:$AA$1048576,MATCH($D225,$AB$2:$AB$1048576,0))="MODIFY",INDEX(IDX_CA!$G$1:$G$1041,SUMPRODUCT(--($E225=IDX_CA!$A$2:$A$1041),--(NXT_COMPO!$P225=IDX_CA!$B$2:$B$1041),--(NXT_COMPO!$Q225=IDX_CA!$C$2:$C$1041),ROW(IDX_CA!$G$2:$G$1041))),INDEX(IDX_COMPOSITION!$F$1:$F$441,SUMPRODUCT(--($E225=IDX_COMPOSITION!$A$2:$A$441),--(NXT_COMPO!$P225=IDX_COMPOSITION!$R$2:$R$441),--(NXT_COMPO!$B$5=IDX_COMPOSITION!$L$2:$L$441),ROW(IDX_COMPOSITION!$F$2:$F$441)))),IF($D225&lt;=$B$4,INDEX(IDX_CA!$G$1:$G$1041,SUMPRODUCT(--($E225=IDX_CA!$A$2:$A$1041),--(NXT_COMPO!$P225=IDX_CA!$B$2:$B$1041),--(NXT_COMPO!$Q225=IDX_CA!$C$2:$C$1041),ROW(IDX_CA!$G$2:$G$1041))),""))</f>
        <v/>
      </c>
      <c r="K225" s="63" t="str">
        <f>IF($D225&lt;&gt;"",VLOOKUP($E225,STK_REF!$A$2:$J$1048576,7,0),"")</f>
        <v/>
      </c>
      <c r="L225" s="5" t="str">
        <f>IF($D225&lt;&gt;"",VLOOKUP($E225,STK_REF!$A$2:$J$1048576,8,0),"")</f>
        <v/>
      </c>
      <c r="M225" s="8" t="str">
        <f>IF($D225&lt;&gt;"",IF($K225=$U225,1,IF(ISNA(VLOOKUP($K225&amp;$U225,CUR_RATES!$A$2:$F$521,4,0)),"",VLOOKUP($K225&amp;$U225,CUR_RATES!$A$2:$F$521,4,0))),"")</f>
        <v/>
      </c>
      <c r="N225" s="61" t="str">
        <f t="shared" si="40"/>
        <v/>
      </c>
      <c r="O225" s="68" t="str">
        <f t="shared" si="41"/>
        <v/>
      </c>
      <c r="P225" s="24"/>
      <c r="Q225" s="2" t="str">
        <f>IF(ROW(Q225)-ROW($E$1)&lt;=$B$4,INDEX(IDX_COMPO!F:F,ROW(IDX_COMPO!#REF!)),"")</f>
        <v/>
      </c>
      <c r="R225" s="68" t="str">
        <f t="shared" si="42"/>
        <v/>
      </c>
      <c r="S225" s="61" t="str">
        <f t="shared" si="43"/>
        <v/>
      </c>
      <c r="T225" s="62" t="str">
        <f>IF(D225&lt;&gt;"",IF(SUMPRODUCT(--($E225=STK_DIV!$A$2:$A$5),--(NXT_COMPO!$Q225=STK_DIV!$E$2:$E$5),ROW(STK_DIV!$D$2:$D$5))=0,"",INDEX(STK_DIV!$D$1:$D$5,SUMPRODUCT(--($E225=STK_DIV!$A$2:$A$5),--(NXT_COMPO!$Q225=STK_DIV!$E$2:$E$5),ROW(STK_DIV!$D$2:$D$5)))),"")</f>
        <v/>
      </c>
      <c r="U225" s="54" t="str">
        <f>IF($D225&lt;&gt;"",VLOOKUP($P225,IDX_REF!$2:$1048576,4,0),"")</f>
        <v/>
      </c>
    </row>
    <row r="226" spans="4:21" x14ac:dyDescent="0.2">
      <c r="D226" s="52" t="str">
        <f t="shared" si="38"/>
        <v/>
      </c>
      <c r="E226" s="5" t="str">
        <f t="shared" si="39"/>
        <v/>
      </c>
      <c r="F226" s="5" t="str">
        <f>IF(ROW(F226)-ROW($E$1)&lt;=$B$1-$B$2,INDEX(IDX_COMPO!B:B,ROW(IDX_COMPO!#REF!)),IF(ROW(E226)-ROW($E$1)&lt;=$B$4,VLOOKUP(E226,STK_REF!$A$2:$J$1048576,2,0),""))</f>
        <v/>
      </c>
      <c r="J226" s="62" t="str">
        <f>IF($D226&lt;=$B$1-$B$2,IF(INDEX($AA$2:$AA$1048576,MATCH($D226,$AB$2:$AB$1048576,0))="MODIFY",INDEX(IDX_CA!$G$1:$G$1041,SUMPRODUCT(--($E226=IDX_CA!$A$2:$A$1041),--(NXT_COMPO!$P226=IDX_CA!$B$2:$B$1041),--(NXT_COMPO!$Q226=IDX_CA!$C$2:$C$1041),ROW(IDX_CA!$G$2:$G$1041))),INDEX(IDX_COMPOSITION!$F$1:$F$441,SUMPRODUCT(--($E226=IDX_COMPOSITION!$A$2:$A$441),--(NXT_COMPO!$P226=IDX_COMPOSITION!$R$2:$R$441),--(NXT_COMPO!$B$5=IDX_COMPOSITION!$L$2:$L$441),ROW(IDX_COMPOSITION!$F$2:$F$441)))),IF($D226&lt;=$B$4,INDEX(IDX_CA!$G$1:$G$1041,SUMPRODUCT(--($E226=IDX_CA!$A$2:$A$1041),--(NXT_COMPO!$P226=IDX_CA!$B$2:$B$1041),--(NXT_COMPO!$Q226=IDX_CA!$C$2:$C$1041),ROW(IDX_CA!$G$2:$G$1041))),""))</f>
        <v/>
      </c>
      <c r="K226" s="63" t="str">
        <f>IF($D226&lt;&gt;"",VLOOKUP($E226,STK_REF!$A$2:$J$1048576,7,0),"")</f>
        <v/>
      </c>
      <c r="L226" s="5" t="str">
        <f>IF($D226&lt;&gt;"",VLOOKUP($E226,STK_REF!$A$2:$J$1048576,8,0),"")</f>
        <v/>
      </c>
      <c r="M226" s="8" t="str">
        <f>IF($D226&lt;&gt;"",IF($K226=$U226,1,IF(ISNA(VLOOKUP($K226&amp;$U226,CUR_RATES!$A$2:$F$521,4,0)),"",VLOOKUP($K226&amp;$U226,CUR_RATES!$A$2:$F$521,4,0))),"")</f>
        <v/>
      </c>
      <c r="N226" s="61" t="str">
        <f t="shared" si="40"/>
        <v/>
      </c>
      <c r="O226" s="68" t="str">
        <f t="shared" si="41"/>
        <v/>
      </c>
      <c r="P226" s="24"/>
      <c r="Q226" s="2" t="str">
        <f>IF(ROW(Q226)-ROW($E$1)&lt;=$B$4,INDEX(IDX_COMPO!F:F,ROW(IDX_COMPO!#REF!)),"")</f>
        <v/>
      </c>
      <c r="R226" s="68" t="str">
        <f t="shared" si="42"/>
        <v/>
      </c>
      <c r="S226" s="61" t="str">
        <f t="shared" si="43"/>
        <v/>
      </c>
      <c r="T226" s="62" t="str">
        <f>IF(D226&lt;&gt;"",IF(SUMPRODUCT(--($E226=STK_DIV!$A$2:$A$5),--(NXT_COMPO!$Q226=STK_DIV!$E$2:$E$5),ROW(STK_DIV!$D$2:$D$5))=0,"",INDEX(STK_DIV!$D$1:$D$5,SUMPRODUCT(--($E226=STK_DIV!$A$2:$A$5),--(NXT_COMPO!$Q226=STK_DIV!$E$2:$E$5),ROW(STK_DIV!$D$2:$D$5)))),"")</f>
        <v/>
      </c>
      <c r="U226" s="54" t="str">
        <f>IF($D226&lt;&gt;"",VLOOKUP($P226,IDX_REF!$2:$1048576,4,0),"")</f>
        <v/>
      </c>
    </row>
    <row r="227" spans="4:21" x14ac:dyDescent="0.2">
      <c r="D227" s="52" t="str">
        <f t="shared" si="38"/>
        <v/>
      </c>
      <c r="E227" s="5" t="str">
        <f t="shared" si="39"/>
        <v/>
      </c>
      <c r="F227" s="5" t="str">
        <f>IF(ROW(F227)-ROW($E$1)&lt;=$B$1-$B$2,INDEX(IDX_COMPO!B:B,ROW(IDX_COMPO!#REF!)),IF(ROW(E227)-ROW($E$1)&lt;=$B$4,VLOOKUP(E227,STK_REF!$A$2:$J$1048576,2,0),""))</f>
        <v/>
      </c>
      <c r="J227" s="62" t="str">
        <f>IF($D227&lt;=$B$1-$B$2,IF(INDEX($AA$2:$AA$1048576,MATCH($D227,$AB$2:$AB$1048576,0))="MODIFY",INDEX(IDX_CA!$G$1:$G$1041,SUMPRODUCT(--($E227=IDX_CA!$A$2:$A$1041),--(NXT_COMPO!$P227=IDX_CA!$B$2:$B$1041),--(NXT_COMPO!$Q227=IDX_CA!$C$2:$C$1041),ROW(IDX_CA!$G$2:$G$1041))),INDEX(IDX_COMPOSITION!$F$1:$F$441,SUMPRODUCT(--($E227=IDX_COMPOSITION!$A$2:$A$441),--(NXT_COMPO!$P227=IDX_COMPOSITION!$R$2:$R$441),--(NXT_COMPO!$B$5=IDX_COMPOSITION!$L$2:$L$441),ROW(IDX_COMPOSITION!$F$2:$F$441)))),IF($D227&lt;=$B$4,INDEX(IDX_CA!$G$1:$G$1041,SUMPRODUCT(--($E227=IDX_CA!$A$2:$A$1041),--(NXT_COMPO!$P227=IDX_CA!$B$2:$B$1041),--(NXT_COMPO!$Q227=IDX_CA!$C$2:$C$1041),ROW(IDX_CA!$G$2:$G$1041))),""))</f>
        <v/>
      </c>
      <c r="K227" s="63" t="str">
        <f>IF($D227&lt;&gt;"",VLOOKUP($E227,STK_REF!$A$2:$J$1048576,7,0),"")</f>
        <v/>
      </c>
      <c r="L227" s="5" t="str">
        <f>IF($D227&lt;&gt;"",VLOOKUP($E227,STK_REF!$A$2:$J$1048576,8,0),"")</f>
        <v/>
      </c>
      <c r="M227" s="8" t="str">
        <f>IF($D227&lt;&gt;"",IF($K227=$U227,1,IF(ISNA(VLOOKUP($K227&amp;$U227,CUR_RATES!$A$2:$F$521,4,0)),"",VLOOKUP($K227&amp;$U227,CUR_RATES!$A$2:$F$521,4,0))),"")</f>
        <v/>
      </c>
      <c r="N227" s="61" t="str">
        <f t="shared" si="40"/>
        <v/>
      </c>
      <c r="O227" s="68" t="str">
        <f t="shared" si="41"/>
        <v/>
      </c>
      <c r="P227" s="24"/>
      <c r="Q227" s="2" t="str">
        <f>IF(ROW(Q227)-ROW($E$1)&lt;=$B$4,INDEX(IDX_COMPO!F:F,ROW(IDX_COMPO!#REF!)),"")</f>
        <v/>
      </c>
      <c r="R227" s="68" t="str">
        <f t="shared" si="42"/>
        <v/>
      </c>
      <c r="S227" s="61" t="str">
        <f t="shared" si="43"/>
        <v/>
      </c>
      <c r="T227" s="62" t="str">
        <f>IF(D227&lt;&gt;"",IF(SUMPRODUCT(--($E227=STK_DIV!$A$2:$A$5),--(NXT_COMPO!$Q227=STK_DIV!$E$2:$E$5),ROW(STK_DIV!$D$2:$D$5))=0,"",INDEX(STK_DIV!$D$1:$D$5,SUMPRODUCT(--($E227=STK_DIV!$A$2:$A$5),--(NXT_COMPO!$Q227=STK_DIV!$E$2:$E$5),ROW(STK_DIV!$D$2:$D$5)))),"")</f>
        <v/>
      </c>
      <c r="U227" s="54" t="str">
        <f>IF($D227&lt;&gt;"",VLOOKUP($P227,IDX_REF!$2:$1048576,4,0),"")</f>
        <v/>
      </c>
    </row>
    <row r="228" spans="4:21" x14ac:dyDescent="0.2">
      <c r="D228" s="52" t="str">
        <f t="shared" si="38"/>
        <v/>
      </c>
      <c r="E228" s="5" t="str">
        <f t="shared" si="39"/>
        <v/>
      </c>
      <c r="F228" s="5" t="str">
        <f>IF(ROW(F228)-ROW($E$1)&lt;=$B$1-$B$2,INDEX(IDX_COMPO!B:B,ROW(IDX_COMPO!#REF!)),IF(ROW(E228)-ROW($E$1)&lt;=$B$4,VLOOKUP(E228,STK_REF!$A$2:$J$1048576,2,0),""))</f>
        <v/>
      </c>
      <c r="J228" s="62" t="str">
        <f>IF($D228&lt;=$B$1-$B$2,IF(INDEX($AA$2:$AA$1048576,MATCH($D228,$AB$2:$AB$1048576,0))="MODIFY",INDEX(IDX_CA!$G$1:$G$1041,SUMPRODUCT(--($E228=IDX_CA!$A$2:$A$1041),--(NXT_COMPO!$P228=IDX_CA!$B$2:$B$1041),--(NXT_COMPO!$Q228=IDX_CA!$C$2:$C$1041),ROW(IDX_CA!$G$2:$G$1041))),INDEX(IDX_COMPOSITION!$F$1:$F$441,SUMPRODUCT(--($E228=IDX_COMPOSITION!$A$2:$A$441),--(NXT_COMPO!$P228=IDX_COMPOSITION!$R$2:$R$441),--(NXT_COMPO!$B$5=IDX_COMPOSITION!$L$2:$L$441),ROW(IDX_COMPOSITION!$F$2:$F$441)))),IF($D228&lt;=$B$4,INDEX(IDX_CA!$G$1:$G$1041,SUMPRODUCT(--($E228=IDX_CA!$A$2:$A$1041),--(NXT_COMPO!$P228=IDX_CA!$B$2:$B$1041),--(NXT_COMPO!$Q228=IDX_CA!$C$2:$C$1041),ROW(IDX_CA!$G$2:$G$1041))),""))</f>
        <v/>
      </c>
      <c r="K228" s="63" t="str">
        <f>IF($D228&lt;&gt;"",VLOOKUP($E228,STK_REF!$A$2:$J$1048576,7,0),"")</f>
        <v/>
      </c>
      <c r="L228" s="5" t="str">
        <f>IF($D228&lt;&gt;"",VLOOKUP($E228,STK_REF!$A$2:$J$1048576,8,0),"")</f>
        <v/>
      </c>
      <c r="M228" s="8" t="str">
        <f>IF($D228&lt;&gt;"",IF($K228=$U228,1,IF(ISNA(VLOOKUP($K228&amp;$U228,CUR_RATES!$A$2:$F$521,4,0)),"",VLOOKUP($K228&amp;$U228,CUR_RATES!$A$2:$F$521,4,0))),"")</f>
        <v/>
      </c>
      <c r="N228" s="61" t="str">
        <f t="shared" si="40"/>
        <v/>
      </c>
      <c r="O228" s="68" t="str">
        <f t="shared" si="41"/>
        <v/>
      </c>
      <c r="P228" s="24"/>
      <c r="Q228" s="2" t="str">
        <f>IF(ROW(Q228)-ROW($E$1)&lt;=$B$4,INDEX(IDX_COMPO!F:F,ROW(IDX_COMPO!#REF!)),"")</f>
        <v/>
      </c>
      <c r="R228" s="68" t="str">
        <f t="shared" si="42"/>
        <v/>
      </c>
      <c r="S228" s="61" t="str">
        <f t="shared" si="43"/>
        <v/>
      </c>
      <c r="T228" s="62" t="str">
        <f>IF(D228&lt;&gt;"",IF(SUMPRODUCT(--($E228=STK_DIV!$A$2:$A$5),--(NXT_COMPO!$Q228=STK_DIV!$E$2:$E$5),ROW(STK_DIV!$D$2:$D$5))=0,"",INDEX(STK_DIV!$D$1:$D$5,SUMPRODUCT(--($E228=STK_DIV!$A$2:$A$5),--(NXT_COMPO!$Q228=STK_DIV!$E$2:$E$5),ROW(STK_DIV!$D$2:$D$5)))),"")</f>
        <v/>
      </c>
      <c r="U228" s="54" t="str">
        <f>IF($D228&lt;&gt;"",VLOOKUP($P228,IDX_REF!$2:$1048576,4,0),"")</f>
        <v/>
      </c>
    </row>
    <row r="229" spans="4:21" x14ac:dyDescent="0.2">
      <c r="D229" s="52" t="str">
        <f t="shared" si="38"/>
        <v/>
      </c>
      <c r="E229" s="5" t="str">
        <f t="shared" si="39"/>
        <v/>
      </c>
      <c r="F229" s="5" t="str">
        <f>IF(ROW(F229)-ROW($E$1)&lt;=$B$1-$B$2,INDEX(IDX_COMPO!B:B,ROW(IDX_COMPO!#REF!)),IF(ROW(E229)-ROW($E$1)&lt;=$B$4,VLOOKUP(E229,STK_REF!$A$2:$J$1048576,2,0),""))</f>
        <v/>
      </c>
      <c r="J229" s="62" t="str">
        <f>IF($D229&lt;=$B$1-$B$2,IF(INDEX($AA$2:$AA$1048576,MATCH($D229,$AB$2:$AB$1048576,0))="MODIFY",INDEX(IDX_CA!$G$1:$G$1041,SUMPRODUCT(--($E229=IDX_CA!$A$2:$A$1041),--(NXT_COMPO!$P229=IDX_CA!$B$2:$B$1041),--(NXT_COMPO!$Q229=IDX_CA!$C$2:$C$1041),ROW(IDX_CA!$G$2:$G$1041))),INDEX(IDX_COMPOSITION!$F$1:$F$441,SUMPRODUCT(--($E229=IDX_COMPOSITION!$A$2:$A$441),--(NXT_COMPO!$P229=IDX_COMPOSITION!$R$2:$R$441),--(NXT_COMPO!$B$5=IDX_COMPOSITION!$L$2:$L$441),ROW(IDX_COMPOSITION!$F$2:$F$441)))),IF($D229&lt;=$B$4,INDEX(IDX_CA!$G$1:$G$1041,SUMPRODUCT(--($E229=IDX_CA!$A$2:$A$1041),--(NXT_COMPO!$P229=IDX_CA!$B$2:$B$1041),--(NXT_COMPO!$Q229=IDX_CA!$C$2:$C$1041),ROW(IDX_CA!$G$2:$G$1041))),""))</f>
        <v/>
      </c>
      <c r="K229" s="63" t="str">
        <f>IF($D229&lt;&gt;"",VLOOKUP($E229,STK_REF!$A$2:$J$1048576,7,0),"")</f>
        <v/>
      </c>
      <c r="L229" s="5" t="str">
        <f>IF($D229&lt;&gt;"",VLOOKUP($E229,STK_REF!$A$2:$J$1048576,8,0),"")</f>
        <v/>
      </c>
      <c r="M229" s="8" t="str">
        <f>IF($D229&lt;&gt;"",IF($K229=$U229,1,IF(ISNA(VLOOKUP($K229&amp;$U229,CUR_RATES!$A$2:$F$521,4,0)),"",VLOOKUP($K229&amp;$U229,CUR_RATES!$A$2:$F$521,4,0))),"")</f>
        <v/>
      </c>
      <c r="N229" s="61" t="str">
        <f t="shared" si="40"/>
        <v/>
      </c>
      <c r="O229" s="68" t="str">
        <f t="shared" si="41"/>
        <v/>
      </c>
      <c r="P229" s="24"/>
      <c r="Q229" s="2" t="str">
        <f>IF(ROW(Q229)-ROW($E$1)&lt;=$B$4,INDEX(IDX_COMPO!F:F,ROW(IDX_COMPO!#REF!)),"")</f>
        <v/>
      </c>
      <c r="R229" s="68" t="str">
        <f t="shared" si="42"/>
        <v/>
      </c>
      <c r="S229" s="61" t="str">
        <f t="shared" si="43"/>
        <v/>
      </c>
      <c r="T229" s="62" t="str">
        <f>IF(D229&lt;&gt;"",IF(SUMPRODUCT(--($E229=STK_DIV!$A$2:$A$5),--(NXT_COMPO!$Q229=STK_DIV!$E$2:$E$5),ROW(STK_DIV!$D$2:$D$5))=0,"",INDEX(STK_DIV!$D$1:$D$5,SUMPRODUCT(--($E229=STK_DIV!$A$2:$A$5),--(NXT_COMPO!$Q229=STK_DIV!$E$2:$E$5),ROW(STK_DIV!$D$2:$D$5)))),"")</f>
        <v/>
      </c>
      <c r="U229" s="54" t="str">
        <f>IF($D229&lt;&gt;"",VLOOKUP($P229,IDX_REF!$2:$1048576,4,0),"")</f>
        <v/>
      </c>
    </row>
    <row r="230" spans="4:21" x14ac:dyDescent="0.2">
      <c r="D230" s="52" t="str">
        <f t="shared" si="38"/>
        <v/>
      </c>
      <c r="E230" s="5" t="str">
        <f t="shared" si="39"/>
        <v/>
      </c>
      <c r="F230" s="5" t="str">
        <f>IF(ROW(F230)-ROW($E$1)&lt;=$B$1-$B$2,INDEX(IDX_COMPO!B:B,ROW(IDX_COMPO!#REF!)),IF(ROW(E230)-ROW($E$1)&lt;=$B$4,VLOOKUP(E230,STK_REF!$A$2:$J$1048576,2,0),""))</f>
        <v/>
      </c>
      <c r="J230" s="62" t="str">
        <f>IF($D230&lt;=$B$1-$B$2,IF(INDEX($AA$2:$AA$1048576,MATCH($D230,$AB$2:$AB$1048576,0))="MODIFY",INDEX(IDX_CA!$G$1:$G$1041,SUMPRODUCT(--($E230=IDX_CA!$A$2:$A$1041),--(NXT_COMPO!$P230=IDX_CA!$B$2:$B$1041),--(NXT_COMPO!$Q230=IDX_CA!$C$2:$C$1041),ROW(IDX_CA!$G$2:$G$1041))),INDEX(IDX_COMPOSITION!$F$1:$F$441,SUMPRODUCT(--($E230=IDX_COMPOSITION!$A$2:$A$441),--(NXT_COMPO!$P230=IDX_COMPOSITION!$R$2:$R$441),--(NXT_COMPO!$B$5=IDX_COMPOSITION!$L$2:$L$441),ROW(IDX_COMPOSITION!$F$2:$F$441)))),IF($D230&lt;=$B$4,INDEX(IDX_CA!$G$1:$G$1041,SUMPRODUCT(--($E230=IDX_CA!$A$2:$A$1041),--(NXT_COMPO!$P230=IDX_CA!$B$2:$B$1041),--(NXT_COMPO!$Q230=IDX_CA!$C$2:$C$1041),ROW(IDX_CA!$G$2:$G$1041))),""))</f>
        <v/>
      </c>
      <c r="K230" s="63" t="str">
        <f>IF($D230&lt;&gt;"",VLOOKUP($E230,STK_REF!$A$2:$J$1048576,7,0),"")</f>
        <v/>
      </c>
      <c r="L230" s="5" t="str">
        <f>IF($D230&lt;&gt;"",VLOOKUP($E230,STK_REF!$A$2:$J$1048576,8,0),"")</f>
        <v/>
      </c>
      <c r="M230" s="8" t="str">
        <f>IF($D230&lt;&gt;"",IF($K230=$U230,1,IF(ISNA(VLOOKUP($K230&amp;$U230,CUR_RATES!$A$2:$F$521,4,0)),"",VLOOKUP($K230&amp;$U230,CUR_RATES!$A$2:$F$521,4,0))),"")</f>
        <v/>
      </c>
      <c r="N230" s="61" t="str">
        <f t="shared" si="40"/>
        <v/>
      </c>
      <c r="O230" s="68" t="str">
        <f t="shared" si="41"/>
        <v/>
      </c>
      <c r="P230" s="24"/>
      <c r="Q230" s="2" t="str">
        <f>IF(ROW(Q230)-ROW($E$1)&lt;=$B$4,INDEX(IDX_COMPO!F:F,ROW(IDX_COMPO!#REF!)),"")</f>
        <v/>
      </c>
      <c r="R230" s="68" t="str">
        <f t="shared" si="42"/>
        <v/>
      </c>
      <c r="S230" s="61" t="str">
        <f t="shared" si="43"/>
        <v/>
      </c>
      <c r="T230" s="62" t="str">
        <f>IF(D230&lt;&gt;"",IF(SUMPRODUCT(--($E230=STK_DIV!$A$2:$A$5),--(NXT_COMPO!$Q230=STK_DIV!$E$2:$E$5),ROW(STK_DIV!$D$2:$D$5))=0,"",INDEX(STK_DIV!$D$1:$D$5,SUMPRODUCT(--($E230=STK_DIV!$A$2:$A$5),--(NXT_COMPO!$Q230=STK_DIV!$E$2:$E$5),ROW(STK_DIV!$D$2:$D$5)))),"")</f>
        <v/>
      </c>
      <c r="U230" s="54" t="str">
        <f>IF($D230&lt;&gt;"",VLOOKUP($P230,IDX_REF!$2:$1048576,4,0),"")</f>
        <v/>
      </c>
    </row>
    <row r="231" spans="4:21" x14ac:dyDescent="0.2">
      <c r="D231" s="52" t="str">
        <f t="shared" si="38"/>
        <v/>
      </c>
      <c r="E231" s="5" t="str">
        <f t="shared" si="39"/>
        <v/>
      </c>
      <c r="F231" s="5" t="str">
        <f>IF(ROW(F231)-ROW($E$1)&lt;=$B$1-$B$2,INDEX(IDX_COMPO!B:B,ROW(IDX_COMPO!#REF!)),IF(ROW(E231)-ROW($E$1)&lt;=$B$4,VLOOKUP(E231,STK_REF!$A$2:$J$1048576,2,0),""))</f>
        <v/>
      </c>
      <c r="J231" s="62" t="str">
        <f>IF($D231&lt;=$B$1-$B$2,IF(INDEX($AA$2:$AA$1048576,MATCH($D231,$AB$2:$AB$1048576,0))="MODIFY",INDEX(IDX_CA!$G$1:$G$1041,SUMPRODUCT(--($E231=IDX_CA!$A$2:$A$1041),--(NXT_COMPO!$P231=IDX_CA!$B$2:$B$1041),--(NXT_COMPO!$Q231=IDX_CA!$C$2:$C$1041),ROW(IDX_CA!$G$2:$G$1041))),INDEX(IDX_COMPOSITION!$F$1:$F$441,SUMPRODUCT(--($E231=IDX_COMPOSITION!$A$2:$A$441),--(NXT_COMPO!$P231=IDX_COMPOSITION!$R$2:$R$441),--(NXT_COMPO!$B$5=IDX_COMPOSITION!$L$2:$L$441),ROW(IDX_COMPOSITION!$F$2:$F$441)))),IF($D231&lt;=$B$4,INDEX(IDX_CA!$G$1:$G$1041,SUMPRODUCT(--($E231=IDX_CA!$A$2:$A$1041),--(NXT_COMPO!$P231=IDX_CA!$B$2:$B$1041),--(NXT_COMPO!$Q231=IDX_CA!$C$2:$C$1041),ROW(IDX_CA!$G$2:$G$1041))),""))</f>
        <v/>
      </c>
      <c r="K231" s="63" t="str">
        <f>IF($D231&lt;&gt;"",VLOOKUP($E231,STK_REF!$A$2:$J$1048576,7,0),"")</f>
        <v/>
      </c>
      <c r="L231" s="5" t="str">
        <f>IF($D231&lt;&gt;"",VLOOKUP($E231,STK_REF!$A$2:$J$1048576,8,0),"")</f>
        <v/>
      </c>
      <c r="M231" s="8" t="str">
        <f>IF($D231&lt;&gt;"",IF($K231=$U231,1,IF(ISNA(VLOOKUP($K231&amp;$U231,CUR_RATES!$A$2:$F$521,4,0)),"",VLOOKUP($K231&amp;$U231,CUR_RATES!$A$2:$F$521,4,0))),"")</f>
        <v/>
      </c>
      <c r="N231" s="61" t="str">
        <f t="shared" si="40"/>
        <v/>
      </c>
      <c r="O231" s="68" t="str">
        <f t="shared" si="41"/>
        <v/>
      </c>
      <c r="P231" s="24"/>
      <c r="Q231" s="2" t="str">
        <f>IF(ROW(Q231)-ROW($E$1)&lt;=$B$4,INDEX(IDX_COMPO!F:F,ROW(IDX_COMPO!#REF!)),"")</f>
        <v/>
      </c>
      <c r="R231" s="68" t="str">
        <f t="shared" si="42"/>
        <v/>
      </c>
      <c r="S231" s="61" t="str">
        <f t="shared" si="43"/>
        <v/>
      </c>
      <c r="T231" s="62" t="str">
        <f>IF(D231&lt;&gt;"",IF(SUMPRODUCT(--($E231=STK_DIV!$A$2:$A$5),--(NXT_COMPO!$Q231=STK_DIV!$E$2:$E$5),ROW(STK_DIV!$D$2:$D$5))=0,"",INDEX(STK_DIV!$D$1:$D$5,SUMPRODUCT(--($E231=STK_DIV!$A$2:$A$5),--(NXT_COMPO!$Q231=STK_DIV!$E$2:$E$5),ROW(STK_DIV!$D$2:$D$5)))),"")</f>
        <v/>
      </c>
      <c r="U231" s="54" t="str">
        <f>IF($D231&lt;&gt;"",VLOOKUP($P231,IDX_REF!$2:$1048576,4,0),"")</f>
        <v/>
      </c>
    </row>
    <row r="232" spans="4:21" x14ac:dyDescent="0.2">
      <c r="D232" s="52" t="str">
        <f t="shared" si="38"/>
        <v/>
      </c>
      <c r="E232" s="5" t="str">
        <f t="shared" si="39"/>
        <v/>
      </c>
      <c r="F232" s="5" t="str">
        <f>IF(ROW(F232)-ROW($E$1)&lt;=$B$1-$B$2,INDEX(IDX_COMPO!B:B,ROW(IDX_COMPO!#REF!)),IF(ROW(E232)-ROW($E$1)&lt;=$B$4,VLOOKUP(E232,STK_REF!$A$2:$J$1048576,2,0),""))</f>
        <v/>
      </c>
      <c r="J232" s="62" t="str">
        <f>IF($D232&lt;=$B$1-$B$2,IF(INDEX($AA$2:$AA$1048576,MATCH($D232,$AB$2:$AB$1048576,0))="MODIFY",INDEX(IDX_CA!$G$1:$G$1041,SUMPRODUCT(--($E232=IDX_CA!$A$2:$A$1041),--(NXT_COMPO!$P232=IDX_CA!$B$2:$B$1041),--(NXT_COMPO!$Q232=IDX_CA!$C$2:$C$1041),ROW(IDX_CA!$G$2:$G$1041))),INDEX(IDX_COMPOSITION!$F$1:$F$441,SUMPRODUCT(--($E232=IDX_COMPOSITION!$A$2:$A$441),--(NXT_COMPO!$P232=IDX_COMPOSITION!$R$2:$R$441),--(NXT_COMPO!$B$5=IDX_COMPOSITION!$L$2:$L$441),ROW(IDX_COMPOSITION!$F$2:$F$441)))),IF($D232&lt;=$B$4,INDEX(IDX_CA!$G$1:$G$1041,SUMPRODUCT(--($E232=IDX_CA!$A$2:$A$1041),--(NXT_COMPO!$P232=IDX_CA!$B$2:$B$1041),--(NXT_COMPO!$Q232=IDX_CA!$C$2:$C$1041),ROW(IDX_CA!$G$2:$G$1041))),""))</f>
        <v/>
      </c>
      <c r="K232" s="63" t="str">
        <f>IF($D232&lt;&gt;"",VLOOKUP($E232,STK_REF!$A$2:$J$1048576,7,0),"")</f>
        <v/>
      </c>
      <c r="L232" s="5" t="str">
        <f>IF($D232&lt;&gt;"",VLOOKUP($E232,STK_REF!$A$2:$J$1048576,8,0),"")</f>
        <v/>
      </c>
      <c r="M232" s="8" t="str">
        <f>IF($D232&lt;&gt;"",IF($K232=$U232,1,IF(ISNA(VLOOKUP($K232&amp;$U232,CUR_RATES!$A$2:$F$521,4,0)),"",VLOOKUP($K232&amp;$U232,CUR_RATES!$A$2:$F$521,4,0))),"")</f>
        <v/>
      </c>
      <c r="N232" s="61" t="str">
        <f t="shared" si="40"/>
        <v/>
      </c>
      <c r="O232" s="68" t="str">
        <f t="shared" si="41"/>
        <v/>
      </c>
      <c r="P232" s="24"/>
      <c r="Q232" s="2" t="str">
        <f>IF(ROW(Q232)-ROW($E$1)&lt;=$B$4,INDEX(IDX_COMPO!F:F,ROW(IDX_COMPO!#REF!)),"")</f>
        <v/>
      </c>
      <c r="R232" s="68" t="str">
        <f t="shared" si="42"/>
        <v/>
      </c>
      <c r="S232" s="61" t="str">
        <f t="shared" si="43"/>
        <v/>
      </c>
      <c r="T232" s="62" t="str">
        <f>IF(D232&lt;&gt;"",IF(SUMPRODUCT(--($E232=STK_DIV!$A$2:$A$5),--(NXT_COMPO!$Q232=STK_DIV!$E$2:$E$5),ROW(STK_DIV!$D$2:$D$5))=0,"",INDEX(STK_DIV!$D$1:$D$5,SUMPRODUCT(--($E232=STK_DIV!$A$2:$A$5),--(NXT_COMPO!$Q232=STK_DIV!$E$2:$E$5),ROW(STK_DIV!$D$2:$D$5)))),"")</f>
        <v/>
      </c>
      <c r="U232" s="54" t="str">
        <f>IF($D232&lt;&gt;"",VLOOKUP($P232,IDX_REF!$2:$1048576,4,0),"")</f>
        <v/>
      </c>
    </row>
    <row r="233" spans="4:21" x14ac:dyDescent="0.2">
      <c r="D233" s="52" t="str">
        <f t="shared" si="38"/>
        <v/>
      </c>
      <c r="E233" s="5" t="str">
        <f t="shared" si="39"/>
        <v/>
      </c>
      <c r="F233" s="5" t="str">
        <f>IF(ROW(F233)-ROW($E$1)&lt;=$B$1-$B$2,INDEX(IDX_COMPO!B:B,ROW(IDX_COMPO!#REF!)),IF(ROW(E233)-ROW($E$1)&lt;=$B$4,VLOOKUP(E233,STK_REF!$A$2:$J$1048576,2,0),""))</f>
        <v/>
      </c>
      <c r="J233" s="62" t="str">
        <f>IF($D233&lt;=$B$1-$B$2,IF(INDEX($AA$2:$AA$1048576,MATCH($D233,$AB$2:$AB$1048576,0))="MODIFY",INDEX(IDX_CA!$G$1:$G$1041,SUMPRODUCT(--($E233=IDX_CA!$A$2:$A$1041),--(NXT_COMPO!$P233=IDX_CA!$B$2:$B$1041),--(NXT_COMPO!$Q233=IDX_CA!$C$2:$C$1041),ROW(IDX_CA!$G$2:$G$1041))),INDEX(IDX_COMPOSITION!$F$1:$F$441,SUMPRODUCT(--($E233=IDX_COMPOSITION!$A$2:$A$441),--(NXT_COMPO!$P233=IDX_COMPOSITION!$R$2:$R$441),--(NXT_COMPO!$B$5=IDX_COMPOSITION!$L$2:$L$441),ROW(IDX_COMPOSITION!$F$2:$F$441)))),IF($D233&lt;=$B$4,INDEX(IDX_CA!$G$1:$G$1041,SUMPRODUCT(--($E233=IDX_CA!$A$2:$A$1041),--(NXT_COMPO!$P233=IDX_CA!$B$2:$B$1041),--(NXT_COMPO!$Q233=IDX_CA!$C$2:$C$1041),ROW(IDX_CA!$G$2:$G$1041))),""))</f>
        <v/>
      </c>
      <c r="K233" s="63" t="str">
        <f>IF($D233&lt;&gt;"",VLOOKUP($E233,STK_REF!$A$2:$J$1048576,7,0),"")</f>
        <v/>
      </c>
      <c r="L233" s="5" t="str">
        <f>IF($D233&lt;&gt;"",VLOOKUP($E233,STK_REF!$A$2:$J$1048576,8,0),"")</f>
        <v/>
      </c>
      <c r="M233" s="8" t="str">
        <f>IF($D233&lt;&gt;"",IF($K233=$U233,1,IF(ISNA(VLOOKUP($K233&amp;$U233,CUR_RATES!$A$2:$F$521,4,0)),"",VLOOKUP($K233&amp;$U233,CUR_RATES!$A$2:$F$521,4,0))),"")</f>
        <v/>
      </c>
      <c r="N233" s="61" t="str">
        <f t="shared" si="40"/>
        <v/>
      </c>
      <c r="O233" s="68" t="str">
        <f t="shared" si="41"/>
        <v/>
      </c>
      <c r="P233" s="24"/>
      <c r="Q233" s="2" t="str">
        <f>IF(ROW(Q233)-ROW($E$1)&lt;=$B$4,INDEX(IDX_COMPO!F:F,ROW(IDX_COMPO!#REF!)),"")</f>
        <v/>
      </c>
      <c r="R233" s="68" t="str">
        <f t="shared" si="42"/>
        <v/>
      </c>
      <c r="S233" s="61" t="str">
        <f t="shared" si="43"/>
        <v/>
      </c>
      <c r="T233" s="62" t="str">
        <f>IF(D233&lt;&gt;"",IF(SUMPRODUCT(--($E233=STK_DIV!$A$2:$A$5),--(NXT_COMPO!$Q233=STK_DIV!$E$2:$E$5),ROW(STK_DIV!$D$2:$D$5))=0,"",INDEX(STK_DIV!$D$1:$D$5,SUMPRODUCT(--($E233=STK_DIV!$A$2:$A$5),--(NXT_COMPO!$Q233=STK_DIV!$E$2:$E$5),ROW(STK_DIV!$D$2:$D$5)))),"")</f>
        <v/>
      </c>
      <c r="U233" s="54" t="str">
        <f>IF($D233&lt;&gt;"",VLOOKUP($P233,IDX_REF!$2:$1048576,4,0),"")</f>
        <v/>
      </c>
    </row>
    <row r="234" spans="4:21" x14ac:dyDescent="0.2">
      <c r="D234" s="52" t="str">
        <f t="shared" si="38"/>
        <v/>
      </c>
      <c r="E234" s="5" t="str">
        <f t="shared" si="39"/>
        <v/>
      </c>
      <c r="F234" s="5" t="str">
        <f>IF(ROW(F234)-ROW($E$1)&lt;=$B$1-$B$2,INDEX(IDX_COMPO!B:B,ROW(IDX_COMPO!#REF!)),IF(ROW(E234)-ROW($E$1)&lt;=$B$4,VLOOKUP(E234,STK_REF!$A$2:$J$1048576,2,0),""))</f>
        <v/>
      </c>
      <c r="J234" s="62" t="str">
        <f>IF($D234&lt;=$B$1-$B$2,IF(INDEX($AA$2:$AA$1048576,MATCH($D234,$AB$2:$AB$1048576,0))="MODIFY",INDEX(IDX_CA!$G$1:$G$1041,SUMPRODUCT(--($E234=IDX_CA!$A$2:$A$1041),--(NXT_COMPO!$P234=IDX_CA!$B$2:$B$1041),--(NXT_COMPO!$Q234=IDX_CA!$C$2:$C$1041),ROW(IDX_CA!$G$2:$G$1041))),INDEX(IDX_COMPOSITION!$F$1:$F$441,SUMPRODUCT(--($E234=IDX_COMPOSITION!$A$2:$A$441),--(NXT_COMPO!$P234=IDX_COMPOSITION!$R$2:$R$441),--(NXT_COMPO!$B$5=IDX_COMPOSITION!$L$2:$L$441),ROW(IDX_COMPOSITION!$F$2:$F$441)))),IF($D234&lt;=$B$4,INDEX(IDX_CA!$G$1:$G$1041,SUMPRODUCT(--($E234=IDX_CA!$A$2:$A$1041),--(NXT_COMPO!$P234=IDX_CA!$B$2:$B$1041),--(NXT_COMPO!$Q234=IDX_CA!$C$2:$C$1041),ROW(IDX_CA!$G$2:$G$1041))),""))</f>
        <v/>
      </c>
      <c r="K234" s="63" t="str">
        <f>IF($D234&lt;&gt;"",VLOOKUP($E234,STK_REF!$A$2:$J$1048576,7,0),"")</f>
        <v/>
      </c>
      <c r="L234" s="5" t="str">
        <f>IF($D234&lt;&gt;"",VLOOKUP($E234,STK_REF!$A$2:$J$1048576,8,0),"")</f>
        <v/>
      </c>
      <c r="M234" s="8" t="str">
        <f>IF($D234&lt;&gt;"",IF($K234=$U234,1,IF(ISNA(VLOOKUP($K234&amp;$U234,CUR_RATES!$A$2:$F$521,4,0)),"",VLOOKUP($K234&amp;$U234,CUR_RATES!$A$2:$F$521,4,0))),"")</f>
        <v/>
      </c>
      <c r="N234" s="61" t="str">
        <f t="shared" si="40"/>
        <v/>
      </c>
      <c r="O234" s="68" t="str">
        <f t="shared" si="41"/>
        <v/>
      </c>
      <c r="P234" s="24"/>
      <c r="Q234" s="2" t="str">
        <f>IF(ROW(Q234)-ROW($E$1)&lt;=$B$4,INDEX(IDX_COMPO!F:F,ROW(IDX_COMPO!#REF!)),"")</f>
        <v/>
      </c>
      <c r="R234" s="68" t="str">
        <f t="shared" si="42"/>
        <v/>
      </c>
      <c r="S234" s="61" t="str">
        <f t="shared" si="43"/>
        <v/>
      </c>
      <c r="T234" s="62" t="str">
        <f>IF(D234&lt;&gt;"",IF(SUMPRODUCT(--($E234=STK_DIV!$A$2:$A$5),--(NXT_COMPO!$Q234=STK_DIV!$E$2:$E$5),ROW(STK_DIV!$D$2:$D$5))=0,"",INDEX(STK_DIV!$D$1:$D$5,SUMPRODUCT(--($E234=STK_DIV!$A$2:$A$5),--(NXT_COMPO!$Q234=STK_DIV!$E$2:$E$5),ROW(STK_DIV!$D$2:$D$5)))),"")</f>
        <v/>
      </c>
      <c r="U234" s="54" t="str">
        <f>IF($D234&lt;&gt;"",VLOOKUP($P234,IDX_REF!$2:$1048576,4,0),"")</f>
        <v/>
      </c>
    </row>
    <row r="235" spans="4:21" x14ac:dyDescent="0.2">
      <c r="D235" s="52" t="str">
        <f t="shared" si="38"/>
        <v/>
      </c>
      <c r="E235" s="5" t="str">
        <f t="shared" si="39"/>
        <v/>
      </c>
      <c r="F235" s="5" t="str">
        <f>IF(ROW(F235)-ROW($E$1)&lt;=$B$1-$B$2,INDEX(IDX_COMPO!B:B,ROW(IDX_COMPO!#REF!)),IF(ROW(E235)-ROW($E$1)&lt;=$B$4,VLOOKUP(E235,STK_REF!$A$2:$J$1048576,2,0),""))</f>
        <v/>
      </c>
      <c r="J235" s="62" t="str">
        <f>IF($D235&lt;=$B$1-$B$2,IF(INDEX($AA$2:$AA$1048576,MATCH($D235,$AB$2:$AB$1048576,0))="MODIFY",INDEX(IDX_CA!$G$1:$G$1041,SUMPRODUCT(--($E235=IDX_CA!$A$2:$A$1041),--(NXT_COMPO!$P235=IDX_CA!$B$2:$B$1041),--(NXT_COMPO!$Q235=IDX_CA!$C$2:$C$1041),ROW(IDX_CA!$G$2:$G$1041))),INDEX(IDX_COMPOSITION!$F$1:$F$441,SUMPRODUCT(--($E235=IDX_COMPOSITION!$A$2:$A$441),--(NXT_COMPO!$P235=IDX_COMPOSITION!$R$2:$R$441),--(NXT_COMPO!$B$5=IDX_COMPOSITION!$L$2:$L$441),ROW(IDX_COMPOSITION!$F$2:$F$441)))),IF($D235&lt;=$B$4,INDEX(IDX_CA!$G$1:$G$1041,SUMPRODUCT(--($E235=IDX_CA!$A$2:$A$1041),--(NXT_COMPO!$P235=IDX_CA!$B$2:$B$1041),--(NXT_COMPO!$Q235=IDX_CA!$C$2:$C$1041),ROW(IDX_CA!$G$2:$G$1041))),""))</f>
        <v/>
      </c>
      <c r="K235" s="63" t="str">
        <f>IF($D235&lt;&gt;"",VLOOKUP($E235,STK_REF!$A$2:$J$1048576,7,0),"")</f>
        <v/>
      </c>
      <c r="L235" s="5" t="str">
        <f>IF($D235&lt;&gt;"",VLOOKUP($E235,STK_REF!$A$2:$J$1048576,8,0),"")</f>
        <v/>
      </c>
      <c r="M235" s="8" t="str">
        <f>IF($D235&lt;&gt;"",IF($K235=$U235,1,IF(ISNA(VLOOKUP($K235&amp;$U235,CUR_RATES!$A$2:$F$521,4,0)),"",VLOOKUP($K235&amp;$U235,CUR_RATES!$A$2:$F$521,4,0))),"")</f>
        <v/>
      </c>
      <c r="N235" s="61" t="str">
        <f t="shared" si="40"/>
        <v/>
      </c>
      <c r="O235" s="68" t="str">
        <f t="shared" si="41"/>
        <v/>
      </c>
      <c r="P235" s="24"/>
      <c r="Q235" s="2" t="str">
        <f>IF(ROW(Q235)-ROW($E$1)&lt;=$B$4,INDEX(IDX_COMPO!F:F,ROW(IDX_COMPO!#REF!)),"")</f>
        <v/>
      </c>
      <c r="R235" s="68" t="str">
        <f t="shared" si="42"/>
        <v/>
      </c>
      <c r="S235" s="61" t="str">
        <f t="shared" si="43"/>
        <v/>
      </c>
      <c r="T235" s="62" t="str">
        <f>IF(D235&lt;&gt;"",IF(SUMPRODUCT(--($E235=STK_DIV!$A$2:$A$5),--(NXT_COMPO!$Q235=STK_DIV!$E$2:$E$5),ROW(STK_DIV!$D$2:$D$5))=0,"",INDEX(STK_DIV!$D$1:$D$5,SUMPRODUCT(--($E235=STK_DIV!$A$2:$A$5),--(NXT_COMPO!$Q235=STK_DIV!$E$2:$E$5),ROW(STK_DIV!$D$2:$D$5)))),"")</f>
        <v/>
      </c>
      <c r="U235" s="54" t="str">
        <f>IF($D235&lt;&gt;"",VLOOKUP($P235,IDX_REF!$2:$1048576,4,0),"")</f>
        <v/>
      </c>
    </row>
    <row r="236" spans="4:21" x14ac:dyDescent="0.2">
      <c r="D236" s="52" t="str">
        <f t="shared" si="38"/>
        <v/>
      </c>
      <c r="E236" s="5" t="str">
        <f t="shared" si="39"/>
        <v/>
      </c>
      <c r="F236" s="5" t="str">
        <f>IF(ROW(F236)-ROW($E$1)&lt;=$B$1-$B$2,INDEX(IDX_COMPO!B:B,ROW(IDX_COMPO!#REF!)),IF(ROW(E236)-ROW($E$1)&lt;=$B$4,VLOOKUP(E236,STK_REF!$A$2:$J$1048576,2,0),""))</f>
        <v/>
      </c>
      <c r="J236" s="62" t="str">
        <f>IF($D236&lt;=$B$1-$B$2,IF(INDEX($AA$2:$AA$1048576,MATCH($D236,$AB$2:$AB$1048576,0))="MODIFY",INDEX(IDX_CA!$G$1:$G$1041,SUMPRODUCT(--($E236=IDX_CA!$A$2:$A$1041),--(NXT_COMPO!$P236=IDX_CA!$B$2:$B$1041),--(NXT_COMPO!$Q236=IDX_CA!$C$2:$C$1041),ROW(IDX_CA!$G$2:$G$1041))),INDEX(IDX_COMPOSITION!$F$1:$F$441,SUMPRODUCT(--($E236=IDX_COMPOSITION!$A$2:$A$441),--(NXT_COMPO!$P236=IDX_COMPOSITION!$R$2:$R$441),--(NXT_COMPO!$B$5=IDX_COMPOSITION!$L$2:$L$441),ROW(IDX_COMPOSITION!$F$2:$F$441)))),IF($D236&lt;=$B$4,INDEX(IDX_CA!$G$1:$G$1041,SUMPRODUCT(--($E236=IDX_CA!$A$2:$A$1041),--(NXT_COMPO!$P236=IDX_CA!$B$2:$B$1041),--(NXT_COMPO!$Q236=IDX_CA!$C$2:$C$1041),ROW(IDX_CA!$G$2:$G$1041))),""))</f>
        <v/>
      </c>
      <c r="K236" s="63" t="str">
        <f>IF($D236&lt;&gt;"",VLOOKUP($E236,STK_REF!$A$2:$J$1048576,7,0),"")</f>
        <v/>
      </c>
      <c r="L236" s="5" t="str">
        <f>IF($D236&lt;&gt;"",VLOOKUP($E236,STK_REF!$A$2:$J$1048576,8,0),"")</f>
        <v/>
      </c>
      <c r="M236" s="8" t="str">
        <f>IF($D236&lt;&gt;"",IF($K236=$U236,1,IF(ISNA(VLOOKUP($K236&amp;$U236,CUR_RATES!$A$2:$F$521,4,0)),"",VLOOKUP($K236&amp;$U236,CUR_RATES!$A$2:$F$521,4,0))),"")</f>
        <v/>
      </c>
      <c r="N236" s="61" t="str">
        <f t="shared" si="40"/>
        <v/>
      </c>
      <c r="O236" s="68" t="str">
        <f t="shared" si="41"/>
        <v/>
      </c>
      <c r="P236" s="24"/>
      <c r="Q236" s="2" t="str">
        <f>IF(ROW(Q236)-ROW($E$1)&lt;=$B$4,INDEX(IDX_COMPO!F:F,ROW(IDX_COMPO!#REF!)),"")</f>
        <v/>
      </c>
      <c r="R236" s="68" t="str">
        <f t="shared" si="42"/>
        <v/>
      </c>
      <c r="S236" s="61" t="str">
        <f t="shared" si="43"/>
        <v/>
      </c>
      <c r="T236" s="62" t="str">
        <f>IF(D236&lt;&gt;"",IF(SUMPRODUCT(--($E236=STK_DIV!$A$2:$A$5),--(NXT_COMPO!$Q236=STK_DIV!$E$2:$E$5),ROW(STK_DIV!$D$2:$D$5))=0,"",INDEX(STK_DIV!$D$1:$D$5,SUMPRODUCT(--($E236=STK_DIV!$A$2:$A$5),--(NXT_COMPO!$Q236=STK_DIV!$E$2:$E$5),ROW(STK_DIV!$D$2:$D$5)))),"")</f>
        <v/>
      </c>
      <c r="U236" s="54" t="str">
        <f>IF($D236&lt;&gt;"",VLOOKUP($P236,IDX_REF!$2:$1048576,4,0),"")</f>
        <v/>
      </c>
    </row>
    <row r="237" spans="4:21" x14ac:dyDescent="0.2">
      <c r="D237" s="52" t="str">
        <f t="shared" si="38"/>
        <v/>
      </c>
      <c r="E237" s="5" t="str">
        <f t="shared" si="39"/>
        <v/>
      </c>
      <c r="F237" s="5" t="str">
        <f>IF(ROW(F237)-ROW($E$1)&lt;=$B$1-$B$2,INDEX(IDX_COMPO!B:B,ROW(IDX_COMPO!#REF!)),IF(ROW(E237)-ROW($E$1)&lt;=$B$4,VLOOKUP(E237,STK_REF!$A$2:$J$1048576,2,0),""))</f>
        <v/>
      </c>
      <c r="J237" s="62" t="str">
        <f>IF($D237&lt;=$B$1-$B$2,IF(INDEX($AA$2:$AA$1048576,MATCH($D237,$AB$2:$AB$1048576,0))="MODIFY",INDEX(IDX_CA!$G$1:$G$1041,SUMPRODUCT(--($E237=IDX_CA!$A$2:$A$1041),--(NXT_COMPO!$P237=IDX_CA!$B$2:$B$1041),--(NXT_COMPO!$Q237=IDX_CA!$C$2:$C$1041),ROW(IDX_CA!$G$2:$G$1041))),INDEX(IDX_COMPOSITION!$F$1:$F$441,SUMPRODUCT(--($E237=IDX_COMPOSITION!$A$2:$A$441),--(NXT_COMPO!$P237=IDX_COMPOSITION!$R$2:$R$441),--(NXT_COMPO!$B$5=IDX_COMPOSITION!$L$2:$L$441),ROW(IDX_COMPOSITION!$F$2:$F$441)))),IF($D237&lt;=$B$4,INDEX(IDX_CA!$G$1:$G$1041,SUMPRODUCT(--($E237=IDX_CA!$A$2:$A$1041),--(NXT_COMPO!$P237=IDX_CA!$B$2:$B$1041),--(NXT_COMPO!$Q237=IDX_CA!$C$2:$C$1041),ROW(IDX_CA!$G$2:$G$1041))),""))</f>
        <v/>
      </c>
      <c r="K237" s="63" t="str">
        <f>IF($D237&lt;&gt;"",VLOOKUP($E237,STK_REF!$A$2:$J$1048576,7,0),"")</f>
        <v/>
      </c>
      <c r="L237" s="5" t="str">
        <f>IF($D237&lt;&gt;"",VLOOKUP($E237,STK_REF!$A$2:$J$1048576,8,0),"")</f>
        <v/>
      </c>
      <c r="M237" s="8" t="str">
        <f>IF($D237&lt;&gt;"",IF($K237=$U237,1,IF(ISNA(VLOOKUP($K237&amp;$U237,CUR_RATES!$A$2:$F$521,4,0)),"",VLOOKUP($K237&amp;$U237,CUR_RATES!$A$2:$F$521,4,0))),"")</f>
        <v/>
      </c>
      <c r="N237" s="61" t="str">
        <f t="shared" si="40"/>
        <v/>
      </c>
      <c r="O237" s="68" t="str">
        <f t="shared" si="41"/>
        <v/>
      </c>
      <c r="P237" s="24"/>
      <c r="Q237" s="2" t="str">
        <f>IF(ROW(Q237)-ROW($E$1)&lt;=$B$4,INDEX(IDX_COMPO!F:F,ROW(IDX_COMPO!#REF!)),"")</f>
        <v/>
      </c>
      <c r="R237" s="68" t="str">
        <f t="shared" si="42"/>
        <v/>
      </c>
      <c r="S237" s="61" t="str">
        <f t="shared" si="43"/>
        <v/>
      </c>
      <c r="T237" s="62" t="str">
        <f>IF(D237&lt;&gt;"",IF(SUMPRODUCT(--($E237=STK_DIV!$A$2:$A$5),--(NXT_COMPO!$Q237=STK_DIV!$E$2:$E$5),ROW(STK_DIV!$D$2:$D$5))=0,"",INDEX(STK_DIV!$D$1:$D$5,SUMPRODUCT(--($E237=STK_DIV!$A$2:$A$5),--(NXT_COMPO!$Q237=STK_DIV!$E$2:$E$5),ROW(STK_DIV!$D$2:$D$5)))),"")</f>
        <v/>
      </c>
      <c r="U237" s="54" t="str">
        <f>IF($D237&lt;&gt;"",VLOOKUP($P237,IDX_REF!$2:$1048576,4,0),"")</f>
        <v/>
      </c>
    </row>
    <row r="238" spans="4:21" x14ac:dyDescent="0.2">
      <c r="D238" s="52" t="str">
        <f t="shared" si="38"/>
        <v/>
      </c>
      <c r="E238" s="5" t="str">
        <f t="shared" si="39"/>
        <v/>
      </c>
      <c r="F238" s="5" t="str">
        <f>IF(ROW(F238)-ROW($E$1)&lt;=$B$1-$B$2,INDEX(IDX_COMPO!B:B,ROW(IDX_COMPO!#REF!)),IF(ROW(E238)-ROW($E$1)&lt;=$B$4,VLOOKUP(E238,STK_REF!$A$2:$J$1048576,2,0),""))</f>
        <v/>
      </c>
      <c r="J238" s="62" t="str">
        <f>IF($D238&lt;=$B$1-$B$2,IF(INDEX($AA$2:$AA$1048576,MATCH($D238,$AB$2:$AB$1048576,0))="MODIFY",INDEX(IDX_CA!$G$1:$G$1041,SUMPRODUCT(--($E238=IDX_CA!$A$2:$A$1041),--(NXT_COMPO!$P238=IDX_CA!$B$2:$B$1041),--(NXT_COMPO!$Q238=IDX_CA!$C$2:$C$1041),ROW(IDX_CA!$G$2:$G$1041))),INDEX(IDX_COMPOSITION!$F$1:$F$441,SUMPRODUCT(--($E238=IDX_COMPOSITION!$A$2:$A$441),--(NXT_COMPO!$P238=IDX_COMPOSITION!$R$2:$R$441),--(NXT_COMPO!$B$5=IDX_COMPOSITION!$L$2:$L$441),ROW(IDX_COMPOSITION!$F$2:$F$441)))),IF($D238&lt;=$B$4,INDEX(IDX_CA!$G$1:$G$1041,SUMPRODUCT(--($E238=IDX_CA!$A$2:$A$1041),--(NXT_COMPO!$P238=IDX_CA!$B$2:$B$1041),--(NXT_COMPO!$Q238=IDX_CA!$C$2:$C$1041),ROW(IDX_CA!$G$2:$G$1041))),""))</f>
        <v/>
      </c>
      <c r="K238" s="63" t="str">
        <f>IF($D238&lt;&gt;"",VLOOKUP($E238,STK_REF!$A$2:$J$1048576,7,0),"")</f>
        <v/>
      </c>
      <c r="L238" s="5" t="str">
        <f>IF($D238&lt;&gt;"",VLOOKUP($E238,STK_REF!$A$2:$J$1048576,8,0),"")</f>
        <v/>
      </c>
      <c r="M238" s="8" t="str">
        <f>IF($D238&lt;&gt;"",IF($K238=$U238,1,IF(ISNA(VLOOKUP($K238&amp;$U238,CUR_RATES!$A$2:$F$521,4,0)),"",VLOOKUP($K238&amp;$U238,CUR_RATES!$A$2:$F$521,4,0))),"")</f>
        <v/>
      </c>
      <c r="N238" s="61" t="str">
        <f t="shared" si="40"/>
        <v/>
      </c>
      <c r="O238" s="68" t="str">
        <f t="shared" si="41"/>
        <v/>
      </c>
      <c r="P238" s="24"/>
      <c r="Q238" s="2" t="str">
        <f>IF(ROW(Q238)-ROW($E$1)&lt;=$B$4,INDEX(IDX_COMPO!F:F,ROW(IDX_COMPO!#REF!)),"")</f>
        <v/>
      </c>
      <c r="R238" s="68" t="str">
        <f t="shared" si="42"/>
        <v/>
      </c>
      <c r="S238" s="61" t="str">
        <f t="shared" si="43"/>
        <v/>
      </c>
      <c r="T238" s="62" t="str">
        <f>IF(D238&lt;&gt;"",IF(SUMPRODUCT(--($E238=STK_DIV!$A$2:$A$5),--(NXT_COMPO!$Q238=STK_DIV!$E$2:$E$5),ROW(STK_DIV!$D$2:$D$5))=0,"",INDEX(STK_DIV!$D$1:$D$5,SUMPRODUCT(--($E238=STK_DIV!$A$2:$A$5),--(NXT_COMPO!$Q238=STK_DIV!$E$2:$E$5),ROW(STK_DIV!$D$2:$D$5)))),"")</f>
        <v/>
      </c>
      <c r="U238" s="54" t="str">
        <f>IF($D238&lt;&gt;"",VLOOKUP($P238,IDX_REF!$2:$1048576,4,0),"")</f>
        <v/>
      </c>
    </row>
    <row r="239" spans="4:21" x14ac:dyDescent="0.2">
      <c r="D239" s="52" t="str">
        <f t="shared" si="38"/>
        <v/>
      </c>
      <c r="E239" s="5" t="str">
        <f t="shared" si="39"/>
        <v/>
      </c>
      <c r="F239" s="5" t="str">
        <f>IF(ROW(F239)-ROW($E$1)&lt;=$B$1-$B$2,INDEX(IDX_COMPO!B:B,ROW(IDX_COMPO!#REF!)),IF(ROW(E239)-ROW($E$1)&lt;=$B$4,VLOOKUP(E239,STK_REF!$A$2:$J$1048576,2,0),""))</f>
        <v/>
      </c>
      <c r="J239" s="62" t="str">
        <f>IF($D239&lt;=$B$1-$B$2,IF(INDEX($AA$2:$AA$1048576,MATCH($D239,$AB$2:$AB$1048576,0))="MODIFY",INDEX(IDX_CA!$G$1:$G$1041,SUMPRODUCT(--($E239=IDX_CA!$A$2:$A$1041),--(NXT_COMPO!$P239=IDX_CA!$B$2:$B$1041),--(NXT_COMPO!$Q239=IDX_CA!$C$2:$C$1041),ROW(IDX_CA!$G$2:$G$1041))),INDEX(IDX_COMPOSITION!$F$1:$F$441,SUMPRODUCT(--($E239=IDX_COMPOSITION!$A$2:$A$441),--(NXT_COMPO!$P239=IDX_COMPOSITION!$R$2:$R$441),--(NXT_COMPO!$B$5=IDX_COMPOSITION!$L$2:$L$441),ROW(IDX_COMPOSITION!$F$2:$F$441)))),IF($D239&lt;=$B$4,INDEX(IDX_CA!$G$1:$G$1041,SUMPRODUCT(--($E239=IDX_CA!$A$2:$A$1041),--(NXT_COMPO!$P239=IDX_CA!$B$2:$B$1041),--(NXT_COMPO!$Q239=IDX_CA!$C$2:$C$1041),ROW(IDX_CA!$G$2:$G$1041))),""))</f>
        <v/>
      </c>
      <c r="K239" s="63" t="str">
        <f>IF($D239&lt;&gt;"",VLOOKUP($E239,STK_REF!$A$2:$J$1048576,7,0),"")</f>
        <v/>
      </c>
      <c r="L239" s="5" t="str">
        <f>IF($D239&lt;&gt;"",VLOOKUP($E239,STK_REF!$A$2:$J$1048576,8,0),"")</f>
        <v/>
      </c>
      <c r="M239" s="8" t="str">
        <f>IF($D239&lt;&gt;"",IF($K239=$U239,1,IF(ISNA(VLOOKUP($K239&amp;$U239,CUR_RATES!$A$2:$F$521,4,0)),"",VLOOKUP($K239&amp;$U239,CUR_RATES!$A$2:$F$521,4,0))),"")</f>
        <v/>
      </c>
      <c r="N239" s="61" t="str">
        <f t="shared" si="40"/>
        <v/>
      </c>
      <c r="O239" s="68" t="str">
        <f t="shared" si="41"/>
        <v/>
      </c>
      <c r="P239" s="24"/>
      <c r="Q239" s="2" t="str">
        <f>IF(ROW(Q239)-ROW($E$1)&lt;=$B$4,INDEX(IDX_COMPO!F:F,ROW(IDX_COMPO!#REF!)),"")</f>
        <v/>
      </c>
      <c r="R239" s="68" t="str">
        <f t="shared" si="42"/>
        <v/>
      </c>
      <c r="S239" s="61" t="str">
        <f t="shared" si="43"/>
        <v/>
      </c>
      <c r="T239" s="62" t="str">
        <f>IF(D239&lt;&gt;"",IF(SUMPRODUCT(--($E239=STK_DIV!$A$2:$A$5),--(NXT_COMPO!$Q239=STK_DIV!$E$2:$E$5),ROW(STK_DIV!$D$2:$D$5))=0,"",INDEX(STK_DIV!$D$1:$D$5,SUMPRODUCT(--($E239=STK_DIV!$A$2:$A$5),--(NXT_COMPO!$Q239=STK_DIV!$E$2:$E$5),ROW(STK_DIV!$D$2:$D$5)))),"")</f>
        <v/>
      </c>
      <c r="U239" s="54" t="str">
        <f>IF($D239&lt;&gt;"",VLOOKUP($P239,IDX_REF!$2:$1048576,4,0),"")</f>
        <v/>
      </c>
    </row>
    <row r="240" spans="4:21" x14ac:dyDescent="0.2">
      <c r="D240" s="52" t="str">
        <f t="shared" si="38"/>
        <v/>
      </c>
      <c r="E240" s="5" t="str">
        <f t="shared" si="39"/>
        <v/>
      </c>
      <c r="F240" s="5" t="str">
        <f>IF(ROW(F240)-ROW($E$1)&lt;=$B$1-$B$2,INDEX(IDX_COMPO!B:B,ROW(IDX_COMPO!#REF!)),IF(ROW(E240)-ROW($E$1)&lt;=$B$4,VLOOKUP(E240,STK_REF!$A$2:$J$1048576,2,0),""))</f>
        <v/>
      </c>
      <c r="J240" s="62" t="str">
        <f>IF($D240&lt;=$B$1-$B$2,IF(INDEX($AA$2:$AA$1048576,MATCH($D240,$AB$2:$AB$1048576,0))="MODIFY",INDEX(IDX_CA!$G$1:$G$1041,SUMPRODUCT(--($E240=IDX_CA!$A$2:$A$1041),--(NXT_COMPO!$P240=IDX_CA!$B$2:$B$1041),--(NXT_COMPO!$Q240=IDX_CA!$C$2:$C$1041),ROW(IDX_CA!$G$2:$G$1041))),INDEX(IDX_COMPOSITION!$F$1:$F$441,SUMPRODUCT(--($E240=IDX_COMPOSITION!$A$2:$A$441),--(NXT_COMPO!$P240=IDX_COMPOSITION!$R$2:$R$441),--(NXT_COMPO!$B$5=IDX_COMPOSITION!$L$2:$L$441),ROW(IDX_COMPOSITION!$F$2:$F$441)))),IF($D240&lt;=$B$4,INDEX(IDX_CA!$G$1:$G$1041,SUMPRODUCT(--($E240=IDX_CA!$A$2:$A$1041),--(NXT_COMPO!$P240=IDX_CA!$B$2:$B$1041),--(NXT_COMPO!$Q240=IDX_CA!$C$2:$C$1041),ROW(IDX_CA!$G$2:$G$1041))),""))</f>
        <v/>
      </c>
      <c r="K240" s="63" t="str">
        <f>IF($D240&lt;&gt;"",VLOOKUP($E240,STK_REF!$A$2:$J$1048576,7,0),"")</f>
        <v/>
      </c>
      <c r="L240" s="5" t="str">
        <f>IF($D240&lt;&gt;"",VLOOKUP($E240,STK_REF!$A$2:$J$1048576,8,0),"")</f>
        <v/>
      </c>
      <c r="M240" s="8" t="str">
        <f>IF($D240&lt;&gt;"",IF($K240=$U240,1,IF(ISNA(VLOOKUP($K240&amp;$U240,CUR_RATES!$A$2:$F$521,4,0)),"",VLOOKUP($K240&amp;$U240,CUR_RATES!$A$2:$F$521,4,0))),"")</f>
        <v/>
      </c>
      <c r="N240" s="61" t="str">
        <f t="shared" si="40"/>
        <v/>
      </c>
      <c r="O240" s="68" t="str">
        <f t="shared" si="41"/>
        <v/>
      </c>
      <c r="P240" s="24"/>
      <c r="Q240" s="2" t="str">
        <f>IF(ROW(Q240)-ROW($E$1)&lt;=$B$4,INDEX(IDX_COMPO!F:F,ROW(IDX_COMPO!#REF!)),"")</f>
        <v/>
      </c>
      <c r="R240" s="68" t="str">
        <f t="shared" si="42"/>
        <v/>
      </c>
      <c r="S240" s="61" t="str">
        <f t="shared" si="43"/>
        <v/>
      </c>
      <c r="T240" s="62" t="str">
        <f>IF(D240&lt;&gt;"",IF(SUMPRODUCT(--($E240=STK_DIV!$A$2:$A$5),--(NXT_COMPO!$Q240=STK_DIV!$E$2:$E$5),ROW(STK_DIV!$D$2:$D$5))=0,"",INDEX(STK_DIV!$D$1:$D$5,SUMPRODUCT(--($E240=STK_DIV!$A$2:$A$5),--(NXT_COMPO!$Q240=STK_DIV!$E$2:$E$5),ROW(STK_DIV!$D$2:$D$5)))),"")</f>
        <v/>
      </c>
      <c r="U240" s="54" t="str">
        <f>IF($D240&lt;&gt;"",VLOOKUP($P240,IDX_REF!$2:$1048576,4,0),"")</f>
        <v/>
      </c>
    </row>
    <row r="241" spans="4:21" x14ac:dyDescent="0.2">
      <c r="D241" s="52" t="str">
        <f t="shared" si="38"/>
        <v/>
      </c>
      <c r="E241" s="5" t="str">
        <f t="shared" si="39"/>
        <v/>
      </c>
      <c r="F241" s="5" t="str">
        <f>IF(ROW(F241)-ROW($E$1)&lt;=$B$1-$B$2,INDEX(IDX_COMPO!B:B,ROW(IDX_COMPO!#REF!)),IF(ROW(E241)-ROW($E$1)&lt;=$B$4,VLOOKUP(E241,STK_REF!$A$2:$J$1048576,2,0),""))</f>
        <v/>
      </c>
      <c r="J241" s="62" t="str">
        <f>IF($D241&lt;=$B$1-$B$2,IF(INDEX($AA$2:$AA$1048576,MATCH($D241,$AB$2:$AB$1048576,0))="MODIFY",INDEX(IDX_CA!$G$1:$G$1041,SUMPRODUCT(--($E241=IDX_CA!$A$2:$A$1041),--(NXT_COMPO!$P241=IDX_CA!$B$2:$B$1041),--(NXT_COMPO!$Q241=IDX_CA!$C$2:$C$1041),ROW(IDX_CA!$G$2:$G$1041))),INDEX(IDX_COMPOSITION!$F$1:$F$441,SUMPRODUCT(--($E241=IDX_COMPOSITION!$A$2:$A$441),--(NXT_COMPO!$P241=IDX_COMPOSITION!$R$2:$R$441),--(NXT_COMPO!$B$5=IDX_COMPOSITION!$L$2:$L$441),ROW(IDX_COMPOSITION!$F$2:$F$441)))),IF($D241&lt;=$B$4,INDEX(IDX_CA!$G$1:$G$1041,SUMPRODUCT(--($E241=IDX_CA!$A$2:$A$1041),--(NXT_COMPO!$P241=IDX_CA!$B$2:$B$1041),--(NXT_COMPO!$Q241=IDX_CA!$C$2:$C$1041),ROW(IDX_CA!$G$2:$G$1041))),""))</f>
        <v/>
      </c>
      <c r="K241" s="63" t="str">
        <f>IF($D241&lt;&gt;"",VLOOKUP($E241,STK_REF!$A$2:$J$1048576,7,0),"")</f>
        <v/>
      </c>
      <c r="L241" s="5" t="str">
        <f>IF($D241&lt;&gt;"",VLOOKUP($E241,STK_REF!$A$2:$J$1048576,8,0),"")</f>
        <v/>
      </c>
      <c r="M241" s="8" t="str">
        <f>IF($D241&lt;&gt;"",IF($K241=$U241,1,IF(ISNA(VLOOKUP($K241&amp;$U241,CUR_RATES!$A$2:$F$521,4,0)),"",VLOOKUP($K241&amp;$U241,CUR_RATES!$A$2:$F$521,4,0))),"")</f>
        <v/>
      </c>
      <c r="N241" s="61" t="str">
        <f t="shared" si="40"/>
        <v/>
      </c>
      <c r="O241" s="68" t="str">
        <f t="shared" si="41"/>
        <v/>
      </c>
      <c r="P241" s="24"/>
      <c r="Q241" s="2" t="str">
        <f>IF(ROW(Q241)-ROW($E$1)&lt;=$B$4,INDEX(IDX_COMPO!F:F,ROW(IDX_COMPO!#REF!)),"")</f>
        <v/>
      </c>
      <c r="R241" s="68" t="str">
        <f t="shared" si="42"/>
        <v/>
      </c>
      <c r="S241" s="61" t="str">
        <f t="shared" si="43"/>
        <v/>
      </c>
      <c r="T241" s="62" t="str">
        <f>IF(D241&lt;&gt;"",IF(SUMPRODUCT(--($E241=STK_DIV!$A$2:$A$5),--(NXT_COMPO!$Q241=STK_DIV!$E$2:$E$5),ROW(STK_DIV!$D$2:$D$5))=0,"",INDEX(STK_DIV!$D$1:$D$5,SUMPRODUCT(--($E241=STK_DIV!$A$2:$A$5),--(NXT_COMPO!$Q241=STK_DIV!$E$2:$E$5),ROW(STK_DIV!$D$2:$D$5)))),"")</f>
        <v/>
      </c>
      <c r="U241" s="54" t="str">
        <f>IF($D241&lt;&gt;"",VLOOKUP($P241,IDX_REF!$2:$1048576,4,0),"")</f>
        <v/>
      </c>
    </row>
    <row r="242" spans="4:21" x14ac:dyDescent="0.2">
      <c r="D242" s="52" t="str">
        <f t="shared" si="38"/>
        <v/>
      </c>
      <c r="E242" s="5" t="str">
        <f t="shared" si="39"/>
        <v/>
      </c>
      <c r="F242" s="5" t="str">
        <f>IF(ROW(F242)-ROW($E$1)&lt;=$B$1-$B$2,INDEX(IDX_COMPO!B:B,ROW(IDX_COMPO!#REF!)),IF(ROW(E242)-ROW($E$1)&lt;=$B$4,VLOOKUP(E242,STK_REF!$A$2:$J$1048576,2,0),""))</f>
        <v/>
      </c>
      <c r="J242" s="62" t="str">
        <f>IF($D242&lt;=$B$1-$B$2,IF(INDEX($AA$2:$AA$1048576,MATCH($D242,$AB$2:$AB$1048576,0))="MODIFY",INDEX(IDX_CA!$G$1:$G$1041,SUMPRODUCT(--($E242=IDX_CA!$A$2:$A$1041),--(NXT_COMPO!$P242=IDX_CA!$B$2:$B$1041),--(NXT_COMPO!$Q242=IDX_CA!$C$2:$C$1041),ROW(IDX_CA!$G$2:$G$1041))),INDEX(IDX_COMPOSITION!$F$1:$F$441,SUMPRODUCT(--($E242=IDX_COMPOSITION!$A$2:$A$441),--(NXT_COMPO!$P242=IDX_COMPOSITION!$R$2:$R$441),--(NXT_COMPO!$B$5=IDX_COMPOSITION!$L$2:$L$441),ROW(IDX_COMPOSITION!$F$2:$F$441)))),IF($D242&lt;=$B$4,INDEX(IDX_CA!$G$1:$G$1041,SUMPRODUCT(--($E242=IDX_CA!$A$2:$A$1041),--(NXT_COMPO!$P242=IDX_CA!$B$2:$B$1041),--(NXT_COMPO!$Q242=IDX_CA!$C$2:$C$1041),ROW(IDX_CA!$G$2:$G$1041))),""))</f>
        <v/>
      </c>
      <c r="K242" s="63" t="str">
        <f>IF($D242&lt;&gt;"",VLOOKUP($E242,STK_REF!$A$2:$J$1048576,7,0),"")</f>
        <v/>
      </c>
      <c r="L242" s="5" t="str">
        <f>IF($D242&lt;&gt;"",VLOOKUP($E242,STK_REF!$A$2:$J$1048576,8,0),"")</f>
        <v/>
      </c>
      <c r="M242" s="8" t="str">
        <f>IF($D242&lt;&gt;"",IF($K242=$U242,1,IF(ISNA(VLOOKUP($K242&amp;$U242,CUR_RATES!$A$2:$F$521,4,0)),"",VLOOKUP($K242&amp;$U242,CUR_RATES!$A$2:$F$521,4,0))),"")</f>
        <v/>
      </c>
      <c r="N242" s="61" t="str">
        <f t="shared" si="40"/>
        <v/>
      </c>
      <c r="O242" s="68" t="str">
        <f t="shared" si="41"/>
        <v/>
      </c>
      <c r="P242" s="24"/>
      <c r="Q242" s="2" t="str">
        <f>IF(ROW(Q242)-ROW($E$1)&lt;=$B$4,INDEX(IDX_COMPO!F:F,ROW(IDX_COMPO!#REF!)),"")</f>
        <v/>
      </c>
      <c r="R242" s="68" t="str">
        <f t="shared" si="42"/>
        <v/>
      </c>
      <c r="S242" s="61" t="str">
        <f t="shared" si="43"/>
        <v/>
      </c>
      <c r="T242" s="62" t="str">
        <f>IF(D242&lt;&gt;"",IF(SUMPRODUCT(--($E242=STK_DIV!$A$2:$A$5),--(NXT_COMPO!$Q242=STK_DIV!$E$2:$E$5),ROW(STK_DIV!$D$2:$D$5))=0,"",INDEX(STK_DIV!$D$1:$D$5,SUMPRODUCT(--($E242=STK_DIV!$A$2:$A$5),--(NXT_COMPO!$Q242=STK_DIV!$E$2:$E$5),ROW(STK_DIV!$D$2:$D$5)))),"")</f>
        <v/>
      </c>
      <c r="U242" s="54" t="str">
        <f>IF($D242&lt;&gt;"",VLOOKUP($P242,IDX_REF!$2:$1048576,4,0),"")</f>
        <v/>
      </c>
    </row>
    <row r="243" spans="4:21" x14ac:dyDescent="0.2">
      <c r="D243" s="52" t="str">
        <f t="shared" si="38"/>
        <v/>
      </c>
      <c r="E243" s="5" t="str">
        <f t="shared" si="39"/>
        <v/>
      </c>
      <c r="F243" s="5" t="str">
        <f>IF(ROW(F243)-ROW($E$1)&lt;=$B$1-$B$2,INDEX(IDX_COMPO!B:B,ROW(IDX_COMPO!#REF!)),IF(ROW(E243)-ROW($E$1)&lt;=$B$4,VLOOKUP(E243,STK_REF!$A$2:$J$1048576,2,0),""))</f>
        <v/>
      </c>
      <c r="J243" s="62" t="str">
        <f>IF($D243&lt;=$B$1-$B$2,IF(INDEX($AA$2:$AA$1048576,MATCH($D243,$AB$2:$AB$1048576,0))="MODIFY",INDEX(IDX_CA!$G$1:$G$1041,SUMPRODUCT(--($E243=IDX_CA!$A$2:$A$1041),--(NXT_COMPO!$P243=IDX_CA!$B$2:$B$1041),--(NXT_COMPO!$Q243=IDX_CA!$C$2:$C$1041),ROW(IDX_CA!$G$2:$G$1041))),INDEX(IDX_COMPOSITION!$F$1:$F$441,SUMPRODUCT(--($E243=IDX_COMPOSITION!$A$2:$A$441),--(NXT_COMPO!$P243=IDX_COMPOSITION!$R$2:$R$441),--(NXT_COMPO!$B$5=IDX_COMPOSITION!$L$2:$L$441),ROW(IDX_COMPOSITION!$F$2:$F$441)))),IF($D243&lt;=$B$4,INDEX(IDX_CA!$G$1:$G$1041,SUMPRODUCT(--($E243=IDX_CA!$A$2:$A$1041),--(NXT_COMPO!$P243=IDX_CA!$B$2:$B$1041),--(NXT_COMPO!$Q243=IDX_CA!$C$2:$C$1041),ROW(IDX_CA!$G$2:$G$1041))),""))</f>
        <v/>
      </c>
      <c r="K243" s="63" t="str">
        <f>IF($D243&lt;&gt;"",VLOOKUP($E243,STK_REF!$A$2:$J$1048576,7,0),"")</f>
        <v/>
      </c>
      <c r="L243" s="5" t="str">
        <f>IF($D243&lt;&gt;"",VLOOKUP($E243,STK_REF!$A$2:$J$1048576,8,0),"")</f>
        <v/>
      </c>
      <c r="M243" s="8" t="str">
        <f>IF($D243&lt;&gt;"",IF($K243=$U243,1,IF(ISNA(VLOOKUP($K243&amp;$U243,CUR_RATES!$A$2:$F$521,4,0)),"",VLOOKUP($K243&amp;$U243,CUR_RATES!$A$2:$F$521,4,0))),"")</f>
        <v/>
      </c>
      <c r="N243" s="61" t="str">
        <f t="shared" si="40"/>
        <v/>
      </c>
      <c r="O243" s="68" t="str">
        <f t="shared" si="41"/>
        <v/>
      </c>
      <c r="P243" s="24"/>
      <c r="Q243" s="2" t="str">
        <f>IF(ROW(Q243)-ROW($E$1)&lt;=$B$4,INDEX(IDX_COMPO!F:F,ROW(IDX_COMPO!#REF!)),"")</f>
        <v/>
      </c>
      <c r="R243" s="68" t="str">
        <f t="shared" si="42"/>
        <v/>
      </c>
      <c r="S243" s="61" t="str">
        <f t="shared" si="43"/>
        <v/>
      </c>
      <c r="T243" s="62" t="str">
        <f>IF(D243&lt;&gt;"",IF(SUMPRODUCT(--($E243=STK_DIV!$A$2:$A$5),--(NXT_COMPO!$Q243=STK_DIV!$E$2:$E$5),ROW(STK_DIV!$D$2:$D$5))=0,"",INDEX(STK_DIV!$D$1:$D$5,SUMPRODUCT(--($E243=STK_DIV!$A$2:$A$5),--(NXT_COMPO!$Q243=STK_DIV!$E$2:$E$5),ROW(STK_DIV!$D$2:$D$5)))),"")</f>
        <v/>
      </c>
      <c r="U243" s="54" t="str">
        <f>IF($D243&lt;&gt;"",VLOOKUP($P243,IDX_REF!$2:$1048576,4,0),"")</f>
        <v/>
      </c>
    </row>
    <row r="244" spans="4:21" x14ac:dyDescent="0.2">
      <c r="D244" s="52" t="str">
        <f t="shared" si="38"/>
        <v/>
      </c>
      <c r="E244" s="5" t="str">
        <f t="shared" si="39"/>
        <v/>
      </c>
      <c r="F244" s="5" t="str">
        <f>IF(ROW(F244)-ROW($E$1)&lt;=$B$1-$B$2,INDEX(IDX_COMPO!B:B,ROW(IDX_COMPO!#REF!)),IF(ROW(E244)-ROW($E$1)&lt;=$B$4,VLOOKUP(E244,STK_REF!$A$2:$J$1048576,2,0),""))</f>
        <v/>
      </c>
      <c r="J244" s="62" t="str">
        <f>IF($D244&lt;=$B$1-$B$2,IF(INDEX($AA$2:$AA$1048576,MATCH($D244,$AB$2:$AB$1048576,0))="MODIFY",INDEX(IDX_CA!$G$1:$G$1041,SUMPRODUCT(--($E244=IDX_CA!$A$2:$A$1041),--(NXT_COMPO!$P244=IDX_CA!$B$2:$B$1041),--(NXT_COMPO!$Q244=IDX_CA!$C$2:$C$1041),ROW(IDX_CA!$G$2:$G$1041))),INDEX(IDX_COMPOSITION!$F$1:$F$441,SUMPRODUCT(--($E244=IDX_COMPOSITION!$A$2:$A$441),--(NXT_COMPO!$P244=IDX_COMPOSITION!$R$2:$R$441),--(NXT_COMPO!$B$5=IDX_COMPOSITION!$L$2:$L$441),ROW(IDX_COMPOSITION!$F$2:$F$441)))),IF($D244&lt;=$B$4,INDEX(IDX_CA!$G$1:$G$1041,SUMPRODUCT(--($E244=IDX_CA!$A$2:$A$1041),--(NXT_COMPO!$P244=IDX_CA!$B$2:$B$1041),--(NXT_COMPO!$Q244=IDX_CA!$C$2:$C$1041),ROW(IDX_CA!$G$2:$G$1041))),""))</f>
        <v/>
      </c>
      <c r="K244" s="63" t="str">
        <f>IF($D244&lt;&gt;"",VLOOKUP($E244,STK_REF!$A$2:$J$1048576,7,0),"")</f>
        <v/>
      </c>
      <c r="L244" s="5" t="str">
        <f>IF($D244&lt;&gt;"",VLOOKUP($E244,STK_REF!$A$2:$J$1048576,8,0),"")</f>
        <v/>
      </c>
      <c r="M244" s="8" t="str">
        <f>IF($D244&lt;&gt;"",IF($K244=$U244,1,IF(ISNA(VLOOKUP($K244&amp;$U244,CUR_RATES!$A$2:$F$521,4,0)),"",VLOOKUP($K244&amp;$U244,CUR_RATES!$A$2:$F$521,4,0))),"")</f>
        <v/>
      </c>
      <c r="N244" s="61" t="str">
        <f t="shared" si="40"/>
        <v/>
      </c>
      <c r="O244" s="68" t="str">
        <f t="shared" si="41"/>
        <v/>
      </c>
      <c r="P244" s="24"/>
      <c r="Q244" s="2" t="str">
        <f>IF(ROW(Q244)-ROW($E$1)&lt;=$B$4,INDEX(IDX_COMPO!F:F,ROW(IDX_COMPO!#REF!)),"")</f>
        <v/>
      </c>
      <c r="R244" s="68" t="str">
        <f t="shared" si="42"/>
        <v/>
      </c>
      <c r="S244" s="61" t="str">
        <f t="shared" si="43"/>
        <v/>
      </c>
      <c r="T244" s="62" t="str">
        <f>IF(D244&lt;&gt;"",IF(SUMPRODUCT(--($E244=STK_DIV!$A$2:$A$5),--(NXT_COMPO!$Q244=STK_DIV!$E$2:$E$5),ROW(STK_DIV!$D$2:$D$5))=0,"",INDEX(STK_DIV!$D$1:$D$5,SUMPRODUCT(--($E244=STK_DIV!$A$2:$A$5),--(NXT_COMPO!$Q244=STK_DIV!$E$2:$E$5),ROW(STK_DIV!$D$2:$D$5)))),"")</f>
        <v/>
      </c>
      <c r="U244" s="54" t="str">
        <f>IF($D244&lt;&gt;"",VLOOKUP($P244,IDX_REF!$2:$1048576,4,0),"")</f>
        <v/>
      </c>
    </row>
    <row r="245" spans="4:21" x14ac:dyDescent="0.2">
      <c r="D245" s="52" t="str">
        <f t="shared" si="38"/>
        <v/>
      </c>
      <c r="E245" s="5" t="str">
        <f t="shared" si="39"/>
        <v/>
      </c>
      <c r="F245" s="5" t="str">
        <f>IF(ROW(F245)-ROW($E$1)&lt;=$B$1-$B$2,INDEX(IDX_COMPO!B:B,ROW(IDX_COMPO!#REF!)),IF(ROW(E245)-ROW($E$1)&lt;=$B$4,VLOOKUP(E245,STK_REF!$A$2:$J$1048576,2,0),""))</f>
        <v/>
      </c>
      <c r="J245" s="62" t="str">
        <f>IF($D245&lt;=$B$1-$B$2,IF(INDEX($AA$2:$AA$1048576,MATCH($D245,$AB$2:$AB$1048576,0))="MODIFY",INDEX(IDX_CA!$G$1:$G$1041,SUMPRODUCT(--($E245=IDX_CA!$A$2:$A$1041),--(NXT_COMPO!$P245=IDX_CA!$B$2:$B$1041),--(NXT_COMPO!$Q245=IDX_CA!$C$2:$C$1041),ROW(IDX_CA!$G$2:$G$1041))),INDEX(IDX_COMPOSITION!$F$1:$F$441,SUMPRODUCT(--($E245=IDX_COMPOSITION!$A$2:$A$441),--(NXT_COMPO!$P245=IDX_COMPOSITION!$R$2:$R$441),--(NXT_COMPO!$B$5=IDX_COMPOSITION!$L$2:$L$441),ROW(IDX_COMPOSITION!$F$2:$F$441)))),IF($D245&lt;=$B$4,INDEX(IDX_CA!$G$1:$G$1041,SUMPRODUCT(--($E245=IDX_CA!$A$2:$A$1041),--(NXT_COMPO!$P245=IDX_CA!$B$2:$B$1041),--(NXT_COMPO!$Q245=IDX_CA!$C$2:$C$1041),ROW(IDX_CA!$G$2:$G$1041))),""))</f>
        <v/>
      </c>
      <c r="K245" s="63" t="str">
        <f>IF($D245&lt;&gt;"",VLOOKUP($E245,STK_REF!$A$2:$J$1048576,7,0),"")</f>
        <v/>
      </c>
      <c r="L245" s="5" t="str">
        <f>IF($D245&lt;&gt;"",VLOOKUP($E245,STK_REF!$A$2:$J$1048576,8,0),"")</f>
        <v/>
      </c>
      <c r="M245" s="8" t="str">
        <f>IF($D245&lt;&gt;"",IF($K245=$U245,1,IF(ISNA(VLOOKUP($K245&amp;$U245,CUR_RATES!$A$2:$F$521,4,0)),"",VLOOKUP($K245&amp;$U245,CUR_RATES!$A$2:$F$521,4,0))),"")</f>
        <v/>
      </c>
      <c r="N245" s="61" t="str">
        <f t="shared" si="40"/>
        <v/>
      </c>
      <c r="O245" s="68" t="str">
        <f t="shared" si="41"/>
        <v/>
      </c>
      <c r="P245" s="24"/>
      <c r="Q245" s="2" t="str">
        <f>IF(ROW(Q245)-ROW($E$1)&lt;=$B$4,INDEX(IDX_COMPO!F:F,ROW(IDX_COMPO!#REF!)),"")</f>
        <v/>
      </c>
      <c r="R245" s="68" t="str">
        <f t="shared" si="42"/>
        <v/>
      </c>
      <c r="S245" s="61" t="str">
        <f t="shared" si="43"/>
        <v/>
      </c>
      <c r="T245" s="62" t="str">
        <f>IF(D245&lt;&gt;"",IF(SUMPRODUCT(--($E245=STK_DIV!$A$2:$A$5),--(NXT_COMPO!$Q245=STK_DIV!$E$2:$E$5),ROW(STK_DIV!$D$2:$D$5))=0,"",INDEX(STK_DIV!$D$1:$D$5,SUMPRODUCT(--($E245=STK_DIV!$A$2:$A$5),--(NXT_COMPO!$Q245=STK_DIV!$E$2:$E$5),ROW(STK_DIV!$D$2:$D$5)))),"")</f>
        <v/>
      </c>
      <c r="U245" s="54" t="str">
        <f>IF($D245&lt;&gt;"",VLOOKUP($P245,IDX_REF!$2:$1048576,4,0),"")</f>
        <v/>
      </c>
    </row>
    <row r="246" spans="4:21" x14ac:dyDescent="0.2">
      <c r="D246" s="52" t="str">
        <f t="shared" si="38"/>
        <v/>
      </c>
      <c r="E246" s="5" t="str">
        <f t="shared" si="39"/>
        <v/>
      </c>
      <c r="F246" s="5" t="str">
        <f>IF(ROW(F246)-ROW($E$1)&lt;=$B$1-$B$2,INDEX(IDX_COMPO!B:B,ROW(IDX_COMPO!#REF!)),IF(ROW(E246)-ROW($E$1)&lt;=$B$4,VLOOKUP(E246,STK_REF!$A$2:$J$1048576,2,0),""))</f>
        <v/>
      </c>
      <c r="J246" s="62" t="str">
        <f>IF($D246&lt;=$B$1-$B$2,IF(INDEX($AA$2:$AA$1048576,MATCH($D246,$AB$2:$AB$1048576,0))="MODIFY",INDEX(IDX_CA!$G$1:$G$1041,SUMPRODUCT(--($E246=IDX_CA!$A$2:$A$1041),--(NXT_COMPO!$P246=IDX_CA!$B$2:$B$1041),--(NXT_COMPO!$Q246=IDX_CA!$C$2:$C$1041),ROW(IDX_CA!$G$2:$G$1041))),INDEX(IDX_COMPOSITION!$F$1:$F$441,SUMPRODUCT(--($E246=IDX_COMPOSITION!$A$2:$A$441),--(NXT_COMPO!$P246=IDX_COMPOSITION!$R$2:$R$441),--(NXT_COMPO!$B$5=IDX_COMPOSITION!$L$2:$L$441),ROW(IDX_COMPOSITION!$F$2:$F$441)))),IF($D246&lt;=$B$4,INDEX(IDX_CA!$G$1:$G$1041,SUMPRODUCT(--($E246=IDX_CA!$A$2:$A$1041),--(NXT_COMPO!$P246=IDX_CA!$B$2:$B$1041),--(NXT_COMPO!$Q246=IDX_CA!$C$2:$C$1041),ROW(IDX_CA!$G$2:$G$1041))),""))</f>
        <v/>
      </c>
      <c r="K246" s="63" t="str">
        <f>IF($D246&lt;&gt;"",VLOOKUP($E246,STK_REF!$A$2:$J$1048576,7,0),"")</f>
        <v/>
      </c>
      <c r="L246" s="5" t="str">
        <f>IF($D246&lt;&gt;"",VLOOKUP($E246,STK_REF!$A$2:$J$1048576,8,0),"")</f>
        <v/>
      </c>
      <c r="M246" s="8" t="str">
        <f>IF($D246&lt;&gt;"",IF($K246=$U246,1,IF(ISNA(VLOOKUP($K246&amp;$U246,CUR_RATES!$A$2:$F$521,4,0)),"",VLOOKUP($K246&amp;$U246,CUR_RATES!$A$2:$F$521,4,0))),"")</f>
        <v/>
      </c>
      <c r="N246" s="61" t="str">
        <f t="shared" si="40"/>
        <v/>
      </c>
      <c r="O246" s="68" t="str">
        <f t="shared" si="41"/>
        <v/>
      </c>
      <c r="P246" s="24"/>
      <c r="Q246" s="2" t="str">
        <f>IF(ROW(Q246)-ROW($E$1)&lt;=$B$4,INDEX(IDX_COMPO!F:F,ROW(IDX_COMPO!#REF!)),"")</f>
        <v/>
      </c>
      <c r="R246" s="68" t="str">
        <f t="shared" si="42"/>
        <v/>
      </c>
      <c r="S246" s="61" t="str">
        <f t="shared" si="43"/>
        <v/>
      </c>
      <c r="T246" s="62" t="str">
        <f>IF(D246&lt;&gt;"",IF(SUMPRODUCT(--($E246=STK_DIV!$A$2:$A$5),--(NXT_COMPO!$Q246=STK_DIV!$E$2:$E$5),ROW(STK_DIV!$D$2:$D$5))=0,"",INDEX(STK_DIV!$D$1:$D$5,SUMPRODUCT(--($E246=STK_DIV!$A$2:$A$5),--(NXT_COMPO!$Q246=STK_DIV!$E$2:$E$5),ROW(STK_DIV!$D$2:$D$5)))),"")</f>
        <v/>
      </c>
      <c r="U246" s="54" t="str">
        <f>IF($D246&lt;&gt;"",VLOOKUP($P246,IDX_REF!$2:$1048576,4,0),"")</f>
        <v/>
      </c>
    </row>
    <row r="247" spans="4:21" x14ac:dyDescent="0.2">
      <c r="D247" s="52" t="str">
        <f t="shared" si="38"/>
        <v/>
      </c>
      <c r="E247" s="5" t="str">
        <f t="shared" si="39"/>
        <v/>
      </c>
      <c r="F247" s="5" t="str">
        <f>IF(ROW(F247)-ROW($E$1)&lt;=$B$1-$B$2,INDEX(IDX_COMPO!B:B,ROW(IDX_COMPO!#REF!)),IF(ROW(E247)-ROW($E$1)&lt;=$B$4,VLOOKUP(E247,STK_REF!$A$2:$J$1048576,2,0),""))</f>
        <v/>
      </c>
      <c r="J247" s="62" t="str">
        <f>IF($D247&lt;=$B$1-$B$2,IF(INDEX($AA$2:$AA$1048576,MATCH($D247,$AB$2:$AB$1048576,0))="MODIFY",INDEX(IDX_CA!$G$1:$G$1041,SUMPRODUCT(--($E247=IDX_CA!$A$2:$A$1041),--(NXT_COMPO!$P247=IDX_CA!$B$2:$B$1041),--(NXT_COMPO!$Q247=IDX_CA!$C$2:$C$1041),ROW(IDX_CA!$G$2:$G$1041))),INDEX(IDX_COMPOSITION!$F$1:$F$441,SUMPRODUCT(--($E247=IDX_COMPOSITION!$A$2:$A$441),--(NXT_COMPO!$P247=IDX_COMPOSITION!$R$2:$R$441),--(NXT_COMPO!$B$5=IDX_COMPOSITION!$L$2:$L$441),ROW(IDX_COMPOSITION!$F$2:$F$441)))),IF($D247&lt;=$B$4,INDEX(IDX_CA!$G$1:$G$1041,SUMPRODUCT(--($E247=IDX_CA!$A$2:$A$1041),--(NXT_COMPO!$P247=IDX_CA!$B$2:$B$1041),--(NXT_COMPO!$Q247=IDX_CA!$C$2:$C$1041),ROW(IDX_CA!$G$2:$G$1041))),""))</f>
        <v/>
      </c>
      <c r="K247" s="63" t="str">
        <f>IF($D247&lt;&gt;"",VLOOKUP($E247,STK_REF!$A$2:$J$1048576,7,0),"")</f>
        <v/>
      </c>
      <c r="L247" s="5" t="str">
        <f>IF($D247&lt;&gt;"",VLOOKUP($E247,STK_REF!$A$2:$J$1048576,8,0),"")</f>
        <v/>
      </c>
      <c r="M247" s="8" t="str">
        <f>IF($D247&lt;&gt;"",IF($K247=$U247,1,IF(ISNA(VLOOKUP($K247&amp;$U247,CUR_RATES!$A$2:$F$521,4,0)),"",VLOOKUP($K247&amp;$U247,CUR_RATES!$A$2:$F$521,4,0))),"")</f>
        <v/>
      </c>
      <c r="N247" s="61" t="str">
        <f t="shared" si="40"/>
        <v/>
      </c>
      <c r="O247" s="68" t="str">
        <f t="shared" si="41"/>
        <v/>
      </c>
      <c r="P247" s="24"/>
      <c r="Q247" s="2" t="str">
        <f>IF(ROW(Q247)-ROW($E$1)&lt;=$B$4,INDEX(IDX_COMPO!F:F,ROW(IDX_COMPO!#REF!)),"")</f>
        <v/>
      </c>
      <c r="R247" s="68" t="str">
        <f t="shared" si="42"/>
        <v/>
      </c>
      <c r="S247" s="61" t="str">
        <f t="shared" si="43"/>
        <v/>
      </c>
      <c r="T247" s="62" t="str">
        <f>IF(D247&lt;&gt;"",IF(SUMPRODUCT(--($E247=STK_DIV!$A$2:$A$5),--(NXT_COMPO!$Q247=STK_DIV!$E$2:$E$5),ROW(STK_DIV!$D$2:$D$5))=0,"",INDEX(STK_DIV!$D$1:$D$5,SUMPRODUCT(--($E247=STK_DIV!$A$2:$A$5),--(NXT_COMPO!$Q247=STK_DIV!$E$2:$E$5),ROW(STK_DIV!$D$2:$D$5)))),"")</f>
        <v/>
      </c>
      <c r="U247" s="54" t="str">
        <f>IF($D247&lt;&gt;"",VLOOKUP($P247,IDX_REF!$2:$1048576,4,0),"")</f>
        <v/>
      </c>
    </row>
    <row r="248" spans="4:21" x14ac:dyDescent="0.2">
      <c r="D248" s="52" t="str">
        <f t="shared" si="38"/>
        <v/>
      </c>
      <c r="E248" s="5" t="str">
        <f t="shared" si="39"/>
        <v/>
      </c>
      <c r="F248" s="5" t="str">
        <f>IF(ROW(F248)-ROW($E$1)&lt;=$B$1-$B$2,INDEX(IDX_COMPO!B:B,ROW(IDX_COMPO!#REF!)),IF(ROW(E248)-ROW($E$1)&lt;=$B$4,VLOOKUP(E248,STK_REF!$A$2:$J$1048576,2,0),""))</f>
        <v/>
      </c>
      <c r="J248" s="62" t="str">
        <f>IF($D248&lt;=$B$1-$B$2,IF(INDEX($AA$2:$AA$1048576,MATCH($D248,$AB$2:$AB$1048576,0))="MODIFY",INDEX(IDX_CA!$G$1:$G$1041,SUMPRODUCT(--($E248=IDX_CA!$A$2:$A$1041),--(NXT_COMPO!$P248=IDX_CA!$B$2:$B$1041),--(NXT_COMPO!$Q248=IDX_CA!$C$2:$C$1041),ROW(IDX_CA!$G$2:$G$1041))),INDEX(IDX_COMPOSITION!$F$1:$F$441,SUMPRODUCT(--($E248=IDX_COMPOSITION!$A$2:$A$441),--(NXT_COMPO!$P248=IDX_COMPOSITION!$R$2:$R$441),--(NXT_COMPO!$B$5=IDX_COMPOSITION!$L$2:$L$441),ROW(IDX_COMPOSITION!$F$2:$F$441)))),IF($D248&lt;=$B$4,INDEX(IDX_CA!$G$1:$G$1041,SUMPRODUCT(--($E248=IDX_CA!$A$2:$A$1041),--(NXT_COMPO!$P248=IDX_CA!$B$2:$B$1041),--(NXT_COMPO!$Q248=IDX_CA!$C$2:$C$1041),ROW(IDX_CA!$G$2:$G$1041))),""))</f>
        <v/>
      </c>
      <c r="K248" s="63" t="str">
        <f>IF($D248&lt;&gt;"",VLOOKUP($E248,STK_REF!$A$2:$J$1048576,7,0),"")</f>
        <v/>
      </c>
      <c r="L248" s="5" t="str">
        <f>IF($D248&lt;&gt;"",VLOOKUP($E248,STK_REF!$A$2:$J$1048576,8,0),"")</f>
        <v/>
      </c>
      <c r="M248" s="8" t="str">
        <f>IF($D248&lt;&gt;"",IF($K248=$U248,1,IF(ISNA(VLOOKUP($K248&amp;$U248,CUR_RATES!$A$2:$F$521,4,0)),"",VLOOKUP($K248&amp;$U248,CUR_RATES!$A$2:$F$521,4,0))),"")</f>
        <v/>
      </c>
      <c r="N248" s="61" t="str">
        <f t="shared" si="40"/>
        <v/>
      </c>
      <c r="O248" s="68" t="str">
        <f t="shared" si="41"/>
        <v/>
      </c>
      <c r="P248" s="24"/>
      <c r="Q248" s="2" t="str">
        <f>IF(ROW(Q248)-ROW($E$1)&lt;=$B$4,INDEX(IDX_COMPO!F:F,ROW(IDX_COMPO!#REF!)),"")</f>
        <v/>
      </c>
      <c r="R248" s="68" t="str">
        <f t="shared" si="42"/>
        <v/>
      </c>
      <c r="S248" s="61" t="str">
        <f t="shared" si="43"/>
        <v/>
      </c>
      <c r="T248" s="62" t="str">
        <f>IF(D248&lt;&gt;"",IF(SUMPRODUCT(--($E248=STK_DIV!$A$2:$A$5),--(NXT_COMPO!$Q248=STK_DIV!$E$2:$E$5),ROW(STK_DIV!$D$2:$D$5))=0,"",INDEX(STK_DIV!$D$1:$D$5,SUMPRODUCT(--($E248=STK_DIV!$A$2:$A$5),--(NXT_COMPO!$Q248=STK_DIV!$E$2:$E$5),ROW(STK_DIV!$D$2:$D$5)))),"")</f>
        <v/>
      </c>
      <c r="U248" s="54" t="str">
        <f>IF($D248&lt;&gt;"",VLOOKUP($P248,IDX_REF!$2:$1048576,4,0),"")</f>
        <v/>
      </c>
    </row>
    <row r="249" spans="4:21" x14ac:dyDescent="0.2">
      <c r="D249" s="52" t="str">
        <f t="shared" si="38"/>
        <v/>
      </c>
      <c r="E249" s="5" t="str">
        <f t="shared" si="39"/>
        <v/>
      </c>
      <c r="F249" s="5" t="str">
        <f>IF(ROW(F249)-ROW($E$1)&lt;=$B$1-$B$2,INDEX(IDX_COMPO!B:B,ROW(IDX_COMPO!#REF!)),IF(ROW(E249)-ROW($E$1)&lt;=$B$4,VLOOKUP(E249,STK_REF!$A$2:$J$1048576,2,0),""))</f>
        <v/>
      </c>
      <c r="J249" s="62" t="str">
        <f>IF($D249&lt;=$B$1-$B$2,IF(INDEX($AA$2:$AA$1048576,MATCH($D249,$AB$2:$AB$1048576,0))="MODIFY",INDEX(IDX_CA!$G$1:$G$1041,SUMPRODUCT(--($E249=IDX_CA!$A$2:$A$1041),--(NXT_COMPO!$P249=IDX_CA!$B$2:$B$1041),--(NXT_COMPO!$Q249=IDX_CA!$C$2:$C$1041),ROW(IDX_CA!$G$2:$G$1041))),INDEX(IDX_COMPOSITION!$F$1:$F$441,SUMPRODUCT(--($E249=IDX_COMPOSITION!$A$2:$A$441),--(NXT_COMPO!$P249=IDX_COMPOSITION!$R$2:$R$441),--(NXT_COMPO!$B$5=IDX_COMPOSITION!$L$2:$L$441),ROW(IDX_COMPOSITION!$F$2:$F$441)))),IF($D249&lt;=$B$4,INDEX(IDX_CA!$G$1:$G$1041,SUMPRODUCT(--($E249=IDX_CA!$A$2:$A$1041),--(NXT_COMPO!$P249=IDX_CA!$B$2:$B$1041),--(NXT_COMPO!$Q249=IDX_CA!$C$2:$C$1041),ROW(IDX_CA!$G$2:$G$1041))),""))</f>
        <v/>
      </c>
      <c r="K249" s="63" t="str">
        <f>IF($D249&lt;&gt;"",VLOOKUP($E249,STK_REF!$A$2:$J$1048576,7,0),"")</f>
        <v/>
      </c>
      <c r="L249" s="5" t="str">
        <f>IF($D249&lt;&gt;"",VLOOKUP($E249,STK_REF!$A$2:$J$1048576,8,0),"")</f>
        <v/>
      </c>
      <c r="M249" s="8" t="str">
        <f>IF($D249&lt;&gt;"",IF($K249=$U249,1,IF(ISNA(VLOOKUP($K249&amp;$U249,CUR_RATES!$A$2:$F$521,4,0)),"",VLOOKUP($K249&amp;$U249,CUR_RATES!$A$2:$F$521,4,0))),"")</f>
        <v/>
      </c>
      <c r="N249" s="61" t="str">
        <f t="shared" si="40"/>
        <v/>
      </c>
      <c r="O249" s="68" t="str">
        <f t="shared" si="41"/>
        <v/>
      </c>
      <c r="P249" s="24"/>
      <c r="Q249" s="2" t="str">
        <f>IF(ROW(Q249)-ROW($E$1)&lt;=$B$4,INDEX(IDX_COMPO!F:F,ROW(IDX_COMPO!#REF!)),"")</f>
        <v/>
      </c>
      <c r="R249" s="68" t="str">
        <f t="shared" si="42"/>
        <v/>
      </c>
      <c r="S249" s="61" t="str">
        <f t="shared" si="43"/>
        <v/>
      </c>
      <c r="T249" s="62" t="str">
        <f>IF(D249&lt;&gt;"",IF(SUMPRODUCT(--($E249=STK_DIV!$A$2:$A$5),--(NXT_COMPO!$Q249=STK_DIV!$E$2:$E$5),ROW(STK_DIV!$D$2:$D$5))=0,"",INDEX(STK_DIV!$D$1:$D$5,SUMPRODUCT(--($E249=STK_DIV!$A$2:$A$5),--(NXT_COMPO!$Q249=STK_DIV!$E$2:$E$5),ROW(STK_DIV!$D$2:$D$5)))),"")</f>
        <v/>
      </c>
      <c r="U249" s="54" t="str">
        <f>IF($D249&lt;&gt;"",VLOOKUP($P249,IDX_REF!$2:$1048576,4,0),"")</f>
        <v/>
      </c>
    </row>
    <row r="250" spans="4:21" x14ac:dyDescent="0.2">
      <c r="D250" s="52" t="str">
        <f t="shared" si="38"/>
        <v/>
      </c>
      <c r="E250" s="5" t="str">
        <f t="shared" si="39"/>
        <v/>
      </c>
      <c r="F250" s="5" t="str">
        <f>IF(ROW(F250)-ROW($E$1)&lt;=$B$1-$B$2,INDEX(IDX_COMPO!B:B,ROW(IDX_COMPO!#REF!)),IF(ROW(E250)-ROW($E$1)&lt;=$B$4,VLOOKUP(E250,STK_REF!$A$2:$J$1048576,2,0),""))</f>
        <v/>
      </c>
      <c r="J250" s="62" t="str">
        <f>IF($D250&lt;=$B$1-$B$2,IF(INDEX($AA$2:$AA$1048576,MATCH($D250,$AB$2:$AB$1048576,0))="MODIFY",INDEX(IDX_CA!$G$1:$G$1041,SUMPRODUCT(--($E250=IDX_CA!$A$2:$A$1041),--(NXT_COMPO!$P250=IDX_CA!$B$2:$B$1041),--(NXT_COMPO!$Q250=IDX_CA!$C$2:$C$1041),ROW(IDX_CA!$G$2:$G$1041))),INDEX(IDX_COMPOSITION!$F$1:$F$441,SUMPRODUCT(--($E250=IDX_COMPOSITION!$A$2:$A$441),--(NXT_COMPO!$P250=IDX_COMPOSITION!$R$2:$R$441),--(NXT_COMPO!$B$5=IDX_COMPOSITION!$L$2:$L$441),ROW(IDX_COMPOSITION!$F$2:$F$441)))),IF($D250&lt;=$B$4,INDEX(IDX_CA!$G$1:$G$1041,SUMPRODUCT(--($E250=IDX_CA!$A$2:$A$1041),--(NXT_COMPO!$P250=IDX_CA!$B$2:$B$1041),--(NXT_COMPO!$Q250=IDX_CA!$C$2:$C$1041),ROW(IDX_CA!$G$2:$G$1041))),""))</f>
        <v/>
      </c>
      <c r="K250" s="63" t="str">
        <f>IF($D250&lt;&gt;"",VLOOKUP($E250,STK_REF!$A$2:$J$1048576,7,0),"")</f>
        <v/>
      </c>
      <c r="L250" s="5" t="str">
        <f>IF($D250&lt;&gt;"",VLOOKUP($E250,STK_REF!$A$2:$J$1048576,8,0),"")</f>
        <v/>
      </c>
      <c r="M250" s="8" t="str">
        <f>IF($D250&lt;&gt;"",IF($K250=$U250,1,IF(ISNA(VLOOKUP($K250&amp;$U250,CUR_RATES!$A$2:$F$521,4,0)),"",VLOOKUP($K250&amp;$U250,CUR_RATES!$A$2:$F$521,4,0))),"")</f>
        <v/>
      </c>
      <c r="N250" s="61" t="str">
        <f t="shared" si="40"/>
        <v/>
      </c>
      <c r="O250" s="68" t="str">
        <f t="shared" si="41"/>
        <v/>
      </c>
      <c r="P250" s="24"/>
      <c r="Q250" s="2" t="str">
        <f>IF(ROW(Q250)-ROW($E$1)&lt;=$B$4,INDEX(IDX_COMPO!F:F,ROW(IDX_COMPO!#REF!)),"")</f>
        <v/>
      </c>
      <c r="R250" s="68" t="str">
        <f t="shared" si="42"/>
        <v/>
      </c>
      <c r="S250" s="61" t="str">
        <f t="shared" si="43"/>
        <v/>
      </c>
      <c r="T250" s="62" t="str">
        <f>IF(D250&lt;&gt;"",IF(SUMPRODUCT(--($E250=STK_DIV!$A$2:$A$5),--(NXT_COMPO!$Q250=STK_DIV!$E$2:$E$5),ROW(STK_DIV!$D$2:$D$5))=0,"",INDEX(STK_DIV!$D$1:$D$5,SUMPRODUCT(--($E250=STK_DIV!$A$2:$A$5),--(NXT_COMPO!$Q250=STK_DIV!$E$2:$E$5),ROW(STK_DIV!$D$2:$D$5)))),"")</f>
        <v/>
      </c>
      <c r="U250" s="54" t="str">
        <f>IF($D250&lt;&gt;"",VLOOKUP($P250,IDX_REF!$2:$1048576,4,0),"")</f>
        <v/>
      </c>
    </row>
    <row r="251" spans="4:21" x14ac:dyDescent="0.2">
      <c r="D251" s="52" t="str">
        <f t="shared" si="38"/>
        <v/>
      </c>
      <c r="E251" s="5" t="str">
        <f t="shared" si="39"/>
        <v/>
      </c>
      <c r="F251" s="5" t="str">
        <f>IF(ROW(F251)-ROW($E$1)&lt;=$B$1-$B$2,INDEX(IDX_COMPO!B:B,ROW(IDX_COMPO!#REF!)),IF(ROW(E251)-ROW($E$1)&lt;=$B$4,VLOOKUP(E251,STK_REF!$A$2:$J$1048576,2,0),""))</f>
        <v/>
      </c>
      <c r="J251" s="62" t="str">
        <f>IF($D251&lt;=$B$1-$B$2,IF(INDEX($AA$2:$AA$1048576,MATCH($D251,$AB$2:$AB$1048576,0))="MODIFY",INDEX(IDX_CA!$G$1:$G$1041,SUMPRODUCT(--($E251=IDX_CA!$A$2:$A$1041),--(NXT_COMPO!$P251=IDX_CA!$B$2:$B$1041),--(NXT_COMPO!$Q251=IDX_CA!$C$2:$C$1041),ROW(IDX_CA!$G$2:$G$1041))),INDEX(IDX_COMPOSITION!$F$1:$F$441,SUMPRODUCT(--($E251=IDX_COMPOSITION!$A$2:$A$441),--(NXT_COMPO!$P251=IDX_COMPOSITION!$R$2:$R$441),--(NXT_COMPO!$B$5=IDX_COMPOSITION!$L$2:$L$441),ROW(IDX_COMPOSITION!$F$2:$F$441)))),IF($D251&lt;=$B$4,INDEX(IDX_CA!$G$1:$G$1041,SUMPRODUCT(--($E251=IDX_CA!$A$2:$A$1041),--(NXT_COMPO!$P251=IDX_CA!$B$2:$B$1041),--(NXT_COMPO!$Q251=IDX_CA!$C$2:$C$1041),ROW(IDX_CA!$G$2:$G$1041))),""))</f>
        <v/>
      </c>
      <c r="K251" s="63" t="str">
        <f>IF($D251&lt;&gt;"",VLOOKUP($E251,STK_REF!$A$2:$J$1048576,7,0),"")</f>
        <v/>
      </c>
      <c r="L251" s="5" t="str">
        <f>IF($D251&lt;&gt;"",VLOOKUP($E251,STK_REF!$A$2:$J$1048576,8,0),"")</f>
        <v/>
      </c>
      <c r="M251" s="8" t="str">
        <f>IF($D251&lt;&gt;"",IF($K251=$U251,1,IF(ISNA(VLOOKUP($K251&amp;$U251,CUR_RATES!$A$2:$F$521,4,0)),"",VLOOKUP($K251&amp;$U251,CUR_RATES!$A$2:$F$521,4,0))),"")</f>
        <v/>
      </c>
      <c r="N251" s="61" t="str">
        <f t="shared" si="40"/>
        <v/>
      </c>
      <c r="O251" s="68" t="str">
        <f t="shared" si="41"/>
        <v/>
      </c>
      <c r="P251" s="24"/>
      <c r="Q251" s="2" t="str">
        <f>IF(ROW(Q251)-ROW($E$1)&lt;=$B$4,INDEX(IDX_COMPO!F:F,ROW(IDX_COMPO!#REF!)),"")</f>
        <v/>
      </c>
      <c r="R251" s="68" t="str">
        <f t="shared" si="42"/>
        <v/>
      </c>
      <c r="S251" s="61" t="str">
        <f t="shared" si="43"/>
        <v/>
      </c>
      <c r="T251" s="62" t="str">
        <f>IF(D251&lt;&gt;"",IF(SUMPRODUCT(--($E251=STK_DIV!$A$2:$A$5),--(NXT_COMPO!$Q251=STK_DIV!$E$2:$E$5),ROW(STK_DIV!$D$2:$D$5))=0,"",INDEX(STK_DIV!$D$1:$D$5,SUMPRODUCT(--($E251=STK_DIV!$A$2:$A$5),--(NXT_COMPO!$Q251=STK_DIV!$E$2:$E$5),ROW(STK_DIV!$D$2:$D$5)))),"")</f>
        <v/>
      </c>
      <c r="U251" s="54" t="str">
        <f>IF($D251&lt;&gt;"",VLOOKUP($P251,IDX_REF!$2:$1048576,4,0),"")</f>
        <v/>
      </c>
    </row>
    <row r="252" spans="4:21" x14ac:dyDescent="0.2">
      <c r="D252" s="52" t="str">
        <f t="shared" si="38"/>
        <v/>
      </c>
      <c r="E252" s="5" t="str">
        <f t="shared" si="39"/>
        <v/>
      </c>
      <c r="F252" s="5" t="str">
        <f>IF(ROW(F252)-ROW($E$1)&lt;=$B$1-$B$2,INDEX(IDX_COMPO!B:B,ROW(IDX_COMPO!#REF!)),IF(ROW(E252)-ROW($E$1)&lt;=$B$4,VLOOKUP(E252,STK_REF!$A$2:$J$1048576,2,0),""))</f>
        <v/>
      </c>
      <c r="J252" s="62" t="str">
        <f>IF($D252&lt;=$B$1-$B$2,IF(INDEX($AA$2:$AA$1048576,MATCH($D252,$AB$2:$AB$1048576,0))="MODIFY",INDEX(IDX_CA!$G$1:$G$1041,SUMPRODUCT(--($E252=IDX_CA!$A$2:$A$1041),--(NXT_COMPO!$P252=IDX_CA!$B$2:$B$1041),--(NXT_COMPO!$Q252=IDX_CA!$C$2:$C$1041),ROW(IDX_CA!$G$2:$G$1041))),INDEX(IDX_COMPOSITION!$F$1:$F$441,SUMPRODUCT(--($E252=IDX_COMPOSITION!$A$2:$A$441),--(NXT_COMPO!$P252=IDX_COMPOSITION!$R$2:$R$441),--(NXT_COMPO!$B$5=IDX_COMPOSITION!$L$2:$L$441),ROW(IDX_COMPOSITION!$F$2:$F$441)))),IF($D252&lt;=$B$4,INDEX(IDX_CA!$G$1:$G$1041,SUMPRODUCT(--($E252=IDX_CA!$A$2:$A$1041),--(NXT_COMPO!$P252=IDX_CA!$B$2:$B$1041),--(NXT_COMPO!$Q252=IDX_CA!$C$2:$C$1041),ROW(IDX_CA!$G$2:$G$1041))),""))</f>
        <v/>
      </c>
      <c r="K252" s="63" t="str">
        <f>IF($D252&lt;&gt;"",VLOOKUP($E252,STK_REF!$A$2:$J$1048576,7,0),"")</f>
        <v/>
      </c>
      <c r="L252" s="5" t="str">
        <f>IF($D252&lt;&gt;"",VLOOKUP($E252,STK_REF!$A$2:$J$1048576,8,0),"")</f>
        <v/>
      </c>
      <c r="M252" s="8" t="str">
        <f>IF($D252&lt;&gt;"",IF($K252=$U252,1,IF(ISNA(VLOOKUP($K252&amp;$U252,CUR_RATES!$A$2:$F$521,4,0)),"",VLOOKUP($K252&amp;$U252,CUR_RATES!$A$2:$F$521,4,0))),"")</f>
        <v/>
      </c>
      <c r="N252" s="61" t="str">
        <f t="shared" si="40"/>
        <v/>
      </c>
      <c r="O252" s="68" t="str">
        <f t="shared" si="41"/>
        <v/>
      </c>
      <c r="P252" s="24"/>
      <c r="Q252" s="2" t="str">
        <f>IF(ROW(Q252)-ROW($E$1)&lt;=$B$4,INDEX(IDX_COMPO!F:F,ROW(IDX_COMPO!#REF!)),"")</f>
        <v/>
      </c>
      <c r="R252" s="68" t="str">
        <f t="shared" si="42"/>
        <v/>
      </c>
      <c r="S252" s="61" t="str">
        <f t="shared" si="43"/>
        <v/>
      </c>
      <c r="T252" s="62" t="str">
        <f>IF(D252&lt;&gt;"",IF(SUMPRODUCT(--($E252=STK_DIV!$A$2:$A$5),--(NXT_COMPO!$Q252=STK_DIV!$E$2:$E$5),ROW(STK_DIV!$D$2:$D$5))=0,"",INDEX(STK_DIV!$D$1:$D$5,SUMPRODUCT(--($E252=STK_DIV!$A$2:$A$5),--(NXT_COMPO!$Q252=STK_DIV!$E$2:$E$5),ROW(STK_DIV!$D$2:$D$5)))),"")</f>
        <v/>
      </c>
      <c r="U252" s="54" t="str">
        <f>IF($D252&lt;&gt;"",VLOOKUP($P252,IDX_REF!$2:$1048576,4,0),"")</f>
        <v/>
      </c>
    </row>
    <row r="253" spans="4:21" x14ac:dyDescent="0.2">
      <c r="D253" s="52" t="str">
        <f t="shared" si="38"/>
        <v/>
      </c>
      <c r="E253" s="5" t="str">
        <f t="shared" si="39"/>
        <v/>
      </c>
      <c r="F253" s="5" t="str">
        <f>IF(ROW(F253)-ROW($E$1)&lt;=$B$1-$B$2,INDEX(IDX_COMPO!B:B,ROW(IDX_COMPO!#REF!)),IF(ROW(E253)-ROW($E$1)&lt;=$B$4,VLOOKUP(E253,STK_REF!$A$2:$J$1048576,2,0),""))</f>
        <v/>
      </c>
      <c r="J253" s="62" t="str">
        <f>IF($D253&lt;=$B$1-$B$2,IF(INDEX($AA$2:$AA$1048576,MATCH($D253,$AB$2:$AB$1048576,0))="MODIFY",INDEX(IDX_CA!$G$1:$G$1041,SUMPRODUCT(--($E253=IDX_CA!$A$2:$A$1041),--(NXT_COMPO!$P253=IDX_CA!$B$2:$B$1041),--(NXT_COMPO!$Q253=IDX_CA!$C$2:$C$1041),ROW(IDX_CA!$G$2:$G$1041))),INDEX(IDX_COMPOSITION!$F$1:$F$441,SUMPRODUCT(--($E253=IDX_COMPOSITION!$A$2:$A$441),--(NXT_COMPO!$P253=IDX_COMPOSITION!$R$2:$R$441),--(NXT_COMPO!$B$5=IDX_COMPOSITION!$L$2:$L$441),ROW(IDX_COMPOSITION!$F$2:$F$441)))),IF($D253&lt;=$B$4,INDEX(IDX_CA!$G$1:$G$1041,SUMPRODUCT(--($E253=IDX_CA!$A$2:$A$1041),--(NXT_COMPO!$P253=IDX_CA!$B$2:$B$1041),--(NXT_COMPO!$Q253=IDX_CA!$C$2:$C$1041),ROW(IDX_CA!$G$2:$G$1041))),""))</f>
        <v/>
      </c>
      <c r="K253" s="63" t="str">
        <f>IF($D253&lt;&gt;"",VLOOKUP($E253,STK_REF!$A$2:$J$1048576,7,0),"")</f>
        <v/>
      </c>
      <c r="L253" s="5" t="str">
        <f>IF($D253&lt;&gt;"",VLOOKUP($E253,STK_REF!$A$2:$J$1048576,8,0),"")</f>
        <v/>
      </c>
      <c r="M253" s="8" t="str">
        <f>IF($D253&lt;&gt;"",IF($K253=$U253,1,IF(ISNA(VLOOKUP($K253&amp;$U253,CUR_RATES!$A$2:$F$521,4,0)),"",VLOOKUP($K253&amp;$U253,CUR_RATES!$A$2:$F$521,4,0))),"")</f>
        <v/>
      </c>
      <c r="N253" s="61" t="str">
        <f t="shared" si="40"/>
        <v/>
      </c>
      <c r="O253" s="68" t="str">
        <f t="shared" si="41"/>
        <v/>
      </c>
      <c r="P253" s="24"/>
      <c r="Q253" s="2" t="str">
        <f>IF(ROW(Q253)-ROW($E$1)&lt;=$B$4,INDEX(IDX_COMPO!F:F,ROW(IDX_COMPO!#REF!)),"")</f>
        <v/>
      </c>
      <c r="R253" s="68" t="str">
        <f t="shared" si="42"/>
        <v/>
      </c>
      <c r="S253" s="61" t="str">
        <f t="shared" si="43"/>
        <v/>
      </c>
      <c r="T253" s="62" t="str">
        <f>IF(D253&lt;&gt;"",IF(SUMPRODUCT(--($E253=STK_DIV!$A$2:$A$5),--(NXT_COMPO!$Q253=STK_DIV!$E$2:$E$5),ROW(STK_DIV!$D$2:$D$5))=0,"",INDEX(STK_DIV!$D$1:$D$5,SUMPRODUCT(--($E253=STK_DIV!$A$2:$A$5),--(NXT_COMPO!$Q253=STK_DIV!$E$2:$E$5),ROW(STK_DIV!$D$2:$D$5)))),"")</f>
        <v/>
      </c>
      <c r="U253" s="54" t="str">
        <f>IF($D253&lt;&gt;"",VLOOKUP($P253,IDX_REF!$2:$1048576,4,0),"")</f>
        <v/>
      </c>
    </row>
    <row r="254" spans="4:21" x14ac:dyDescent="0.2">
      <c r="D254" s="52" t="str">
        <f t="shared" si="38"/>
        <v/>
      </c>
      <c r="E254" s="5" t="str">
        <f t="shared" si="39"/>
        <v/>
      </c>
      <c r="F254" s="5" t="str">
        <f>IF(ROW(F254)-ROW($E$1)&lt;=$B$1-$B$2,INDEX(IDX_COMPO!B:B,ROW(IDX_COMPO!#REF!)),IF(ROW(E254)-ROW($E$1)&lt;=$B$4,VLOOKUP(E254,STK_REF!$A$2:$J$1048576,2,0),""))</f>
        <v/>
      </c>
      <c r="J254" s="62" t="str">
        <f>IF($D254&lt;=$B$1-$B$2,IF(INDEX($AA$2:$AA$1048576,MATCH($D254,$AB$2:$AB$1048576,0))="MODIFY",INDEX(IDX_CA!$G$1:$G$1041,SUMPRODUCT(--($E254=IDX_CA!$A$2:$A$1041),--(NXT_COMPO!$P254=IDX_CA!$B$2:$B$1041),--(NXT_COMPO!$Q254=IDX_CA!$C$2:$C$1041),ROW(IDX_CA!$G$2:$G$1041))),INDEX(IDX_COMPOSITION!$F$1:$F$441,SUMPRODUCT(--($E254=IDX_COMPOSITION!$A$2:$A$441),--(NXT_COMPO!$P254=IDX_COMPOSITION!$R$2:$R$441),--(NXT_COMPO!$B$5=IDX_COMPOSITION!$L$2:$L$441),ROW(IDX_COMPOSITION!$F$2:$F$441)))),IF($D254&lt;=$B$4,INDEX(IDX_CA!$G$1:$G$1041,SUMPRODUCT(--($E254=IDX_CA!$A$2:$A$1041),--(NXT_COMPO!$P254=IDX_CA!$B$2:$B$1041),--(NXT_COMPO!$Q254=IDX_CA!$C$2:$C$1041),ROW(IDX_CA!$G$2:$G$1041))),""))</f>
        <v/>
      </c>
      <c r="K254" s="63" t="str">
        <f>IF($D254&lt;&gt;"",VLOOKUP($E254,STK_REF!$A$2:$J$1048576,7,0),"")</f>
        <v/>
      </c>
      <c r="L254" s="5" t="str">
        <f>IF($D254&lt;&gt;"",VLOOKUP($E254,STK_REF!$A$2:$J$1048576,8,0),"")</f>
        <v/>
      </c>
      <c r="M254" s="8" t="str">
        <f>IF($D254&lt;&gt;"",IF($K254=$U254,1,IF(ISNA(VLOOKUP($K254&amp;$U254,CUR_RATES!$A$2:$F$521,4,0)),"",VLOOKUP($K254&amp;$U254,CUR_RATES!$A$2:$F$521,4,0))),"")</f>
        <v/>
      </c>
      <c r="N254" s="61" t="str">
        <f t="shared" si="40"/>
        <v/>
      </c>
      <c r="O254" s="68" t="str">
        <f t="shared" si="41"/>
        <v/>
      </c>
      <c r="P254" s="24"/>
      <c r="Q254" s="2" t="str">
        <f>IF(ROW(Q254)-ROW($E$1)&lt;=$B$4,INDEX(IDX_COMPO!F:F,ROW(IDX_COMPO!#REF!)),"")</f>
        <v/>
      </c>
      <c r="R254" s="68" t="str">
        <f t="shared" si="42"/>
        <v/>
      </c>
      <c r="S254" s="61" t="str">
        <f t="shared" si="43"/>
        <v/>
      </c>
      <c r="T254" s="62" t="str">
        <f>IF(D254&lt;&gt;"",IF(SUMPRODUCT(--($E254=STK_DIV!$A$2:$A$5),--(NXT_COMPO!$Q254=STK_DIV!$E$2:$E$5),ROW(STK_DIV!$D$2:$D$5))=0,"",INDEX(STK_DIV!$D$1:$D$5,SUMPRODUCT(--($E254=STK_DIV!$A$2:$A$5),--(NXT_COMPO!$Q254=STK_DIV!$E$2:$E$5),ROW(STK_DIV!$D$2:$D$5)))),"")</f>
        <v/>
      </c>
      <c r="U254" s="54" t="str">
        <f>IF($D254&lt;&gt;"",VLOOKUP($P254,IDX_REF!$2:$1048576,4,0),"")</f>
        <v/>
      </c>
    </row>
    <row r="255" spans="4:21" x14ac:dyDescent="0.2">
      <c r="D255" s="52" t="str">
        <f t="shared" si="38"/>
        <v/>
      </c>
      <c r="E255" s="5" t="str">
        <f t="shared" si="39"/>
        <v/>
      </c>
      <c r="F255" s="5" t="str">
        <f>IF(ROW(F255)-ROW($E$1)&lt;=$B$1-$B$2,INDEX(IDX_COMPO!B:B,ROW(IDX_COMPO!#REF!)),IF(ROW(E255)-ROW($E$1)&lt;=$B$4,VLOOKUP(E255,STK_REF!$A$2:$J$1048576,2,0),""))</f>
        <v/>
      </c>
      <c r="J255" s="62" t="str">
        <f>IF($D255&lt;=$B$1-$B$2,IF(INDEX($AA$2:$AA$1048576,MATCH($D255,$AB$2:$AB$1048576,0))="MODIFY",INDEX(IDX_CA!$G$1:$G$1041,SUMPRODUCT(--($E255=IDX_CA!$A$2:$A$1041),--(NXT_COMPO!$P255=IDX_CA!$B$2:$B$1041),--(NXT_COMPO!$Q255=IDX_CA!$C$2:$C$1041),ROW(IDX_CA!$G$2:$G$1041))),INDEX(IDX_COMPOSITION!$F$1:$F$441,SUMPRODUCT(--($E255=IDX_COMPOSITION!$A$2:$A$441),--(NXT_COMPO!$P255=IDX_COMPOSITION!$R$2:$R$441),--(NXT_COMPO!$B$5=IDX_COMPOSITION!$L$2:$L$441),ROW(IDX_COMPOSITION!$F$2:$F$441)))),IF($D255&lt;=$B$4,INDEX(IDX_CA!$G$1:$G$1041,SUMPRODUCT(--($E255=IDX_CA!$A$2:$A$1041),--(NXT_COMPO!$P255=IDX_CA!$B$2:$B$1041),--(NXT_COMPO!$Q255=IDX_CA!$C$2:$C$1041),ROW(IDX_CA!$G$2:$G$1041))),""))</f>
        <v/>
      </c>
      <c r="K255" s="63" t="str">
        <f>IF($D255&lt;&gt;"",VLOOKUP($E255,STK_REF!$A$2:$J$1048576,7,0),"")</f>
        <v/>
      </c>
      <c r="L255" s="5" t="str">
        <f>IF($D255&lt;&gt;"",VLOOKUP($E255,STK_REF!$A$2:$J$1048576,8,0),"")</f>
        <v/>
      </c>
      <c r="M255" s="8" t="str">
        <f>IF($D255&lt;&gt;"",IF($K255=$U255,1,IF(ISNA(VLOOKUP($K255&amp;$U255,CUR_RATES!$A$2:$F$521,4,0)),"",VLOOKUP($K255&amp;$U255,CUR_RATES!$A$2:$F$521,4,0))),"")</f>
        <v/>
      </c>
      <c r="N255" s="61" t="str">
        <f t="shared" si="40"/>
        <v/>
      </c>
      <c r="O255" s="68" t="str">
        <f t="shared" si="41"/>
        <v/>
      </c>
      <c r="P255" s="24"/>
      <c r="Q255" s="2" t="str">
        <f>IF(ROW(Q255)-ROW($E$1)&lt;=$B$4,INDEX(IDX_COMPO!F:F,ROW(IDX_COMPO!#REF!)),"")</f>
        <v/>
      </c>
      <c r="R255" s="68" t="str">
        <f t="shared" si="42"/>
        <v/>
      </c>
      <c r="S255" s="61" t="str">
        <f t="shared" si="43"/>
        <v/>
      </c>
      <c r="T255" s="62" t="str">
        <f>IF(D255&lt;&gt;"",IF(SUMPRODUCT(--($E255=STK_DIV!$A$2:$A$5),--(NXT_COMPO!$Q255=STK_DIV!$E$2:$E$5),ROW(STK_DIV!$D$2:$D$5))=0,"",INDEX(STK_DIV!$D$1:$D$5,SUMPRODUCT(--($E255=STK_DIV!$A$2:$A$5),--(NXT_COMPO!$Q255=STK_DIV!$E$2:$E$5),ROW(STK_DIV!$D$2:$D$5)))),"")</f>
        <v/>
      </c>
      <c r="U255" s="54" t="str">
        <f>IF($D255&lt;&gt;"",VLOOKUP($P255,IDX_REF!$2:$1048576,4,0),"")</f>
        <v/>
      </c>
    </row>
    <row r="256" spans="4:21" x14ac:dyDescent="0.2">
      <c r="D256" s="52" t="str">
        <f t="shared" si="38"/>
        <v/>
      </c>
      <c r="E256" s="5" t="str">
        <f t="shared" si="39"/>
        <v/>
      </c>
      <c r="F256" s="5" t="str">
        <f>IF(ROW(F256)-ROW($E$1)&lt;=$B$1-$B$2,INDEX(IDX_COMPO!B:B,ROW(IDX_COMPO!#REF!)),IF(ROW(E256)-ROW($E$1)&lt;=$B$4,VLOOKUP(E256,STK_REF!$A$2:$J$1048576,2,0),""))</f>
        <v/>
      </c>
      <c r="J256" s="62" t="str">
        <f>IF($D256&lt;=$B$1-$B$2,IF(INDEX($AA$2:$AA$1048576,MATCH($D256,$AB$2:$AB$1048576,0))="MODIFY",INDEX(IDX_CA!$G$1:$G$1041,SUMPRODUCT(--($E256=IDX_CA!$A$2:$A$1041),--(NXT_COMPO!$P256=IDX_CA!$B$2:$B$1041),--(NXT_COMPO!$Q256=IDX_CA!$C$2:$C$1041),ROW(IDX_CA!$G$2:$G$1041))),INDEX(IDX_COMPOSITION!$F$1:$F$441,SUMPRODUCT(--($E256=IDX_COMPOSITION!$A$2:$A$441),--(NXT_COMPO!$P256=IDX_COMPOSITION!$R$2:$R$441),--(NXT_COMPO!$B$5=IDX_COMPOSITION!$L$2:$L$441),ROW(IDX_COMPOSITION!$F$2:$F$441)))),IF($D256&lt;=$B$4,INDEX(IDX_CA!$G$1:$G$1041,SUMPRODUCT(--($E256=IDX_CA!$A$2:$A$1041),--(NXT_COMPO!$P256=IDX_CA!$B$2:$B$1041),--(NXT_COMPO!$Q256=IDX_CA!$C$2:$C$1041),ROW(IDX_CA!$G$2:$G$1041))),""))</f>
        <v/>
      </c>
      <c r="K256" s="63" t="str">
        <f>IF($D256&lt;&gt;"",VLOOKUP($E256,STK_REF!$A$2:$J$1048576,7,0),"")</f>
        <v/>
      </c>
      <c r="L256" s="5" t="str">
        <f>IF($D256&lt;&gt;"",VLOOKUP($E256,STK_REF!$A$2:$J$1048576,8,0),"")</f>
        <v/>
      </c>
      <c r="M256" s="8" t="str">
        <f>IF($D256&lt;&gt;"",IF($K256=$U256,1,IF(ISNA(VLOOKUP($K256&amp;$U256,CUR_RATES!$A$2:$F$521,4,0)),"",VLOOKUP($K256&amp;$U256,CUR_RATES!$A$2:$F$521,4,0))),"")</f>
        <v/>
      </c>
      <c r="N256" s="61" t="str">
        <f t="shared" si="40"/>
        <v/>
      </c>
      <c r="O256" s="68" t="str">
        <f t="shared" si="41"/>
        <v/>
      </c>
      <c r="P256" s="24"/>
      <c r="Q256" s="2" t="str">
        <f>IF(ROW(Q256)-ROW($E$1)&lt;=$B$4,INDEX(IDX_COMPO!F:F,ROW(IDX_COMPO!#REF!)),"")</f>
        <v/>
      </c>
      <c r="R256" s="68" t="str">
        <f t="shared" si="42"/>
        <v/>
      </c>
      <c r="S256" s="61" t="str">
        <f t="shared" si="43"/>
        <v/>
      </c>
      <c r="T256" s="62" t="str">
        <f>IF(D256&lt;&gt;"",IF(SUMPRODUCT(--($E256=STK_DIV!$A$2:$A$5),--(NXT_COMPO!$Q256=STK_DIV!$E$2:$E$5),ROW(STK_DIV!$D$2:$D$5))=0,"",INDEX(STK_DIV!$D$1:$D$5,SUMPRODUCT(--($E256=STK_DIV!$A$2:$A$5),--(NXT_COMPO!$Q256=STK_DIV!$E$2:$E$5),ROW(STK_DIV!$D$2:$D$5)))),"")</f>
        <v/>
      </c>
      <c r="U256" s="54" t="str">
        <f>IF($D256&lt;&gt;"",VLOOKUP($P256,IDX_REF!$2:$1048576,4,0),"")</f>
        <v/>
      </c>
    </row>
    <row r="257" spans="4:21" x14ac:dyDescent="0.2">
      <c r="D257" s="52" t="str">
        <f t="shared" si="38"/>
        <v/>
      </c>
      <c r="E257" s="5" t="str">
        <f t="shared" si="39"/>
        <v/>
      </c>
      <c r="F257" s="5" t="str">
        <f>IF(ROW(F257)-ROW($E$1)&lt;=$B$1-$B$2,INDEX(IDX_COMPO!B:B,ROW(IDX_COMPO!#REF!)),IF(ROW(E257)-ROW($E$1)&lt;=$B$4,VLOOKUP(E257,STK_REF!$A$2:$J$1048576,2,0),""))</f>
        <v/>
      </c>
      <c r="J257" s="62" t="str">
        <f>IF($D257&lt;=$B$1-$B$2,IF(INDEX($AA$2:$AA$1048576,MATCH($D257,$AB$2:$AB$1048576,0))="MODIFY",INDEX(IDX_CA!$G$1:$G$1041,SUMPRODUCT(--($E257=IDX_CA!$A$2:$A$1041),--(NXT_COMPO!$P257=IDX_CA!$B$2:$B$1041),--(NXT_COMPO!$Q257=IDX_CA!$C$2:$C$1041),ROW(IDX_CA!$G$2:$G$1041))),INDEX(IDX_COMPOSITION!$F$1:$F$441,SUMPRODUCT(--($E257=IDX_COMPOSITION!$A$2:$A$441),--(NXT_COMPO!$P257=IDX_COMPOSITION!$R$2:$R$441),--(NXT_COMPO!$B$5=IDX_COMPOSITION!$L$2:$L$441),ROW(IDX_COMPOSITION!$F$2:$F$441)))),IF($D257&lt;=$B$4,INDEX(IDX_CA!$G$1:$G$1041,SUMPRODUCT(--($E257=IDX_CA!$A$2:$A$1041),--(NXT_COMPO!$P257=IDX_CA!$B$2:$B$1041),--(NXT_COMPO!$Q257=IDX_CA!$C$2:$C$1041),ROW(IDX_CA!$G$2:$G$1041))),""))</f>
        <v/>
      </c>
      <c r="K257" s="63" t="str">
        <f>IF($D257&lt;&gt;"",VLOOKUP($E257,STK_REF!$A$2:$J$1048576,7,0),"")</f>
        <v/>
      </c>
      <c r="L257" s="5" t="str">
        <f>IF($D257&lt;&gt;"",VLOOKUP($E257,STK_REF!$A$2:$J$1048576,8,0),"")</f>
        <v/>
      </c>
      <c r="M257" s="8" t="str">
        <f>IF($D257&lt;&gt;"",IF($K257=$U257,1,IF(ISNA(VLOOKUP($K257&amp;$U257,CUR_RATES!$A$2:$F$521,4,0)),"",VLOOKUP($K257&amp;$U257,CUR_RATES!$A$2:$F$521,4,0))),"")</f>
        <v/>
      </c>
      <c r="N257" s="61" t="str">
        <f t="shared" si="40"/>
        <v/>
      </c>
      <c r="O257" s="68" t="str">
        <f t="shared" si="41"/>
        <v/>
      </c>
      <c r="P257" s="24"/>
      <c r="Q257" s="2" t="str">
        <f>IF(ROW(Q257)-ROW($E$1)&lt;=$B$4,INDEX(IDX_COMPO!F:F,ROW(IDX_COMPO!#REF!)),"")</f>
        <v/>
      </c>
      <c r="R257" s="68" t="str">
        <f t="shared" si="42"/>
        <v/>
      </c>
      <c r="S257" s="61" t="str">
        <f t="shared" si="43"/>
        <v/>
      </c>
      <c r="T257" s="62" t="str">
        <f>IF(D257&lt;&gt;"",IF(SUMPRODUCT(--($E257=STK_DIV!$A$2:$A$5),--(NXT_COMPO!$Q257=STK_DIV!$E$2:$E$5),ROW(STK_DIV!$D$2:$D$5))=0,"",INDEX(STK_DIV!$D$1:$D$5,SUMPRODUCT(--($E257=STK_DIV!$A$2:$A$5),--(NXT_COMPO!$Q257=STK_DIV!$E$2:$E$5),ROW(STK_DIV!$D$2:$D$5)))),"")</f>
        <v/>
      </c>
      <c r="U257" s="54" t="str">
        <f>IF($D257&lt;&gt;"",VLOOKUP($P257,IDX_REF!$2:$1048576,4,0),"")</f>
        <v/>
      </c>
    </row>
    <row r="258" spans="4:21" x14ac:dyDescent="0.2">
      <c r="D258" s="52" t="str">
        <f t="shared" ref="D258:D321" si="44">IF(ROW(D258)-ROW($D$1)&lt;=$B$4,ROW(D258)-ROW($D$1),"")</f>
        <v/>
      </c>
      <c r="E258" s="5" t="str">
        <f t="shared" si="39"/>
        <v/>
      </c>
      <c r="F258" s="5" t="str">
        <f>IF(ROW(F258)-ROW($E$1)&lt;=$B$1-$B$2,INDEX(IDX_COMPO!B:B,ROW(IDX_COMPO!#REF!)),IF(ROW(E258)-ROW($E$1)&lt;=$B$4,VLOOKUP(E258,STK_REF!$A$2:$J$1048576,2,0),""))</f>
        <v/>
      </c>
      <c r="J258" s="62" t="str">
        <f>IF($D258&lt;=$B$1-$B$2,IF(INDEX($AA$2:$AA$1048576,MATCH($D258,$AB$2:$AB$1048576,0))="MODIFY",INDEX(IDX_CA!$G$1:$G$1041,SUMPRODUCT(--($E258=IDX_CA!$A$2:$A$1041),--(NXT_COMPO!$P258=IDX_CA!$B$2:$B$1041),--(NXT_COMPO!$Q258=IDX_CA!$C$2:$C$1041),ROW(IDX_CA!$G$2:$G$1041))),INDEX(IDX_COMPOSITION!$F$1:$F$441,SUMPRODUCT(--($E258=IDX_COMPOSITION!$A$2:$A$441),--(NXT_COMPO!$P258=IDX_COMPOSITION!$R$2:$R$441),--(NXT_COMPO!$B$5=IDX_COMPOSITION!$L$2:$L$441),ROW(IDX_COMPOSITION!$F$2:$F$441)))),IF($D258&lt;=$B$4,INDEX(IDX_CA!$G$1:$G$1041,SUMPRODUCT(--($E258=IDX_CA!$A$2:$A$1041),--(NXT_COMPO!$P258=IDX_CA!$B$2:$B$1041),--(NXT_COMPO!$Q258=IDX_CA!$C$2:$C$1041),ROW(IDX_CA!$G$2:$G$1041))),""))</f>
        <v/>
      </c>
      <c r="K258" s="63" t="str">
        <f>IF($D258&lt;&gt;"",VLOOKUP($E258,STK_REF!$A$2:$J$1048576,7,0),"")</f>
        <v/>
      </c>
      <c r="L258" s="5" t="str">
        <f>IF($D258&lt;&gt;"",VLOOKUP($E258,STK_REF!$A$2:$J$1048576,8,0),"")</f>
        <v/>
      </c>
      <c r="M258" s="8" t="str">
        <f>IF($D258&lt;&gt;"",IF($K258=$U258,1,IF(ISNA(VLOOKUP($K258&amp;$U258,CUR_RATES!$A$2:$F$521,4,0)),"",VLOOKUP($K258&amp;$U258,CUR_RATES!$A$2:$F$521,4,0))),"")</f>
        <v/>
      </c>
      <c r="N258" s="61" t="str">
        <f t="shared" si="40"/>
        <v/>
      </c>
      <c r="O258" s="68" t="str">
        <f t="shared" si="41"/>
        <v/>
      </c>
      <c r="P258" s="24"/>
      <c r="Q258" s="2" t="str">
        <f>IF(ROW(Q258)-ROW($E$1)&lt;=$B$4,INDEX(IDX_COMPO!F:F,ROW(IDX_COMPO!#REF!)),"")</f>
        <v/>
      </c>
      <c r="R258" s="68" t="str">
        <f t="shared" si="42"/>
        <v/>
      </c>
      <c r="S258" s="61" t="str">
        <f t="shared" si="43"/>
        <v/>
      </c>
      <c r="T258" s="62" t="str">
        <f>IF(D258&lt;&gt;"",IF(SUMPRODUCT(--($E258=STK_DIV!$A$2:$A$5),--(NXT_COMPO!$Q258=STK_DIV!$E$2:$E$5),ROW(STK_DIV!$D$2:$D$5))=0,"",INDEX(STK_DIV!$D$1:$D$5,SUMPRODUCT(--($E258=STK_DIV!$A$2:$A$5),--(NXT_COMPO!$Q258=STK_DIV!$E$2:$E$5),ROW(STK_DIV!$D$2:$D$5)))),"")</f>
        <v/>
      </c>
      <c r="U258" s="54" t="str">
        <f>IF($D258&lt;&gt;"",VLOOKUP($P258,IDX_REF!$2:$1048576,4,0),"")</f>
        <v/>
      </c>
    </row>
    <row r="259" spans="4:21" x14ac:dyDescent="0.2">
      <c r="D259" s="52" t="str">
        <f t="shared" si="44"/>
        <v/>
      </c>
      <c r="E259" s="5" t="str">
        <f t="shared" ref="E259:E322" si="45">IF(D259&lt;=$B$1-$B$2,INDEX($X$2:$X$1048576,MATCH(D259,$AB$2:$AB$1048576,0)),IF(D259&lt;=$B$4,INDEX($AE$2:$AE$1048576,MATCH(D259-$B$1+$B$2,$AI$2:$AI$1048576,0)),""))</f>
        <v/>
      </c>
      <c r="F259" s="5" t="str">
        <f>IF(ROW(F259)-ROW($E$1)&lt;=$B$1-$B$2,INDEX(IDX_COMPO!B:B,ROW(IDX_COMPO!#REF!)),IF(ROW(E259)-ROW($E$1)&lt;=$B$4,VLOOKUP(E259,STK_REF!$A$2:$J$1048576,2,0),""))</f>
        <v/>
      </c>
      <c r="J259" s="62" t="str">
        <f>IF($D259&lt;=$B$1-$B$2,IF(INDEX($AA$2:$AA$1048576,MATCH($D259,$AB$2:$AB$1048576,0))="MODIFY",INDEX(IDX_CA!$G$1:$G$1041,SUMPRODUCT(--($E259=IDX_CA!$A$2:$A$1041),--(NXT_COMPO!$P259=IDX_CA!$B$2:$B$1041),--(NXT_COMPO!$Q259=IDX_CA!$C$2:$C$1041),ROW(IDX_CA!$G$2:$G$1041))),INDEX(IDX_COMPOSITION!$F$1:$F$441,SUMPRODUCT(--($E259=IDX_COMPOSITION!$A$2:$A$441),--(NXT_COMPO!$P259=IDX_COMPOSITION!$R$2:$R$441),--(NXT_COMPO!$B$5=IDX_COMPOSITION!$L$2:$L$441),ROW(IDX_COMPOSITION!$F$2:$F$441)))),IF($D259&lt;=$B$4,INDEX(IDX_CA!$G$1:$G$1041,SUMPRODUCT(--($E259=IDX_CA!$A$2:$A$1041),--(NXT_COMPO!$P259=IDX_CA!$B$2:$B$1041),--(NXT_COMPO!$Q259=IDX_CA!$C$2:$C$1041),ROW(IDX_CA!$G$2:$G$1041))),""))</f>
        <v/>
      </c>
      <c r="K259" s="63" t="str">
        <f>IF($D259&lt;&gt;"",VLOOKUP($E259,STK_REF!$A$2:$J$1048576,7,0),"")</f>
        <v/>
      </c>
      <c r="L259" s="5" t="str">
        <f>IF($D259&lt;&gt;"",VLOOKUP($E259,STK_REF!$A$2:$J$1048576,8,0),"")</f>
        <v/>
      </c>
      <c r="M259" s="8" t="str">
        <f>IF($D259&lt;&gt;"",IF($K259=$U259,1,IF(ISNA(VLOOKUP($K259&amp;$U259,CUR_RATES!$A$2:$F$521,4,0)),"",VLOOKUP($K259&amp;$U259,CUR_RATES!$A$2:$F$521,4,0))),"")</f>
        <v/>
      </c>
      <c r="N259" s="61" t="str">
        <f t="shared" ref="N259:N322" si="46">IF($D259&lt;&gt;"",$J259*$M259,"")</f>
        <v/>
      </c>
      <c r="O259" s="68" t="str">
        <f t="shared" ref="O259:O322" si="47">IF($D259&lt;&gt;"",$G259*($H259/100)*($I259/100)*$N259*(1/$L259),"")</f>
        <v/>
      </c>
      <c r="P259" s="24"/>
      <c r="Q259" s="2" t="str">
        <f>IF(ROW(Q259)-ROW($E$1)&lt;=$B$4,INDEX(IDX_COMPO!F:F,ROW(IDX_COMPO!#REF!)),"")</f>
        <v/>
      </c>
      <c r="R259" s="68" t="str">
        <f t="shared" ref="R259:R322" si="48">IF(AND($D259&lt;&gt;"",$T259&lt;&gt;""),$G259*($H259/100)*($I259/100)*$S259*(1/$L259),"")</f>
        <v/>
      </c>
      <c r="S259" s="61" t="str">
        <f t="shared" ref="S259:S322" si="49">IF($T259&lt;&gt;"",$T259*$M259,"")</f>
        <v/>
      </c>
      <c r="T259" s="62" t="str">
        <f>IF(D259&lt;&gt;"",IF(SUMPRODUCT(--($E259=STK_DIV!$A$2:$A$5),--(NXT_COMPO!$Q259=STK_DIV!$E$2:$E$5),ROW(STK_DIV!$D$2:$D$5))=0,"",INDEX(STK_DIV!$D$1:$D$5,SUMPRODUCT(--($E259=STK_DIV!$A$2:$A$5),--(NXT_COMPO!$Q259=STK_DIV!$E$2:$E$5),ROW(STK_DIV!$D$2:$D$5)))),"")</f>
        <v/>
      </c>
      <c r="U259" s="54" t="str">
        <f>IF($D259&lt;&gt;"",VLOOKUP($P259,IDX_REF!$2:$1048576,4,0),"")</f>
        <v/>
      </c>
    </row>
    <row r="260" spans="4:21" x14ac:dyDescent="0.2">
      <c r="D260" s="52" t="str">
        <f t="shared" si="44"/>
        <v/>
      </c>
      <c r="E260" s="5" t="str">
        <f t="shared" si="45"/>
        <v/>
      </c>
      <c r="F260" s="5" t="str">
        <f>IF(ROW(F260)-ROW($E$1)&lt;=$B$1-$B$2,INDEX(IDX_COMPO!B:B,ROW(IDX_COMPO!#REF!)),IF(ROW(E260)-ROW($E$1)&lt;=$B$4,VLOOKUP(E260,STK_REF!$A$2:$J$1048576,2,0),""))</f>
        <v/>
      </c>
      <c r="J260" s="62" t="str">
        <f>IF($D260&lt;=$B$1-$B$2,IF(INDEX($AA$2:$AA$1048576,MATCH($D260,$AB$2:$AB$1048576,0))="MODIFY",INDEX(IDX_CA!$G$1:$G$1041,SUMPRODUCT(--($E260=IDX_CA!$A$2:$A$1041),--(NXT_COMPO!$P260=IDX_CA!$B$2:$B$1041),--(NXT_COMPO!$Q260=IDX_CA!$C$2:$C$1041),ROW(IDX_CA!$G$2:$G$1041))),INDEX(IDX_COMPOSITION!$F$1:$F$441,SUMPRODUCT(--($E260=IDX_COMPOSITION!$A$2:$A$441),--(NXT_COMPO!$P260=IDX_COMPOSITION!$R$2:$R$441),--(NXT_COMPO!$B$5=IDX_COMPOSITION!$L$2:$L$441),ROW(IDX_COMPOSITION!$F$2:$F$441)))),IF($D260&lt;=$B$4,INDEX(IDX_CA!$G$1:$G$1041,SUMPRODUCT(--($E260=IDX_CA!$A$2:$A$1041),--(NXT_COMPO!$P260=IDX_CA!$B$2:$B$1041),--(NXT_COMPO!$Q260=IDX_CA!$C$2:$C$1041),ROW(IDX_CA!$G$2:$G$1041))),""))</f>
        <v/>
      </c>
      <c r="K260" s="63" t="str">
        <f>IF($D260&lt;&gt;"",VLOOKUP($E260,STK_REF!$A$2:$J$1048576,7,0),"")</f>
        <v/>
      </c>
      <c r="L260" s="5" t="str">
        <f>IF($D260&lt;&gt;"",VLOOKUP($E260,STK_REF!$A$2:$J$1048576,8,0),"")</f>
        <v/>
      </c>
      <c r="M260" s="8" t="str">
        <f>IF($D260&lt;&gt;"",IF($K260=$U260,1,IF(ISNA(VLOOKUP($K260&amp;$U260,CUR_RATES!$A$2:$F$521,4,0)),"",VLOOKUP($K260&amp;$U260,CUR_RATES!$A$2:$F$521,4,0))),"")</f>
        <v/>
      </c>
      <c r="N260" s="61" t="str">
        <f t="shared" si="46"/>
        <v/>
      </c>
      <c r="O260" s="68" t="str">
        <f t="shared" si="47"/>
        <v/>
      </c>
      <c r="P260" s="24"/>
      <c r="Q260" s="2" t="str">
        <f>IF(ROW(Q260)-ROW($E$1)&lt;=$B$4,INDEX(IDX_COMPO!F:F,ROW(IDX_COMPO!#REF!)),"")</f>
        <v/>
      </c>
      <c r="R260" s="68" t="str">
        <f t="shared" si="48"/>
        <v/>
      </c>
      <c r="S260" s="61" t="str">
        <f t="shared" si="49"/>
        <v/>
      </c>
      <c r="T260" s="62" t="str">
        <f>IF(D260&lt;&gt;"",IF(SUMPRODUCT(--($E260=STK_DIV!$A$2:$A$5),--(NXT_COMPO!$Q260=STK_DIV!$E$2:$E$5),ROW(STK_DIV!$D$2:$D$5))=0,"",INDEX(STK_DIV!$D$1:$D$5,SUMPRODUCT(--($E260=STK_DIV!$A$2:$A$5),--(NXT_COMPO!$Q260=STK_DIV!$E$2:$E$5),ROW(STK_DIV!$D$2:$D$5)))),"")</f>
        <v/>
      </c>
      <c r="U260" s="54" t="str">
        <f>IF($D260&lt;&gt;"",VLOOKUP($P260,IDX_REF!$2:$1048576,4,0),"")</f>
        <v/>
      </c>
    </row>
    <row r="261" spans="4:21" x14ac:dyDescent="0.2">
      <c r="D261" s="52" t="str">
        <f t="shared" si="44"/>
        <v/>
      </c>
      <c r="E261" s="5" t="str">
        <f t="shared" si="45"/>
        <v/>
      </c>
      <c r="F261" s="5" t="str">
        <f>IF(ROW(F261)-ROW($E$1)&lt;=$B$1-$B$2,INDEX(IDX_COMPO!B:B,ROW(IDX_COMPO!#REF!)),IF(ROW(E261)-ROW($E$1)&lt;=$B$4,VLOOKUP(E261,STK_REF!$A$2:$J$1048576,2,0),""))</f>
        <v/>
      </c>
      <c r="J261" s="62" t="str">
        <f>IF($D261&lt;=$B$1-$B$2,IF(INDEX($AA$2:$AA$1048576,MATCH($D261,$AB$2:$AB$1048576,0))="MODIFY",INDEX(IDX_CA!$G$1:$G$1041,SUMPRODUCT(--($E261=IDX_CA!$A$2:$A$1041),--(NXT_COMPO!$P261=IDX_CA!$B$2:$B$1041),--(NXT_COMPO!$Q261=IDX_CA!$C$2:$C$1041),ROW(IDX_CA!$G$2:$G$1041))),INDEX(IDX_COMPOSITION!$F$1:$F$441,SUMPRODUCT(--($E261=IDX_COMPOSITION!$A$2:$A$441),--(NXT_COMPO!$P261=IDX_COMPOSITION!$R$2:$R$441),--(NXT_COMPO!$B$5=IDX_COMPOSITION!$L$2:$L$441),ROW(IDX_COMPOSITION!$F$2:$F$441)))),IF($D261&lt;=$B$4,INDEX(IDX_CA!$G$1:$G$1041,SUMPRODUCT(--($E261=IDX_CA!$A$2:$A$1041),--(NXT_COMPO!$P261=IDX_CA!$B$2:$B$1041),--(NXT_COMPO!$Q261=IDX_CA!$C$2:$C$1041),ROW(IDX_CA!$G$2:$G$1041))),""))</f>
        <v/>
      </c>
      <c r="K261" s="63" t="str">
        <f>IF($D261&lt;&gt;"",VLOOKUP($E261,STK_REF!$A$2:$J$1048576,7,0),"")</f>
        <v/>
      </c>
      <c r="L261" s="5" t="str">
        <f>IF($D261&lt;&gt;"",VLOOKUP($E261,STK_REF!$A$2:$J$1048576,8,0),"")</f>
        <v/>
      </c>
      <c r="M261" s="8" t="str">
        <f>IF($D261&lt;&gt;"",IF($K261=$U261,1,IF(ISNA(VLOOKUP($K261&amp;$U261,CUR_RATES!$A$2:$F$521,4,0)),"",VLOOKUP($K261&amp;$U261,CUR_RATES!$A$2:$F$521,4,0))),"")</f>
        <v/>
      </c>
      <c r="N261" s="61" t="str">
        <f t="shared" si="46"/>
        <v/>
      </c>
      <c r="O261" s="68" t="str">
        <f t="shared" si="47"/>
        <v/>
      </c>
      <c r="P261" s="24"/>
      <c r="Q261" s="2" t="str">
        <f>IF(ROW(Q261)-ROW($E$1)&lt;=$B$4,INDEX(IDX_COMPO!F:F,ROW(IDX_COMPO!#REF!)),"")</f>
        <v/>
      </c>
      <c r="R261" s="68" t="str">
        <f t="shared" si="48"/>
        <v/>
      </c>
      <c r="S261" s="61" t="str">
        <f t="shared" si="49"/>
        <v/>
      </c>
      <c r="T261" s="62" t="str">
        <f>IF(D261&lt;&gt;"",IF(SUMPRODUCT(--($E261=STK_DIV!$A$2:$A$5),--(NXT_COMPO!$Q261=STK_DIV!$E$2:$E$5),ROW(STK_DIV!$D$2:$D$5))=0,"",INDEX(STK_DIV!$D$1:$D$5,SUMPRODUCT(--($E261=STK_DIV!$A$2:$A$5),--(NXT_COMPO!$Q261=STK_DIV!$E$2:$E$5),ROW(STK_DIV!$D$2:$D$5)))),"")</f>
        <v/>
      </c>
      <c r="U261" s="54" t="str">
        <f>IF($D261&lt;&gt;"",VLOOKUP($P261,IDX_REF!$2:$1048576,4,0),"")</f>
        <v/>
      </c>
    </row>
    <row r="262" spans="4:21" x14ac:dyDescent="0.2">
      <c r="D262" s="52" t="str">
        <f t="shared" si="44"/>
        <v/>
      </c>
      <c r="E262" s="5" t="str">
        <f t="shared" si="45"/>
        <v/>
      </c>
      <c r="F262" s="5" t="str">
        <f>IF(ROW(F262)-ROW($E$1)&lt;=$B$1-$B$2,INDEX(IDX_COMPO!B:B,ROW(IDX_COMPO!#REF!)),IF(ROW(E262)-ROW($E$1)&lt;=$B$4,VLOOKUP(E262,STK_REF!$A$2:$J$1048576,2,0),""))</f>
        <v/>
      </c>
      <c r="J262" s="62" t="str">
        <f>IF($D262&lt;=$B$1-$B$2,IF(INDEX($AA$2:$AA$1048576,MATCH($D262,$AB$2:$AB$1048576,0))="MODIFY",INDEX(IDX_CA!$G$1:$G$1041,SUMPRODUCT(--($E262=IDX_CA!$A$2:$A$1041),--(NXT_COMPO!$P262=IDX_CA!$B$2:$B$1041),--(NXT_COMPO!$Q262=IDX_CA!$C$2:$C$1041),ROW(IDX_CA!$G$2:$G$1041))),INDEX(IDX_COMPOSITION!$F$1:$F$441,SUMPRODUCT(--($E262=IDX_COMPOSITION!$A$2:$A$441),--(NXT_COMPO!$P262=IDX_COMPOSITION!$R$2:$R$441),--(NXT_COMPO!$B$5=IDX_COMPOSITION!$L$2:$L$441),ROW(IDX_COMPOSITION!$F$2:$F$441)))),IF($D262&lt;=$B$4,INDEX(IDX_CA!$G$1:$G$1041,SUMPRODUCT(--($E262=IDX_CA!$A$2:$A$1041),--(NXT_COMPO!$P262=IDX_CA!$B$2:$B$1041),--(NXT_COMPO!$Q262=IDX_CA!$C$2:$C$1041),ROW(IDX_CA!$G$2:$G$1041))),""))</f>
        <v/>
      </c>
      <c r="K262" s="63" t="str">
        <f>IF($D262&lt;&gt;"",VLOOKUP($E262,STK_REF!$A$2:$J$1048576,7,0),"")</f>
        <v/>
      </c>
      <c r="L262" s="5" t="str">
        <f>IF($D262&lt;&gt;"",VLOOKUP($E262,STK_REF!$A$2:$J$1048576,8,0),"")</f>
        <v/>
      </c>
      <c r="M262" s="8" t="str">
        <f>IF($D262&lt;&gt;"",IF($K262=$U262,1,IF(ISNA(VLOOKUP($K262&amp;$U262,CUR_RATES!$A$2:$F$521,4,0)),"",VLOOKUP($K262&amp;$U262,CUR_RATES!$A$2:$F$521,4,0))),"")</f>
        <v/>
      </c>
      <c r="N262" s="61" t="str">
        <f t="shared" si="46"/>
        <v/>
      </c>
      <c r="O262" s="68" t="str">
        <f t="shared" si="47"/>
        <v/>
      </c>
      <c r="P262" s="24"/>
      <c r="Q262" s="2" t="str">
        <f>IF(ROW(Q262)-ROW($E$1)&lt;=$B$4,INDEX(IDX_COMPO!F:F,ROW(IDX_COMPO!#REF!)),"")</f>
        <v/>
      </c>
      <c r="R262" s="68" t="str">
        <f t="shared" si="48"/>
        <v/>
      </c>
      <c r="S262" s="61" t="str">
        <f t="shared" si="49"/>
        <v/>
      </c>
      <c r="T262" s="62" t="str">
        <f>IF(D262&lt;&gt;"",IF(SUMPRODUCT(--($E262=STK_DIV!$A$2:$A$5),--(NXT_COMPO!$Q262=STK_DIV!$E$2:$E$5),ROW(STK_DIV!$D$2:$D$5))=0,"",INDEX(STK_DIV!$D$1:$D$5,SUMPRODUCT(--($E262=STK_DIV!$A$2:$A$5),--(NXT_COMPO!$Q262=STK_DIV!$E$2:$E$5),ROW(STK_DIV!$D$2:$D$5)))),"")</f>
        <v/>
      </c>
      <c r="U262" s="54" t="str">
        <f>IF($D262&lt;&gt;"",VLOOKUP($P262,IDX_REF!$2:$1048576,4,0),"")</f>
        <v/>
      </c>
    </row>
    <row r="263" spans="4:21" x14ac:dyDescent="0.2">
      <c r="D263" s="52" t="str">
        <f t="shared" si="44"/>
        <v/>
      </c>
      <c r="E263" s="5" t="str">
        <f t="shared" si="45"/>
        <v/>
      </c>
      <c r="F263" s="5" t="str">
        <f>IF(ROW(F263)-ROW($E$1)&lt;=$B$1-$B$2,INDEX(IDX_COMPO!B:B,ROW(IDX_COMPO!#REF!)),IF(ROW(E263)-ROW($E$1)&lt;=$B$4,VLOOKUP(E263,STK_REF!$A$2:$J$1048576,2,0),""))</f>
        <v/>
      </c>
      <c r="J263" s="62" t="str">
        <f>IF($D263&lt;=$B$1-$B$2,IF(INDEX($AA$2:$AA$1048576,MATCH($D263,$AB$2:$AB$1048576,0))="MODIFY",INDEX(IDX_CA!$G$1:$G$1041,SUMPRODUCT(--($E263=IDX_CA!$A$2:$A$1041),--(NXT_COMPO!$P263=IDX_CA!$B$2:$B$1041),--(NXT_COMPO!$Q263=IDX_CA!$C$2:$C$1041),ROW(IDX_CA!$G$2:$G$1041))),INDEX(IDX_COMPOSITION!$F$1:$F$441,SUMPRODUCT(--($E263=IDX_COMPOSITION!$A$2:$A$441),--(NXT_COMPO!$P263=IDX_COMPOSITION!$R$2:$R$441),--(NXT_COMPO!$B$5=IDX_COMPOSITION!$L$2:$L$441),ROW(IDX_COMPOSITION!$F$2:$F$441)))),IF($D263&lt;=$B$4,INDEX(IDX_CA!$G$1:$G$1041,SUMPRODUCT(--($E263=IDX_CA!$A$2:$A$1041),--(NXT_COMPO!$P263=IDX_CA!$B$2:$B$1041),--(NXT_COMPO!$Q263=IDX_CA!$C$2:$C$1041),ROW(IDX_CA!$G$2:$G$1041))),""))</f>
        <v/>
      </c>
      <c r="K263" s="63" t="str">
        <f>IF($D263&lt;&gt;"",VLOOKUP($E263,STK_REF!$A$2:$J$1048576,7,0),"")</f>
        <v/>
      </c>
      <c r="L263" s="5" t="str">
        <f>IF($D263&lt;&gt;"",VLOOKUP($E263,STK_REF!$A$2:$J$1048576,8,0),"")</f>
        <v/>
      </c>
      <c r="M263" s="8" t="str">
        <f>IF($D263&lt;&gt;"",IF($K263=$U263,1,IF(ISNA(VLOOKUP($K263&amp;$U263,CUR_RATES!$A$2:$F$521,4,0)),"",VLOOKUP($K263&amp;$U263,CUR_RATES!$A$2:$F$521,4,0))),"")</f>
        <v/>
      </c>
      <c r="N263" s="61" t="str">
        <f t="shared" si="46"/>
        <v/>
      </c>
      <c r="O263" s="68" t="str">
        <f t="shared" si="47"/>
        <v/>
      </c>
      <c r="P263" s="24"/>
      <c r="Q263" s="2" t="str">
        <f>IF(ROW(Q263)-ROW($E$1)&lt;=$B$4,INDEX(IDX_COMPO!F:F,ROW(IDX_COMPO!#REF!)),"")</f>
        <v/>
      </c>
      <c r="R263" s="68" t="str">
        <f t="shared" si="48"/>
        <v/>
      </c>
      <c r="S263" s="61" t="str">
        <f t="shared" si="49"/>
        <v/>
      </c>
      <c r="T263" s="62" t="str">
        <f>IF(D263&lt;&gt;"",IF(SUMPRODUCT(--($E263=STK_DIV!$A$2:$A$5),--(NXT_COMPO!$Q263=STK_DIV!$E$2:$E$5),ROW(STK_DIV!$D$2:$D$5))=0,"",INDEX(STK_DIV!$D$1:$D$5,SUMPRODUCT(--($E263=STK_DIV!$A$2:$A$5),--(NXT_COMPO!$Q263=STK_DIV!$E$2:$E$5),ROW(STK_DIV!$D$2:$D$5)))),"")</f>
        <v/>
      </c>
      <c r="U263" s="54" t="str">
        <f>IF($D263&lt;&gt;"",VLOOKUP($P263,IDX_REF!$2:$1048576,4,0),"")</f>
        <v/>
      </c>
    </row>
    <row r="264" spans="4:21" x14ac:dyDescent="0.2">
      <c r="D264" s="52" t="str">
        <f t="shared" si="44"/>
        <v/>
      </c>
      <c r="E264" s="5" t="str">
        <f t="shared" si="45"/>
        <v/>
      </c>
      <c r="F264" s="5" t="str">
        <f>IF(ROW(F264)-ROW($E$1)&lt;=$B$1-$B$2,INDEX(IDX_COMPO!B:B,ROW(IDX_COMPO!#REF!)),IF(ROW(E264)-ROW($E$1)&lt;=$B$4,VLOOKUP(E264,STK_REF!$A$2:$J$1048576,2,0),""))</f>
        <v/>
      </c>
      <c r="J264" s="62" t="str">
        <f>IF($D264&lt;=$B$1-$B$2,IF(INDEX($AA$2:$AA$1048576,MATCH($D264,$AB$2:$AB$1048576,0))="MODIFY",INDEX(IDX_CA!$G$1:$G$1041,SUMPRODUCT(--($E264=IDX_CA!$A$2:$A$1041),--(NXT_COMPO!$P264=IDX_CA!$B$2:$B$1041),--(NXT_COMPO!$Q264=IDX_CA!$C$2:$C$1041),ROW(IDX_CA!$G$2:$G$1041))),INDEX(IDX_COMPOSITION!$F$1:$F$441,SUMPRODUCT(--($E264=IDX_COMPOSITION!$A$2:$A$441),--(NXT_COMPO!$P264=IDX_COMPOSITION!$R$2:$R$441),--(NXT_COMPO!$B$5=IDX_COMPOSITION!$L$2:$L$441),ROW(IDX_COMPOSITION!$F$2:$F$441)))),IF($D264&lt;=$B$4,INDEX(IDX_CA!$G$1:$G$1041,SUMPRODUCT(--($E264=IDX_CA!$A$2:$A$1041),--(NXT_COMPO!$P264=IDX_CA!$B$2:$B$1041),--(NXT_COMPO!$Q264=IDX_CA!$C$2:$C$1041),ROW(IDX_CA!$G$2:$G$1041))),""))</f>
        <v/>
      </c>
      <c r="K264" s="63" t="str">
        <f>IF($D264&lt;&gt;"",VLOOKUP($E264,STK_REF!$A$2:$J$1048576,7,0),"")</f>
        <v/>
      </c>
      <c r="L264" s="5" t="str">
        <f>IF($D264&lt;&gt;"",VLOOKUP($E264,STK_REF!$A$2:$J$1048576,8,0),"")</f>
        <v/>
      </c>
      <c r="M264" s="8" t="str">
        <f>IF($D264&lt;&gt;"",IF($K264=$U264,1,IF(ISNA(VLOOKUP($K264&amp;$U264,CUR_RATES!$A$2:$F$521,4,0)),"",VLOOKUP($K264&amp;$U264,CUR_RATES!$A$2:$F$521,4,0))),"")</f>
        <v/>
      </c>
      <c r="N264" s="61" t="str">
        <f t="shared" si="46"/>
        <v/>
      </c>
      <c r="O264" s="68" t="str">
        <f t="shared" si="47"/>
        <v/>
      </c>
      <c r="P264" s="24"/>
      <c r="Q264" s="2" t="str">
        <f>IF(ROW(Q264)-ROW($E$1)&lt;=$B$4,INDEX(IDX_COMPO!F:F,ROW(IDX_COMPO!#REF!)),"")</f>
        <v/>
      </c>
      <c r="R264" s="68" t="str">
        <f t="shared" si="48"/>
        <v/>
      </c>
      <c r="S264" s="61" t="str">
        <f t="shared" si="49"/>
        <v/>
      </c>
      <c r="T264" s="62" t="str">
        <f>IF(D264&lt;&gt;"",IF(SUMPRODUCT(--($E264=STK_DIV!$A$2:$A$5),--(NXT_COMPO!$Q264=STK_DIV!$E$2:$E$5),ROW(STK_DIV!$D$2:$D$5))=0,"",INDEX(STK_DIV!$D$1:$D$5,SUMPRODUCT(--($E264=STK_DIV!$A$2:$A$5),--(NXT_COMPO!$Q264=STK_DIV!$E$2:$E$5),ROW(STK_DIV!$D$2:$D$5)))),"")</f>
        <v/>
      </c>
      <c r="U264" s="54" t="str">
        <f>IF($D264&lt;&gt;"",VLOOKUP($P264,IDX_REF!$2:$1048576,4,0),"")</f>
        <v/>
      </c>
    </row>
    <row r="265" spans="4:21" x14ac:dyDescent="0.2">
      <c r="D265" s="52" t="str">
        <f t="shared" si="44"/>
        <v/>
      </c>
      <c r="E265" s="5" t="str">
        <f t="shared" si="45"/>
        <v/>
      </c>
      <c r="F265" s="5" t="str">
        <f>IF(ROW(F265)-ROW($E$1)&lt;=$B$1-$B$2,INDEX(IDX_COMPO!B:B,ROW(IDX_COMPO!#REF!)),IF(ROW(E265)-ROW($E$1)&lt;=$B$4,VLOOKUP(E265,STK_REF!$A$2:$J$1048576,2,0),""))</f>
        <v/>
      </c>
      <c r="J265" s="62" t="str">
        <f>IF($D265&lt;=$B$1-$B$2,IF(INDEX($AA$2:$AA$1048576,MATCH($D265,$AB$2:$AB$1048576,0))="MODIFY",INDEX(IDX_CA!$G$1:$G$1041,SUMPRODUCT(--($E265=IDX_CA!$A$2:$A$1041),--(NXT_COMPO!$P265=IDX_CA!$B$2:$B$1041),--(NXT_COMPO!$Q265=IDX_CA!$C$2:$C$1041),ROW(IDX_CA!$G$2:$G$1041))),INDEX(IDX_COMPOSITION!$F$1:$F$441,SUMPRODUCT(--($E265=IDX_COMPOSITION!$A$2:$A$441),--(NXT_COMPO!$P265=IDX_COMPOSITION!$R$2:$R$441),--(NXT_COMPO!$B$5=IDX_COMPOSITION!$L$2:$L$441),ROW(IDX_COMPOSITION!$F$2:$F$441)))),IF($D265&lt;=$B$4,INDEX(IDX_CA!$G$1:$G$1041,SUMPRODUCT(--($E265=IDX_CA!$A$2:$A$1041),--(NXT_COMPO!$P265=IDX_CA!$B$2:$B$1041),--(NXT_COMPO!$Q265=IDX_CA!$C$2:$C$1041),ROW(IDX_CA!$G$2:$G$1041))),""))</f>
        <v/>
      </c>
      <c r="K265" s="63" t="str">
        <f>IF($D265&lt;&gt;"",VLOOKUP($E265,STK_REF!$A$2:$J$1048576,7,0),"")</f>
        <v/>
      </c>
      <c r="L265" s="5" t="str">
        <f>IF($D265&lt;&gt;"",VLOOKUP($E265,STK_REF!$A$2:$J$1048576,8,0),"")</f>
        <v/>
      </c>
      <c r="M265" s="8" t="str">
        <f>IF($D265&lt;&gt;"",IF($K265=$U265,1,IF(ISNA(VLOOKUP($K265&amp;$U265,CUR_RATES!$A$2:$F$521,4,0)),"",VLOOKUP($K265&amp;$U265,CUR_RATES!$A$2:$F$521,4,0))),"")</f>
        <v/>
      </c>
      <c r="N265" s="61" t="str">
        <f t="shared" si="46"/>
        <v/>
      </c>
      <c r="O265" s="68" t="str">
        <f t="shared" si="47"/>
        <v/>
      </c>
      <c r="P265" s="24"/>
      <c r="Q265" s="2" t="str">
        <f>IF(ROW(Q265)-ROW($E$1)&lt;=$B$4,INDEX(IDX_COMPO!F:F,ROW(IDX_COMPO!#REF!)),"")</f>
        <v/>
      </c>
      <c r="R265" s="68" t="str">
        <f t="shared" si="48"/>
        <v/>
      </c>
      <c r="S265" s="61" t="str">
        <f t="shared" si="49"/>
        <v/>
      </c>
      <c r="T265" s="62" t="str">
        <f>IF(D265&lt;&gt;"",IF(SUMPRODUCT(--($E265=STK_DIV!$A$2:$A$5),--(NXT_COMPO!$Q265=STK_DIV!$E$2:$E$5),ROW(STK_DIV!$D$2:$D$5))=0,"",INDEX(STK_DIV!$D$1:$D$5,SUMPRODUCT(--($E265=STK_DIV!$A$2:$A$5),--(NXT_COMPO!$Q265=STK_DIV!$E$2:$E$5),ROW(STK_DIV!$D$2:$D$5)))),"")</f>
        <v/>
      </c>
      <c r="U265" s="54" t="str">
        <f>IF($D265&lt;&gt;"",VLOOKUP($P265,IDX_REF!$2:$1048576,4,0),"")</f>
        <v/>
      </c>
    </row>
    <row r="266" spans="4:21" x14ac:dyDescent="0.2">
      <c r="D266" s="52" t="str">
        <f t="shared" si="44"/>
        <v/>
      </c>
      <c r="E266" s="5" t="str">
        <f t="shared" si="45"/>
        <v/>
      </c>
      <c r="F266" s="5" t="str">
        <f>IF(ROW(F266)-ROW($E$1)&lt;=$B$1-$B$2,INDEX(IDX_COMPO!B:B,ROW(IDX_COMPO!#REF!)),IF(ROW(E266)-ROW($E$1)&lt;=$B$4,VLOOKUP(E266,STK_REF!$A$2:$J$1048576,2,0),""))</f>
        <v/>
      </c>
      <c r="J266" s="62" t="str">
        <f>IF($D266&lt;=$B$1-$B$2,IF(INDEX($AA$2:$AA$1048576,MATCH($D266,$AB$2:$AB$1048576,0))="MODIFY",INDEX(IDX_CA!$G$1:$G$1041,SUMPRODUCT(--($E266=IDX_CA!$A$2:$A$1041),--(NXT_COMPO!$P266=IDX_CA!$B$2:$B$1041),--(NXT_COMPO!$Q266=IDX_CA!$C$2:$C$1041),ROW(IDX_CA!$G$2:$G$1041))),INDEX(IDX_COMPOSITION!$F$1:$F$441,SUMPRODUCT(--($E266=IDX_COMPOSITION!$A$2:$A$441),--(NXT_COMPO!$P266=IDX_COMPOSITION!$R$2:$R$441),--(NXT_COMPO!$B$5=IDX_COMPOSITION!$L$2:$L$441),ROW(IDX_COMPOSITION!$F$2:$F$441)))),IF($D266&lt;=$B$4,INDEX(IDX_CA!$G$1:$G$1041,SUMPRODUCT(--($E266=IDX_CA!$A$2:$A$1041),--(NXT_COMPO!$P266=IDX_CA!$B$2:$B$1041),--(NXT_COMPO!$Q266=IDX_CA!$C$2:$C$1041),ROW(IDX_CA!$G$2:$G$1041))),""))</f>
        <v/>
      </c>
      <c r="K266" s="63" t="str">
        <f>IF($D266&lt;&gt;"",VLOOKUP($E266,STK_REF!$A$2:$J$1048576,7,0),"")</f>
        <v/>
      </c>
      <c r="L266" s="5" t="str">
        <f>IF($D266&lt;&gt;"",VLOOKUP($E266,STK_REF!$A$2:$J$1048576,8,0),"")</f>
        <v/>
      </c>
      <c r="M266" s="8" t="str">
        <f>IF($D266&lt;&gt;"",IF($K266=$U266,1,IF(ISNA(VLOOKUP($K266&amp;$U266,CUR_RATES!$A$2:$F$521,4,0)),"",VLOOKUP($K266&amp;$U266,CUR_RATES!$A$2:$F$521,4,0))),"")</f>
        <v/>
      </c>
      <c r="N266" s="61" t="str">
        <f t="shared" si="46"/>
        <v/>
      </c>
      <c r="O266" s="68" t="str">
        <f t="shared" si="47"/>
        <v/>
      </c>
      <c r="P266" s="24"/>
      <c r="Q266" s="2" t="str">
        <f>IF(ROW(Q266)-ROW($E$1)&lt;=$B$4,INDEX(IDX_COMPO!F:F,ROW(IDX_COMPO!#REF!)),"")</f>
        <v/>
      </c>
      <c r="R266" s="68" t="str">
        <f t="shared" si="48"/>
        <v/>
      </c>
      <c r="S266" s="61" t="str">
        <f t="shared" si="49"/>
        <v/>
      </c>
      <c r="T266" s="62" t="str">
        <f>IF(D266&lt;&gt;"",IF(SUMPRODUCT(--($E266=STK_DIV!$A$2:$A$5),--(NXT_COMPO!$Q266=STK_DIV!$E$2:$E$5),ROW(STK_DIV!$D$2:$D$5))=0,"",INDEX(STK_DIV!$D$1:$D$5,SUMPRODUCT(--($E266=STK_DIV!$A$2:$A$5),--(NXT_COMPO!$Q266=STK_DIV!$E$2:$E$5),ROW(STK_DIV!$D$2:$D$5)))),"")</f>
        <v/>
      </c>
      <c r="U266" s="54" t="str">
        <f>IF($D266&lt;&gt;"",VLOOKUP($P266,IDX_REF!$2:$1048576,4,0),"")</f>
        <v/>
      </c>
    </row>
    <row r="267" spans="4:21" x14ac:dyDescent="0.2">
      <c r="D267" s="52" t="str">
        <f t="shared" si="44"/>
        <v/>
      </c>
      <c r="E267" s="5" t="str">
        <f t="shared" si="45"/>
        <v/>
      </c>
      <c r="F267" s="5" t="str">
        <f>IF(ROW(F267)-ROW($E$1)&lt;=$B$1-$B$2,INDEX(IDX_COMPO!B:B,ROW(IDX_COMPO!#REF!)),IF(ROW(E267)-ROW($E$1)&lt;=$B$4,VLOOKUP(E267,STK_REF!$A$2:$J$1048576,2,0),""))</f>
        <v/>
      </c>
      <c r="J267" s="62" t="str">
        <f>IF($D267&lt;=$B$1-$B$2,IF(INDEX($AA$2:$AA$1048576,MATCH($D267,$AB$2:$AB$1048576,0))="MODIFY",INDEX(IDX_CA!$G$1:$G$1041,SUMPRODUCT(--($E267=IDX_CA!$A$2:$A$1041),--(NXT_COMPO!$P267=IDX_CA!$B$2:$B$1041),--(NXT_COMPO!$Q267=IDX_CA!$C$2:$C$1041),ROW(IDX_CA!$G$2:$G$1041))),INDEX(IDX_COMPOSITION!$F$1:$F$441,SUMPRODUCT(--($E267=IDX_COMPOSITION!$A$2:$A$441),--(NXT_COMPO!$P267=IDX_COMPOSITION!$R$2:$R$441),--(NXT_COMPO!$B$5=IDX_COMPOSITION!$L$2:$L$441),ROW(IDX_COMPOSITION!$F$2:$F$441)))),IF($D267&lt;=$B$4,INDEX(IDX_CA!$G$1:$G$1041,SUMPRODUCT(--($E267=IDX_CA!$A$2:$A$1041),--(NXT_COMPO!$P267=IDX_CA!$B$2:$B$1041),--(NXT_COMPO!$Q267=IDX_CA!$C$2:$C$1041),ROW(IDX_CA!$G$2:$G$1041))),""))</f>
        <v/>
      </c>
      <c r="K267" s="63" t="str">
        <f>IF($D267&lt;&gt;"",VLOOKUP($E267,STK_REF!$A$2:$J$1048576,7,0),"")</f>
        <v/>
      </c>
      <c r="L267" s="5" t="str">
        <f>IF($D267&lt;&gt;"",VLOOKUP($E267,STK_REF!$A$2:$J$1048576,8,0),"")</f>
        <v/>
      </c>
      <c r="M267" s="8" t="str">
        <f>IF($D267&lt;&gt;"",IF($K267=$U267,1,IF(ISNA(VLOOKUP($K267&amp;$U267,CUR_RATES!$A$2:$F$521,4,0)),"",VLOOKUP($K267&amp;$U267,CUR_RATES!$A$2:$F$521,4,0))),"")</f>
        <v/>
      </c>
      <c r="N267" s="61" t="str">
        <f t="shared" si="46"/>
        <v/>
      </c>
      <c r="O267" s="68" t="str">
        <f t="shared" si="47"/>
        <v/>
      </c>
      <c r="P267" s="24"/>
      <c r="Q267" s="2" t="str">
        <f>IF(ROW(Q267)-ROW($E$1)&lt;=$B$4,INDEX(IDX_COMPO!F:F,ROW(IDX_COMPO!#REF!)),"")</f>
        <v/>
      </c>
      <c r="R267" s="68" t="str">
        <f t="shared" si="48"/>
        <v/>
      </c>
      <c r="S267" s="61" t="str">
        <f t="shared" si="49"/>
        <v/>
      </c>
      <c r="T267" s="62" t="str">
        <f>IF(D267&lt;&gt;"",IF(SUMPRODUCT(--($E267=STK_DIV!$A$2:$A$5),--(NXT_COMPO!$Q267=STK_DIV!$E$2:$E$5),ROW(STK_DIV!$D$2:$D$5))=0,"",INDEX(STK_DIV!$D$1:$D$5,SUMPRODUCT(--($E267=STK_DIV!$A$2:$A$5),--(NXT_COMPO!$Q267=STK_DIV!$E$2:$E$5),ROW(STK_DIV!$D$2:$D$5)))),"")</f>
        <v/>
      </c>
      <c r="U267" s="54" t="str">
        <f>IF($D267&lt;&gt;"",VLOOKUP($P267,IDX_REF!$2:$1048576,4,0),"")</f>
        <v/>
      </c>
    </row>
    <row r="268" spans="4:21" x14ac:dyDescent="0.2">
      <c r="D268" s="52" t="str">
        <f t="shared" si="44"/>
        <v/>
      </c>
      <c r="E268" s="5" t="str">
        <f t="shared" si="45"/>
        <v/>
      </c>
      <c r="F268" s="5" t="str">
        <f>IF(ROW(F268)-ROW($E$1)&lt;=$B$1-$B$2,INDEX(IDX_COMPO!B:B,ROW(IDX_COMPO!#REF!)),IF(ROW(E268)-ROW($E$1)&lt;=$B$4,VLOOKUP(E268,STK_REF!$A$2:$J$1048576,2,0),""))</f>
        <v/>
      </c>
      <c r="J268" s="62" t="str">
        <f>IF($D268&lt;=$B$1-$B$2,IF(INDEX($AA$2:$AA$1048576,MATCH($D268,$AB$2:$AB$1048576,0))="MODIFY",INDEX(IDX_CA!$G$1:$G$1041,SUMPRODUCT(--($E268=IDX_CA!$A$2:$A$1041),--(NXT_COMPO!$P268=IDX_CA!$B$2:$B$1041),--(NXT_COMPO!$Q268=IDX_CA!$C$2:$C$1041),ROW(IDX_CA!$G$2:$G$1041))),INDEX(IDX_COMPOSITION!$F$1:$F$441,SUMPRODUCT(--($E268=IDX_COMPOSITION!$A$2:$A$441),--(NXT_COMPO!$P268=IDX_COMPOSITION!$R$2:$R$441),--(NXT_COMPO!$B$5=IDX_COMPOSITION!$L$2:$L$441),ROW(IDX_COMPOSITION!$F$2:$F$441)))),IF($D268&lt;=$B$4,INDEX(IDX_CA!$G$1:$G$1041,SUMPRODUCT(--($E268=IDX_CA!$A$2:$A$1041),--(NXT_COMPO!$P268=IDX_CA!$B$2:$B$1041),--(NXT_COMPO!$Q268=IDX_CA!$C$2:$C$1041),ROW(IDX_CA!$G$2:$G$1041))),""))</f>
        <v/>
      </c>
      <c r="K268" s="63" t="str">
        <f>IF($D268&lt;&gt;"",VLOOKUP($E268,STK_REF!$A$2:$J$1048576,7,0),"")</f>
        <v/>
      </c>
      <c r="L268" s="5" t="str">
        <f>IF($D268&lt;&gt;"",VLOOKUP($E268,STK_REF!$A$2:$J$1048576,8,0),"")</f>
        <v/>
      </c>
      <c r="M268" s="8" t="str">
        <f>IF($D268&lt;&gt;"",IF($K268=$U268,1,IF(ISNA(VLOOKUP($K268&amp;$U268,CUR_RATES!$A$2:$F$521,4,0)),"",VLOOKUP($K268&amp;$U268,CUR_RATES!$A$2:$F$521,4,0))),"")</f>
        <v/>
      </c>
      <c r="N268" s="61" t="str">
        <f t="shared" si="46"/>
        <v/>
      </c>
      <c r="O268" s="68" t="str">
        <f t="shared" si="47"/>
        <v/>
      </c>
      <c r="P268" s="24"/>
      <c r="Q268" s="2" t="str">
        <f>IF(ROW(Q268)-ROW($E$1)&lt;=$B$4,INDEX(IDX_COMPO!F:F,ROW(IDX_COMPO!#REF!)),"")</f>
        <v/>
      </c>
      <c r="R268" s="68" t="str">
        <f t="shared" si="48"/>
        <v/>
      </c>
      <c r="S268" s="61" t="str">
        <f t="shared" si="49"/>
        <v/>
      </c>
      <c r="T268" s="62" t="str">
        <f>IF(D268&lt;&gt;"",IF(SUMPRODUCT(--($E268=STK_DIV!$A$2:$A$5),--(NXT_COMPO!$Q268=STK_DIV!$E$2:$E$5),ROW(STK_DIV!$D$2:$D$5))=0,"",INDEX(STK_DIV!$D$1:$D$5,SUMPRODUCT(--($E268=STK_DIV!$A$2:$A$5),--(NXT_COMPO!$Q268=STK_DIV!$E$2:$E$5),ROW(STK_DIV!$D$2:$D$5)))),"")</f>
        <v/>
      </c>
      <c r="U268" s="54" t="str">
        <f>IF($D268&lt;&gt;"",VLOOKUP($P268,IDX_REF!$2:$1048576,4,0),"")</f>
        <v/>
      </c>
    </row>
    <row r="269" spans="4:21" x14ac:dyDescent="0.2">
      <c r="D269" s="52" t="str">
        <f t="shared" si="44"/>
        <v/>
      </c>
      <c r="E269" s="5" t="str">
        <f t="shared" si="45"/>
        <v/>
      </c>
      <c r="F269" s="5" t="str">
        <f>IF(ROW(F269)-ROW($E$1)&lt;=$B$1-$B$2,INDEX(IDX_COMPO!B:B,ROW(IDX_COMPO!#REF!)),IF(ROW(E269)-ROW($E$1)&lt;=$B$4,VLOOKUP(E269,STK_REF!$A$2:$J$1048576,2,0),""))</f>
        <v/>
      </c>
      <c r="J269" s="62" t="str">
        <f>IF($D269&lt;=$B$1-$B$2,IF(INDEX($AA$2:$AA$1048576,MATCH($D269,$AB$2:$AB$1048576,0))="MODIFY",INDEX(IDX_CA!$G$1:$G$1041,SUMPRODUCT(--($E269=IDX_CA!$A$2:$A$1041),--(NXT_COMPO!$P269=IDX_CA!$B$2:$B$1041),--(NXT_COMPO!$Q269=IDX_CA!$C$2:$C$1041),ROW(IDX_CA!$G$2:$G$1041))),INDEX(IDX_COMPOSITION!$F$1:$F$441,SUMPRODUCT(--($E269=IDX_COMPOSITION!$A$2:$A$441),--(NXT_COMPO!$P269=IDX_COMPOSITION!$R$2:$R$441),--(NXT_COMPO!$B$5=IDX_COMPOSITION!$L$2:$L$441),ROW(IDX_COMPOSITION!$F$2:$F$441)))),IF($D269&lt;=$B$4,INDEX(IDX_CA!$G$1:$G$1041,SUMPRODUCT(--($E269=IDX_CA!$A$2:$A$1041),--(NXT_COMPO!$P269=IDX_CA!$B$2:$B$1041),--(NXT_COMPO!$Q269=IDX_CA!$C$2:$C$1041),ROW(IDX_CA!$G$2:$G$1041))),""))</f>
        <v/>
      </c>
      <c r="K269" s="63" t="str">
        <f>IF($D269&lt;&gt;"",VLOOKUP($E269,STK_REF!$A$2:$J$1048576,7,0),"")</f>
        <v/>
      </c>
      <c r="L269" s="5" t="str">
        <f>IF($D269&lt;&gt;"",VLOOKUP($E269,STK_REF!$A$2:$J$1048576,8,0),"")</f>
        <v/>
      </c>
      <c r="M269" s="8" t="str">
        <f>IF($D269&lt;&gt;"",IF($K269=$U269,1,IF(ISNA(VLOOKUP($K269&amp;$U269,CUR_RATES!$A$2:$F$521,4,0)),"",VLOOKUP($K269&amp;$U269,CUR_RATES!$A$2:$F$521,4,0))),"")</f>
        <v/>
      </c>
      <c r="N269" s="61" t="str">
        <f t="shared" si="46"/>
        <v/>
      </c>
      <c r="O269" s="68" t="str">
        <f t="shared" si="47"/>
        <v/>
      </c>
      <c r="P269" s="24"/>
      <c r="Q269" s="2" t="str">
        <f>IF(ROW(Q269)-ROW($E$1)&lt;=$B$4,INDEX(IDX_COMPO!F:F,ROW(IDX_COMPO!#REF!)),"")</f>
        <v/>
      </c>
      <c r="R269" s="68" t="str">
        <f t="shared" si="48"/>
        <v/>
      </c>
      <c r="S269" s="61" t="str">
        <f t="shared" si="49"/>
        <v/>
      </c>
      <c r="T269" s="62" t="str">
        <f>IF(D269&lt;&gt;"",IF(SUMPRODUCT(--($E269=STK_DIV!$A$2:$A$5),--(NXT_COMPO!$Q269=STK_DIV!$E$2:$E$5),ROW(STK_DIV!$D$2:$D$5))=0,"",INDEX(STK_DIV!$D$1:$D$5,SUMPRODUCT(--($E269=STK_DIV!$A$2:$A$5),--(NXT_COMPO!$Q269=STK_DIV!$E$2:$E$5),ROW(STK_DIV!$D$2:$D$5)))),"")</f>
        <v/>
      </c>
      <c r="U269" s="54" t="str">
        <f>IF($D269&lt;&gt;"",VLOOKUP($P269,IDX_REF!$2:$1048576,4,0),"")</f>
        <v/>
      </c>
    </row>
    <row r="270" spans="4:21" x14ac:dyDescent="0.2">
      <c r="D270" s="52" t="str">
        <f t="shared" si="44"/>
        <v/>
      </c>
      <c r="E270" s="5" t="str">
        <f t="shared" si="45"/>
        <v/>
      </c>
      <c r="F270" s="5" t="str">
        <f>IF(ROW(F270)-ROW($E$1)&lt;=$B$1-$B$2,INDEX(IDX_COMPO!B:B,ROW(IDX_COMPO!#REF!)),IF(ROW(E270)-ROW($E$1)&lt;=$B$4,VLOOKUP(E270,STK_REF!$A$2:$J$1048576,2,0),""))</f>
        <v/>
      </c>
      <c r="J270" s="62" t="str">
        <f>IF($D270&lt;=$B$1-$B$2,IF(INDEX($AA$2:$AA$1048576,MATCH($D270,$AB$2:$AB$1048576,0))="MODIFY",INDEX(IDX_CA!$G$1:$G$1041,SUMPRODUCT(--($E270=IDX_CA!$A$2:$A$1041),--(NXT_COMPO!$P270=IDX_CA!$B$2:$B$1041),--(NXT_COMPO!$Q270=IDX_CA!$C$2:$C$1041),ROW(IDX_CA!$G$2:$G$1041))),INDEX(IDX_COMPOSITION!$F$1:$F$441,SUMPRODUCT(--($E270=IDX_COMPOSITION!$A$2:$A$441),--(NXT_COMPO!$P270=IDX_COMPOSITION!$R$2:$R$441),--(NXT_COMPO!$B$5=IDX_COMPOSITION!$L$2:$L$441),ROW(IDX_COMPOSITION!$F$2:$F$441)))),IF($D270&lt;=$B$4,INDEX(IDX_CA!$G$1:$G$1041,SUMPRODUCT(--($E270=IDX_CA!$A$2:$A$1041),--(NXT_COMPO!$P270=IDX_CA!$B$2:$B$1041),--(NXT_COMPO!$Q270=IDX_CA!$C$2:$C$1041),ROW(IDX_CA!$G$2:$G$1041))),""))</f>
        <v/>
      </c>
      <c r="K270" s="63" t="str">
        <f>IF($D270&lt;&gt;"",VLOOKUP($E270,STK_REF!$A$2:$J$1048576,7,0),"")</f>
        <v/>
      </c>
      <c r="L270" s="5" t="str">
        <f>IF($D270&lt;&gt;"",VLOOKUP($E270,STK_REF!$A$2:$J$1048576,8,0),"")</f>
        <v/>
      </c>
      <c r="M270" s="8" t="str">
        <f>IF($D270&lt;&gt;"",IF($K270=$U270,1,IF(ISNA(VLOOKUP($K270&amp;$U270,CUR_RATES!$A$2:$F$521,4,0)),"",VLOOKUP($K270&amp;$U270,CUR_RATES!$A$2:$F$521,4,0))),"")</f>
        <v/>
      </c>
      <c r="N270" s="61" t="str">
        <f t="shared" si="46"/>
        <v/>
      </c>
      <c r="O270" s="68" t="str">
        <f t="shared" si="47"/>
        <v/>
      </c>
      <c r="P270" s="24"/>
      <c r="Q270" s="2" t="str">
        <f>IF(ROW(Q270)-ROW($E$1)&lt;=$B$4,INDEX(IDX_COMPO!F:F,ROW(IDX_COMPO!#REF!)),"")</f>
        <v/>
      </c>
      <c r="R270" s="68" t="str">
        <f t="shared" si="48"/>
        <v/>
      </c>
      <c r="S270" s="61" t="str">
        <f t="shared" si="49"/>
        <v/>
      </c>
      <c r="T270" s="62" t="str">
        <f>IF(D270&lt;&gt;"",IF(SUMPRODUCT(--($E270=STK_DIV!$A$2:$A$5),--(NXT_COMPO!$Q270=STK_DIV!$E$2:$E$5),ROW(STK_DIV!$D$2:$D$5))=0,"",INDEX(STK_DIV!$D$1:$D$5,SUMPRODUCT(--($E270=STK_DIV!$A$2:$A$5),--(NXT_COMPO!$Q270=STK_DIV!$E$2:$E$5),ROW(STK_DIV!$D$2:$D$5)))),"")</f>
        <v/>
      </c>
      <c r="U270" s="54" t="str">
        <f>IF($D270&lt;&gt;"",VLOOKUP($P270,IDX_REF!$2:$1048576,4,0),"")</f>
        <v/>
      </c>
    </row>
    <row r="271" spans="4:21" x14ac:dyDescent="0.2">
      <c r="D271" s="52" t="str">
        <f t="shared" si="44"/>
        <v/>
      </c>
      <c r="E271" s="5" t="str">
        <f t="shared" si="45"/>
        <v/>
      </c>
      <c r="F271" s="5" t="str">
        <f>IF(ROW(F271)-ROW($E$1)&lt;=$B$1-$B$2,INDEX(IDX_COMPO!B:B,ROW(IDX_COMPO!#REF!)),IF(ROW(E271)-ROW($E$1)&lt;=$B$4,VLOOKUP(E271,STK_REF!$A$2:$J$1048576,2,0),""))</f>
        <v/>
      </c>
      <c r="J271" s="62" t="str">
        <f>IF($D271&lt;=$B$1-$B$2,IF(INDEX($AA$2:$AA$1048576,MATCH($D271,$AB$2:$AB$1048576,0))="MODIFY",INDEX(IDX_CA!$G$1:$G$1041,SUMPRODUCT(--($E271=IDX_CA!$A$2:$A$1041),--(NXT_COMPO!$P271=IDX_CA!$B$2:$B$1041),--(NXT_COMPO!$Q271=IDX_CA!$C$2:$C$1041),ROW(IDX_CA!$G$2:$G$1041))),INDEX(IDX_COMPOSITION!$F$1:$F$441,SUMPRODUCT(--($E271=IDX_COMPOSITION!$A$2:$A$441),--(NXT_COMPO!$P271=IDX_COMPOSITION!$R$2:$R$441),--(NXT_COMPO!$B$5=IDX_COMPOSITION!$L$2:$L$441),ROW(IDX_COMPOSITION!$F$2:$F$441)))),IF($D271&lt;=$B$4,INDEX(IDX_CA!$G$1:$G$1041,SUMPRODUCT(--($E271=IDX_CA!$A$2:$A$1041),--(NXT_COMPO!$P271=IDX_CA!$B$2:$B$1041),--(NXT_COMPO!$Q271=IDX_CA!$C$2:$C$1041),ROW(IDX_CA!$G$2:$G$1041))),""))</f>
        <v/>
      </c>
      <c r="K271" s="63" t="str">
        <f>IF($D271&lt;&gt;"",VLOOKUP($E271,STK_REF!$A$2:$J$1048576,7,0),"")</f>
        <v/>
      </c>
      <c r="L271" s="5" t="str">
        <f>IF($D271&lt;&gt;"",VLOOKUP($E271,STK_REF!$A$2:$J$1048576,8,0),"")</f>
        <v/>
      </c>
      <c r="M271" s="8" t="str">
        <f>IF($D271&lt;&gt;"",IF($K271=$U271,1,IF(ISNA(VLOOKUP($K271&amp;$U271,CUR_RATES!$A$2:$F$521,4,0)),"",VLOOKUP($K271&amp;$U271,CUR_RATES!$A$2:$F$521,4,0))),"")</f>
        <v/>
      </c>
      <c r="N271" s="61" t="str">
        <f t="shared" si="46"/>
        <v/>
      </c>
      <c r="O271" s="68" t="str">
        <f t="shared" si="47"/>
        <v/>
      </c>
      <c r="P271" s="24"/>
      <c r="Q271" s="2" t="str">
        <f>IF(ROW(Q271)-ROW($E$1)&lt;=$B$4,INDEX(IDX_COMPO!F:F,ROW(IDX_COMPO!#REF!)),"")</f>
        <v/>
      </c>
      <c r="R271" s="68" t="str">
        <f t="shared" si="48"/>
        <v/>
      </c>
      <c r="S271" s="61" t="str">
        <f t="shared" si="49"/>
        <v/>
      </c>
      <c r="T271" s="62" t="str">
        <f>IF(D271&lt;&gt;"",IF(SUMPRODUCT(--($E271=STK_DIV!$A$2:$A$5),--(NXT_COMPO!$Q271=STK_DIV!$E$2:$E$5),ROW(STK_DIV!$D$2:$D$5))=0,"",INDEX(STK_DIV!$D$1:$D$5,SUMPRODUCT(--($E271=STK_DIV!$A$2:$A$5),--(NXT_COMPO!$Q271=STK_DIV!$E$2:$E$5),ROW(STK_DIV!$D$2:$D$5)))),"")</f>
        <v/>
      </c>
      <c r="U271" s="54" t="str">
        <f>IF($D271&lt;&gt;"",VLOOKUP($P271,IDX_REF!$2:$1048576,4,0),"")</f>
        <v/>
      </c>
    </row>
    <row r="272" spans="4:21" x14ac:dyDescent="0.2">
      <c r="D272" s="52" t="str">
        <f t="shared" si="44"/>
        <v/>
      </c>
      <c r="E272" s="5" t="str">
        <f t="shared" si="45"/>
        <v/>
      </c>
      <c r="F272" s="5" t="str">
        <f>IF(ROW(F272)-ROW($E$1)&lt;=$B$1-$B$2,INDEX(IDX_COMPO!B:B,ROW(IDX_COMPO!#REF!)),IF(ROW(E272)-ROW($E$1)&lt;=$B$4,VLOOKUP(E272,STK_REF!$A$2:$J$1048576,2,0),""))</f>
        <v/>
      </c>
      <c r="J272" s="62" t="str">
        <f>IF($D272&lt;=$B$1-$B$2,IF(INDEX($AA$2:$AA$1048576,MATCH($D272,$AB$2:$AB$1048576,0))="MODIFY",INDEX(IDX_CA!$G$1:$G$1041,SUMPRODUCT(--($E272=IDX_CA!$A$2:$A$1041),--(NXT_COMPO!$P272=IDX_CA!$B$2:$B$1041),--(NXT_COMPO!$Q272=IDX_CA!$C$2:$C$1041),ROW(IDX_CA!$G$2:$G$1041))),INDEX(IDX_COMPOSITION!$F$1:$F$441,SUMPRODUCT(--($E272=IDX_COMPOSITION!$A$2:$A$441),--(NXT_COMPO!$P272=IDX_COMPOSITION!$R$2:$R$441),--(NXT_COMPO!$B$5=IDX_COMPOSITION!$L$2:$L$441),ROW(IDX_COMPOSITION!$F$2:$F$441)))),IF($D272&lt;=$B$4,INDEX(IDX_CA!$G$1:$G$1041,SUMPRODUCT(--($E272=IDX_CA!$A$2:$A$1041),--(NXT_COMPO!$P272=IDX_CA!$B$2:$B$1041),--(NXT_COMPO!$Q272=IDX_CA!$C$2:$C$1041),ROW(IDX_CA!$G$2:$G$1041))),""))</f>
        <v/>
      </c>
      <c r="K272" s="63" t="str">
        <f>IF($D272&lt;&gt;"",VLOOKUP($E272,STK_REF!$A$2:$J$1048576,7,0),"")</f>
        <v/>
      </c>
      <c r="L272" s="5" t="str">
        <f>IF($D272&lt;&gt;"",VLOOKUP($E272,STK_REF!$A$2:$J$1048576,8,0),"")</f>
        <v/>
      </c>
      <c r="M272" s="8" t="str">
        <f>IF($D272&lt;&gt;"",IF($K272=$U272,1,IF(ISNA(VLOOKUP($K272&amp;$U272,CUR_RATES!$A$2:$F$521,4,0)),"",VLOOKUP($K272&amp;$U272,CUR_RATES!$A$2:$F$521,4,0))),"")</f>
        <v/>
      </c>
      <c r="N272" s="61" t="str">
        <f t="shared" si="46"/>
        <v/>
      </c>
      <c r="O272" s="68" t="str">
        <f t="shared" si="47"/>
        <v/>
      </c>
      <c r="P272" s="24"/>
      <c r="Q272" s="2" t="str">
        <f>IF(ROW(Q272)-ROW($E$1)&lt;=$B$4,INDEX(IDX_COMPO!F:F,ROW(IDX_COMPO!#REF!)),"")</f>
        <v/>
      </c>
      <c r="R272" s="68" t="str">
        <f t="shared" si="48"/>
        <v/>
      </c>
      <c r="S272" s="61" t="str">
        <f t="shared" si="49"/>
        <v/>
      </c>
      <c r="T272" s="62" t="str">
        <f>IF(D272&lt;&gt;"",IF(SUMPRODUCT(--($E272=STK_DIV!$A$2:$A$5),--(NXT_COMPO!$Q272=STK_DIV!$E$2:$E$5),ROW(STK_DIV!$D$2:$D$5))=0,"",INDEX(STK_DIV!$D$1:$D$5,SUMPRODUCT(--($E272=STK_DIV!$A$2:$A$5),--(NXT_COMPO!$Q272=STK_DIV!$E$2:$E$5),ROW(STK_DIV!$D$2:$D$5)))),"")</f>
        <v/>
      </c>
      <c r="U272" s="54" t="str">
        <f>IF($D272&lt;&gt;"",VLOOKUP($P272,IDX_REF!$2:$1048576,4,0),"")</f>
        <v/>
      </c>
    </row>
    <row r="273" spans="4:21" x14ac:dyDescent="0.2">
      <c r="D273" s="52" t="str">
        <f t="shared" si="44"/>
        <v/>
      </c>
      <c r="E273" s="5" t="str">
        <f t="shared" si="45"/>
        <v/>
      </c>
      <c r="F273" s="5" t="str">
        <f>IF(ROW(F273)-ROW($E$1)&lt;=$B$1-$B$2,INDEX(IDX_COMPO!B:B,ROW(IDX_COMPO!#REF!)),IF(ROW(E273)-ROW($E$1)&lt;=$B$4,VLOOKUP(E273,STK_REF!$A$2:$J$1048576,2,0),""))</f>
        <v/>
      </c>
      <c r="J273" s="62" t="str">
        <f>IF($D273&lt;=$B$1-$B$2,IF(INDEX($AA$2:$AA$1048576,MATCH($D273,$AB$2:$AB$1048576,0))="MODIFY",INDEX(IDX_CA!$G$1:$G$1041,SUMPRODUCT(--($E273=IDX_CA!$A$2:$A$1041),--(NXT_COMPO!$P273=IDX_CA!$B$2:$B$1041),--(NXT_COMPO!$Q273=IDX_CA!$C$2:$C$1041),ROW(IDX_CA!$G$2:$G$1041))),INDEX(IDX_COMPOSITION!$F$1:$F$441,SUMPRODUCT(--($E273=IDX_COMPOSITION!$A$2:$A$441),--(NXT_COMPO!$P273=IDX_COMPOSITION!$R$2:$R$441),--(NXT_COMPO!$B$5=IDX_COMPOSITION!$L$2:$L$441),ROW(IDX_COMPOSITION!$F$2:$F$441)))),IF($D273&lt;=$B$4,INDEX(IDX_CA!$G$1:$G$1041,SUMPRODUCT(--($E273=IDX_CA!$A$2:$A$1041),--(NXT_COMPO!$P273=IDX_CA!$B$2:$B$1041),--(NXT_COMPO!$Q273=IDX_CA!$C$2:$C$1041),ROW(IDX_CA!$G$2:$G$1041))),""))</f>
        <v/>
      </c>
      <c r="K273" s="63" t="str">
        <f>IF($D273&lt;&gt;"",VLOOKUP($E273,STK_REF!$A$2:$J$1048576,7,0),"")</f>
        <v/>
      </c>
      <c r="L273" s="5" t="str">
        <f>IF($D273&lt;&gt;"",VLOOKUP($E273,STK_REF!$A$2:$J$1048576,8,0),"")</f>
        <v/>
      </c>
      <c r="M273" s="8" t="str">
        <f>IF($D273&lt;&gt;"",IF($K273=$U273,1,IF(ISNA(VLOOKUP($K273&amp;$U273,CUR_RATES!$A$2:$F$521,4,0)),"",VLOOKUP($K273&amp;$U273,CUR_RATES!$A$2:$F$521,4,0))),"")</f>
        <v/>
      </c>
      <c r="N273" s="61" t="str">
        <f t="shared" si="46"/>
        <v/>
      </c>
      <c r="O273" s="68" t="str">
        <f t="shared" si="47"/>
        <v/>
      </c>
      <c r="P273" s="24"/>
      <c r="Q273" s="2" t="str">
        <f>IF(ROW(Q273)-ROW($E$1)&lt;=$B$4,INDEX(IDX_COMPO!F:F,ROW(IDX_COMPO!#REF!)),"")</f>
        <v/>
      </c>
      <c r="R273" s="68" t="str">
        <f t="shared" si="48"/>
        <v/>
      </c>
      <c r="S273" s="61" t="str">
        <f t="shared" si="49"/>
        <v/>
      </c>
      <c r="T273" s="62" t="str">
        <f>IF(D273&lt;&gt;"",IF(SUMPRODUCT(--($E273=STK_DIV!$A$2:$A$5),--(NXT_COMPO!$Q273=STK_DIV!$E$2:$E$5),ROW(STK_DIV!$D$2:$D$5))=0,"",INDEX(STK_DIV!$D$1:$D$5,SUMPRODUCT(--($E273=STK_DIV!$A$2:$A$5),--(NXT_COMPO!$Q273=STK_DIV!$E$2:$E$5),ROW(STK_DIV!$D$2:$D$5)))),"")</f>
        <v/>
      </c>
      <c r="U273" s="54" t="str">
        <f>IF($D273&lt;&gt;"",VLOOKUP($P273,IDX_REF!$2:$1048576,4,0),"")</f>
        <v/>
      </c>
    </row>
    <row r="274" spans="4:21" x14ac:dyDescent="0.2">
      <c r="D274" s="52" t="str">
        <f t="shared" si="44"/>
        <v/>
      </c>
      <c r="E274" s="5" t="str">
        <f t="shared" si="45"/>
        <v/>
      </c>
      <c r="F274" s="5" t="str">
        <f>IF(ROW(F274)-ROW($E$1)&lt;=$B$1-$B$2,INDEX(IDX_COMPO!B:B,ROW(IDX_COMPO!#REF!)),IF(ROW(E274)-ROW($E$1)&lt;=$B$4,VLOOKUP(E274,STK_REF!$A$2:$J$1048576,2,0),""))</f>
        <v/>
      </c>
      <c r="J274" s="62" t="str">
        <f>IF($D274&lt;=$B$1-$B$2,IF(INDEX($AA$2:$AA$1048576,MATCH($D274,$AB$2:$AB$1048576,0))="MODIFY",INDEX(IDX_CA!$G$1:$G$1041,SUMPRODUCT(--($E274=IDX_CA!$A$2:$A$1041),--(NXT_COMPO!$P274=IDX_CA!$B$2:$B$1041),--(NXT_COMPO!$Q274=IDX_CA!$C$2:$C$1041),ROW(IDX_CA!$G$2:$G$1041))),INDEX(IDX_COMPOSITION!$F$1:$F$441,SUMPRODUCT(--($E274=IDX_COMPOSITION!$A$2:$A$441),--(NXT_COMPO!$P274=IDX_COMPOSITION!$R$2:$R$441),--(NXT_COMPO!$B$5=IDX_COMPOSITION!$L$2:$L$441),ROW(IDX_COMPOSITION!$F$2:$F$441)))),IF($D274&lt;=$B$4,INDEX(IDX_CA!$G$1:$G$1041,SUMPRODUCT(--($E274=IDX_CA!$A$2:$A$1041),--(NXT_COMPO!$P274=IDX_CA!$B$2:$B$1041),--(NXT_COMPO!$Q274=IDX_CA!$C$2:$C$1041),ROW(IDX_CA!$G$2:$G$1041))),""))</f>
        <v/>
      </c>
      <c r="K274" s="63" t="str">
        <f>IF($D274&lt;&gt;"",VLOOKUP($E274,STK_REF!$A$2:$J$1048576,7,0),"")</f>
        <v/>
      </c>
      <c r="L274" s="5" t="str">
        <f>IF($D274&lt;&gt;"",VLOOKUP($E274,STK_REF!$A$2:$J$1048576,8,0),"")</f>
        <v/>
      </c>
      <c r="M274" s="8" t="str">
        <f>IF($D274&lt;&gt;"",IF($K274=$U274,1,IF(ISNA(VLOOKUP($K274&amp;$U274,CUR_RATES!$A$2:$F$521,4,0)),"",VLOOKUP($K274&amp;$U274,CUR_RATES!$A$2:$F$521,4,0))),"")</f>
        <v/>
      </c>
      <c r="N274" s="61" t="str">
        <f t="shared" si="46"/>
        <v/>
      </c>
      <c r="O274" s="68" t="str">
        <f t="shared" si="47"/>
        <v/>
      </c>
      <c r="P274" s="24"/>
      <c r="Q274" s="2" t="str">
        <f>IF(ROW(Q274)-ROW($E$1)&lt;=$B$4,INDEX(IDX_COMPO!F:F,ROW(IDX_COMPO!#REF!)),"")</f>
        <v/>
      </c>
      <c r="R274" s="68" t="str">
        <f t="shared" si="48"/>
        <v/>
      </c>
      <c r="S274" s="61" t="str">
        <f t="shared" si="49"/>
        <v/>
      </c>
      <c r="T274" s="62" t="str">
        <f>IF(D274&lt;&gt;"",IF(SUMPRODUCT(--($E274=STK_DIV!$A$2:$A$5),--(NXT_COMPO!$Q274=STK_DIV!$E$2:$E$5),ROW(STK_DIV!$D$2:$D$5))=0,"",INDEX(STK_DIV!$D$1:$D$5,SUMPRODUCT(--($E274=STK_DIV!$A$2:$A$5),--(NXT_COMPO!$Q274=STK_DIV!$E$2:$E$5),ROW(STK_DIV!$D$2:$D$5)))),"")</f>
        <v/>
      </c>
      <c r="U274" s="54" t="str">
        <f>IF($D274&lt;&gt;"",VLOOKUP($P274,IDX_REF!$2:$1048576,4,0),"")</f>
        <v/>
      </c>
    </row>
    <row r="275" spans="4:21" x14ac:dyDescent="0.2">
      <c r="D275" s="52" t="str">
        <f t="shared" si="44"/>
        <v/>
      </c>
      <c r="E275" s="5" t="str">
        <f t="shared" si="45"/>
        <v/>
      </c>
      <c r="F275" s="5" t="str">
        <f>IF(ROW(F275)-ROW($E$1)&lt;=$B$1-$B$2,INDEX(IDX_COMPO!B:B,ROW(IDX_COMPO!#REF!)),IF(ROW(E275)-ROW($E$1)&lt;=$B$4,VLOOKUP(E275,STK_REF!$A$2:$J$1048576,2,0),""))</f>
        <v/>
      </c>
      <c r="J275" s="62" t="str">
        <f>IF($D275&lt;=$B$1-$B$2,IF(INDEX($AA$2:$AA$1048576,MATCH($D275,$AB$2:$AB$1048576,0))="MODIFY",INDEX(IDX_CA!$G$1:$G$1041,SUMPRODUCT(--($E275=IDX_CA!$A$2:$A$1041),--(NXT_COMPO!$P275=IDX_CA!$B$2:$B$1041),--(NXT_COMPO!$Q275=IDX_CA!$C$2:$C$1041),ROW(IDX_CA!$G$2:$G$1041))),INDEX(IDX_COMPOSITION!$F$1:$F$441,SUMPRODUCT(--($E275=IDX_COMPOSITION!$A$2:$A$441),--(NXT_COMPO!$P275=IDX_COMPOSITION!$R$2:$R$441),--(NXT_COMPO!$B$5=IDX_COMPOSITION!$L$2:$L$441),ROW(IDX_COMPOSITION!$F$2:$F$441)))),IF($D275&lt;=$B$4,INDEX(IDX_CA!$G$1:$G$1041,SUMPRODUCT(--($E275=IDX_CA!$A$2:$A$1041),--(NXT_COMPO!$P275=IDX_CA!$B$2:$B$1041),--(NXT_COMPO!$Q275=IDX_CA!$C$2:$C$1041),ROW(IDX_CA!$G$2:$G$1041))),""))</f>
        <v/>
      </c>
      <c r="K275" s="63" t="str">
        <f>IF($D275&lt;&gt;"",VLOOKUP($E275,STK_REF!$A$2:$J$1048576,7,0),"")</f>
        <v/>
      </c>
      <c r="L275" s="5" t="str">
        <f>IF($D275&lt;&gt;"",VLOOKUP($E275,STK_REF!$A$2:$J$1048576,8,0),"")</f>
        <v/>
      </c>
      <c r="M275" s="8" t="str">
        <f>IF($D275&lt;&gt;"",IF($K275=$U275,1,IF(ISNA(VLOOKUP($K275&amp;$U275,CUR_RATES!$A$2:$F$521,4,0)),"",VLOOKUP($K275&amp;$U275,CUR_RATES!$A$2:$F$521,4,0))),"")</f>
        <v/>
      </c>
      <c r="N275" s="61" t="str">
        <f t="shared" si="46"/>
        <v/>
      </c>
      <c r="O275" s="68" t="str">
        <f t="shared" si="47"/>
        <v/>
      </c>
      <c r="P275" s="24"/>
      <c r="Q275" s="2" t="str">
        <f>IF(ROW(Q275)-ROW($E$1)&lt;=$B$4,INDEX(IDX_COMPO!F:F,ROW(IDX_COMPO!#REF!)),"")</f>
        <v/>
      </c>
      <c r="R275" s="68" t="str">
        <f t="shared" si="48"/>
        <v/>
      </c>
      <c r="S275" s="61" t="str">
        <f t="shared" si="49"/>
        <v/>
      </c>
      <c r="T275" s="62" t="str">
        <f>IF(D275&lt;&gt;"",IF(SUMPRODUCT(--($E275=STK_DIV!$A$2:$A$5),--(NXT_COMPO!$Q275=STK_DIV!$E$2:$E$5),ROW(STK_DIV!$D$2:$D$5))=0,"",INDEX(STK_DIV!$D$1:$D$5,SUMPRODUCT(--($E275=STK_DIV!$A$2:$A$5),--(NXT_COMPO!$Q275=STK_DIV!$E$2:$E$5),ROW(STK_DIV!$D$2:$D$5)))),"")</f>
        <v/>
      </c>
      <c r="U275" s="54" t="str">
        <f>IF($D275&lt;&gt;"",VLOOKUP($P275,IDX_REF!$2:$1048576,4,0),"")</f>
        <v/>
      </c>
    </row>
    <row r="276" spans="4:21" x14ac:dyDescent="0.2">
      <c r="D276" s="52" t="str">
        <f t="shared" si="44"/>
        <v/>
      </c>
      <c r="E276" s="5" t="str">
        <f t="shared" si="45"/>
        <v/>
      </c>
      <c r="F276" s="5" t="str">
        <f>IF(ROW(F276)-ROW($E$1)&lt;=$B$1-$B$2,INDEX(IDX_COMPO!B:B,ROW(IDX_COMPO!#REF!)),IF(ROW(E276)-ROW($E$1)&lt;=$B$4,VLOOKUP(E276,STK_REF!$A$2:$J$1048576,2,0),""))</f>
        <v/>
      </c>
      <c r="J276" s="62" t="str">
        <f>IF($D276&lt;=$B$1-$B$2,IF(INDEX($AA$2:$AA$1048576,MATCH($D276,$AB$2:$AB$1048576,0))="MODIFY",INDEX(IDX_CA!$G$1:$G$1041,SUMPRODUCT(--($E276=IDX_CA!$A$2:$A$1041),--(NXT_COMPO!$P276=IDX_CA!$B$2:$B$1041),--(NXT_COMPO!$Q276=IDX_CA!$C$2:$C$1041),ROW(IDX_CA!$G$2:$G$1041))),INDEX(IDX_COMPOSITION!$F$1:$F$441,SUMPRODUCT(--($E276=IDX_COMPOSITION!$A$2:$A$441),--(NXT_COMPO!$P276=IDX_COMPOSITION!$R$2:$R$441),--(NXT_COMPO!$B$5=IDX_COMPOSITION!$L$2:$L$441),ROW(IDX_COMPOSITION!$F$2:$F$441)))),IF($D276&lt;=$B$4,INDEX(IDX_CA!$G$1:$G$1041,SUMPRODUCT(--($E276=IDX_CA!$A$2:$A$1041),--(NXT_COMPO!$P276=IDX_CA!$B$2:$B$1041),--(NXT_COMPO!$Q276=IDX_CA!$C$2:$C$1041),ROW(IDX_CA!$G$2:$G$1041))),""))</f>
        <v/>
      </c>
      <c r="K276" s="63" t="str">
        <f>IF($D276&lt;&gt;"",VLOOKUP($E276,STK_REF!$A$2:$J$1048576,7,0),"")</f>
        <v/>
      </c>
      <c r="L276" s="5" t="str">
        <f>IF($D276&lt;&gt;"",VLOOKUP($E276,STK_REF!$A$2:$J$1048576,8,0),"")</f>
        <v/>
      </c>
      <c r="M276" s="8" t="str">
        <f>IF($D276&lt;&gt;"",IF($K276=$U276,1,IF(ISNA(VLOOKUP($K276&amp;$U276,CUR_RATES!$A$2:$F$521,4,0)),"",VLOOKUP($K276&amp;$U276,CUR_RATES!$A$2:$F$521,4,0))),"")</f>
        <v/>
      </c>
      <c r="N276" s="61" t="str">
        <f t="shared" si="46"/>
        <v/>
      </c>
      <c r="O276" s="68" t="str">
        <f t="shared" si="47"/>
        <v/>
      </c>
      <c r="P276" s="24"/>
      <c r="Q276" s="2" t="str">
        <f>IF(ROW(Q276)-ROW($E$1)&lt;=$B$4,INDEX(IDX_COMPO!F:F,ROW(IDX_COMPO!#REF!)),"")</f>
        <v/>
      </c>
      <c r="R276" s="68" t="str">
        <f t="shared" si="48"/>
        <v/>
      </c>
      <c r="S276" s="61" t="str">
        <f t="shared" si="49"/>
        <v/>
      </c>
      <c r="T276" s="62" t="str">
        <f>IF(D276&lt;&gt;"",IF(SUMPRODUCT(--($E276=STK_DIV!$A$2:$A$5),--(NXT_COMPO!$Q276=STK_DIV!$E$2:$E$5),ROW(STK_DIV!$D$2:$D$5))=0,"",INDEX(STK_DIV!$D$1:$D$5,SUMPRODUCT(--($E276=STK_DIV!$A$2:$A$5),--(NXT_COMPO!$Q276=STK_DIV!$E$2:$E$5),ROW(STK_DIV!$D$2:$D$5)))),"")</f>
        <v/>
      </c>
      <c r="U276" s="54" t="str">
        <f>IF($D276&lt;&gt;"",VLOOKUP($P276,IDX_REF!$2:$1048576,4,0),"")</f>
        <v/>
      </c>
    </row>
    <row r="277" spans="4:21" x14ac:dyDescent="0.2">
      <c r="D277" s="52" t="str">
        <f t="shared" si="44"/>
        <v/>
      </c>
      <c r="E277" s="5" t="str">
        <f t="shared" si="45"/>
        <v/>
      </c>
      <c r="F277" s="5" t="str">
        <f>IF(ROW(F277)-ROW($E$1)&lt;=$B$1-$B$2,INDEX(IDX_COMPO!B:B,ROW(IDX_COMPO!#REF!)),IF(ROW(E277)-ROW($E$1)&lt;=$B$4,VLOOKUP(E277,STK_REF!$A$2:$J$1048576,2,0),""))</f>
        <v/>
      </c>
      <c r="J277" s="62" t="str">
        <f>IF($D277&lt;=$B$1-$B$2,IF(INDEX($AA$2:$AA$1048576,MATCH($D277,$AB$2:$AB$1048576,0))="MODIFY",INDEX(IDX_CA!$G$1:$G$1041,SUMPRODUCT(--($E277=IDX_CA!$A$2:$A$1041),--(NXT_COMPO!$P277=IDX_CA!$B$2:$B$1041),--(NXT_COMPO!$Q277=IDX_CA!$C$2:$C$1041),ROW(IDX_CA!$G$2:$G$1041))),INDEX(IDX_COMPOSITION!$F$1:$F$441,SUMPRODUCT(--($E277=IDX_COMPOSITION!$A$2:$A$441),--(NXT_COMPO!$P277=IDX_COMPOSITION!$R$2:$R$441),--(NXT_COMPO!$B$5=IDX_COMPOSITION!$L$2:$L$441),ROW(IDX_COMPOSITION!$F$2:$F$441)))),IF($D277&lt;=$B$4,INDEX(IDX_CA!$G$1:$G$1041,SUMPRODUCT(--($E277=IDX_CA!$A$2:$A$1041),--(NXT_COMPO!$P277=IDX_CA!$B$2:$B$1041),--(NXT_COMPO!$Q277=IDX_CA!$C$2:$C$1041),ROW(IDX_CA!$G$2:$G$1041))),""))</f>
        <v/>
      </c>
      <c r="K277" s="63" t="str">
        <f>IF($D277&lt;&gt;"",VLOOKUP($E277,STK_REF!$A$2:$J$1048576,7,0),"")</f>
        <v/>
      </c>
      <c r="L277" s="5" t="str">
        <f>IF($D277&lt;&gt;"",VLOOKUP($E277,STK_REF!$A$2:$J$1048576,8,0),"")</f>
        <v/>
      </c>
      <c r="M277" s="8" t="str">
        <f>IF($D277&lt;&gt;"",IF($K277=$U277,1,IF(ISNA(VLOOKUP($K277&amp;$U277,CUR_RATES!$A$2:$F$521,4,0)),"",VLOOKUP($K277&amp;$U277,CUR_RATES!$A$2:$F$521,4,0))),"")</f>
        <v/>
      </c>
      <c r="N277" s="61" t="str">
        <f t="shared" si="46"/>
        <v/>
      </c>
      <c r="O277" s="68" t="str">
        <f t="shared" si="47"/>
        <v/>
      </c>
      <c r="P277" s="24"/>
      <c r="Q277" s="2" t="str">
        <f>IF(ROW(Q277)-ROW($E$1)&lt;=$B$4,INDEX(IDX_COMPO!F:F,ROW(IDX_COMPO!#REF!)),"")</f>
        <v/>
      </c>
      <c r="R277" s="68" t="str">
        <f t="shared" si="48"/>
        <v/>
      </c>
      <c r="S277" s="61" t="str">
        <f t="shared" si="49"/>
        <v/>
      </c>
      <c r="T277" s="62" t="str">
        <f>IF(D277&lt;&gt;"",IF(SUMPRODUCT(--($E277=STK_DIV!$A$2:$A$5),--(NXT_COMPO!$Q277=STK_DIV!$E$2:$E$5),ROW(STK_DIV!$D$2:$D$5))=0,"",INDEX(STK_DIV!$D$1:$D$5,SUMPRODUCT(--($E277=STK_DIV!$A$2:$A$5),--(NXT_COMPO!$Q277=STK_DIV!$E$2:$E$5),ROW(STK_DIV!$D$2:$D$5)))),"")</f>
        <v/>
      </c>
      <c r="U277" s="54" t="str">
        <f>IF($D277&lt;&gt;"",VLOOKUP($P277,IDX_REF!$2:$1048576,4,0),"")</f>
        <v/>
      </c>
    </row>
    <row r="278" spans="4:21" x14ac:dyDescent="0.2">
      <c r="D278" s="52" t="str">
        <f t="shared" si="44"/>
        <v/>
      </c>
      <c r="E278" s="5" t="str">
        <f t="shared" si="45"/>
        <v/>
      </c>
      <c r="F278" s="5" t="str">
        <f>IF(ROW(F278)-ROW($E$1)&lt;=$B$1-$B$2,INDEX(IDX_COMPO!B:B,ROW(IDX_COMPO!#REF!)),IF(ROW(E278)-ROW($E$1)&lt;=$B$4,VLOOKUP(E278,STK_REF!$A$2:$J$1048576,2,0),""))</f>
        <v/>
      </c>
      <c r="J278" s="62" t="str">
        <f>IF($D278&lt;=$B$1-$B$2,IF(INDEX($AA$2:$AA$1048576,MATCH($D278,$AB$2:$AB$1048576,0))="MODIFY",INDEX(IDX_CA!$G$1:$G$1041,SUMPRODUCT(--($E278=IDX_CA!$A$2:$A$1041),--(NXT_COMPO!$P278=IDX_CA!$B$2:$B$1041),--(NXT_COMPO!$Q278=IDX_CA!$C$2:$C$1041),ROW(IDX_CA!$G$2:$G$1041))),INDEX(IDX_COMPOSITION!$F$1:$F$441,SUMPRODUCT(--($E278=IDX_COMPOSITION!$A$2:$A$441),--(NXT_COMPO!$P278=IDX_COMPOSITION!$R$2:$R$441),--(NXT_COMPO!$B$5=IDX_COMPOSITION!$L$2:$L$441),ROW(IDX_COMPOSITION!$F$2:$F$441)))),IF($D278&lt;=$B$4,INDEX(IDX_CA!$G$1:$G$1041,SUMPRODUCT(--($E278=IDX_CA!$A$2:$A$1041),--(NXT_COMPO!$P278=IDX_CA!$B$2:$B$1041),--(NXT_COMPO!$Q278=IDX_CA!$C$2:$C$1041),ROW(IDX_CA!$G$2:$G$1041))),""))</f>
        <v/>
      </c>
      <c r="K278" s="63" t="str">
        <f>IF($D278&lt;&gt;"",VLOOKUP($E278,STK_REF!$A$2:$J$1048576,7,0),"")</f>
        <v/>
      </c>
      <c r="L278" s="5" t="str">
        <f>IF($D278&lt;&gt;"",VLOOKUP($E278,STK_REF!$A$2:$J$1048576,8,0),"")</f>
        <v/>
      </c>
      <c r="M278" s="8" t="str">
        <f>IF($D278&lt;&gt;"",IF($K278=$U278,1,IF(ISNA(VLOOKUP($K278&amp;$U278,CUR_RATES!$A$2:$F$521,4,0)),"",VLOOKUP($K278&amp;$U278,CUR_RATES!$A$2:$F$521,4,0))),"")</f>
        <v/>
      </c>
      <c r="N278" s="61" t="str">
        <f t="shared" si="46"/>
        <v/>
      </c>
      <c r="O278" s="68" t="str">
        <f t="shared" si="47"/>
        <v/>
      </c>
      <c r="P278" s="24"/>
      <c r="Q278" s="2" t="str">
        <f>IF(ROW(Q278)-ROW($E$1)&lt;=$B$4,INDEX(IDX_COMPO!F:F,ROW(IDX_COMPO!#REF!)),"")</f>
        <v/>
      </c>
      <c r="R278" s="68" t="str">
        <f t="shared" si="48"/>
        <v/>
      </c>
      <c r="S278" s="61" t="str">
        <f t="shared" si="49"/>
        <v/>
      </c>
      <c r="T278" s="62" t="str">
        <f>IF(D278&lt;&gt;"",IF(SUMPRODUCT(--($E278=STK_DIV!$A$2:$A$5),--(NXT_COMPO!$Q278=STK_DIV!$E$2:$E$5),ROW(STK_DIV!$D$2:$D$5))=0,"",INDEX(STK_DIV!$D$1:$D$5,SUMPRODUCT(--($E278=STK_DIV!$A$2:$A$5),--(NXT_COMPO!$Q278=STK_DIV!$E$2:$E$5),ROW(STK_DIV!$D$2:$D$5)))),"")</f>
        <v/>
      </c>
      <c r="U278" s="54" t="str">
        <f>IF($D278&lt;&gt;"",VLOOKUP($P278,IDX_REF!$2:$1048576,4,0),"")</f>
        <v/>
      </c>
    </row>
    <row r="279" spans="4:21" x14ac:dyDescent="0.2">
      <c r="D279" s="52" t="str">
        <f t="shared" si="44"/>
        <v/>
      </c>
      <c r="E279" s="5" t="str">
        <f t="shared" si="45"/>
        <v/>
      </c>
      <c r="F279" s="5" t="str">
        <f>IF(ROW(F279)-ROW($E$1)&lt;=$B$1-$B$2,INDEX(IDX_COMPO!B:B,ROW(IDX_COMPO!#REF!)),IF(ROW(E279)-ROW($E$1)&lt;=$B$4,VLOOKUP(E279,STK_REF!$A$2:$J$1048576,2,0),""))</f>
        <v/>
      </c>
      <c r="J279" s="62" t="str">
        <f>IF($D279&lt;=$B$1-$B$2,IF(INDEX($AA$2:$AA$1048576,MATCH($D279,$AB$2:$AB$1048576,0))="MODIFY",INDEX(IDX_CA!$G$1:$G$1041,SUMPRODUCT(--($E279=IDX_CA!$A$2:$A$1041),--(NXT_COMPO!$P279=IDX_CA!$B$2:$B$1041),--(NXT_COMPO!$Q279=IDX_CA!$C$2:$C$1041),ROW(IDX_CA!$G$2:$G$1041))),INDEX(IDX_COMPOSITION!$F$1:$F$441,SUMPRODUCT(--($E279=IDX_COMPOSITION!$A$2:$A$441),--(NXT_COMPO!$P279=IDX_COMPOSITION!$R$2:$R$441),--(NXT_COMPO!$B$5=IDX_COMPOSITION!$L$2:$L$441),ROW(IDX_COMPOSITION!$F$2:$F$441)))),IF($D279&lt;=$B$4,INDEX(IDX_CA!$G$1:$G$1041,SUMPRODUCT(--($E279=IDX_CA!$A$2:$A$1041),--(NXT_COMPO!$P279=IDX_CA!$B$2:$B$1041),--(NXT_COMPO!$Q279=IDX_CA!$C$2:$C$1041),ROW(IDX_CA!$G$2:$G$1041))),""))</f>
        <v/>
      </c>
      <c r="K279" s="63" t="str">
        <f>IF($D279&lt;&gt;"",VLOOKUP($E279,STK_REF!$A$2:$J$1048576,7,0),"")</f>
        <v/>
      </c>
      <c r="L279" s="5" t="str">
        <f>IF($D279&lt;&gt;"",VLOOKUP($E279,STK_REF!$A$2:$J$1048576,8,0),"")</f>
        <v/>
      </c>
      <c r="M279" s="8" t="str">
        <f>IF($D279&lt;&gt;"",IF($K279=$U279,1,IF(ISNA(VLOOKUP($K279&amp;$U279,CUR_RATES!$A$2:$F$521,4,0)),"",VLOOKUP($K279&amp;$U279,CUR_RATES!$A$2:$F$521,4,0))),"")</f>
        <v/>
      </c>
      <c r="N279" s="61" t="str">
        <f t="shared" si="46"/>
        <v/>
      </c>
      <c r="O279" s="68" t="str">
        <f t="shared" si="47"/>
        <v/>
      </c>
      <c r="P279" s="24"/>
      <c r="Q279" s="2" t="str">
        <f>IF(ROW(Q279)-ROW($E$1)&lt;=$B$4,INDEX(IDX_COMPO!F:F,ROW(IDX_COMPO!#REF!)),"")</f>
        <v/>
      </c>
      <c r="R279" s="68" t="str">
        <f t="shared" si="48"/>
        <v/>
      </c>
      <c r="S279" s="61" t="str">
        <f t="shared" si="49"/>
        <v/>
      </c>
      <c r="T279" s="62" t="str">
        <f>IF(D279&lt;&gt;"",IF(SUMPRODUCT(--($E279=STK_DIV!$A$2:$A$5),--(NXT_COMPO!$Q279=STK_DIV!$E$2:$E$5),ROW(STK_DIV!$D$2:$D$5))=0,"",INDEX(STK_DIV!$D$1:$D$5,SUMPRODUCT(--($E279=STK_DIV!$A$2:$A$5),--(NXT_COMPO!$Q279=STK_DIV!$E$2:$E$5),ROW(STK_DIV!$D$2:$D$5)))),"")</f>
        <v/>
      </c>
      <c r="U279" s="54" t="str">
        <f>IF($D279&lt;&gt;"",VLOOKUP($P279,IDX_REF!$2:$1048576,4,0),"")</f>
        <v/>
      </c>
    </row>
    <row r="280" spans="4:21" x14ac:dyDescent="0.2">
      <c r="D280" s="52" t="str">
        <f t="shared" si="44"/>
        <v/>
      </c>
      <c r="E280" s="5" t="str">
        <f t="shared" si="45"/>
        <v/>
      </c>
      <c r="F280" s="5" t="str">
        <f>IF(ROW(F280)-ROW($E$1)&lt;=$B$1-$B$2,INDEX(IDX_COMPO!B:B,ROW(IDX_COMPO!#REF!)),IF(ROW(E280)-ROW($E$1)&lt;=$B$4,VLOOKUP(E280,STK_REF!$A$2:$J$1048576,2,0),""))</f>
        <v/>
      </c>
      <c r="J280" s="62" t="str">
        <f>IF($D280&lt;=$B$1-$B$2,IF(INDEX($AA$2:$AA$1048576,MATCH($D280,$AB$2:$AB$1048576,0))="MODIFY",INDEX(IDX_CA!$G$1:$G$1041,SUMPRODUCT(--($E280=IDX_CA!$A$2:$A$1041),--(NXT_COMPO!$P280=IDX_CA!$B$2:$B$1041),--(NXT_COMPO!$Q280=IDX_CA!$C$2:$C$1041),ROW(IDX_CA!$G$2:$G$1041))),INDEX(IDX_COMPOSITION!$F$1:$F$441,SUMPRODUCT(--($E280=IDX_COMPOSITION!$A$2:$A$441),--(NXT_COMPO!$P280=IDX_COMPOSITION!$R$2:$R$441),--(NXT_COMPO!$B$5=IDX_COMPOSITION!$L$2:$L$441),ROW(IDX_COMPOSITION!$F$2:$F$441)))),IF($D280&lt;=$B$4,INDEX(IDX_CA!$G$1:$G$1041,SUMPRODUCT(--($E280=IDX_CA!$A$2:$A$1041),--(NXT_COMPO!$P280=IDX_CA!$B$2:$B$1041),--(NXT_COMPO!$Q280=IDX_CA!$C$2:$C$1041),ROW(IDX_CA!$G$2:$G$1041))),""))</f>
        <v/>
      </c>
      <c r="K280" s="63" t="str">
        <f>IF($D280&lt;&gt;"",VLOOKUP($E280,STK_REF!$A$2:$J$1048576,7,0),"")</f>
        <v/>
      </c>
      <c r="L280" s="5" t="str">
        <f>IF($D280&lt;&gt;"",VLOOKUP($E280,STK_REF!$A$2:$J$1048576,8,0),"")</f>
        <v/>
      </c>
      <c r="M280" s="8" t="str">
        <f>IF($D280&lt;&gt;"",IF($K280=$U280,1,IF(ISNA(VLOOKUP($K280&amp;$U280,CUR_RATES!$A$2:$F$521,4,0)),"",VLOOKUP($K280&amp;$U280,CUR_RATES!$A$2:$F$521,4,0))),"")</f>
        <v/>
      </c>
      <c r="N280" s="61" t="str">
        <f t="shared" si="46"/>
        <v/>
      </c>
      <c r="O280" s="68" t="str">
        <f t="shared" si="47"/>
        <v/>
      </c>
      <c r="P280" s="24"/>
      <c r="Q280" s="2" t="str">
        <f>IF(ROW(Q280)-ROW($E$1)&lt;=$B$4,INDEX(IDX_COMPO!F:F,ROW(IDX_COMPO!#REF!)),"")</f>
        <v/>
      </c>
      <c r="R280" s="68" t="str">
        <f t="shared" si="48"/>
        <v/>
      </c>
      <c r="S280" s="61" t="str">
        <f t="shared" si="49"/>
        <v/>
      </c>
      <c r="T280" s="62" t="str">
        <f>IF(D280&lt;&gt;"",IF(SUMPRODUCT(--($E280=STK_DIV!$A$2:$A$5),--(NXT_COMPO!$Q280=STK_DIV!$E$2:$E$5),ROW(STK_DIV!$D$2:$D$5))=0,"",INDEX(STK_DIV!$D$1:$D$5,SUMPRODUCT(--($E280=STK_DIV!$A$2:$A$5),--(NXT_COMPO!$Q280=STK_DIV!$E$2:$E$5),ROW(STK_DIV!$D$2:$D$5)))),"")</f>
        <v/>
      </c>
      <c r="U280" s="54" t="str">
        <f>IF($D280&lt;&gt;"",VLOOKUP($P280,IDX_REF!$2:$1048576,4,0),"")</f>
        <v/>
      </c>
    </row>
    <row r="281" spans="4:21" x14ac:dyDescent="0.2">
      <c r="D281" s="52" t="str">
        <f t="shared" si="44"/>
        <v/>
      </c>
      <c r="E281" s="5" t="str">
        <f t="shared" si="45"/>
        <v/>
      </c>
      <c r="F281" s="5" t="str">
        <f>IF(ROW(F281)-ROW($E$1)&lt;=$B$1-$B$2,INDEX(IDX_COMPO!B:B,ROW(IDX_COMPO!#REF!)),IF(ROW(E281)-ROW($E$1)&lt;=$B$4,VLOOKUP(E281,STK_REF!$A$2:$J$1048576,2,0),""))</f>
        <v/>
      </c>
      <c r="J281" s="62" t="str">
        <f>IF($D281&lt;=$B$1-$B$2,IF(INDEX($AA$2:$AA$1048576,MATCH($D281,$AB$2:$AB$1048576,0))="MODIFY",INDEX(IDX_CA!$G$1:$G$1041,SUMPRODUCT(--($E281=IDX_CA!$A$2:$A$1041),--(NXT_COMPO!$P281=IDX_CA!$B$2:$B$1041),--(NXT_COMPO!$Q281=IDX_CA!$C$2:$C$1041),ROW(IDX_CA!$G$2:$G$1041))),INDEX(IDX_COMPOSITION!$F$1:$F$441,SUMPRODUCT(--($E281=IDX_COMPOSITION!$A$2:$A$441),--(NXT_COMPO!$P281=IDX_COMPOSITION!$R$2:$R$441),--(NXT_COMPO!$B$5=IDX_COMPOSITION!$L$2:$L$441),ROW(IDX_COMPOSITION!$F$2:$F$441)))),IF($D281&lt;=$B$4,INDEX(IDX_CA!$G$1:$G$1041,SUMPRODUCT(--($E281=IDX_CA!$A$2:$A$1041),--(NXT_COMPO!$P281=IDX_CA!$B$2:$B$1041),--(NXT_COMPO!$Q281=IDX_CA!$C$2:$C$1041),ROW(IDX_CA!$G$2:$G$1041))),""))</f>
        <v/>
      </c>
      <c r="K281" s="63" t="str">
        <f>IF($D281&lt;&gt;"",VLOOKUP($E281,STK_REF!$A$2:$J$1048576,7,0),"")</f>
        <v/>
      </c>
      <c r="L281" s="5" t="str">
        <f>IF($D281&lt;&gt;"",VLOOKUP($E281,STK_REF!$A$2:$J$1048576,8,0),"")</f>
        <v/>
      </c>
      <c r="M281" s="8" t="str">
        <f>IF($D281&lt;&gt;"",IF($K281=$U281,1,IF(ISNA(VLOOKUP($K281&amp;$U281,CUR_RATES!$A$2:$F$521,4,0)),"",VLOOKUP($K281&amp;$U281,CUR_RATES!$A$2:$F$521,4,0))),"")</f>
        <v/>
      </c>
      <c r="N281" s="61" t="str">
        <f t="shared" si="46"/>
        <v/>
      </c>
      <c r="O281" s="68" t="str">
        <f t="shared" si="47"/>
        <v/>
      </c>
      <c r="P281" s="24"/>
      <c r="Q281" s="2" t="str">
        <f>IF(ROW(Q281)-ROW($E$1)&lt;=$B$4,INDEX(IDX_COMPO!F:F,ROW(IDX_COMPO!#REF!)),"")</f>
        <v/>
      </c>
      <c r="R281" s="68" t="str">
        <f t="shared" si="48"/>
        <v/>
      </c>
      <c r="S281" s="61" t="str">
        <f t="shared" si="49"/>
        <v/>
      </c>
      <c r="T281" s="62" t="str">
        <f>IF(D281&lt;&gt;"",IF(SUMPRODUCT(--($E281=STK_DIV!$A$2:$A$5),--(NXT_COMPO!$Q281=STK_DIV!$E$2:$E$5),ROW(STK_DIV!$D$2:$D$5))=0,"",INDEX(STK_DIV!$D$1:$D$5,SUMPRODUCT(--($E281=STK_DIV!$A$2:$A$5),--(NXT_COMPO!$Q281=STK_DIV!$E$2:$E$5),ROW(STK_DIV!$D$2:$D$5)))),"")</f>
        <v/>
      </c>
      <c r="U281" s="54" t="str">
        <f>IF($D281&lt;&gt;"",VLOOKUP($P281,IDX_REF!$2:$1048576,4,0),"")</f>
        <v/>
      </c>
    </row>
    <row r="282" spans="4:21" x14ac:dyDescent="0.2">
      <c r="D282" s="52" t="str">
        <f t="shared" si="44"/>
        <v/>
      </c>
      <c r="E282" s="5" t="str">
        <f t="shared" si="45"/>
        <v/>
      </c>
      <c r="F282" s="5" t="str">
        <f>IF(ROW(F282)-ROW($E$1)&lt;=$B$1-$B$2,INDEX(IDX_COMPO!B:B,ROW(IDX_COMPO!#REF!)),IF(ROW(E282)-ROW($E$1)&lt;=$B$4,VLOOKUP(E282,STK_REF!$A$2:$J$1048576,2,0),""))</f>
        <v/>
      </c>
      <c r="J282" s="62" t="str">
        <f>IF($D282&lt;=$B$1-$B$2,IF(INDEX($AA$2:$AA$1048576,MATCH($D282,$AB$2:$AB$1048576,0))="MODIFY",INDEX(IDX_CA!$G$1:$G$1041,SUMPRODUCT(--($E282=IDX_CA!$A$2:$A$1041),--(NXT_COMPO!$P282=IDX_CA!$B$2:$B$1041),--(NXT_COMPO!$Q282=IDX_CA!$C$2:$C$1041),ROW(IDX_CA!$G$2:$G$1041))),INDEX(IDX_COMPOSITION!$F$1:$F$441,SUMPRODUCT(--($E282=IDX_COMPOSITION!$A$2:$A$441),--(NXT_COMPO!$P282=IDX_COMPOSITION!$R$2:$R$441),--(NXT_COMPO!$B$5=IDX_COMPOSITION!$L$2:$L$441),ROW(IDX_COMPOSITION!$F$2:$F$441)))),IF($D282&lt;=$B$4,INDEX(IDX_CA!$G$1:$G$1041,SUMPRODUCT(--($E282=IDX_CA!$A$2:$A$1041),--(NXT_COMPO!$P282=IDX_CA!$B$2:$B$1041),--(NXT_COMPO!$Q282=IDX_CA!$C$2:$C$1041),ROW(IDX_CA!$G$2:$G$1041))),""))</f>
        <v/>
      </c>
      <c r="K282" s="63" t="str">
        <f>IF($D282&lt;&gt;"",VLOOKUP($E282,STK_REF!$A$2:$J$1048576,7,0),"")</f>
        <v/>
      </c>
      <c r="L282" s="5" t="str">
        <f>IF($D282&lt;&gt;"",VLOOKUP($E282,STK_REF!$A$2:$J$1048576,8,0),"")</f>
        <v/>
      </c>
      <c r="M282" s="8" t="str">
        <f>IF($D282&lt;&gt;"",IF($K282=$U282,1,IF(ISNA(VLOOKUP($K282&amp;$U282,CUR_RATES!$A$2:$F$521,4,0)),"",VLOOKUP($K282&amp;$U282,CUR_RATES!$A$2:$F$521,4,0))),"")</f>
        <v/>
      </c>
      <c r="N282" s="61" t="str">
        <f t="shared" si="46"/>
        <v/>
      </c>
      <c r="O282" s="68" t="str">
        <f t="shared" si="47"/>
        <v/>
      </c>
      <c r="P282" s="24"/>
      <c r="Q282" s="2" t="str">
        <f>IF(ROW(Q282)-ROW($E$1)&lt;=$B$4,INDEX(IDX_COMPO!F:F,ROW(IDX_COMPO!#REF!)),"")</f>
        <v/>
      </c>
      <c r="R282" s="68" t="str">
        <f t="shared" si="48"/>
        <v/>
      </c>
      <c r="S282" s="61" t="str">
        <f t="shared" si="49"/>
        <v/>
      </c>
      <c r="T282" s="62" t="str">
        <f>IF(D282&lt;&gt;"",IF(SUMPRODUCT(--($E282=STK_DIV!$A$2:$A$5),--(NXT_COMPO!$Q282=STK_DIV!$E$2:$E$5),ROW(STK_DIV!$D$2:$D$5))=0,"",INDEX(STK_DIV!$D$1:$D$5,SUMPRODUCT(--($E282=STK_DIV!$A$2:$A$5),--(NXT_COMPO!$Q282=STK_DIV!$E$2:$E$5),ROW(STK_DIV!$D$2:$D$5)))),"")</f>
        <v/>
      </c>
      <c r="U282" s="54" t="str">
        <f>IF($D282&lt;&gt;"",VLOOKUP($P282,IDX_REF!$2:$1048576,4,0),"")</f>
        <v/>
      </c>
    </row>
    <row r="283" spans="4:21" x14ac:dyDescent="0.2">
      <c r="D283" s="52" t="str">
        <f t="shared" si="44"/>
        <v/>
      </c>
      <c r="E283" s="5" t="str">
        <f t="shared" si="45"/>
        <v/>
      </c>
      <c r="F283" s="5" t="str">
        <f>IF(ROW(F283)-ROW($E$1)&lt;=$B$1-$B$2,INDEX(IDX_COMPO!B:B,ROW(IDX_COMPO!#REF!)),IF(ROW(E283)-ROW($E$1)&lt;=$B$4,VLOOKUP(E283,STK_REF!$A$2:$J$1048576,2,0),""))</f>
        <v/>
      </c>
      <c r="J283" s="62" t="str">
        <f>IF($D283&lt;=$B$1-$B$2,IF(INDEX($AA$2:$AA$1048576,MATCH($D283,$AB$2:$AB$1048576,0))="MODIFY",INDEX(IDX_CA!$G$1:$G$1041,SUMPRODUCT(--($E283=IDX_CA!$A$2:$A$1041),--(NXT_COMPO!$P283=IDX_CA!$B$2:$B$1041),--(NXT_COMPO!$Q283=IDX_CA!$C$2:$C$1041),ROW(IDX_CA!$G$2:$G$1041))),INDEX(IDX_COMPOSITION!$F$1:$F$441,SUMPRODUCT(--($E283=IDX_COMPOSITION!$A$2:$A$441),--(NXT_COMPO!$P283=IDX_COMPOSITION!$R$2:$R$441),--(NXT_COMPO!$B$5=IDX_COMPOSITION!$L$2:$L$441),ROW(IDX_COMPOSITION!$F$2:$F$441)))),IF($D283&lt;=$B$4,INDEX(IDX_CA!$G$1:$G$1041,SUMPRODUCT(--($E283=IDX_CA!$A$2:$A$1041),--(NXT_COMPO!$P283=IDX_CA!$B$2:$B$1041),--(NXT_COMPO!$Q283=IDX_CA!$C$2:$C$1041),ROW(IDX_CA!$G$2:$G$1041))),""))</f>
        <v/>
      </c>
      <c r="K283" s="63" t="str">
        <f>IF($D283&lt;&gt;"",VLOOKUP($E283,STK_REF!$A$2:$J$1048576,7,0),"")</f>
        <v/>
      </c>
      <c r="L283" s="5" t="str">
        <f>IF($D283&lt;&gt;"",VLOOKUP($E283,STK_REF!$A$2:$J$1048576,8,0),"")</f>
        <v/>
      </c>
      <c r="M283" s="8" t="str">
        <f>IF($D283&lt;&gt;"",IF($K283=$U283,1,IF(ISNA(VLOOKUP($K283&amp;$U283,CUR_RATES!$A$2:$F$521,4,0)),"",VLOOKUP($K283&amp;$U283,CUR_RATES!$A$2:$F$521,4,0))),"")</f>
        <v/>
      </c>
      <c r="N283" s="61" t="str">
        <f t="shared" si="46"/>
        <v/>
      </c>
      <c r="O283" s="68" t="str">
        <f t="shared" si="47"/>
        <v/>
      </c>
      <c r="P283" s="24"/>
      <c r="Q283" s="2" t="str">
        <f>IF(ROW(Q283)-ROW($E$1)&lt;=$B$4,INDEX(IDX_COMPO!F:F,ROW(IDX_COMPO!#REF!)),"")</f>
        <v/>
      </c>
      <c r="R283" s="68" t="str">
        <f t="shared" si="48"/>
        <v/>
      </c>
      <c r="S283" s="61" t="str">
        <f t="shared" si="49"/>
        <v/>
      </c>
      <c r="T283" s="62" t="str">
        <f>IF(D283&lt;&gt;"",IF(SUMPRODUCT(--($E283=STK_DIV!$A$2:$A$5),--(NXT_COMPO!$Q283=STK_DIV!$E$2:$E$5),ROW(STK_DIV!$D$2:$D$5))=0,"",INDEX(STK_DIV!$D$1:$D$5,SUMPRODUCT(--($E283=STK_DIV!$A$2:$A$5),--(NXT_COMPO!$Q283=STK_DIV!$E$2:$E$5),ROW(STK_DIV!$D$2:$D$5)))),"")</f>
        <v/>
      </c>
      <c r="U283" s="54" t="str">
        <f>IF($D283&lt;&gt;"",VLOOKUP($P283,IDX_REF!$2:$1048576,4,0),"")</f>
        <v/>
      </c>
    </row>
    <row r="284" spans="4:21" x14ac:dyDescent="0.2">
      <c r="D284" s="52" t="str">
        <f t="shared" si="44"/>
        <v/>
      </c>
      <c r="E284" s="5" t="str">
        <f t="shared" si="45"/>
        <v/>
      </c>
      <c r="F284" s="5" t="str">
        <f>IF(ROW(F284)-ROW($E$1)&lt;=$B$1-$B$2,INDEX(IDX_COMPO!B:B,ROW(IDX_COMPO!#REF!)),IF(ROW(E284)-ROW($E$1)&lt;=$B$4,VLOOKUP(E284,STK_REF!$A$2:$J$1048576,2,0),""))</f>
        <v/>
      </c>
      <c r="J284" s="62" t="str">
        <f>IF($D284&lt;=$B$1-$B$2,IF(INDEX($AA$2:$AA$1048576,MATCH($D284,$AB$2:$AB$1048576,0))="MODIFY",INDEX(IDX_CA!$G$1:$G$1041,SUMPRODUCT(--($E284=IDX_CA!$A$2:$A$1041),--(NXT_COMPO!$P284=IDX_CA!$B$2:$B$1041),--(NXT_COMPO!$Q284=IDX_CA!$C$2:$C$1041),ROW(IDX_CA!$G$2:$G$1041))),INDEX(IDX_COMPOSITION!$F$1:$F$441,SUMPRODUCT(--($E284=IDX_COMPOSITION!$A$2:$A$441),--(NXT_COMPO!$P284=IDX_COMPOSITION!$R$2:$R$441),--(NXT_COMPO!$B$5=IDX_COMPOSITION!$L$2:$L$441),ROW(IDX_COMPOSITION!$F$2:$F$441)))),IF($D284&lt;=$B$4,INDEX(IDX_CA!$G$1:$G$1041,SUMPRODUCT(--($E284=IDX_CA!$A$2:$A$1041),--(NXT_COMPO!$P284=IDX_CA!$B$2:$B$1041),--(NXT_COMPO!$Q284=IDX_CA!$C$2:$C$1041),ROW(IDX_CA!$G$2:$G$1041))),""))</f>
        <v/>
      </c>
      <c r="K284" s="63" t="str">
        <f>IF($D284&lt;&gt;"",VLOOKUP($E284,STK_REF!$A$2:$J$1048576,7,0),"")</f>
        <v/>
      </c>
      <c r="L284" s="5" t="str">
        <f>IF($D284&lt;&gt;"",VLOOKUP($E284,STK_REF!$A$2:$J$1048576,8,0),"")</f>
        <v/>
      </c>
      <c r="M284" s="8" t="str">
        <f>IF($D284&lt;&gt;"",IF($K284=$U284,1,IF(ISNA(VLOOKUP($K284&amp;$U284,CUR_RATES!$A$2:$F$521,4,0)),"",VLOOKUP($K284&amp;$U284,CUR_RATES!$A$2:$F$521,4,0))),"")</f>
        <v/>
      </c>
      <c r="N284" s="61" t="str">
        <f t="shared" si="46"/>
        <v/>
      </c>
      <c r="O284" s="68" t="str">
        <f t="shared" si="47"/>
        <v/>
      </c>
      <c r="P284" s="24"/>
      <c r="Q284" s="2" t="str">
        <f>IF(ROW(Q284)-ROW($E$1)&lt;=$B$4,INDEX(IDX_COMPO!F:F,ROW(IDX_COMPO!#REF!)),"")</f>
        <v/>
      </c>
      <c r="R284" s="68" t="str">
        <f t="shared" si="48"/>
        <v/>
      </c>
      <c r="S284" s="61" t="str">
        <f t="shared" si="49"/>
        <v/>
      </c>
      <c r="T284" s="62" t="str">
        <f>IF(D284&lt;&gt;"",IF(SUMPRODUCT(--($E284=STK_DIV!$A$2:$A$5),--(NXT_COMPO!$Q284=STK_DIV!$E$2:$E$5),ROW(STK_DIV!$D$2:$D$5))=0,"",INDEX(STK_DIV!$D$1:$D$5,SUMPRODUCT(--($E284=STK_DIV!$A$2:$A$5),--(NXT_COMPO!$Q284=STK_DIV!$E$2:$E$5),ROW(STK_DIV!$D$2:$D$5)))),"")</f>
        <v/>
      </c>
      <c r="U284" s="54" t="str">
        <f>IF($D284&lt;&gt;"",VLOOKUP($P284,IDX_REF!$2:$1048576,4,0),"")</f>
        <v/>
      </c>
    </row>
    <row r="285" spans="4:21" x14ac:dyDescent="0.2">
      <c r="D285" s="52" t="str">
        <f t="shared" si="44"/>
        <v/>
      </c>
      <c r="E285" s="5" t="str">
        <f t="shared" si="45"/>
        <v/>
      </c>
      <c r="F285" s="5" t="str">
        <f>IF(ROW(F285)-ROW($E$1)&lt;=$B$1-$B$2,INDEX(IDX_COMPO!B:B,ROW(IDX_COMPO!#REF!)),IF(ROW(E285)-ROW($E$1)&lt;=$B$4,VLOOKUP(E285,STK_REF!$A$2:$J$1048576,2,0),""))</f>
        <v/>
      </c>
      <c r="J285" s="62" t="str">
        <f>IF($D285&lt;=$B$1-$B$2,IF(INDEX($AA$2:$AA$1048576,MATCH($D285,$AB$2:$AB$1048576,0))="MODIFY",INDEX(IDX_CA!$G$1:$G$1041,SUMPRODUCT(--($E285=IDX_CA!$A$2:$A$1041),--(NXT_COMPO!$P285=IDX_CA!$B$2:$B$1041),--(NXT_COMPO!$Q285=IDX_CA!$C$2:$C$1041),ROW(IDX_CA!$G$2:$G$1041))),INDEX(IDX_COMPOSITION!$F$1:$F$441,SUMPRODUCT(--($E285=IDX_COMPOSITION!$A$2:$A$441),--(NXT_COMPO!$P285=IDX_COMPOSITION!$R$2:$R$441),--(NXT_COMPO!$B$5=IDX_COMPOSITION!$L$2:$L$441),ROW(IDX_COMPOSITION!$F$2:$F$441)))),IF($D285&lt;=$B$4,INDEX(IDX_CA!$G$1:$G$1041,SUMPRODUCT(--($E285=IDX_CA!$A$2:$A$1041),--(NXT_COMPO!$P285=IDX_CA!$B$2:$B$1041),--(NXT_COMPO!$Q285=IDX_CA!$C$2:$C$1041),ROW(IDX_CA!$G$2:$G$1041))),""))</f>
        <v/>
      </c>
      <c r="K285" s="63" t="str">
        <f>IF($D285&lt;&gt;"",VLOOKUP($E285,STK_REF!$A$2:$J$1048576,7,0),"")</f>
        <v/>
      </c>
      <c r="L285" s="5" t="str">
        <f>IF($D285&lt;&gt;"",VLOOKUP($E285,STK_REF!$A$2:$J$1048576,8,0),"")</f>
        <v/>
      </c>
      <c r="M285" s="8" t="str">
        <f>IF($D285&lt;&gt;"",IF($K285=$U285,1,IF(ISNA(VLOOKUP($K285&amp;$U285,CUR_RATES!$A$2:$F$521,4,0)),"",VLOOKUP($K285&amp;$U285,CUR_RATES!$A$2:$F$521,4,0))),"")</f>
        <v/>
      </c>
      <c r="N285" s="61" t="str">
        <f t="shared" si="46"/>
        <v/>
      </c>
      <c r="O285" s="68" t="str">
        <f t="shared" si="47"/>
        <v/>
      </c>
      <c r="P285" s="24"/>
      <c r="Q285" s="2" t="str">
        <f>IF(ROW(Q285)-ROW($E$1)&lt;=$B$4,INDEX(IDX_COMPO!F:F,ROW(IDX_COMPO!#REF!)),"")</f>
        <v/>
      </c>
      <c r="R285" s="68" t="str">
        <f t="shared" si="48"/>
        <v/>
      </c>
      <c r="S285" s="61" t="str">
        <f t="shared" si="49"/>
        <v/>
      </c>
      <c r="T285" s="62" t="str">
        <f>IF(D285&lt;&gt;"",IF(SUMPRODUCT(--($E285=STK_DIV!$A$2:$A$5),--(NXT_COMPO!$Q285=STK_DIV!$E$2:$E$5),ROW(STK_DIV!$D$2:$D$5))=0,"",INDEX(STK_DIV!$D$1:$D$5,SUMPRODUCT(--($E285=STK_DIV!$A$2:$A$5),--(NXT_COMPO!$Q285=STK_DIV!$E$2:$E$5),ROW(STK_DIV!$D$2:$D$5)))),"")</f>
        <v/>
      </c>
      <c r="U285" s="54" t="str">
        <f>IF($D285&lt;&gt;"",VLOOKUP($P285,IDX_REF!$2:$1048576,4,0),"")</f>
        <v/>
      </c>
    </row>
    <row r="286" spans="4:21" x14ac:dyDescent="0.2">
      <c r="D286" s="52" t="str">
        <f t="shared" si="44"/>
        <v/>
      </c>
      <c r="E286" s="5" t="str">
        <f t="shared" si="45"/>
        <v/>
      </c>
      <c r="F286" s="5" t="str">
        <f>IF(ROW(F286)-ROW($E$1)&lt;=$B$1-$B$2,INDEX(IDX_COMPO!B:B,ROW(IDX_COMPO!#REF!)),IF(ROW(E286)-ROW($E$1)&lt;=$B$4,VLOOKUP(E286,STK_REF!$A$2:$J$1048576,2,0),""))</f>
        <v/>
      </c>
      <c r="J286" s="62" t="str">
        <f>IF($D286&lt;=$B$1-$B$2,IF(INDEX($AA$2:$AA$1048576,MATCH($D286,$AB$2:$AB$1048576,0))="MODIFY",INDEX(IDX_CA!$G$1:$G$1041,SUMPRODUCT(--($E286=IDX_CA!$A$2:$A$1041),--(NXT_COMPO!$P286=IDX_CA!$B$2:$B$1041),--(NXT_COMPO!$Q286=IDX_CA!$C$2:$C$1041),ROW(IDX_CA!$G$2:$G$1041))),INDEX(IDX_COMPOSITION!$F$1:$F$441,SUMPRODUCT(--($E286=IDX_COMPOSITION!$A$2:$A$441),--(NXT_COMPO!$P286=IDX_COMPOSITION!$R$2:$R$441),--(NXT_COMPO!$B$5=IDX_COMPOSITION!$L$2:$L$441),ROW(IDX_COMPOSITION!$F$2:$F$441)))),IF($D286&lt;=$B$4,INDEX(IDX_CA!$G$1:$G$1041,SUMPRODUCT(--($E286=IDX_CA!$A$2:$A$1041),--(NXT_COMPO!$P286=IDX_CA!$B$2:$B$1041),--(NXT_COMPO!$Q286=IDX_CA!$C$2:$C$1041),ROW(IDX_CA!$G$2:$G$1041))),""))</f>
        <v/>
      </c>
      <c r="K286" s="63" t="str">
        <f>IF($D286&lt;&gt;"",VLOOKUP($E286,STK_REF!$A$2:$J$1048576,7,0),"")</f>
        <v/>
      </c>
      <c r="L286" s="5" t="str">
        <f>IF($D286&lt;&gt;"",VLOOKUP($E286,STK_REF!$A$2:$J$1048576,8,0),"")</f>
        <v/>
      </c>
      <c r="M286" s="8" t="str">
        <f>IF($D286&lt;&gt;"",IF($K286=$U286,1,IF(ISNA(VLOOKUP($K286&amp;$U286,CUR_RATES!$A$2:$F$521,4,0)),"",VLOOKUP($K286&amp;$U286,CUR_RATES!$A$2:$F$521,4,0))),"")</f>
        <v/>
      </c>
      <c r="N286" s="61" t="str">
        <f t="shared" si="46"/>
        <v/>
      </c>
      <c r="O286" s="68" t="str">
        <f t="shared" si="47"/>
        <v/>
      </c>
      <c r="P286" s="24"/>
      <c r="Q286" s="2" t="str">
        <f>IF(ROW(Q286)-ROW($E$1)&lt;=$B$4,INDEX(IDX_COMPO!F:F,ROW(IDX_COMPO!#REF!)),"")</f>
        <v/>
      </c>
      <c r="R286" s="68" t="str">
        <f t="shared" si="48"/>
        <v/>
      </c>
      <c r="S286" s="61" t="str">
        <f t="shared" si="49"/>
        <v/>
      </c>
      <c r="T286" s="62" t="str">
        <f>IF(D286&lt;&gt;"",IF(SUMPRODUCT(--($E286=STK_DIV!$A$2:$A$5),--(NXT_COMPO!$Q286=STK_DIV!$E$2:$E$5),ROW(STK_DIV!$D$2:$D$5))=0,"",INDEX(STK_DIV!$D$1:$D$5,SUMPRODUCT(--($E286=STK_DIV!$A$2:$A$5),--(NXT_COMPO!$Q286=STK_DIV!$E$2:$E$5),ROW(STK_DIV!$D$2:$D$5)))),"")</f>
        <v/>
      </c>
      <c r="U286" s="54" t="str">
        <f>IF($D286&lt;&gt;"",VLOOKUP($P286,IDX_REF!$2:$1048576,4,0),"")</f>
        <v/>
      </c>
    </row>
    <row r="287" spans="4:21" x14ac:dyDescent="0.2">
      <c r="D287" s="52" t="str">
        <f t="shared" si="44"/>
        <v/>
      </c>
      <c r="E287" s="5" t="str">
        <f t="shared" si="45"/>
        <v/>
      </c>
      <c r="F287" s="5" t="str">
        <f>IF(ROW(F287)-ROW($E$1)&lt;=$B$1-$B$2,INDEX(IDX_COMPO!B:B,ROW(IDX_COMPO!#REF!)),IF(ROW(E287)-ROW($E$1)&lt;=$B$4,VLOOKUP(E287,STK_REF!$A$2:$J$1048576,2,0),""))</f>
        <v/>
      </c>
      <c r="J287" s="62" t="str">
        <f>IF($D287&lt;=$B$1-$B$2,IF(INDEX($AA$2:$AA$1048576,MATCH($D287,$AB$2:$AB$1048576,0))="MODIFY",INDEX(IDX_CA!$G$1:$G$1041,SUMPRODUCT(--($E287=IDX_CA!$A$2:$A$1041),--(NXT_COMPO!$P287=IDX_CA!$B$2:$B$1041),--(NXT_COMPO!$Q287=IDX_CA!$C$2:$C$1041),ROW(IDX_CA!$G$2:$G$1041))),INDEX(IDX_COMPOSITION!$F$1:$F$441,SUMPRODUCT(--($E287=IDX_COMPOSITION!$A$2:$A$441),--(NXT_COMPO!$P287=IDX_COMPOSITION!$R$2:$R$441),--(NXT_COMPO!$B$5=IDX_COMPOSITION!$L$2:$L$441),ROW(IDX_COMPOSITION!$F$2:$F$441)))),IF($D287&lt;=$B$4,INDEX(IDX_CA!$G$1:$G$1041,SUMPRODUCT(--($E287=IDX_CA!$A$2:$A$1041),--(NXT_COMPO!$P287=IDX_CA!$B$2:$B$1041),--(NXT_COMPO!$Q287=IDX_CA!$C$2:$C$1041),ROW(IDX_CA!$G$2:$G$1041))),""))</f>
        <v/>
      </c>
      <c r="K287" s="63" t="str">
        <f>IF($D287&lt;&gt;"",VLOOKUP($E287,STK_REF!$A$2:$J$1048576,7,0),"")</f>
        <v/>
      </c>
      <c r="L287" s="5" t="str">
        <f>IF($D287&lt;&gt;"",VLOOKUP($E287,STK_REF!$A$2:$J$1048576,8,0),"")</f>
        <v/>
      </c>
      <c r="M287" s="8" t="str">
        <f>IF($D287&lt;&gt;"",IF($K287=$U287,1,IF(ISNA(VLOOKUP($K287&amp;$U287,CUR_RATES!$A$2:$F$521,4,0)),"",VLOOKUP($K287&amp;$U287,CUR_RATES!$A$2:$F$521,4,0))),"")</f>
        <v/>
      </c>
      <c r="N287" s="61" t="str">
        <f t="shared" si="46"/>
        <v/>
      </c>
      <c r="O287" s="68" t="str">
        <f t="shared" si="47"/>
        <v/>
      </c>
      <c r="P287" s="24"/>
      <c r="Q287" s="2" t="str">
        <f>IF(ROW(Q287)-ROW($E$1)&lt;=$B$4,INDEX(IDX_COMPO!F:F,ROW(IDX_COMPO!#REF!)),"")</f>
        <v/>
      </c>
      <c r="R287" s="68" t="str">
        <f t="shared" si="48"/>
        <v/>
      </c>
      <c r="S287" s="61" t="str">
        <f t="shared" si="49"/>
        <v/>
      </c>
      <c r="T287" s="62" t="str">
        <f>IF(D287&lt;&gt;"",IF(SUMPRODUCT(--($E287=STK_DIV!$A$2:$A$5),--(NXT_COMPO!$Q287=STK_DIV!$E$2:$E$5),ROW(STK_DIV!$D$2:$D$5))=0,"",INDEX(STK_DIV!$D$1:$D$5,SUMPRODUCT(--($E287=STK_DIV!$A$2:$A$5),--(NXT_COMPO!$Q287=STK_DIV!$E$2:$E$5),ROW(STK_DIV!$D$2:$D$5)))),"")</f>
        <v/>
      </c>
      <c r="U287" s="54" t="str">
        <f>IF($D287&lt;&gt;"",VLOOKUP($P287,IDX_REF!$2:$1048576,4,0),"")</f>
        <v/>
      </c>
    </row>
    <row r="288" spans="4:21" x14ac:dyDescent="0.2">
      <c r="D288" s="52" t="str">
        <f t="shared" si="44"/>
        <v/>
      </c>
      <c r="E288" s="5" t="str">
        <f t="shared" si="45"/>
        <v/>
      </c>
      <c r="F288" s="5" t="str">
        <f>IF(ROW(F288)-ROW($E$1)&lt;=$B$1-$B$2,INDEX(IDX_COMPO!B:B,ROW(IDX_COMPO!#REF!)),IF(ROW(E288)-ROW($E$1)&lt;=$B$4,VLOOKUP(E288,STK_REF!$A$2:$J$1048576,2,0),""))</f>
        <v/>
      </c>
      <c r="J288" s="62" t="str">
        <f>IF($D288&lt;=$B$1-$B$2,IF(INDEX($AA$2:$AA$1048576,MATCH($D288,$AB$2:$AB$1048576,0))="MODIFY",INDEX(IDX_CA!$G$1:$G$1041,SUMPRODUCT(--($E288=IDX_CA!$A$2:$A$1041),--(NXT_COMPO!$P288=IDX_CA!$B$2:$B$1041),--(NXT_COMPO!$Q288=IDX_CA!$C$2:$C$1041),ROW(IDX_CA!$G$2:$G$1041))),INDEX(IDX_COMPOSITION!$F$1:$F$441,SUMPRODUCT(--($E288=IDX_COMPOSITION!$A$2:$A$441),--(NXT_COMPO!$P288=IDX_COMPOSITION!$R$2:$R$441),--(NXT_COMPO!$B$5=IDX_COMPOSITION!$L$2:$L$441),ROW(IDX_COMPOSITION!$F$2:$F$441)))),IF($D288&lt;=$B$4,INDEX(IDX_CA!$G$1:$G$1041,SUMPRODUCT(--($E288=IDX_CA!$A$2:$A$1041),--(NXT_COMPO!$P288=IDX_CA!$B$2:$B$1041),--(NXT_COMPO!$Q288=IDX_CA!$C$2:$C$1041),ROW(IDX_CA!$G$2:$G$1041))),""))</f>
        <v/>
      </c>
      <c r="K288" s="63" t="str">
        <f>IF($D288&lt;&gt;"",VLOOKUP($E288,STK_REF!$A$2:$J$1048576,7,0),"")</f>
        <v/>
      </c>
      <c r="L288" s="5" t="str">
        <f>IF($D288&lt;&gt;"",VLOOKUP($E288,STK_REF!$A$2:$J$1048576,8,0),"")</f>
        <v/>
      </c>
      <c r="M288" s="8" t="str">
        <f>IF($D288&lt;&gt;"",IF($K288=$U288,1,IF(ISNA(VLOOKUP($K288&amp;$U288,CUR_RATES!$A$2:$F$521,4,0)),"",VLOOKUP($K288&amp;$U288,CUR_RATES!$A$2:$F$521,4,0))),"")</f>
        <v/>
      </c>
      <c r="N288" s="61" t="str">
        <f t="shared" si="46"/>
        <v/>
      </c>
      <c r="O288" s="68" t="str">
        <f t="shared" si="47"/>
        <v/>
      </c>
      <c r="P288" s="24"/>
      <c r="Q288" s="2" t="str">
        <f>IF(ROW(Q288)-ROW($E$1)&lt;=$B$4,INDEX(IDX_COMPO!F:F,ROW(IDX_COMPO!#REF!)),"")</f>
        <v/>
      </c>
      <c r="R288" s="68" t="str">
        <f t="shared" si="48"/>
        <v/>
      </c>
      <c r="S288" s="61" t="str">
        <f t="shared" si="49"/>
        <v/>
      </c>
      <c r="T288" s="62" t="str">
        <f>IF(D288&lt;&gt;"",IF(SUMPRODUCT(--($E288=STK_DIV!$A$2:$A$5),--(NXT_COMPO!$Q288=STK_DIV!$E$2:$E$5),ROW(STK_DIV!$D$2:$D$5))=0,"",INDEX(STK_DIV!$D$1:$D$5,SUMPRODUCT(--($E288=STK_DIV!$A$2:$A$5),--(NXT_COMPO!$Q288=STK_DIV!$E$2:$E$5),ROW(STK_DIV!$D$2:$D$5)))),"")</f>
        <v/>
      </c>
      <c r="U288" s="54" t="str">
        <f>IF($D288&lt;&gt;"",VLOOKUP($P288,IDX_REF!$2:$1048576,4,0),"")</f>
        <v/>
      </c>
    </row>
    <row r="289" spans="4:21" x14ac:dyDescent="0.2">
      <c r="D289" s="52" t="str">
        <f t="shared" si="44"/>
        <v/>
      </c>
      <c r="E289" s="5" t="str">
        <f t="shared" si="45"/>
        <v/>
      </c>
      <c r="F289" s="5" t="str">
        <f>IF(ROW(F289)-ROW($E$1)&lt;=$B$1-$B$2,INDEX(IDX_COMPO!B:B,ROW(IDX_COMPO!#REF!)),IF(ROW(E289)-ROW($E$1)&lt;=$B$4,VLOOKUP(E289,STK_REF!$A$2:$J$1048576,2,0),""))</f>
        <v/>
      </c>
      <c r="J289" s="62" t="str">
        <f>IF($D289&lt;=$B$1-$B$2,IF(INDEX($AA$2:$AA$1048576,MATCH($D289,$AB$2:$AB$1048576,0))="MODIFY",INDEX(IDX_CA!$G$1:$G$1041,SUMPRODUCT(--($E289=IDX_CA!$A$2:$A$1041),--(NXT_COMPO!$P289=IDX_CA!$B$2:$B$1041),--(NXT_COMPO!$Q289=IDX_CA!$C$2:$C$1041),ROW(IDX_CA!$G$2:$G$1041))),INDEX(IDX_COMPOSITION!$F$1:$F$441,SUMPRODUCT(--($E289=IDX_COMPOSITION!$A$2:$A$441),--(NXT_COMPO!$P289=IDX_COMPOSITION!$R$2:$R$441),--(NXT_COMPO!$B$5=IDX_COMPOSITION!$L$2:$L$441),ROW(IDX_COMPOSITION!$F$2:$F$441)))),IF($D289&lt;=$B$4,INDEX(IDX_CA!$G$1:$G$1041,SUMPRODUCT(--($E289=IDX_CA!$A$2:$A$1041),--(NXT_COMPO!$P289=IDX_CA!$B$2:$B$1041),--(NXT_COMPO!$Q289=IDX_CA!$C$2:$C$1041),ROW(IDX_CA!$G$2:$G$1041))),""))</f>
        <v/>
      </c>
      <c r="K289" s="63" t="str">
        <f>IF($D289&lt;&gt;"",VLOOKUP($E289,STK_REF!$A$2:$J$1048576,7,0),"")</f>
        <v/>
      </c>
      <c r="L289" s="5" t="str">
        <f>IF($D289&lt;&gt;"",VLOOKUP($E289,STK_REF!$A$2:$J$1048576,8,0),"")</f>
        <v/>
      </c>
      <c r="M289" s="8" t="str">
        <f>IF($D289&lt;&gt;"",IF($K289=$U289,1,IF(ISNA(VLOOKUP($K289&amp;$U289,CUR_RATES!$A$2:$F$521,4,0)),"",VLOOKUP($K289&amp;$U289,CUR_RATES!$A$2:$F$521,4,0))),"")</f>
        <v/>
      </c>
      <c r="N289" s="61" t="str">
        <f t="shared" si="46"/>
        <v/>
      </c>
      <c r="O289" s="68" t="str">
        <f t="shared" si="47"/>
        <v/>
      </c>
      <c r="P289" s="24"/>
      <c r="Q289" s="2" t="str">
        <f>IF(ROW(Q289)-ROW($E$1)&lt;=$B$4,INDEX(IDX_COMPO!F:F,ROW(IDX_COMPO!#REF!)),"")</f>
        <v/>
      </c>
      <c r="R289" s="68" t="str">
        <f t="shared" si="48"/>
        <v/>
      </c>
      <c r="S289" s="61" t="str">
        <f t="shared" si="49"/>
        <v/>
      </c>
      <c r="T289" s="62" t="str">
        <f>IF(D289&lt;&gt;"",IF(SUMPRODUCT(--($E289=STK_DIV!$A$2:$A$5),--(NXT_COMPO!$Q289=STK_DIV!$E$2:$E$5),ROW(STK_DIV!$D$2:$D$5))=0,"",INDEX(STK_DIV!$D$1:$D$5,SUMPRODUCT(--($E289=STK_DIV!$A$2:$A$5),--(NXT_COMPO!$Q289=STK_DIV!$E$2:$E$5),ROW(STK_DIV!$D$2:$D$5)))),"")</f>
        <v/>
      </c>
      <c r="U289" s="54" t="str">
        <f>IF($D289&lt;&gt;"",VLOOKUP($P289,IDX_REF!$2:$1048576,4,0),"")</f>
        <v/>
      </c>
    </row>
    <row r="290" spans="4:21" x14ac:dyDescent="0.2">
      <c r="D290" s="52" t="str">
        <f t="shared" si="44"/>
        <v/>
      </c>
      <c r="E290" s="5" t="str">
        <f t="shared" si="45"/>
        <v/>
      </c>
      <c r="F290" s="5" t="str">
        <f>IF(ROW(F290)-ROW($E$1)&lt;=$B$1-$B$2,INDEX(IDX_COMPO!B:B,ROW(IDX_COMPO!#REF!)),IF(ROW(E290)-ROW($E$1)&lt;=$B$4,VLOOKUP(E290,STK_REF!$A$2:$J$1048576,2,0),""))</f>
        <v/>
      </c>
      <c r="J290" s="62" t="str">
        <f>IF($D290&lt;=$B$1-$B$2,IF(INDEX($AA$2:$AA$1048576,MATCH($D290,$AB$2:$AB$1048576,0))="MODIFY",INDEX(IDX_CA!$G$1:$G$1041,SUMPRODUCT(--($E290=IDX_CA!$A$2:$A$1041),--(NXT_COMPO!$P290=IDX_CA!$B$2:$B$1041),--(NXT_COMPO!$Q290=IDX_CA!$C$2:$C$1041),ROW(IDX_CA!$G$2:$G$1041))),INDEX(IDX_COMPOSITION!$F$1:$F$441,SUMPRODUCT(--($E290=IDX_COMPOSITION!$A$2:$A$441),--(NXT_COMPO!$P290=IDX_COMPOSITION!$R$2:$R$441),--(NXT_COMPO!$B$5=IDX_COMPOSITION!$L$2:$L$441),ROW(IDX_COMPOSITION!$F$2:$F$441)))),IF($D290&lt;=$B$4,INDEX(IDX_CA!$G$1:$G$1041,SUMPRODUCT(--($E290=IDX_CA!$A$2:$A$1041),--(NXT_COMPO!$P290=IDX_CA!$B$2:$B$1041),--(NXT_COMPO!$Q290=IDX_CA!$C$2:$C$1041),ROW(IDX_CA!$G$2:$G$1041))),""))</f>
        <v/>
      </c>
      <c r="K290" s="63" t="str">
        <f>IF($D290&lt;&gt;"",VLOOKUP($E290,STK_REF!$A$2:$J$1048576,7,0),"")</f>
        <v/>
      </c>
      <c r="L290" s="5" t="str">
        <f>IF($D290&lt;&gt;"",VLOOKUP($E290,STK_REF!$A$2:$J$1048576,8,0),"")</f>
        <v/>
      </c>
      <c r="M290" s="8" t="str">
        <f>IF($D290&lt;&gt;"",IF($K290=$U290,1,IF(ISNA(VLOOKUP($K290&amp;$U290,CUR_RATES!$A$2:$F$521,4,0)),"",VLOOKUP($K290&amp;$U290,CUR_RATES!$A$2:$F$521,4,0))),"")</f>
        <v/>
      </c>
      <c r="N290" s="61" t="str">
        <f t="shared" si="46"/>
        <v/>
      </c>
      <c r="O290" s="68" t="str">
        <f t="shared" si="47"/>
        <v/>
      </c>
      <c r="P290" s="24"/>
      <c r="Q290" s="2" t="str">
        <f>IF(ROW(Q290)-ROW($E$1)&lt;=$B$4,INDEX(IDX_COMPO!F:F,ROW(IDX_COMPO!#REF!)),"")</f>
        <v/>
      </c>
      <c r="R290" s="68" t="str">
        <f t="shared" si="48"/>
        <v/>
      </c>
      <c r="S290" s="61" t="str">
        <f t="shared" si="49"/>
        <v/>
      </c>
      <c r="T290" s="62" t="str">
        <f>IF(D290&lt;&gt;"",IF(SUMPRODUCT(--($E290=STK_DIV!$A$2:$A$5),--(NXT_COMPO!$Q290=STK_DIV!$E$2:$E$5),ROW(STK_DIV!$D$2:$D$5))=0,"",INDEX(STK_DIV!$D$1:$D$5,SUMPRODUCT(--($E290=STK_DIV!$A$2:$A$5),--(NXT_COMPO!$Q290=STK_DIV!$E$2:$E$5),ROW(STK_DIV!$D$2:$D$5)))),"")</f>
        <v/>
      </c>
      <c r="U290" s="54" t="str">
        <f>IF($D290&lt;&gt;"",VLOOKUP($P290,IDX_REF!$2:$1048576,4,0),"")</f>
        <v/>
      </c>
    </row>
    <row r="291" spans="4:21" x14ac:dyDescent="0.2">
      <c r="D291" s="52" t="str">
        <f t="shared" si="44"/>
        <v/>
      </c>
      <c r="E291" s="5" t="str">
        <f t="shared" si="45"/>
        <v/>
      </c>
      <c r="F291" s="5" t="str">
        <f>IF(ROW(F291)-ROW($E$1)&lt;=$B$1-$B$2,INDEX(IDX_COMPO!B:B,ROW(IDX_COMPO!#REF!)),IF(ROW(E291)-ROW($E$1)&lt;=$B$4,VLOOKUP(E291,STK_REF!$A$2:$J$1048576,2,0),""))</f>
        <v/>
      </c>
      <c r="J291" s="62" t="str">
        <f>IF($D291&lt;=$B$1-$B$2,IF(INDEX($AA$2:$AA$1048576,MATCH($D291,$AB$2:$AB$1048576,0))="MODIFY",INDEX(IDX_CA!$G$1:$G$1041,SUMPRODUCT(--($E291=IDX_CA!$A$2:$A$1041),--(NXT_COMPO!$P291=IDX_CA!$B$2:$B$1041),--(NXT_COMPO!$Q291=IDX_CA!$C$2:$C$1041),ROW(IDX_CA!$G$2:$G$1041))),INDEX(IDX_COMPOSITION!$F$1:$F$441,SUMPRODUCT(--($E291=IDX_COMPOSITION!$A$2:$A$441),--(NXT_COMPO!$P291=IDX_COMPOSITION!$R$2:$R$441),--(NXT_COMPO!$B$5=IDX_COMPOSITION!$L$2:$L$441),ROW(IDX_COMPOSITION!$F$2:$F$441)))),IF($D291&lt;=$B$4,INDEX(IDX_CA!$G$1:$G$1041,SUMPRODUCT(--($E291=IDX_CA!$A$2:$A$1041),--(NXT_COMPO!$P291=IDX_CA!$B$2:$B$1041),--(NXT_COMPO!$Q291=IDX_CA!$C$2:$C$1041),ROW(IDX_CA!$G$2:$G$1041))),""))</f>
        <v/>
      </c>
      <c r="K291" s="63" t="str">
        <f>IF($D291&lt;&gt;"",VLOOKUP($E291,STK_REF!$A$2:$J$1048576,7,0),"")</f>
        <v/>
      </c>
      <c r="L291" s="5" t="str">
        <f>IF($D291&lt;&gt;"",VLOOKUP($E291,STK_REF!$A$2:$J$1048576,8,0),"")</f>
        <v/>
      </c>
      <c r="M291" s="8" t="str">
        <f>IF($D291&lt;&gt;"",IF($K291=$U291,1,IF(ISNA(VLOOKUP($K291&amp;$U291,CUR_RATES!$A$2:$F$521,4,0)),"",VLOOKUP($K291&amp;$U291,CUR_RATES!$A$2:$F$521,4,0))),"")</f>
        <v/>
      </c>
      <c r="N291" s="61" t="str">
        <f t="shared" si="46"/>
        <v/>
      </c>
      <c r="O291" s="68" t="str">
        <f t="shared" si="47"/>
        <v/>
      </c>
      <c r="P291" s="24"/>
      <c r="Q291" s="2" t="str">
        <f>IF(ROW(Q291)-ROW($E$1)&lt;=$B$4,INDEX(IDX_COMPO!F:F,ROW(IDX_COMPO!#REF!)),"")</f>
        <v/>
      </c>
      <c r="R291" s="68" t="str">
        <f t="shared" si="48"/>
        <v/>
      </c>
      <c r="S291" s="61" t="str">
        <f t="shared" si="49"/>
        <v/>
      </c>
      <c r="T291" s="62" t="str">
        <f>IF(D291&lt;&gt;"",IF(SUMPRODUCT(--($E291=STK_DIV!$A$2:$A$5),--(NXT_COMPO!$Q291=STK_DIV!$E$2:$E$5),ROW(STK_DIV!$D$2:$D$5))=0,"",INDEX(STK_DIV!$D$1:$D$5,SUMPRODUCT(--($E291=STK_DIV!$A$2:$A$5),--(NXT_COMPO!$Q291=STK_DIV!$E$2:$E$5),ROW(STK_DIV!$D$2:$D$5)))),"")</f>
        <v/>
      </c>
      <c r="U291" s="54" t="str">
        <f>IF($D291&lt;&gt;"",VLOOKUP($P291,IDX_REF!$2:$1048576,4,0),"")</f>
        <v/>
      </c>
    </row>
    <row r="292" spans="4:21" x14ac:dyDescent="0.2">
      <c r="D292" s="52" t="str">
        <f t="shared" si="44"/>
        <v/>
      </c>
      <c r="E292" s="5" t="str">
        <f t="shared" si="45"/>
        <v/>
      </c>
      <c r="F292" s="5" t="str">
        <f>IF(ROW(F292)-ROW($E$1)&lt;=$B$1-$B$2,INDEX(IDX_COMPO!B:B,ROW(IDX_COMPO!#REF!)),IF(ROW(E292)-ROW($E$1)&lt;=$B$4,VLOOKUP(E292,STK_REF!$A$2:$J$1048576,2,0),""))</f>
        <v/>
      </c>
      <c r="J292" s="62" t="str">
        <f>IF($D292&lt;=$B$1-$B$2,IF(INDEX($AA$2:$AA$1048576,MATCH($D292,$AB$2:$AB$1048576,0))="MODIFY",INDEX(IDX_CA!$G$1:$G$1041,SUMPRODUCT(--($E292=IDX_CA!$A$2:$A$1041),--(NXT_COMPO!$P292=IDX_CA!$B$2:$B$1041),--(NXT_COMPO!$Q292=IDX_CA!$C$2:$C$1041),ROW(IDX_CA!$G$2:$G$1041))),INDEX(IDX_COMPOSITION!$F$1:$F$441,SUMPRODUCT(--($E292=IDX_COMPOSITION!$A$2:$A$441),--(NXT_COMPO!$P292=IDX_COMPOSITION!$R$2:$R$441),--(NXT_COMPO!$B$5=IDX_COMPOSITION!$L$2:$L$441),ROW(IDX_COMPOSITION!$F$2:$F$441)))),IF($D292&lt;=$B$4,INDEX(IDX_CA!$G$1:$G$1041,SUMPRODUCT(--($E292=IDX_CA!$A$2:$A$1041),--(NXT_COMPO!$P292=IDX_CA!$B$2:$B$1041),--(NXT_COMPO!$Q292=IDX_CA!$C$2:$C$1041),ROW(IDX_CA!$G$2:$G$1041))),""))</f>
        <v/>
      </c>
      <c r="K292" s="63" t="str">
        <f>IF($D292&lt;&gt;"",VLOOKUP($E292,STK_REF!$A$2:$J$1048576,7,0),"")</f>
        <v/>
      </c>
      <c r="L292" s="5" t="str">
        <f>IF($D292&lt;&gt;"",VLOOKUP($E292,STK_REF!$A$2:$J$1048576,8,0),"")</f>
        <v/>
      </c>
      <c r="M292" s="8" t="str">
        <f>IF($D292&lt;&gt;"",IF($K292=$U292,1,IF(ISNA(VLOOKUP($K292&amp;$U292,CUR_RATES!$A$2:$F$521,4,0)),"",VLOOKUP($K292&amp;$U292,CUR_RATES!$A$2:$F$521,4,0))),"")</f>
        <v/>
      </c>
      <c r="N292" s="61" t="str">
        <f t="shared" si="46"/>
        <v/>
      </c>
      <c r="O292" s="68" t="str">
        <f t="shared" si="47"/>
        <v/>
      </c>
      <c r="P292" s="24"/>
      <c r="Q292" s="2" t="str">
        <f>IF(ROW(Q292)-ROW($E$1)&lt;=$B$4,INDEX(IDX_COMPO!F:F,ROW(IDX_COMPO!#REF!)),"")</f>
        <v/>
      </c>
      <c r="R292" s="68" t="str">
        <f t="shared" si="48"/>
        <v/>
      </c>
      <c r="S292" s="61" t="str">
        <f t="shared" si="49"/>
        <v/>
      </c>
      <c r="T292" s="62" t="str">
        <f>IF(D292&lt;&gt;"",IF(SUMPRODUCT(--($E292=STK_DIV!$A$2:$A$5),--(NXT_COMPO!$Q292=STK_DIV!$E$2:$E$5),ROW(STK_DIV!$D$2:$D$5))=0,"",INDEX(STK_DIV!$D$1:$D$5,SUMPRODUCT(--($E292=STK_DIV!$A$2:$A$5),--(NXT_COMPO!$Q292=STK_DIV!$E$2:$E$5),ROW(STK_DIV!$D$2:$D$5)))),"")</f>
        <v/>
      </c>
      <c r="U292" s="54" t="str">
        <f>IF($D292&lt;&gt;"",VLOOKUP($P292,IDX_REF!$2:$1048576,4,0),"")</f>
        <v/>
      </c>
    </row>
    <row r="293" spans="4:21" x14ac:dyDescent="0.2">
      <c r="D293" s="52" t="str">
        <f t="shared" si="44"/>
        <v/>
      </c>
      <c r="E293" s="5" t="str">
        <f t="shared" si="45"/>
        <v/>
      </c>
      <c r="F293" s="5" t="str">
        <f>IF(ROW(F293)-ROW($E$1)&lt;=$B$1-$B$2,INDEX(IDX_COMPO!B:B,ROW(IDX_COMPO!#REF!)),IF(ROW(E293)-ROW($E$1)&lt;=$B$4,VLOOKUP(E293,STK_REF!$A$2:$J$1048576,2,0),""))</f>
        <v/>
      </c>
      <c r="J293" s="62" t="str">
        <f>IF($D293&lt;=$B$1-$B$2,IF(INDEX($AA$2:$AA$1048576,MATCH($D293,$AB$2:$AB$1048576,0))="MODIFY",INDEX(IDX_CA!$G$1:$G$1041,SUMPRODUCT(--($E293=IDX_CA!$A$2:$A$1041),--(NXT_COMPO!$P293=IDX_CA!$B$2:$B$1041),--(NXT_COMPO!$Q293=IDX_CA!$C$2:$C$1041),ROW(IDX_CA!$G$2:$G$1041))),INDEX(IDX_COMPOSITION!$F$1:$F$441,SUMPRODUCT(--($E293=IDX_COMPOSITION!$A$2:$A$441),--(NXT_COMPO!$P293=IDX_COMPOSITION!$R$2:$R$441),--(NXT_COMPO!$B$5=IDX_COMPOSITION!$L$2:$L$441),ROW(IDX_COMPOSITION!$F$2:$F$441)))),IF($D293&lt;=$B$4,INDEX(IDX_CA!$G$1:$G$1041,SUMPRODUCT(--($E293=IDX_CA!$A$2:$A$1041),--(NXT_COMPO!$P293=IDX_CA!$B$2:$B$1041),--(NXT_COMPO!$Q293=IDX_CA!$C$2:$C$1041),ROW(IDX_CA!$G$2:$G$1041))),""))</f>
        <v/>
      </c>
      <c r="K293" s="63" t="str">
        <f>IF($D293&lt;&gt;"",VLOOKUP($E293,STK_REF!$A$2:$J$1048576,7,0),"")</f>
        <v/>
      </c>
      <c r="L293" s="5" t="str">
        <f>IF($D293&lt;&gt;"",VLOOKUP($E293,STK_REF!$A$2:$J$1048576,8,0),"")</f>
        <v/>
      </c>
      <c r="M293" s="8" t="str">
        <f>IF($D293&lt;&gt;"",IF($K293=$U293,1,IF(ISNA(VLOOKUP($K293&amp;$U293,CUR_RATES!$A$2:$F$521,4,0)),"",VLOOKUP($K293&amp;$U293,CUR_RATES!$A$2:$F$521,4,0))),"")</f>
        <v/>
      </c>
      <c r="N293" s="61" t="str">
        <f t="shared" si="46"/>
        <v/>
      </c>
      <c r="O293" s="68" t="str">
        <f t="shared" si="47"/>
        <v/>
      </c>
      <c r="P293" s="24"/>
      <c r="Q293" s="2" t="str">
        <f>IF(ROW(Q293)-ROW($E$1)&lt;=$B$4,INDEX(IDX_COMPO!F:F,ROW(IDX_COMPO!#REF!)),"")</f>
        <v/>
      </c>
      <c r="R293" s="68" t="str">
        <f t="shared" si="48"/>
        <v/>
      </c>
      <c r="S293" s="61" t="str">
        <f t="shared" si="49"/>
        <v/>
      </c>
      <c r="T293" s="62" t="str">
        <f>IF(D293&lt;&gt;"",IF(SUMPRODUCT(--($E293=STK_DIV!$A$2:$A$5),--(NXT_COMPO!$Q293=STK_DIV!$E$2:$E$5),ROW(STK_DIV!$D$2:$D$5))=0,"",INDEX(STK_DIV!$D$1:$D$5,SUMPRODUCT(--($E293=STK_DIV!$A$2:$A$5),--(NXT_COMPO!$Q293=STK_DIV!$E$2:$E$5),ROW(STK_DIV!$D$2:$D$5)))),"")</f>
        <v/>
      </c>
      <c r="U293" s="54" t="str">
        <f>IF($D293&lt;&gt;"",VLOOKUP($P293,IDX_REF!$2:$1048576,4,0),"")</f>
        <v/>
      </c>
    </row>
    <row r="294" spans="4:21" x14ac:dyDescent="0.2">
      <c r="D294" s="52" t="str">
        <f t="shared" si="44"/>
        <v/>
      </c>
      <c r="E294" s="5" t="str">
        <f t="shared" si="45"/>
        <v/>
      </c>
      <c r="F294" s="5" t="str">
        <f>IF(ROW(F294)-ROW($E$1)&lt;=$B$1-$B$2,INDEX(IDX_COMPO!B:B,ROW(IDX_COMPO!#REF!)),IF(ROW(E294)-ROW($E$1)&lt;=$B$4,VLOOKUP(E294,STK_REF!$A$2:$J$1048576,2,0),""))</f>
        <v/>
      </c>
      <c r="J294" s="62" t="str">
        <f>IF($D294&lt;=$B$1-$B$2,IF(INDEX($AA$2:$AA$1048576,MATCH($D294,$AB$2:$AB$1048576,0))="MODIFY",INDEX(IDX_CA!$G$1:$G$1041,SUMPRODUCT(--($E294=IDX_CA!$A$2:$A$1041),--(NXT_COMPO!$P294=IDX_CA!$B$2:$B$1041),--(NXT_COMPO!$Q294=IDX_CA!$C$2:$C$1041),ROW(IDX_CA!$G$2:$G$1041))),INDEX(IDX_COMPOSITION!$F$1:$F$441,SUMPRODUCT(--($E294=IDX_COMPOSITION!$A$2:$A$441),--(NXT_COMPO!$P294=IDX_COMPOSITION!$R$2:$R$441),--(NXT_COMPO!$B$5=IDX_COMPOSITION!$L$2:$L$441),ROW(IDX_COMPOSITION!$F$2:$F$441)))),IF($D294&lt;=$B$4,INDEX(IDX_CA!$G$1:$G$1041,SUMPRODUCT(--($E294=IDX_CA!$A$2:$A$1041),--(NXT_COMPO!$P294=IDX_CA!$B$2:$B$1041),--(NXT_COMPO!$Q294=IDX_CA!$C$2:$C$1041),ROW(IDX_CA!$G$2:$G$1041))),""))</f>
        <v/>
      </c>
      <c r="K294" s="63" t="str">
        <f>IF($D294&lt;&gt;"",VLOOKUP($E294,STK_REF!$A$2:$J$1048576,7,0),"")</f>
        <v/>
      </c>
      <c r="L294" s="5" t="str">
        <f>IF($D294&lt;&gt;"",VLOOKUP($E294,STK_REF!$A$2:$J$1048576,8,0),"")</f>
        <v/>
      </c>
      <c r="M294" s="8" t="str">
        <f>IF($D294&lt;&gt;"",IF($K294=$U294,1,IF(ISNA(VLOOKUP($K294&amp;$U294,CUR_RATES!$A$2:$F$521,4,0)),"",VLOOKUP($K294&amp;$U294,CUR_RATES!$A$2:$F$521,4,0))),"")</f>
        <v/>
      </c>
      <c r="N294" s="61" t="str">
        <f t="shared" si="46"/>
        <v/>
      </c>
      <c r="O294" s="68" t="str">
        <f t="shared" si="47"/>
        <v/>
      </c>
      <c r="P294" s="24"/>
      <c r="Q294" s="2" t="str">
        <f>IF(ROW(Q294)-ROW($E$1)&lt;=$B$4,INDEX(IDX_COMPO!F:F,ROW(IDX_COMPO!#REF!)),"")</f>
        <v/>
      </c>
      <c r="R294" s="68" t="str">
        <f t="shared" si="48"/>
        <v/>
      </c>
      <c r="S294" s="61" t="str">
        <f t="shared" si="49"/>
        <v/>
      </c>
      <c r="T294" s="62" t="str">
        <f>IF(D294&lt;&gt;"",IF(SUMPRODUCT(--($E294=STK_DIV!$A$2:$A$5),--(NXT_COMPO!$Q294=STK_DIV!$E$2:$E$5),ROW(STK_DIV!$D$2:$D$5))=0,"",INDEX(STK_DIV!$D$1:$D$5,SUMPRODUCT(--($E294=STK_DIV!$A$2:$A$5),--(NXT_COMPO!$Q294=STK_DIV!$E$2:$E$5),ROW(STK_DIV!$D$2:$D$5)))),"")</f>
        <v/>
      </c>
      <c r="U294" s="54" t="str">
        <f>IF($D294&lt;&gt;"",VLOOKUP($P294,IDX_REF!$2:$1048576,4,0),"")</f>
        <v/>
      </c>
    </row>
    <row r="295" spans="4:21" x14ac:dyDescent="0.2">
      <c r="D295" s="52" t="str">
        <f t="shared" si="44"/>
        <v/>
      </c>
      <c r="E295" s="5" t="str">
        <f t="shared" si="45"/>
        <v/>
      </c>
      <c r="F295" s="5" t="str">
        <f>IF(ROW(F295)-ROW($E$1)&lt;=$B$1-$B$2,INDEX(IDX_COMPO!B:B,ROW(IDX_COMPO!#REF!)),IF(ROW(E295)-ROW($E$1)&lt;=$B$4,VLOOKUP(E295,STK_REF!$A$2:$J$1048576,2,0),""))</f>
        <v/>
      </c>
      <c r="J295" s="62" t="str">
        <f>IF($D295&lt;=$B$1-$B$2,IF(INDEX($AA$2:$AA$1048576,MATCH($D295,$AB$2:$AB$1048576,0))="MODIFY",INDEX(IDX_CA!$G$1:$G$1041,SUMPRODUCT(--($E295=IDX_CA!$A$2:$A$1041),--(NXT_COMPO!$P295=IDX_CA!$B$2:$B$1041),--(NXT_COMPO!$Q295=IDX_CA!$C$2:$C$1041),ROW(IDX_CA!$G$2:$G$1041))),INDEX(IDX_COMPOSITION!$F$1:$F$441,SUMPRODUCT(--($E295=IDX_COMPOSITION!$A$2:$A$441),--(NXT_COMPO!$P295=IDX_COMPOSITION!$R$2:$R$441),--(NXT_COMPO!$B$5=IDX_COMPOSITION!$L$2:$L$441),ROW(IDX_COMPOSITION!$F$2:$F$441)))),IF($D295&lt;=$B$4,INDEX(IDX_CA!$G$1:$G$1041,SUMPRODUCT(--($E295=IDX_CA!$A$2:$A$1041),--(NXT_COMPO!$P295=IDX_CA!$B$2:$B$1041),--(NXT_COMPO!$Q295=IDX_CA!$C$2:$C$1041),ROW(IDX_CA!$G$2:$G$1041))),""))</f>
        <v/>
      </c>
      <c r="K295" s="63" t="str">
        <f>IF($D295&lt;&gt;"",VLOOKUP($E295,STK_REF!$A$2:$J$1048576,7,0),"")</f>
        <v/>
      </c>
      <c r="L295" s="5" t="str">
        <f>IF($D295&lt;&gt;"",VLOOKUP($E295,STK_REF!$A$2:$J$1048576,8,0),"")</f>
        <v/>
      </c>
      <c r="M295" s="8" t="str">
        <f>IF($D295&lt;&gt;"",IF($K295=$U295,1,IF(ISNA(VLOOKUP($K295&amp;$U295,CUR_RATES!$A$2:$F$521,4,0)),"",VLOOKUP($K295&amp;$U295,CUR_RATES!$A$2:$F$521,4,0))),"")</f>
        <v/>
      </c>
      <c r="N295" s="61" t="str">
        <f t="shared" si="46"/>
        <v/>
      </c>
      <c r="O295" s="68" t="str">
        <f t="shared" si="47"/>
        <v/>
      </c>
      <c r="P295" s="24"/>
      <c r="Q295" s="2" t="str">
        <f>IF(ROW(Q295)-ROW($E$1)&lt;=$B$4,INDEX(IDX_COMPO!F:F,ROW(IDX_COMPO!#REF!)),"")</f>
        <v/>
      </c>
      <c r="R295" s="68" t="str">
        <f t="shared" si="48"/>
        <v/>
      </c>
      <c r="S295" s="61" t="str">
        <f t="shared" si="49"/>
        <v/>
      </c>
      <c r="T295" s="62" t="str">
        <f>IF(D295&lt;&gt;"",IF(SUMPRODUCT(--($E295=STK_DIV!$A$2:$A$5),--(NXT_COMPO!$Q295=STK_DIV!$E$2:$E$5),ROW(STK_DIV!$D$2:$D$5))=0,"",INDEX(STK_DIV!$D$1:$D$5,SUMPRODUCT(--($E295=STK_DIV!$A$2:$A$5),--(NXT_COMPO!$Q295=STK_DIV!$E$2:$E$5),ROW(STK_DIV!$D$2:$D$5)))),"")</f>
        <v/>
      </c>
      <c r="U295" s="54" t="str">
        <f>IF($D295&lt;&gt;"",VLOOKUP($P295,IDX_REF!$2:$1048576,4,0),"")</f>
        <v/>
      </c>
    </row>
    <row r="296" spans="4:21" x14ac:dyDescent="0.2">
      <c r="D296" s="52" t="str">
        <f t="shared" si="44"/>
        <v/>
      </c>
      <c r="E296" s="5" t="str">
        <f t="shared" si="45"/>
        <v/>
      </c>
      <c r="F296" s="5" t="str">
        <f>IF(ROW(F296)-ROW($E$1)&lt;=$B$1-$B$2,INDEX(IDX_COMPO!B:B,ROW(IDX_COMPO!#REF!)),IF(ROW(E296)-ROW($E$1)&lt;=$B$4,VLOOKUP(E296,STK_REF!$A$2:$J$1048576,2,0),""))</f>
        <v/>
      </c>
      <c r="J296" s="62" t="str">
        <f>IF($D296&lt;=$B$1-$B$2,IF(INDEX($AA$2:$AA$1048576,MATCH($D296,$AB$2:$AB$1048576,0))="MODIFY",INDEX(IDX_CA!$G$1:$G$1041,SUMPRODUCT(--($E296=IDX_CA!$A$2:$A$1041),--(NXT_COMPO!$P296=IDX_CA!$B$2:$B$1041),--(NXT_COMPO!$Q296=IDX_CA!$C$2:$C$1041),ROW(IDX_CA!$G$2:$G$1041))),INDEX(IDX_COMPOSITION!$F$1:$F$441,SUMPRODUCT(--($E296=IDX_COMPOSITION!$A$2:$A$441),--(NXT_COMPO!$P296=IDX_COMPOSITION!$R$2:$R$441),--(NXT_COMPO!$B$5=IDX_COMPOSITION!$L$2:$L$441),ROW(IDX_COMPOSITION!$F$2:$F$441)))),IF($D296&lt;=$B$4,INDEX(IDX_CA!$G$1:$G$1041,SUMPRODUCT(--($E296=IDX_CA!$A$2:$A$1041),--(NXT_COMPO!$P296=IDX_CA!$B$2:$B$1041),--(NXT_COMPO!$Q296=IDX_CA!$C$2:$C$1041),ROW(IDX_CA!$G$2:$G$1041))),""))</f>
        <v/>
      </c>
      <c r="K296" s="63" t="str">
        <f>IF($D296&lt;&gt;"",VLOOKUP($E296,STK_REF!$A$2:$J$1048576,7,0),"")</f>
        <v/>
      </c>
      <c r="L296" s="5" t="str">
        <f>IF($D296&lt;&gt;"",VLOOKUP($E296,STK_REF!$A$2:$J$1048576,8,0),"")</f>
        <v/>
      </c>
      <c r="M296" s="8" t="str">
        <f>IF($D296&lt;&gt;"",IF($K296=$U296,1,IF(ISNA(VLOOKUP($K296&amp;$U296,CUR_RATES!$A$2:$F$521,4,0)),"",VLOOKUP($K296&amp;$U296,CUR_RATES!$A$2:$F$521,4,0))),"")</f>
        <v/>
      </c>
      <c r="N296" s="61" t="str">
        <f t="shared" si="46"/>
        <v/>
      </c>
      <c r="O296" s="68" t="str">
        <f t="shared" si="47"/>
        <v/>
      </c>
      <c r="P296" s="24"/>
      <c r="Q296" s="2" t="str">
        <f>IF(ROW(Q296)-ROW($E$1)&lt;=$B$4,INDEX(IDX_COMPO!F:F,ROW(IDX_COMPO!#REF!)),"")</f>
        <v/>
      </c>
      <c r="R296" s="68" t="str">
        <f t="shared" si="48"/>
        <v/>
      </c>
      <c r="S296" s="61" t="str">
        <f t="shared" si="49"/>
        <v/>
      </c>
      <c r="T296" s="62" t="str">
        <f>IF(D296&lt;&gt;"",IF(SUMPRODUCT(--($E296=STK_DIV!$A$2:$A$5),--(NXT_COMPO!$Q296=STK_DIV!$E$2:$E$5),ROW(STK_DIV!$D$2:$D$5))=0,"",INDEX(STK_DIV!$D$1:$D$5,SUMPRODUCT(--($E296=STK_DIV!$A$2:$A$5),--(NXT_COMPO!$Q296=STK_DIV!$E$2:$E$5),ROW(STK_DIV!$D$2:$D$5)))),"")</f>
        <v/>
      </c>
      <c r="U296" s="54" t="str">
        <f>IF($D296&lt;&gt;"",VLOOKUP($P296,IDX_REF!$2:$1048576,4,0),"")</f>
        <v/>
      </c>
    </row>
    <row r="297" spans="4:21" x14ac:dyDescent="0.2">
      <c r="D297" s="52" t="str">
        <f t="shared" si="44"/>
        <v/>
      </c>
      <c r="E297" s="5" t="str">
        <f t="shared" si="45"/>
        <v/>
      </c>
      <c r="F297" s="5" t="str">
        <f>IF(ROW(F297)-ROW($E$1)&lt;=$B$1-$B$2,INDEX(IDX_COMPO!B:B,ROW(IDX_COMPO!#REF!)),IF(ROW(E297)-ROW($E$1)&lt;=$B$4,VLOOKUP(E297,STK_REF!$A$2:$J$1048576,2,0),""))</f>
        <v/>
      </c>
      <c r="J297" s="62" t="str">
        <f>IF($D297&lt;=$B$1-$B$2,IF(INDEX($AA$2:$AA$1048576,MATCH($D297,$AB$2:$AB$1048576,0))="MODIFY",INDEX(IDX_CA!$G$1:$G$1041,SUMPRODUCT(--($E297=IDX_CA!$A$2:$A$1041),--(NXT_COMPO!$P297=IDX_CA!$B$2:$B$1041),--(NXT_COMPO!$Q297=IDX_CA!$C$2:$C$1041),ROW(IDX_CA!$G$2:$G$1041))),INDEX(IDX_COMPOSITION!$F$1:$F$441,SUMPRODUCT(--($E297=IDX_COMPOSITION!$A$2:$A$441),--(NXT_COMPO!$P297=IDX_COMPOSITION!$R$2:$R$441),--(NXT_COMPO!$B$5=IDX_COMPOSITION!$L$2:$L$441),ROW(IDX_COMPOSITION!$F$2:$F$441)))),IF($D297&lt;=$B$4,INDEX(IDX_CA!$G$1:$G$1041,SUMPRODUCT(--($E297=IDX_CA!$A$2:$A$1041),--(NXT_COMPO!$P297=IDX_CA!$B$2:$B$1041),--(NXT_COMPO!$Q297=IDX_CA!$C$2:$C$1041),ROW(IDX_CA!$G$2:$G$1041))),""))</f>
        <v/>
      </c>
      <c r="K297" s="63" t="str">
        <f>IF($D297&lt;&gt;"",VLOOKUP($E297,STK_REF!$A$2:$J$1048576,7,0),"")</f>
        <v/>
      </c>
      <c r="L297" s="5" t="str">
        <f>IF($D297&lt;&gt;"",VLOOKUP($E297,STK_REF!$A$2:$J$1048576,8,0),"")</f>
        <v/>
      </c>
      <c r="M297" s="8" t="str">
        <f>IF($D297&lt;&gt;"",IF($K297=$U297,1,IF(ISNA(VLOOKUP($K297&amp;$U297,CUR_RATES!$A$2:$F$521,4,0)),"",VLOOKUP($K297&amp;$U297,CUR_RATES!$A$2:$F$521,4,0))),"")</f>
        <v/>
      </c>
      <c r="N297" s="61" t="str">
        <f t="shared" si="46"/>
        <v/>
      </c>
      <c r="O297" s="68" t="str">
        <f t="shared" si="47"/>
        <v/>
      </c>
      <c r="P297" s="24"/>
      <c r="Q297" s="2" t="str">
        <f>IF(ROW(Q297)-ROW($E$1)&lt;=$B$4,INDEX(IDX_COMPO!F:F,ROW(IDX_COMPO!#REF!)),"")</f>
        <v/>
      </c>
      <c r="R297" s="68" t="str">
        <f t="shared" si="48"/>
        <v/>
      </c>
      <c r="S297" s="61" t="str">
        <f t="shared" si="49"/>
        <v/>
      </c>
      <c r="T297" s="62" t="str">
        <f>IF(D297&lt;&gt;"",IF(SUMPRODUCT(--($E297=STK_DIV!$A$2:$A$5),--(NXT_COMPO!$Q297=STK_DIV!$E$2:$E$5),ROW(STK_DIV!$D$2:$D$5))=0,"",INDEX(STK_DIV!$D$1:$D$5,SUMPRODUCT(--($E297=STK_DIV!$A$2:$A$5),--(NXT_COMPO!$Q297=STK_DIV!$E$2:$E$5),ROW(STK_DIV!$D$2:$D$5)))),"")</f>
        <v/>
      </c>
      <c r="U297" s="54" t="str">
        <f>IF($D297&lt;&gt;"",VLOOKUP($P297,IDX_REF!$2:$1048576,4,0),"")</f>
        <v/>
      </c>
    </row>
    <row r="298" spans="4:21" x14ac:dyDescent="0.2">
      <c r="D298" s="52" t="str">
        <f t="shared" si="44"/>
        <v/>
      </c>
      <c r="E298" s="5" t="str">
        <f t="shared" si="45"/>
        <v/>
      </c>
      <c r="F298" s="5" t="str">
        <f>IF(ROW(F298)-ROW($E$1)&lt;=$B$1-$B$2,INDEX(IDX_COMPO!B:B,ROW(IDX_COMPO!#REF!)),IF(ROW(E298)-ROW($E$1)&lt;=$B$4,VLOOKUP(E298,STK_REF!$A$2:$J$1048576,2,0),""))</f>
        <v/>
      </c>
      <c r="J298" s="62" t="str">
        <f>IF($D298&lt;=$B$1-$B$2,IF(INDEX($AA$2:$AA$1048576,MATCH($D298,$AB$2:$AB$1048576,0))="MODIFY",INDEX(IDX_CA!$G$1:$G$1041,SUMPRODUCT(--($E298=IDX_CA!$A$2:$A$1041),--(NXT_COMPO!$P298=IDX_CA!$B$2:$B$1041),--(NXT_COMPO!$Q298=IDX_CA!$C$2:$C$1041),ROW(IDX_CA!$G$2:$G$1041))),INDEX(IDX_COMPOSITION!$F$1:$F$441,SUMPRODUCT(--($E298=IDX_COMPOSITION!$A$2:$A$441),--(NXT_COMPO!$P298=IDX_COMPOSITION!$R$2:$R$441),--(NXT_COMPO!$B$5=IDX_COMPOSITION!$L$2:$L$441),ROW(IDX_COMPOSITION!$F$2:$F$441)))),IF($D298&lt;=$B$4,INDEX(IDX_CA!$G$1:$G$1041,SUMPRODUCT(--($E298=IDX_CA!$A$2:$A$1041),--(NXT_COMPO!$P298=IDX_CA!$B$2:$B$1041),--(NXT_COMPO!$Q298=IDX_CA!$C$2:$C$1041),ROW(IDX_CA!$G$2:$G$1041))),""))</f>
        <v/>
      </c>
      <c r="K298" s="63" t="str">
        <f>IF($D298&lt;&gt;"",VLOOKUP($E298,STK_REF!$A$2:$J$1048576,7,0),"")</f>
        <v/>
      </c>
      <c r="L298" s="5" t="str">
        <f>IF($D298&lt;&gt;"",VLOOKUP($E298,STK_REF!$A$2:$J$1048576,8,0),"")</f>
        <v/>
      </c>
      <c r="M298" s="8" t="str">
        <f>IF($D298&lt;&gt;"",IF($K298=$U298,1,IF(ISNA(VLOOKUP($K298&amp;$U298,CUR_RATES!$A$2:$F$521,4,0)),"",VLOOKUP($K298&amp;$U298,CUR_RATES!$A$2:$F$521,4,0))),"")</f>
        <v/>
      </c>
      <c r="N298" s="61" t="str">
        <f t="shared" si="46"/>
        <v/>
      </c>
      <c r="O298" s="68" t="str">
        <f t="shared" si="47"/>
        <v/>
      </c>
      <c r="P298" s="24"/>
      <c r="Q298" s="2" t="str">
        <f>IF(ROW(Q298)-ROW($E$1)&lt;=$B$4,INDEX(IDX_COMPO!F:F,ROW(IDX_COMPO!#REF!)),"")</f>
        <v/>
      </c>
      <c r="R298" s="68" t="str">
        <f t="shared" si="48"/>
        <v/>
      </c>
      <c r="S298" s="61" t="str">
        <f t="shared" si="49"/>
        <v/>
      </c>
      <c r="T298" s="62" t="str">
        <f>IF(D298&lt;&gt;"",IF(SUMPRODUCT(--($E298=STK_DIV!$A$2:$A$5),--(NXT_COMPO!$Q298=STK_DIV!$E$2:$E$5),ROW(STK_DIV!$D$2:$D$5))=0,"",INDEX(STK_DIV!$D$1:$D$5,SUMPRODUCT(--($E298=STK_DIV!$A$2:$A$5),--(NXT_COMPO!$Q298=STK_DIV!$E$2:$E$5),ROW(STK_DIV!$D$2:$D$5)))),"")</f>
        <v/>
      </c>
      <c r="U298" s="54" t="str">
        <f>IF($D298&lt;&gt;"",VLOOKUP($P298,IDX_REF!$2:$1048576,4,0),"")</f>
        <v/>
      </c>
    </row>
    <row r="299" spans="4:21" x14ac:dyDescent="0.2">
      <c r="D299" s="52" t="str">
        <f t="shared" si="44"/>
        <v/>
      </c>
      <c r="E299" s="5" t="str">
        <f t="shared" si="45"/>
        <v/>
      </c>
      <c r="F299" s="5" t="str">
        <f>IF(ROW(F299)-ROW($E$1)&lt;=$B$1-$B$2,INDEX(IDX_COMPO!B:B,ROW(IDX_COMPO!#REF!)),IF(ROW(E299)-ROW($E$1)&lt;=$B$4,VLOOKUP(E299,STK_REF!$A$2:$J$1048576,2,0),""))</f>
        <v/>
      </c>
      <c r="J299" s="62" t="str">
        <f>IF($D299&lt;=$B$1-$B$2,IF(INDEX($AA$2:$AA$1048576,MATCH($D299,$AB$2:$AB$1048576,0))="MODIFY",INDEX(IDX_CA!$G$1:$G$1041,SUMPRODUCT(--($E299=IDX_CA!$A$2:$A$1041),--(NXT_COMPO!$P299=IDX_CA!$B$2:$B$1041),--(NXT_COMPO!$Q299=IDX_CA!$C$2:$C$1041),ROW(IDX_CA!$G$2:$G$1041))),INDEX(IDX_COMPOSITION!$F$1:$F$441,SUMPRODUCT(--($E299=IDX_COMPOSITION!$A$2:$A$441),--(NXT_COMPO!$P299=IDX_COMPOSITION!$R$2:$R$441),--(NXT_COMPO!$B$5=IDX_COMPOSITION!$L$2:$L$441),ROW(IDX_COMPOSITION!$F$2:$F$441)))),IF($D299&lt;=$B$4,INDEX(IDX_CA!$G$1:$G$1041,SUMPRODUCT(--($E299=IDX_CA!$A$2:$A$1041),--(NXT_COMPO!$P299=IDX_CA!$B$2:$B$1041),--(NXT_COMPO!$Q299=IDX_CA!$C$2:$C$1041),ROW(IDX_CA!$G$2:$G$1041))),""))</f>
        <v/>
      </c>
      <c r="K299" s="63" t="str">
        <f>IF($D299&lt;&gt;"",VLOOKUP($E299,STK_REF!$A$2:$J$1048576,7,0),"")</f>
        <v/>
      </c>
      <c r="L299" s="5" t="str">
        <f>IF($D299&lt;&gt;"",VLOOKUP($E299,STK_REF!$A$2:$J$1048576,8,0),"")</f>
        <v/>
      </c>
      <c r="M299" s="8" t="str">
        <f>IF($D299&lt;&gt;"",IF($K299=$U299,1,IF(ISNA(VLOOKUP($K299&amp;$U299,CUR_RATES!$A$2:$F$521,4,0)),"",VLOOKUP($K299&amp;$U299,CUR_RATES!$A$2:$F$521,4,0))),"")</f>
        <v/>
      </c>
      <c r="N299" s="61" t="str">
        <f t="shared" si="46"/>
        <v/>
      </c>
      <c r="O299" s="68" t="str">
        <f t="shared" si="47"/>
        <v/>
      </c>
      <c r="P299" s="24"/>
      <c r="Q299" s="2" t="str">
        <f>IF(ROW(Q299)-ROW($E$1)&lt;=$B$4,INDEX(IDX_COMPO!F:F,ROW(IDX_COMPO!#REF!)),"")</f>
        <v/>
      </c>
      <c r="R299" s="68" t="str">
        <f t="shared" si="48"/>
        <v/>
      </c>
      <c r="S299" s="61" t="str">
        <f t="shared" si="49"/>
        <v/>
      </c>
      <c r="T299" s="62" t="str">
        <f>IF(D299&lt;&gt;"",IF(SUMPRODUCT(--($E299=STK_DIV!$A$2:$A$5),--(NXT_COMPO!$Q299=STK_DIV!$E$2:$E$5),ROW(STK_DIV!$D$2:$D$5))=0,"",INDEX(STK_DIV!$D$1:$D$5,SUMPRODUCT(--($E299=STK_DIV!$A$2:$A$5),--(NXT_COMPO!$Q299=STK_DIV!$E$2:$E$5),ROW(STK_DIV!$D$2:$D$5)))),"")</f>
        <v/>
      </c>
      <c r="U299" s="54" t="str">
        <f>IF($D299&lt;&gt;"",VLOOKUP($P299,IDX_REF!$2:$1048576,4,0),"")</f>
        <v/>
      </c>
    </row>
    <row r="300" spans="4:21" x14ac:dyDescent="0.2">
      <c r="D300" s="52" t="str">
        <f t="shared" si="44"/>
        <v/>
      </c>
      <c r="E300" s="5" t="str">
        <f t="shared" si="45"/>
        <v/>
      </c>
      <c r="F300" s="5" t="str">
        <f>IF(ROW(F300)-ROW($E$1)&lt;=$B$1-$B$2,INDEX(IDX_COMPO!B:B,ROW(IDX_COMPO!#REF!)),IF(ROW(E300)-ROW($E$1)&lt;=$B$4,VLOOKUP(E300,STK_REF!$A$2:$J$1048576,2,0),""))</f>
        <v/>
      </c>
      <c r="J300" s="62" t="str">
        <f>IF($D300&lt;=$B$1-$B$2,IF(INDEX($AA$2:$AA$1048576,MATCH($D300,$AB$2:$AB$1048576,0))="MODIFY",INDEX(IDX_CA!$G$1:$G$1041,SUMPRODUCT(--($E300=IDX_CA!$A$2:$A$1041),--(NXT_COMPO!$P300=IDX_CA!$B$2:$B$1041),--(NXT_COMPO!$Q300=IDX_CA!$C$2:$C$1041),ROW(IDX_CA!$G$2:$G$1041))),INDEX(IDX_COMPOSITION!$F$1:$F$441,SUMPRODUCT(--($E300=IDX_COMPOSITION!$A$2:$A$441),--(NXT_COMPO!$P300=IDX_COMPOSITION!$R$2:$R$441),--(NXT_COMPO!$B$5=IDX_COMPOSITION!$L$2:$L$441),ROW(IDX_COMPOSITION!$F$2:$F$441)))),IF($D300&lt;=$B$4,INDEX(IDX_CA!$G$1:$G$1041,SUMPRODUCT(--($E300=IDX_CA!$A$2:$A$1041),--(NXT_COMPO!$P300=IDX_CA!$B$2:$B$1041),--(NXT_COMPO!$Q300=IDX_CA!$C$2:$C$1041),ROW(IDX_CA!$G$2:$G$1041))),""))</f>
        <v/>
      </c>
      <c r="K300" s="63" t="str">
        <f>IF($D300&lt;&gt;"",VLOOKUP($E300,STK_REF!$A$2:$J$1048576,7,0),"")</f>
        <v/>
      </c>
      <c r="L300" s="5" t="str">
        <f>IF($D300&lt;&gt;"",VLOOKUP($E300,STK_REF!$A$2:$J$1048576,8,0),"")</f>
        <v/>
      </c>
      <c r="M300" s="8" t="str">
        <f>IF($D300&lt;&gt;"",IF($K300=$U300,1,IF(ISNA(VLOOKUP($K300&amp;$U300,CUR_RATES!$A$2:$F$521,4,0)),"",VLOOKUP($K300&amp;$U300,CUR_RATES!$A$2:$F$521,4,0))),"")</f>
        <v/>
      </c>
      <c r="N300" s="61" t="str">
        <f t="shared" si="46"/>
        <v/>
      </c>
      <c r="O300" s="68" t="str">
        <f t="shared" si="47"/>
        <v/>
      </c>
      <c r="P300" s="24"/>
      <c r="Q300" s="2" t="str">
        <f>IF(ROW(Q300)-ROW($E$1)&lt;=$B$4,INDEX(IDX_COMPO!F:F,ROW(IDX_COMPO!#REF!)),"")</f>
        <v/>
      </c>
      <c r="R300" s="68" t="str">
        <f t="shared" si="48"/>
        <v/>
      </c>
      <c r="S300" s="61" t="str">
        <f t="shared" si="49"/>
        <v/>
      </c>
      <c r="T300" s="62" t="str">
        <f>IF(D300&lt;&gt;"",IF(SUMPRODUCT(--($E300=STK_DIV!$A$2:$A$5),--(NXT_COMPO!$Q300=STK_DIV!$E$2:$E$5),ROW(STK_DIV!$D$2:$D$5))=0,"",INDEX(STK_DIV!$D$1:$D$5,SUMPRODUCT(--($E300=STK_DIV!$A$2:$A$5),--(NXT_COMPO!$Q300=STK_DIV!$E$2:$E$5),ROW(STK_DIV!$D$2:$D$5)))),"")</f>
        <v/>
      </c>
      <c r="U300" s="54" t="str">
        <f>IF($D300&lt;&gt;"",VLOOKUP($P300,IDX_REF!$2:$1048576,4,0),"")</f>
        <v/>
      </c>
    </row>
    <row r="301" spans="4:21" x14ac:dyDescent="0.2">
      <c r="D301" s="52" t="str">
        <f t="shared" si="44"/>
        <v/>
      </c>
      <c r="E301" s="5" t="str">
        <f t="shared" si="45"/>
        <v/>
      </c>
      <c r="F301" s="5" t="str">
        <f>IF(ROW(F301)-ROW($E$1)&lt;=$B$1-$B$2,INDEX(IDX_COMPO!B:B,ROW(IDX_COMPO!#REF!)),IF(ROW(E301)-ROW($E$1)&lt;=$B$4,VLOOKUP(E301,STK_REF!$A$2:$J$1048576,2,0),""))</f>
        <v/>
      </c>
      <c r="J301" s="62" t="str">
        <f>IF($D301&lt;=$B$1-$B$2,IF(INDEX($AA$2:$AA$1048576,MATCH($D301,$AB$2:$AB$1048576,0))="MODIFY",INDEX(IDX_CA!$G$1:$G$1041,SUMPRODUCT(--($E301=IDX_CA!$A$2:$A$1041),--(NXT_COMPO!$P301=IDX_CA!$B$2:$B$1041),--(NXT_COMPO!$Q301=IDX_CA!$C$2:$C$1041),ROW(IDX_CA!$G$2:$G$1041))),INDEX(IDX_COMPOSITION!$F$1:$F$441,SUMPRODUCT(--($E301=IDX_COMPOSITION!$A$2:$A$441),--(NXT_COMPO!$P301=IDX_COMPOSITION!$R$2:$R$441),--(NXT_COMPO!$B$5=IDX_COMPOSITION!$L$2:$L$441),ROW(IDX_COMPOSITION!$F$2:$F$441)))),IF($D301&lt;=$B$4,INDEX(IDX_CA!$G$1:$G$1041,SUMPRODUCT(--($E301=IDX_CA!$A$2:$A$1041),--(NXT_COMPO!$P301=IDX_CA!$B$2:$B$1041),--(NXT_COMPO!$Q301=IDX_CA!$C$2:$C$1041),ROW(IDX_CA!$G$2:$G$1041))),""))</f>
        <v/>
      </c>
      <c r="K301" s="63" t="str">
        <f>IF($D301&lt;&gt;"",VLOOKUP($E301,STK_REF!$A$2:$J$1048576,7,0),"")</f>
        <v/>
      </c>
      <c r="L301" s="5" t="str">
        <f>IF($D301&lt;&gt;"",VLOOKUP($E301,STK_REF!$A$2:$J$1048576,8,0),"")</f>
        <v/>
      </c>
      <c r="M301" s="8" t="str">
        <f>IF($D301&lt;&gt;"",IF($K301=$U301,1,IF(ISNA(VLOOKUP($K301&amp;$U301,CUR_RATES!$A$2:$F$521,4,0)),"",VLOOKUP($K301&amp;$U301,CUR_RATES!$A$2:$F$521,4,0))),"")</f>
        <v/>
      </c>
      <c r="N301" s="61" t="str">
        <f t="shared" si="46"/>
        <v/>
      </c>
      <c r="O301" s="68" t="str">
        <f t="shared" si="47"/>
        <v/>
      </c>
      <c r="P301" s="24"/>
      <c r="Q301" s="2" t="str">
        <f>IF(ROW(Q301)-ROW($E$1)&lt;=$B$4,INDEX(IDX_COMPO!F:F,ROW(IDX_COMPO!#REF!)),"")</f>
        <v/>
      </c>
      <c r="R301" s="68" t="str">
        <f t="shared" si="48"/>
        <v/>
      </c>
      <c r="S301" s="61" t="str">
        <f t="shared" si="49"/>
        <v/>
      </c>
      <c r="T301" s="62" t="str">
        <f>IF(D301&lt;&gt;"",IF(SUMPRODUCT(--($E301=STK_DIV!$A$2:$A$5),--(NXT_COMPO!$Q301=STK_DIV!$E$2:$E$5),ROW(STK_DIV!$D$2:$D$5))=0,"",INDEX(STK_DIV!$D$1:$D$5,SUMPRODUCT(--($E301=STK_DIV!$A$2:$A$5),--(NXT_COMPO!$Q301=STK_DIV!$E$2:$E$5),ROW(STK_DIV!$D$2:$D$5)))),"")</f>
        <v/>
      </c>
      <c r="U301" s="54" t="str">
        <f>IF($D301&lt;&gt;"",VLOOKUP($P301,IDX_REF!$2:$1048576,4,0),"")</f>
        <v/>
      </c>
    </row>
    <row r="302" spans="4:21" x14ac:dyDescent="0.2">
      <c r="D302" s="52" t="str">
        <f t="shared" si="44"/>
        <v/>
      </c>
      <c r="E302" s="5" t="str">
        <f t="shared" si="45"/>
        <v/>
      </c>
      <c r="F302" s="5" t="str">
        <f>IF(ROW(F302)-ROW($E$1)&lt;=$B$1-$B$2,INDEX(IDX_COMPO!B:B,ROW(IDX_COMPO!#REF!)),IF(ROW(E302)-ROW($E$1)&lt;=$B$4,VLOOKUP(E302,STK_REF!$A$2:$J$1048576,2,0),""))</f>
        <v/>
      </c>
      <c r="J302" s="62" t="str">
        <f>IF($D302&lt;=$B$1-$B$2,IF(INDEX($AA$2:$AA$1048576,MATCH($D302,$AB$2:$AB$1048576,0))="MODIFY",INDEX(IDX_CA!$G$1:$G$1041,SUMPRODUCT(--($E302=IDX_CA!$A$2:$A$1041),--(NXT_COMPO!$P302=IDX_CA!$B$2:$B$1041),--(NXT_COMPO!$Q302=IDX_CA!$C$2:$C$1041),ROW(IDX_CA!$G$2:$G$1041))),INDEX(IDX_COMPOSITION!$F$1:$F$441,SUMPRODUCT(--($E302=IDX_COMPOSITION!$A$2:$A$441),--(NXT_COMPO!$P302=IDX_COMPOSITION!$R$2:$R$441),--(NXT_COMPO!$B$5=IDX_COMPOSITION!$L$2:$L$441),ROW(IDX_COMPOSITION!$F$2:$F$441)))),IF($D302&lt;=$B$4,INDEX(IDX_CA!$G$1:$G$1041,SUMPRODUCT(--($E302=IDX_CA!$A$2:$A$1041),--(NXT_COMPO!$P302=IDX_CA!$B$2:$B$1041),--(NXT_COMPO!$Q302=IDX_CA!$C$2:$C$1041),ROW(IDX_CA!$G$2:$G$1041))),""))</f>
        <v/>
      </c>
      <c r="K302" s="63" t="str">
        <f>IF($D302&lt;&gt;"",VLOOKUP($E302,STK_REF!$A$2:$J$1048576,7,0),"")</f>
        <v/>
      </c>
      <c r="L302" s="5" t="str">
        <f>IF($D302&lt;&gt;"",VLOOKUP($E302,STK_REF!$A$2:$J$1048576,8,0),"")</f>
        <v/>
      </c>
      <c r="M302" s="8" t="str">
        <f>IF($D302&lt;&gt;"",IF($K302=$U302,1,IF(ISNA(VLOOKUP($K302&amp;$U302,CUR_RATES!$A$2:$F$521,4,0)),"",VLOOKUP($K302&amp;$U302,CUR_RATES!$A$2:$F$521,4,0))),"")</f>
        <v/>
      </c>
      <c r="N302" s="61" t="str">
        <f t="shared" si="46"/>
        <v/>
      </c>
      <c r="O302" s="68" t="str">
        <f t="shared" si="47"/>
        <v/>
      </c>
      <c r="P302" s="24"/>
      <c r="Q302" s="2" t="str">
        <f>IF(ROW(Q302)-ROW($E$1)&lt;=$B$4,INDEX(IDX_COMPO!F:F,ROW(IDX_COMPO!#REF!)),"")</f>
        <v/>
      </c>
      <c r="R302" s="68" t="str">
        <f t="shared" si="48"/>
        <v/>
      </c>
      <c r="S302" s="61" t="str">
        <f t="shared" si="49"/>
        <v/>
      </c>
      <c r="T302" s="62" t="str">
        <f>IF(D302&lt;&gt;"",IF(SUMPRODUCT(--($E302=STK_DIV!$A$2:$A$5),--(NXT_COMPO!$Q302=STK_DIV!$E$2:$E$5),ROW(STK_DIV!$D$2:$D$5))=0,"",INDEX(STK_DIV!$D$1:$D$5,SUMPRODUCT(--($E302=STK_DIV!$A$2:$A$5),--(NXT_COMPO!$Q302=STK_DIV!$E$2:$E$5),ROW(STK_DIV!$D$2:$D$5)))),"")</f>
        <v/>
      </c>
      <c r="U302" s="54" t="str">
        <f>IF($D302&lt;&gt;"",VLOOKUP($P302,IDX_REF!$2:$1048576,4,0),"")</f>
        <v/>
      </c>
    </row>
    <row r="303" spans="4:21" x14ac:dyDescent="0.2">
      <c r="D303" s="52" t="str">
        <f t="shared" si="44"/>
        <v/>
      </c>
      <c r="E303" s="5" t="str">
        <f t="shared" si="45"/>
        <v/>
      </c>
      <c r="F303" s="5" t="str">
        <f>IF(ROW(F303)-ROW($E$1)&lt;=$B$1-$B$2,INDEX(IDX_COMPO!B:B,ROW(IDX_COMPO!#REF!)),IF(ROW(E303)-ROW($E$1)&lt;=$B$4,VLOOKUP(E303,STK_REF!$A$2:$J$1048576,2,0),""))</f>
        <v/>
      </c>
      <c r="J303" s="62" t="str">
        <f>IF($D303&lt;=$B$1-$B$2,IF(INDEX($AA$2:$AA$1048576,MATCH($D303,$AB$2:$AB$1048576,0))="MODIFY",INDEX(IDX_CA!$G$1:$G$1041,SUMPRODUCT(--($E303=IDX_CA!$A$2:$A$1041),--(NXT_COMPO!$P303=IDX_CA!$B$2:$B$1041),--(NXT_COMPO!$Q303=IDX_CA!$C$2:$C$1041),ROW(IDX_CA!$G$2:$G$1041))),INDEX(IDX_COMPOSITION!$F$1:$F$441,SUMPRODUCT(--($E303=IDX_COMPOSITION!$A$2:$A$441),--(NXT_COMPO!$P303=IDX_COMPOSITION!$R$2:$R$441),--(NXT_COMPO!$B$5=IDX_COMPOSITION!$L$2:$L$441),ROW(IDX_COMPOSITION!$F$2:$F$441)))),IF($D303&lt;=$B$4,INDEX(IDX_CA!$G$1:$G$1041,SUMPRODUCT(--($E303=IDX_CA!$A$2:$A$1041),--(NXT_COMPO!$P303=IDX_CA!$B$2:$B$1041),--(NXT_COMPO!$Q303=IDX_CA!$C$2:$C$1041),ROW(IDX_CA!$G$2:$G$1041))),""))</f>
        <v/>
      </c>
      <c r="K303" s="63" t="str">
        <f>IF($D303&lt;&gt;"",VLOOKUP($E303,STK_REF!$A$2:$J$1048576,7,0),"")</f>
        <v/>
      </c>
      <c r="L303" s="5" t="str">
        <f>IF($D303&lt;&gt;"",VLOOKUP($E303,STK_REF!$A$2:$J$1048576,8,0),"")</f>
        <v/>
      </c>
      <c r="M303" s="8" t="str">
        <f>IF($D303&lt;&gt;"",IF($K303=$U303,1,IF(ISNA(VLOOKUP($K303&amp;$U303,CUR_RATES!$A$2:$F$521,4,0)),"",VLOOKUP($K303&amp;$U303,CUR_RATES!$A$2:$F$521,4,0))),"")</f>
        <v/>
      </c>
      <c r="N303" s="61" t="str">
        <f t="shared" si="46"/>
        <v/>
      </c>
      <c r="O303" s="68" t="str">
        <f t="shared" si="47"/>
        <v/>
      </c>
      <c r="P303" s="24"/>
      <c r="Q303" s="2" t="str">
        <f>IF(ROW(Q303)-ROW($E$1)&lt;=$B$4,INDEX(IDX_COMPO!F:F,ROW(IDX_COMPO!#REF!)),"")</f>
        <v/>
      </c>
      <c r="R303" s="68" t="str">
        <f t="shared" si="48"/>
        <v/>
      </c>
      <c r="S303" s="61" t="str">
        <f t="shared" si="49"/>
        <v/>
      </c>
      <c r="T303" s="62" t="str">
        <f>IF(D303&lt;&gt;"",IF(SUMPRODUCT(--($E303=STK_DIV!$A$2:$A$5),--(NXT_COMPO!$Q303=STK_DIV!$E$2:$E$5),ROW(STK_DIV!$D$2:$D$5))=0,"",INDEX(STK_DIV!$D$1:$D$5,SUMPRODUCT(--($E303=STK_DIV!$A$2:$A$5),--(NXT_COMPO!$Q303=STK_DIV!$E$2:$E$5),ROW(STK_DIV!$D$2:$D$5)))),"")</f>
        <v/>
      </c>
      <c r="U303" s="54" t="str">
        <f>IF($D303&lt;&gt;"",VLOOKUP($P303,IDX_REF!$2:$1048576,4,0),"")</f>
        <v/>
      </c>
    </row>
    <row r="304" spans="4:21" x14ac:dyDescent="0.2">
      <c r="D304" s="52" t="str">
        <f t="shared" si="44"/>
        <v/>
      </c>
      <c r="E304" s="5" t="str">
        <f t="shared" si="45"/>
        <v/>
      </c>
      <c r="F304" s="5" t="str">
        <f>IF(ROW(F304)-ROW($E$1)&lt;=$B$1-$B$2,INDEX(IDX_COMPO!B:B,ROW(IDX_COMPO!#REF!)),IF(ROW(E304)-ROW($E$1)&lt;=$B$4,VLOOKUP(E304,STK_REF!$A$2:$J$1048576,2,0),""))</f>
        <v/>
      </c>
      <c r="J304" s="62" t="str">
        <f>IF($D304&lt;=$B$1-$B$2,IF(INDEX($AA$2:$AA$1048576,MATCH($D304,$AB$2:$AB$1048576,0))="MODIFY",INDEX(IDX_CA!$G$1:$G$1041,SUMPRODUCT(--($E304=IDX_CA!$A$2:$A$1041),--(NXT_COMPO!$P304=IDX_CA!$B$2:$B$1041),--(NXT_COMPO!$Q304=IDX_CA!$C$2:$C$1041),ROW(IDX_CA!$G$2:$G$1041))),INDEX(IDX_COMPOSITION!$F$1:$F$441,SUMPRODUCT(--($E304=IDX_COMPOSITION!$A$2:$A$441),--(NXT_COMPO!$P304=IDX_COMPOSITION!$R$2:$R$441),--(NXT_COMPO!$B$5=IDX_COMPOSITION!$L$2:$L$441),ROW(IDX_COMPOSITION!$F$2:$F$441)))),IF($D304&lt;=$B$4,INDEX(IDX_CA!$G$1:$G$1041,SUMPRODUCT(--($E304=IDX_CA!$A$2:$A$1041),--(NXT_COMPO!$P304=IDX_CA!$B$2:$B$1041),--(NXT_COMPO!$Q304=IDX_CA!$C$2:$C$1041),ROW(IDX_CA!$G$2:$G$1041))),""))</f>
        <v/>
      </c>
      <c r="K304" s="63" t="str">
        <f>IF($D304&lt;&gt;"",VLOOKUP($E304,STK_REF!$A$2:$J$1048576,7,0),"")</f>
        <v/>
      </c>
      <c r="L304" s="5" t="str">
        <f>IF($D304&lt;&gt;"",VLOOKUP($E304,STK_REF!$A$2:$J$1048576,8,0),"")</f>
        <v/>
      </c>
      <c r="M304" s="8" t="str">
        <f>IF($D304&lt;&gt;"",IF($K304=$U304,1,IF(ISNA(VLOOKUP($K304&amp;$U304,CUR_RATES!$A$2:$F$521,4,0)),"",VLOOKUP($K304&amp;$U304,CUR_RATES!$A$2:$F$521,4,0))),"")</f>
        <v/>
      </c>
      <c r="N304" s="61" t="str">
        <f t="shared" si="46"/>
        <v/>
      </c>
      <c r="O304" s="68" t="str">
        <f t="shared" si="47"/>
        <v/>
      </c>
      <c r="P304" s="24"/>
      <c r="Q304" s="2" t="str">
        <f>IF(ROW(Q304)-ROW($E$1)&lt;=$B$4,INDEX(IDX_COMPO!F:F,ROW(IDX_COMPO!#REF!)),"")</f>
        <v/>
      </c>
      <c r="R304" s="68" t="str">
        <f t="shared" si="48"/>
        <v/>
      </c>
      <c r="S304" s="61" t="str">
        <f t="shared" si="49"/>
        <v/>
      </c>
      <c r="T304" s="62" t="str">
        <f>IF(D304&lt;&gt;"",IF(SUMPRODUCT(--($E304=STK_DIV!$A$2:$A$5),--(NXT_COMPO!$Q304=STK_DIV!$E$2:$E$5),ROW(STK_DIV!$D$2:$D$5))=0,"",INDEX(STK_DIV!$D$1:$D$5,SUMPRODUCT(--($E304=STK_DIV!$A$2:$A$5),--(NXT_COMPO!$Q304=STK_DIV!$E$2:$E$5),ROW(STK_DIV!$D$2:$D$5)))),"")</f>
        <v/>
      </c>
      <c r="U304" s="54" t="str">
        <f>IF($D304&lt;&gt;"",VLOOKUP($P304,IDX_REF!$2:$1048576,4,0),"")</f>
        <v/>
      </c>
    </row>
    <row r="305" spans="4:21" x14ac:dyDescent="0.2">
      <c r="D305" s="52" t="str">
        <f t="shared" si="44"/>
        <v/>
      </c>
      <c r="E305" s="5" t="str">
        <f t="shared" si="45"/>
        <v/>
      </c>
      <c r="F305" s="5" t="str">
        <f>IF(ROW(F305)-ROW($E$1)&lt;=$B$1-$B$2,INDEX(IDX_COMPO!B:B,ROW(IDX_COMPO!#REF!)),IF(ROW(E305)-ROW($E$1)&lt;=$B$4,VLOOKUP(E305,STK_REF!$A$2:$J$1048576,2,0),""))</f>
        <v/>
      </c>
      <c r="J305" s="62" t="str">
        <f>IF($D305&lt;=$B$1-$B$2,IF(INDEX($AA$2:$AA$1048576,MATCH($D305,$AB$2:$AB$1048576,0))="MODIFY",INDEX(IDX_CA!$G$1:$G$1041,SUMPRODUCT(--($E305=IDX_CA!$A$2:$A$1041),--(NXT_COMPO!$P305=IDX_CA!$B$2:$B$1041),--(NXT_COMPO!$Q305=IDX_CA!$C$2:$C$1041),ROW(IDX_CA!$G$2:$G$1041))),INDEX(IDX_COMPOSITION!$F$1:$F$441,SUMPRODUCT(--($E305=IDX_COMPOSITION!$A$2:$A$441),--(NXT_COMPO!$P305=IDX_COMPOSITION!$R$2:$R$441),--(NXT_COMPO!$B$5=IDX_COMPOSITION!$L$2:$L$441),ROW(IDX_COMPOSITION!$F$2:$F$441)))),IF($D305&lt;=$B$4,INDEX(IDX_CA!$G$1:$G$1041,SUMPRODUCT(--($E305=IDX_CA!$A$2:$A$1041),--(NXT_COMPO!$P305=IDX_CA!$B$2:$B$1041),--(NXT_COMPO!$Q305=IDX_CA!$C$2:$C$1041),ROW(IDX_CA!$G$2:$G$1041))),""))</f>
        <v/>
      </c>
      <c r="K305" s="63" t="str">
        <f>IF($D305&lt;&gt;"",VLOOKUP($E305,STK_REF!$A$2:$J$1048576,7,0),"")</f>
        <v/>
      </c>
      <c r="L305" s="5" t="str">
        <f>IF($D305&lt;&gt;"",VLOOKUP($E305,STK_REF!$A$2:$J$1048576,8,0),"")</f>
        <v/>
      </c>
      <c r="M305" s="8" t="str">
        <f>IF($D305&lt;&gt;"",IF($K305=$U305,1,IF(ISNA(VLOOKUP($K305&amp;$U305,CUR_RATES!$A$2:$F$521,4,0)),"",VLOOKUP($K305&amp;$U305,CUR_RATES!$A$2:$F$521,4,0))),"")</f>
        <v/>
      </c>
      <c r="N305" s="61" t="str">
        <f t="shared" si="46"/>
        <v/>
      </c>
      <c r="O305" s="68" t="str">
        <f t="shared" si="47"/>
        <v/>
      </c>
      <c r="P305" s="24"/>
      <c r="Q305" s="2" t="str">
        <f>IF(ROW(Q305)-ROW($E$1)&lt;=$B$4,INDEX(IDX_COMPO!F:F,ROW(IDX_COMPO!#REF!)),"")</f>
        <v/>
      </c>
      <c r="R305" s="68" t="str">
        <f t="shared" si="48"/>
        <v/>
      </c>
      <c r="S305" s="61" t="str">
        <f t="shared" si="49"/>
        <v/>
      </c>
      <c r="T305" s="62" t="str">
        <f>IF(D305&lt;&gt;"",IF(SUMPRODUCT(--($E305=STK_DIV!$A$2:$A$5),--(NXT_COMPO!$Q305=STK_DIV!$E$2:$E$5),ROW(STK_DIV!$D$2:$D$5))=0,"",INDEX(STK_DIV!$D$1:$D$5,SUMPRODUCT(--($E305=STK_DIV!$A$2:$A$5),--(NXT_COMPO!$Q305=STK_DIV!$E$2:$E$5),ROW(STK_DIV!$D$2:$D$5)))),"")</f>
        <v/>
      </c>
      <c r="U305" s="54" t="str">
        <f>IF($D305&lt;&gt;"",VLOOKUP($P305,IDX_REF!$2:$1048576,4,0),"")</f>
        <v/>
      </c>
    </row>
    <row r="306" spans="4:21" x14ac:dyDescent="0.2">
      <c r="D306" s="52" t="str">
        <f t="shared" si="44"/>
        <v/>
      </c>
      <c r="E306" s="5" t="str">
        <f t="shared" si="45"/>
        <v/>
      </c>
      <c r="F306" s="5" t="str">
        <f>IF(ROW(F306)-ROW($E$1)&lt;=$B$1-$B$2,INDEX(IDX_COMPO!B:B,ROW(IDX_COMPO!#REF!)),IF(ROW(E306)-ROW($E$1)&lt;=$B$4,VLOOKUP(E306,STK_REF!$A$2:$J$1048576,2,0),""))</f>
        <v/>
      </c>
      <c r="J306" s="62" t="str">
        <f>IF($D306&lt;=$B$1-$B$2,IF(INDEX($AA$2:$AA$1048576,MATCH($D306,$AB$2:$AB$1048576,0))="MODIFY",INDEX(IDX_CA!$G$1:$G$1041,SUMPRODUCT(--($E306=IDX_CA!$A$2:$A$1041),--(NXT_COMPO!$P306=IDX_CA!$B$2:$B$1041),--(NXT_COMPO!$Q306=IDX_CA!$C$2:$C$1041),ROW(IDX_CA!$G$2:$G$1041))),INDEX(IDX_COMPOSITION!$F$1:$F$441,SUMPRODUCT(--($E306=IDX_COMPOSITION!$A$2:$A$441),--(NXT_COMPO!$P306=IDX_COMPOSITION!$R$2:$R$441),--(NXT_COMPO!$B$5=IDX_COMPOSITION!$L$2:$L$441),ROW(IDX_COMPOSITION!$F$2:$F$441)))),IF($D306&lt;=$B$4,INDEX(IDX_CA!$G$1:$G$1041,SUMPRODUCT(--($E306=IDX_CA!$A$2:$A$1041),--(NXT_COMPO!$P306=IDX_CA!$B$2:$B$1041),--(NXT_COMPO!$Q306=IDX_CA!$C$2:$C$1041),ROW(IDX_CA!$G$2:$G$1041))),""))</f>
        <v/>
      </c>
      <c r="K306" s="63" t="str">
        <f>IF($D306&lt;&gt;"",VLOOKUP($E306,STK_REF!$A$2:$J$1048576,7,0),"")</f>
        <v/>
      </c>
      <c r="L306" s="5" t="str">
        <f>IF($D306&lt;&gt;"",VLOOKUP($E306,STK_REF!$A$2:$J$1048576,8,0),"")</f>
        <v/>
      </c>
      <c r="M306" s="8" t="str">
        <f>IF($D306&lt;&gt;"",IF($K306=$U306,1,IF(ISNA(VLOOKUP($K306&amp;$U306,CUR_RATES!$A$2:$F$521,4,0)),"",VLOOKUP($K306&amp;$U306,CUR_RATES!$A$2:$F$521,4,0))),"")</f>
        <v/>
      </c>
      <c r="N306" s="61" t="str">
        <f t="shared" si="46"/>
        <v/>
      </c>
      <c r="O306" s="68" t="str">
        <f t="shared" si="47"/>
        <v/>
      </c>
      <c r="P306" s="24"/>
      <c r="Q306" s="2" t="str">
        <f>IF(ROW(Q306)-ROW($E$1)&lt;=$B$4,INDEX(IDX_COMPO!F:F,ROW(IDX_COMPO!#REF!)),"")</f>
        <v/>
      </c>
      <c r="R306" s="68" t="str">
        <f t="shared" si="48"/>
        <v/>
      </c>
      <c r="S306" s="61" t="str">
        <f t="shared" si="49"/>
        <v/>
      </c>
      <c r="T306" s="62" t="str">
        <f>IF(D306&lt;&gt;"",IF(SUMPRODUCT(--($E306=STK_DIV!$A$2:$A$5),--(NXT_COMPO!$Q306=STK_DIV!$E$2:$E$5),ROW(STK_DIV!$D$2:$D$5))=0,"",INDEX(STK_DIV!$D$1:$D$5,SUMPRODUCT(--($E306=STK_DIV!$A$2:$A$5),--(NXT_COMPO!$Q306=STK_DIV!$E$2:$E$5),ROW(STK_DIV!$D$2:$D$5)))),"")</f>
        <v/>
      </c>
      <c r="U306" s="54" t="str">
        <f>IF($D306&lt;&gt;"",VLOOKUP($P306,IDX_REF!$2:$1048576,4,0),"")</f>
        <v/>
      </c>
    </row>
    <row r="307" spans="4:21" x14ac:dyDescent="0.2">
      <c r="D307" s="52" t="str">
        <f t="shared" si="44"/>
        <v/>
      </c>
      <c r="E307" s="5" t="str">
        <f t="shared" si="45"/>
        <v/>
      </c>
      <c r="F307" s="5" t="str">
        <f>IF(ROW(F307)-ROW($E$1)&lt;=$B$1-$B$2,INDEX(IDX_COMPO!B:B,ROW(IDX_COMPO!#REF!)),IF(ROW(E307)-ROW($E$1)&lt;=$B$4,VLOOKUP(E307,STK_REF!$A$2:$J$1048576,2,0),""))</f>
        <v/>
      </c>
      <c r="J307" s="62" t="str">
        <f>IF($D307&lt;=$B$1-$B$2,IF(INDEX($AA$2:$AA$1048576,MATCH($D307,$AB$2:$AB$1048576,0))="MODIFY",INDEX(IDX_CA!$G$1:$G$1041,SUMPRODUCT(--($E307=IDX_CA!$A$2:$A$1041),--(NXT_COMPO!$P307=IDX_CA!$B$2:$B$1041),--(NXT_COMPO!$Q307=IDX_CA!$C$2:$C$1041),ROW(IDX_CA!$G$2:$G$1041))),INDEX(IDX_COMPOSITION!$F$1:$F$441,SUMPRODUCT(--($E307=IDX_COMPOSITION!$A$2:$A$441),--(NXT_COMPO!$P307=IDX_COMPOSITION!$R$2:$R$441),--(NXT_COMPO!$B$5=IDX_COMPOSITION!$L$2:$L$441),ROW(IDX_COMPOSITION!$F$2:$F$441)))),IF($D307&lt;=$B$4,INDEX(IDX_CA!$G$1:$G$1041,SUMPRODUCT(--($E307=IDX_CA!$A$2:$A$1041),--(NXT_COMPO!$P307=IDX_CA!$B$2:$B$1041),--(NXT_COMPO!$Q307=IDX_CA!$C$2:$C$1041),ROW(IDX_CA!$G$2:$G$1041))),""))</f>
        <v/>
      </c>
      <c r="K307" s="63" t="str">
        <f>IF($D307&lt;&gt;"",VLOOKUP($E307,STK_REF!$A$2:$J$1048576,7,0),"")</f>
        <v/>
      </c>
      <c r="L307" s="5" t="str">
        <f>IF($D307&lt;&gt;"",VLOOKUP($E307,STK_REF!$A$2:$J$1048576,8,0),"")</f>
        <v/>
      </c>
      <c r="M307" s="8" t="str">
        <f>IF($D307&lt;&gt;"",IF($K307=$U307,1,IF(ISNA(VLOOKUP($K307&amp;$U307,CUR_RATES!$A$2:$F$521,4,0)),"",VLOOKUP($K307&amp;$U307,CUR_RATES!$A$2:$F$521,4,0))),"")</f>
        <v/>
      </c>
      <c r="N307" s="61" t="str">
        <f t="shared" si="46"/>
        <v/>
      </c>
      <c r="O307" s="68" t="str">
        <f t="shared" si="47"/>
        <v/>
      </c>
      <c r="P307" s="24"/>
      <c r="Q307" s="2" t="str">
        <f>IF(ROW(Q307)-ROW($E$1)&lt;=$B$4,INDEX(IDX_COMPO!F:F,ROW(IDX_COMPO!#REF!)),"")</f>
        <v/>
      </c>
      <c r="R307" s="68" t="str">
        <f t="shared" si="48"/>
        <v/>
      </c>
      <c r="S307" s="61" t="str">
        <f t="shared" si="49"/>
        <v/>
      </c>
      <c r="T307" s="62" t="str">
        <f>IF(D307&lt;&gt;"",IF(SUMPRODUCT(--($E307=STK_DIV!$A$2:$A$5),--(NXT_COMPO!$Q307=STK_DIV!$E$2:$E$5),ROW(STK_DIV!$D$2:$D$5))=0,"",INDEX(STK_DIV!$D$1:$D$5,SUMPRODUCT(--($E307=STK_DIV!$A$2:$A$5),--(NXT_COMPO!$Q307=STK_DIV!$E$2:$E$5),ROW(STK_DIV!$D$2:$D$5)))),"")</f>
        <v/>
      </c>
      <c r="U307" s="54" t="str">
        <f>IF($D307&lt;&gt;"",VLOOKUP($P307,IDX_REF!$2:$1048576,4,0),"")</f>
        <v/>
      </c>
    </row>
    <row r="308" spans="4:21" x14ac:dyDescent="0.2">
      <c r="D308" s="52" t="str">
        <f t="shared" si="44"/>
        <v/>
      </c>
      <c r="E308" s="5" t="str">
        <f t="shared" si="45"/>
        <v/>
      </c>
      <c r="F308" s="5" t="str">
        <f>IF(ROW(F308)-ROW($E$1)&lt;=$B$1-$B$2,INDEX(IDX_COMPO!B:B,ROW(IDX_COMPO!#REF!)),IF(ROW(E308)-ROW($E$1)&lt;=$B$4,VLOOKUP(E308,STK_REF!$A$2:$J$1048576,2,0),""))</f>
        <v/>
      </c>
      <c r="J308" s="62" t="str">
        <f>IF($D308&lt;=$B$1-$B$2,IF(INDEX($AA$2:$AA$1048576,MATCH($D308,$AB$2:$AB$1048576,0))="MODIFY",INDEX(IDX_CA!$G$1:$G$1041,SUMPRODUCT(--($E308=IDX_CA!$A$2:$A$1041),--(NXT_COMPO!$P308=IDX_CA!$B$2:$B$1041),--(NXT_COMPO!$Q308=IDX_CA!$C$2:$C$1041),ROW(IDX_CA!$G$2:$G$1041))),INDEX(IDX_COMPOSITION!$F$1:$F$441,SUMPRODUCT(--($E308=IDX_COMPOSITION!$A$2:$A$441),--(NXT_COMPO!$P308=IDX_COMPOSITION!$R$2:$R$441),--(NXT_COMPO!$B$5=IDX_COMPOSITION!$L$2:$L$441),ROW(IDX_COMPOSITION!$F$2:$F$441)))),IF($D308&lt;=$B$4,INDEX(IDX_CA!$G$1:$G$1041,SUMPRODUCT(--($E308=IDX_CA!$A$2:$A$1041),--(NXT_COMPO!$P308=IDX_CA!$B$2:$B$1041),--(NXT_COMPO!$Q308=IDX_CA!$C$2:$C$1041),ROW(IDX_CA!$G$2:$G$1041))),""))</f>
        <v/>
      </c>
      <c r="K308" s="63" t="str">
        <f>IF($D308&lt;&gt;"",VLOOKUP($E308,STK_REF!$A$2:$J$1048576,7,0),"")</f>
        <v/>
      </c>
      <c r="L308" s="5" t="str">
        <f>IF($D308&lt;&gt;"",VLOOKUP($E308,STK_REF!$A$2:$J$1048576,8,0),"")</f>
        <v/>
      </c>
      <c r="M308" s="8" t="str">
        <f>IF($D308&lt;&gt;"",IF($K308=$U308,1,IF(ISNA(VLOOKUP($K308&amp;$U308,CUR_RATES!$A$2:$F$521,4,0)),"",VLOOKUP($K308&amp;$U308,CUR_RATES!$A$2:$F$521,4,0))),"")</f>
        <v/>
      </c>
      <c r="N308" s="61" t="str">
        <f t="shared" si="46"/>
        <v/>
      </c>
      <c r="O308" s="68" t="str">
        <f t="shared" si="47"/>
        <v/>
      </c>
      <c r="P308" s="24"/>
      <c r="Q308" s="2" t="str">
        <f>IF(ROW(Q308)-ROW($E$1)&lt;=$B$4,INDEX(IDX_COMPO!F:F,ROW(IDX_COMPO!#REF!)),"")</f>
        <v/>
      </c>
      <c r="R308" s="68" t="str">
        <f t="shared" si="48"/>
        <v/>
      </c>
      <c r="S308" s="61" t="str">
        <f t="shared" si="49"/>
        <v/>
      </c>
      <c r="T308" s="62" t="str">
        <f>IF(D308&lt;&gt;"",IF(SUMPRODUCT(--($E308=STK_DIV!$A$2:$A$5),--(NXT_COMPO!$Q308=STK_DIV!$E$2:$E$5),ROW(STK_DIV!$D$2:$D$5))=0,"",INDEX(STK_DIV!$D$1:$D$5,SUMPRODUCT(--($E308=STK_DIV!$A$2:$A$5),--(NXT_COMPO!$Q308=STK_DIV!$E$2:$E$5),ROW(STK_DIV!$D$2:$D$5)))),"")</f>
        <v/>
      </c>
      <c r="U308" s="54" t="str">
        <f>IF($D308&lt;&gt;"",VLOOKUP($P308,IDX_REF!$2:$1048576,4,0),"")</f>
        <v/>
      </c>
    </row>
    <row r="309" spans="4:21" x14ac:dyDescent="0.2">
      <c r="D309" s="52" t="str">
        <f t="shared" si="44"/>
        <v/>
      </c>
      <c r="E309" s="5" t="str">
        <f t="shared" si="45"/>
        <v/>
      </c>
      <c r="F309" s="5" t="str">
        <f>IF(ROW(F309)-ROW($E$1)&lt;=$B$1-$B$2,INDEX(IDX_COMPO!B:B,ROW(IDX_COMPO!#REF!)),IF(ROW(E309)-ROW($E$1)&lt;=$B$4,VLOOKUP(E309,STK_REF!$A$2:$J$1048576,2,0),""))</f>
        <v/>
      </c>
      <c r="J309" s="62" t="str">
        <f>IF($D309&lt;=$B$1-$B$2,IF(INDEX($AA$2:$AA$1048576,MATCH($D309,$AB$2:$AB$1048576,0))="MODIFY",INDEX(IDX_CA!$G$1:$G$1041,SUMPRODUCT(--($E309=IDX_CA!$A$2:$A$1041),--(NXT_COMPO!$P309=IDX_CA!$B$2:$B$1041),--(NXT_COMPO!$Q309=IDX_CA!$C$2:$C$1041),ROW(IDX_CA!$G$2:$G$1041))),INDEX(IDX_COMPOSITION!$F$1:$F$441,SUMPRODUCT(--($E309=IDX_COMPOSITION!$A$2:$A$441),--(NXT_COMPO!$P309=IDX_COMPOSITION!$R$2:$R$441),--(NXT_COMPO!$B$5=IDX_COMPOSITION!$L$2:$L$441),ROW(IDX_COMPOSITION!$F$2:$F$441)))),IF($D309&lt;=$B$4,INDEX(IDX_CA!$G$1:$G$1041,SUMPRODUCT(--($E309=IDX_CA!$A$2:$A$1041),--(NXT_COMPO!$P309=IDX_CA!$B$2:$B$1041),--(NXT_COMPO!$Q309=IDX_CA!$C$2:$C$1041),ROW(IDX_CA!$G$2:$G$1041))),""))</f>
        <v/>
      </c>
      <c r="K309" s="63" t="str">
        <f>IF($D309&lt;&gt;"",VLOOKUP($E309,STK_REF!$A$2:$J$1048576,7,0),"")</f>
        <v/>
      </c>
      <c r="L309" s="5" t="str">
        <f>IF($D309&lt;&gt;"",VLOOKUP($E309,STK_REF!$A$2:$J$1048576,8,0),"")</f>
        <v/>
      </c>
      <c r="M309" s="8" t="str">
        <f>IF($D309&lt;&gt;"",IF($K309=$U309,1,IF(ISNA(VLOOKUP($K309&amp;$U309,CUR_RATES!$A$2:$F$521,4,0)),"",VLOOKUP($K309&amp;$U309,CUR_RATES!$A$2:$F$521,4,0))),"")</f>
        <v/>
      </c>
      <c r="N309" s="61" t="str">
        <f t="shared" si="46"/>
        <v/>
      </c>
      <c r="O309" s="68" t="str">
        <f t="shared" si="47"/>
        <v/>
      </c>
      <c r="P309" s="24"/>
      <c r="Q309" s="2" t="str">
        <f>IF(ROW(Q309)-ROW($E$1)&lt;=$B$4,INDEX(IDX_COMPO!F:F,ROW(IDX_COMPO!#REF!)),"")</f>
        <v/>
      </c>
      <c r="R309" s="68" t="str">
        <f t="shared" si="48"/>
        <v/>
      </c>
      <c r="S309" s="61" t="str">
        <f t="shared" si="49"/>
        <v/>
      </c>
      <c r="T309" s="62" t="str">
        <f>IF(D309&lt;&gt;"",IF(SUMPRODUCT(--($E309=STK_DIV!$A$2:$A$5),--(NXT_COMPO!$Q309=STK_DIV!$E$2:$E$5),ROW(STK_DIV!$D$2:$D$5))=0,"",INDEX(STK_DIV!$D$1:$D$5,SUMPRODUCT(--($E309=STK_DIV!$A$2:$A$5),--(NXT_COMPO!$Q309=STK_DIV!$E$2:$E$5),ROW(STK_DIV!$D$2:$D$5)))),"")</f>
        <v/>
      </c>
      <c r="U309" s="54" t="str">
        <f>IF($D309&lt;&gt;"",VLOOKUP($P309,IDX_REF!$2:$1048576,4,0),"")</f>
        <v/>
      </c>
    </row>
    <row r="310" spans="4:21" x14ac:dyDescent="0.2">
      <c r="D310" s="52" t="str">
        <f t="shared" si="44"/>
        <v/>
      </c>
      <c r="E310" s="5" t="str">
        <f t="shared" si="45"/>
        <v/>
      </c>
      <c r="F310" s="5" t="str">
        <f>IF(ROW(F310)-ROW($E$1)&lt;=$B$1-$B$2,INDEX(IDX_COMPO!B:B,ROW(IDX_COMPO!#REF!)),IF(ROW(E310)-ROW($E$1)&lt;=$B$4,VLOOKUP(E310,STK_REF!$A$2:$J$1048576,2,0),""))</f>
        <v/>
      </c>
      <c r="J310" s="62" t="str">
        <f>IF($D310&lt;=$B$1-$B$2,IF(INDEX($AA$2:$AA$1048576,MATCH($D310,$AB$2:$AB$1048576,0))="MODIFY",INDEX(IDX_CA!$G$1:$G$1041,SUMPRODUCT(--($E310=IDX_CA!$A$2:$A$1041),--(NXT_COMPO!$P310=IDX_CA!$B$2:$B$1041),--(NXT_COMPO!$Q310=IDX_CA!$C$2:$C$1041),ROW(IDX_CA!$G$2:$G$1041))),INDEX(IDX_COMPOSITION!$F$1:$F$441,SUMPRODUCT(--($E310=IDX_COMPOSITION!$A$2:$A$441),--(NXT_COMPO!$P310=IDX_COMPOSITION!$R$2:$R$441),--(NXT_COMPO!$B$5=IDX_COMPOSITION!$L$2:$L$441),ROW(IDX_COMPOSITION!$F$2:$F$441)))),IF($D310&lt;=$B$4,INDEX(IDX_CA!$G$1:$G$1041,SUMPRODUCT(--($E310=IDX_CA!$A$2:$A$1041),--(NXT_COMPO!$P310=IDX_CA!$B$2:$B$1041),--(NXT_COMPO!$Q310=IDX_CA!$C$2:$C$1041),ROW(IDX_CA!$G$2:$G$1041))),""))</f>
        <v/>
      </c>
      <c r="K310" s="63" t="str">
        <f>IF($D310&lt;&gt;"",VLOOKUP($E310,STK_REF!$A$2:$J$1048576,7,0),"")</f>
        <v/>
      </c>
      <c r="L310" s="5" t="str">
        <f>IF($D310&lt;&gt;"",VLOOKUP($E310,STK_REF!$A$2:$J$1048576,8,0),"")</f>
        <v/>
      </c>
      <c r="M310" s="8" t="str">
        <f>IF($D310&lt;&gt;"",IF($K310=$U310,1,IF(ISNA(VLOOKUP($K310&amp;$U310,CUR_RATES!$A$2:$F$521,4,0)),"",VLOOKUP($K310&amp;$U310,CUR_RATES!$A$2:$F$521,4,0))),"")</f>
        <v/>
      </c>
      <c r="N310" s="61" t="str">
        <f t="shared" si="46"/>
        <v/>
      </c>
      <c r="O310" s="68" t="str">
        <f t="shared" si="47"/>
        <v/>
      </c>
      <c r="P310" s="24"/>
      <c r="Q310" s="2" t="str">
        <f>IF(ROW(Q310)-ROW($E$1)&lt;=$B$4,INDEX(IDX_COMPO!F:F,ROW(IDX_COMPO!#REF!)),"")</f>
        <v/>
      </c>
      <c r="R310" s="68" t="str">
        <f t="shared" si="48"/>
        <v/>
      </c>
      <c r="S310" s="61" t="str">
        <f t="shared" si="49"/>
        <v/>
      </c>
      <c r="T310" s="62" t="str">
        <f>IF(D310&lt;&gt;"",IF(SUMPRODUCT(--($E310=STK_DIV!$A$2:$A$5),--(NXT_COMPO!$Q310=STK_DIV!$E$2:$E$5),ROW(STK_DIV!$D$2:$D$5))=0,"",INDEX(STK_DIV!$D$1:$D$5,SUMPRODUCT(--($E310=STK_DIV!$A$2:$A$5),--(NXT_COMPO!$Q310=STK_DIV!$E$2:$E$5),ROW(STK_DIV!$D$2:$D$5)))),"")</f>
        <v/>
      </c>
      <c r="U310" s="54" t="str">
        <f>IF($D310&lt;&gt;"",VLOOKUP($P310,IDX_REF!$2:$1048576,4,0),"")</f>
        <v/>
      </c>
    </row>
    <row r="311" spans="4:21" x14ac:dyDescent="0.2">
      <c r="D311" s="52" t="str">
        <f t="shared" si="44"/>
        <v/>
      </c>
      <c r="E311" s="5" t="str">
        <f t="shared" si="45"/>
        <v/>
      </c>
      <c r="F311" s="5" t="str">
        <f>IF(ROW(F311)-ROW($E$1)&lt;=$B$1-$B$2,INDEX(IDX_COMPO!B:B,ROW(IDX_COMPO!#REF!)),IF(ROW(E311)-ROW($E$1)&lt;=$B$4,VLOOKUP(E311,STK_REF!$A$2:$J$1048576,2,0),""))</f>
        <v/>
      </c>
      <c r="J311" s="62" t="str">
        <f>IF($D311&lt;=$B$1-$B$2,IF(INDEX($AA$2:$AA$1048576,MATCH($D311,$AB$2:$AB$1048576,0))="MODIFY",INDEX(IDX_CA!$G$1:$G$1041,SUMPRODUCT(--($E311=IDX_CA!$A$2:$A$1041),--(NXT_COMPO!$P311=IDX_CA!$B$2:$B$1041),--(NXT_COMPO!$Q311=IDX_CA!$C$2:$C$1041),ROW(IDX_CA!$G$2:$G$1041))),INDEX(IDX_COMPOSITION!$F$1:$F$441,SUMPRODUCT(--($E311=IDX_COMPOSITION!$A$2:$A$441),--(NXT_COMPO!$P311=IDX_COMPOSITION!$R$2:$R$441),--(NXT_COMPO!$B$5=IDX_COMPOSITION!$L$2:$L$441),ROW(IDX_COMPOSITION!$F$2:$F$441)))),IF($D311&lt;=$B$4,INDEX(IDX_CA!$G$1:$G$1041,SUMPRODUCT(--($E311=IDX_CA!$A$2:$A$1041),--(NXT_COMPO!$P311=IDX_CA!$B$2:$B$1041),--(NXT_COMPO!$Q311=IDX_CA!$C$2:$C$1041),ROW(IDX_CA!$G$2:$G$1041))),""))</f>
        <v/>
      </c>
      <c r="K311" s="63" t="str">
        <f>IF($D311&lt;&gt;"",VLOOKUP($E311,STK_REF!$A$2:$J$1048576,7,0),"")</f>
        <v/>
      </c>
      <c r="L311" s="5" t="str">
        <f>IF($D311&lt;&gt;"",VLOOKUP($E311,STK_REF!$A$2:$J$1048576,8,0),"")</f>
        <v/>
      </c>
      <c r="M311" s="8" t="str">
        <f>IF($D311&lt;&gt;"",IF($K311=$U311,1,IF(ISNA(VLOOKUP($K311&amp;$U311,CUR_RATES!$A$2:$F$521,4,0)),"",VLOOKUP($K311&amp;$U311,CUR_RATES!$A$2:$F$521,4,0))),"")</f>
        <v/>
      </c>
      <c r="N311" s="61" t="str">
        <f t="shared" si="46"/>
        <v/>
      </c>
      <c r="O311" s="68" t="str">
        <f t="shared" si="47"/>
        <v/>
      </c>
      <c r="P311" s="24"/>
      <c r="Q311" s="2" t="str">
        <f>IF(ROW(Q311)-ROW($E$1)&lt;=$B$4,INDEX(IDX_COMPO!F:F,ROW(IDX_COMPO!#REF!)),"")</f>
        <v/>
      </c>
      <c r="R311" s="68" t="str">
        <f t="shared" si="48"/>
        <v/>
      </c>
      <c r="S311" s="61" t="str">
        <f t="shared" si="49"/>
        <v/>
      </c>
      <c r="T311" s="62" t="str">
        <f>IF(D311&lt;&gt;"",IF(SUMPRODUCT(--($E311=STK_DIV!$A$2:$A$5),--(NXT_COMPO!$Q311=STK_DIV!$E$2:$E$5),ROW(STK_DIV!$D$2:$D$5))=0,"",INDEX(STK_DIV!$D$1:$D$5,SUMPRODUCT(--($E311=STK_DIV!$A$2:$A$5),--(NXT_COMPO!$Q311=STK_DIV!$E$2:$E$5),ROW(STK_DIV!$D$2:$D$5)))),"")</f>
        <v/>
      </c>
      <c r="U311" s="54" t="str">
        <f>IF($D311&lt;&gt;"",VLOOKUP($P311,IDX_REF!$2:$1048576,4,0),"")</f>
        <v/>
      </c>
    </row>
    <row r="312" spans="4:21" x14ac:dyDescent="0.2">
      <c r="D312" s="52" t="str">
        <f t="shared" si="44"/>
        <v/>
      </c>
      <c r="E312" s="5" t="str">
        <f t="shared" si="45"/>
        <v/>
      </c>
      <c r="F312" s="5" t="str">
        <f>IF(ROW(F312)-ROW($E$1)&lt;=$B$1-$B$2,INDEX(IDX_COMPO!B:B,ROW(IDX_COMPO!#REF!)),IF(ROW(E312)-ROW($E$1)&lt;=$B$4,VLOOKUP(E312,STK_REF!$A$2:$J$1048576,2,0),""))</f>
        <v/>
      </c>
      <c r="J312" s="62" t="str">
        <f>IF($D312&lt;=$B$1-$B$2,IF(INDEX($AA$2:$AA$1048576,MATCH($D312,$AB$2:$AB$1048576,0))="MODIFY",INDEX(IDX_CA!$G$1:$G$1041,SUMPRODUCT(--($E312=IDX_CA!$A$2:$A$1041),--(NXT_COMPO!$P312=IDX_CA!$B$2:$B$1041),--(NXT_COMPO!$Q312=IDX_CA!$C$2:$C$1041),ROW(IDX_CA!$G$2:$G$1041))),INDEX(IDX_COMPOSITION!$F$1:$F$441,SUMPRODUCT(--($E312=IDX_COMPOSITION!$A$2:$A$441),--(NXT_COMPO!$P312=IDX_COMPOSITION!$R$2:$R$441),--(NXT_COMPO!$B$5=IDX_COMPOSITION!$L$2:$L$441),ROW(IDX_COMPOSITION!$F$2:$F$441)))),IF($D312&lt;=$B$4,INDEX(IDX_CA!$G$1:$G$1041,SUMPRODUCT(--($E312=IDX_CA!$A$2:$A$1041),--(NXT_COMPO!$P312=IDX_CA!$B$2:$B$1041),--(NXT_COMPO!$Q312=IDX_CA!$C$2:$C$1041),ROW(IDX_CA!$G$2:$G$1041))),""))</f>
        <v/>
      </c>
      <c r="K312" s="63" t="str">
        <f>IF($D312&lt;&gt;"",VLOOKUP($E312,STK_REF!$A$2:$J$1048576,7,0),"")</f>
        <v/>
      </c>
      <c r="L312" s="5" t="str">
        <f>IF($D312&lt;&gt;"",VLOOKUP($E312,STK_REF!$A$2:$J$1048576,8,0),"")</f>
        <v/>
      </c>
      <c r="M312" s="8" t="str">
        <f>IF($D312&lt;&gt;"",IF($K312=$U312,1,IF(ISNA(VLOOKUP($K312&amp;$U312,CUR_RATES!$A$2:$F$521,4,0)),"",VLOOKUP($K312&amp;$U312,CUR_RATES!$A$2:$F$521,4,0))),"")</f>
        <v/>
      </c>
      <c r="N312" s="61" t="str">
        <f t="shared" si="46"/>
        <v/>
      </c>
      <c r="O312" s="68" t="str">
        <f t="shared" si="47"/>
        <v/>
      </c>
      <c r="P312" s="24"/>
      <c r="Q312" s="2" t="str">
        <f>IF(ROW(Q312)-ROW($E$1)&lt;=$B$4,INDEX(IDX_COMPO!F:F,ROW(IDX_COMPO!#REF!)),"")</f>
        <v/>
      </c>
      <c r="R312" s="68" t="str">
        <f t="shared" si="48"/>
        <v/>
      </c>
      <c r="S312" s="61" t="str">
        <f t="shared" si="49"/>
        <v/>
      </c>
      <c r="T312" s="62" t="str">
        <f>IF(D312&lt;&gt;"",IF(SUMPRODUCT(--($E312=STK_DIV!$A$2:$A$5),--(NXT_COMPO!$Q312=STK_DIV!$E$2:$E$5),ROW(STK_DIV!$D$2:$D$5))=0,"",INDEX(STK_DIV!$D$1:$D$5,SUMPRODUCT(--($E312=STK_DIV!$A$2:$A$5),--(NXT_COMPO!$Q312=STK_DIV!$E$2:$E$5),ROW(STK_DIV!$D$2:$D$5)))),"")</f>
        <v/>
      </c>
      <c r="U312" s="54" t="str">
        <f>IF($D312&lt;&gt;"",VLOOKUP($P312,IDX_REF!$2:$1048576,4,0),"")</f>
        <v/>
      </c>
    </row>
    <row r="313" spans="4:21" x14ac:dyDescent="0.2">
      <c r="D313" s="52" t="str">
        <f t="shared" si="44"/>
        <v/>
      </c>
      <c r="E313" s="5" t="str">
        <f t="shared" si="45"/>
        <v/>
      </c>
      <c r="F313" s="5" t="str">
        <f>IF(ROW(F313)-ROW($E$1)&lt;=$B$1-$B$2,INDEX(IDX_COMPO!B:B,ROW(IDX_COMPO!#REF!)),IF(ROW(E313)-ROW($E$1)&lt;=$B$4,VLOOKUP(E313,STK_REF!$A$2:$J$1048576,2,0),""))</f>
        <v/>
      </c>
      <c r="J313" s="62" t="str">
        <f>IF($D313&lt;=$B$1-$B$2,IF(INDEX($AA$2:$AA$1048576,MATCH($D313,$AB$2:$AB$1048576,0))="MODIFY",INDEX(IDX_CA!$G$1:$G$1041,SUMPRODUCT(--($E313=IDX_CA!$A$2:$A$1041),--(NXT_COMPO!$P313=IDX_CA!$B$2:$B$1041),--(NXT_COMPO!$Q313=IDX_CA!$C$2:$C$1041),ROW(IDX_CA!$G$2:$G$1041))),INDEX(IDX_COMPOSITION!$F$1:$F$441,SUMPRODUCT(--($E313=IDX_COMPOSITION!$A$2:$A$441),--(NXT_COMPO!$P313=IDX_COMPOSITION!$R$2:$R$441),--(NXT_COMPO!$B$5=IDX_COMPOSITION!$L$2:$L$441),ROW(IDX_COMPOSITION!$F$2:$F$441)))),IF($D313&lt;=$B$4,INDEX(IDX_CA!$G$1:$G$1041,SUMPRODUCT(--($E313=IDX_CA!$A$2:$A$1041),--(NXT_COMPO!$P313=IDX_CA!$B$2:$B$1041),--(NXT_COMPO!$Q313=IDX_CA!$C$2:$C$1041),ROW(IDX_CA!$G$2:$G$1041))),""))</f>
        <v/>
      </c>
      <c r="K313" s="63" t="str">
        <f>IF($D313&lt;&gt;"",VLOOKUP($E313,STK_REF!$A$2:$J$1048576,7,0),"")</f>
        <v/>
      </c>
      <c r="L313" s="5" t="str">
        <f>IF($D313&lt;&gt;"",VLOOKUP($E313,STK_REF!$A$2:$J$1048576,8,0),"")</f>
        <v/>
      </c>
      <c r="M313" s="8" t="str">
        <f>IF($D313&lt;&gt;"",IF($K313=$U313,1,IF(ISNA(VLOOKUP($K313&amp;$U313,CUR_RATES!$A$2:$F$521,4,0)),"",VLOOKUP($K313&amp;$U313,CUR_RATES!$A$2:$F$521,4,0))),"")</f>
        <v/>
      </c>
      <c r="N313" s="61" t="str">
        <f t="shared" si="46"/>
        <v/>
      </c>
      <c r="O313" s="68" t="str">
        <f t="shared" si="47"/>
        <v/>
      </c>
      <c r="P313" s="24"/>
      <c r="Q313" s="2" t="str">
        <f>IF(ROW(Q313)-ROW($E$1)&lt;=$B$4,INDEX(IDX_COMPO!F:F,ROW(IDX_COMPO!#REF!)),"")</f>
        <v/>
      </c>
      <c r="R313" s="68" t="str">
        <f t="shared" si="48"/>
        <v/>
      </c>
      <c r="S313" s="61" t="str">
        <f t="shared" si="49"/>
        <v/>
      </c>
      <c r="T313" s="62" t="str">
        <f>IF(D313&lt;&gt;"",IF(SUMPRODUCT(--($E313=STK_DIV!$A$2:$A$5),--(NXT_COMPO!$Q313=STK_DIV!$E$2:$E$5),ROW(STK_DIV!$D$2:$D$5))=0,"",INDEX(STK_DIV!$D$1:$D$5,SUMPRODUCT(--($E313=STK_DIV!$A$2:$A$5),--(NXT_COMPO!$Q313=STK_DIV!$E$2:$E$5),ROW(STK_DIV!$D$2:$D$5)))),"")</f>
        <v/>
      </c>
      <c r="U313" s="54" t="str">
        <f>IF($D313&lt;&gt;"",VLOOKUP($P313,IDX_REF!$2:$1048576,4,0),"")</f>
        <v/>
      </c>
    </row>
    <row r="314" spans="4:21" x14ac:dyDescent="0.2">
      <c r="D314" s="52" t="str">
        <f t="shared" si="44"/>
        <v/>
      </c>
      <c r="E314" s="5" t="str">
        <f t="shared" si="45"/>
        <v/>
      </c>
      <c r="F314" s="5" t="str">
        <f>IF(ROW(F314)-ROW($E$1)&lt;=$B$1-$B$2,INDEX(IDX_COMPO!B:B,ROW(IDX_COMPO!#REF!)),IF(ROW(E314)-ROW($E$1)&lt;=$B$4,VLOOKUP(E314,STK_REF!$A$2:$J$1048576,2,0),""))</f>
        <v/>
      </c>
      <c r="J314" s="62" t="str">
        <f>IF($D314&lt;=$B$1-$B$2,IF(INDEX($AA$2:$AA$1048576,MATCH($D314,$AB$2:$AB$1048576,0))="MODIFY",INDEX(IDX_CA!$G$1:$G$1041,SUMPRODUCT(--($E314=IDX_CA!$A$2:$A$1041),--(NXT_COMPO!$P314=IDX_CA!$B$2:$B$1041),--(NXT_COMPO!$Q314=IDX_CA!$C$2:$C$1041),ROW(IDX_CA!$G$2:$G$1041))),INDEX(IDX_COMPOSITION!$F$1:$F$441,SUMPRODUCT(--($E314=IDX_COMPOSITION!$A$2:$A$441),--(NXT_COMPO!$P314=IDX_COMPOSITION!$R$2:$R$441),--(NXT_COMPO!$B$5=IDX_COMPOSITION!$L$2:$L$441),ROW(IDX_COMPOSITION!$F$2:$F$441)))),IF($D314&lt;=$B$4,INDEX(IDX_CA!$G$1:$G$1041,SUMPRODUCT(--($E314=IDX_CA!$A$2:$A$1041),--(NXT_COMPO!$P314=IDX_CA!$B$2:$B$1041),--(NXT_COMPO!$Q314=IDX_CA!$C$2:$C$1041),ROW(IDX_CA!$G$2:$G$1041))),""))</f>
        <v/>
      </c>
      <c r="K314" s="63" t="str">
        <f>IF($D314&lt;&gt;"",VLOOKUP($E314,STK_REF!$A$2:$J$1048576,7,0),"")</f>
        <v/>
      </c>
      <c r="L314" s="5" t="str">
        <f>IF($D314&lt;&gt;"",VLOOKUP($E314,STK_REF!$A$2:$J$1048576,8,0),"")</f>
        <v/>
      </c>
      <c r="M314" s="8" t="str">
        <f>IF($D314&lt;&gt;"",IF($K314=$U314,1,IF(ISNA(VLOOKUP($K314&amp;$U314,CUR_RATES!$A$2:$F$521,4,0)),"",VLOOKUP($K314&amp;$U314,CUR_RATES!$A$2:$F$521,4,0))),"")</f>
        <v/>
      </c>
      <c r="N314" s="61" t="str">
        <f t="shared" si="46"/>
        <v/>
      </c>
      <c r="O314" s="68" t="str">
        <f t="shared" si="47"/>
        <v/>
      </c>
      <c r="P314" s="24"/>
      <c r="Q314" s="2" t="str">
        <f>IF(ROW(Q314)-ROW($E$1)&lt;=$B$4,INDEX(IDX_COMPO!F:F,ROW(IDX_COMPO!#REF!)),"")</f>
        <v/>
      </c>
      <c r="R314" s="68" t="str">
        <f t="shared" si="48"/>
        <v/>
      </c>
      <c r="S314" s="61" t="str">
        <f t="shared" si="49"/>
        <v/>
      </c>
      <c r="T314" s="62" t="str">
        <f>IF(D314&lt;&gt;"",IF(SUMPRODUCT(--($E314=STK_DIV!$A$2:$A$5),--(NXT_COMPO!$Q314=STK_DIV!$E$2:$E$5),ROW(STK_DIV!$D$2:$D$5))=0,"",INDEX(STK_DIV!$D$1:$D$5,SUMPRODUCT(--($E314=STK_DIV!$A$2:$A$5),--(NXT_COMPO!$Q314=STK_DIV!$E$2:$E$5),ROW(STK_DIV!$D$2:$D$5)))),"")</f>
        <v/>
      </c>
      <c r="U314" s="54" t="str">
        <f>IF($D314&lt;&gt;"",VLOOKUP($P314,IDX_REF!$2:$1048576,4,0),"")</f>
        <v/>
      </c>
    </row>
    <row r="315" spans="4:21" x14ac:dyDescent="0.2">
      <c r="D315" s="52" t="str">
        <f t="shared" si="44"/>
        <v/>
      </c>
      <c r="E315" s="5" t="str">
        <f t="shared" si="45"/>
        <v/>
      </c>
      <c r="F315" s="5" t="str">
        <f>IF(ROW(F315)-ROW($E$1)&lt;=$B$1-$B$2,INDEX(IDX_COMPO!B:B,ROW(IDX_COMPO!#REF!)),IF(ROW(E315)-ROW($E$1)&lt;=$B$4,VLOOKUP(E315,STK_REF!$A$2:$J$1048576,2,0),""))</f>
        <v/>
      </c>
      <c r="J315" s="62" t="str">
        <f>IF($D315&lt;=$B$1-$B$2,IF(INDEX($AA$2:$AA$1048576,MATCH($D315,$AB$2:$AB$1048576,0))="MODIFY",INDEX(IDX_CA!$G$1:$G$1041,SUMPRODUCT(--($E315=IDX_CA!$A$2:$A$1041),--(NXT_COMPO!$P315=IDX_CA!$B$2:$B$1041),--(NXT_COMPO!$Q315=IDX_CA!$C$2:$C$1041),ROW(IDX_CA!$G$2:$G$1041))),INDEX(IDX_COMPOSITION!$F$1:$F$441,SUMPRODUCT(--($E315=IDX_COMPOSITION!$A$2:$A$441),--(NXT_COMPO!$P315=IDX_COMPOSITION!$R$2:$R$441),--(NXT_COMPO!$B$5=IDX_COMPOSITION!$L$2:$L$441),ROW(IDX_COMPOSITION!$F$2:$F$441)))),IF($D315&lt;=$B$4,INDEX(IDX_CA!$G$1:$G$1041,SUMPRODUCT(--($E315=IDX_CA!$A$2:$A$1041),--(NXT_COMPO!$P315=IDX_CA!$B$2:$B$1041),--(NXT_COMPO!$Q315=IDX_CA!$C$2:$C$1041),ROW(IDX_CA!$G$2:$G$1041))),""))</f>
        <v/>
      </c>
      <c r="K315" s="63" t="str">
        <f>IF($D315&lt;&gt;"",VLOOKUP($E315,STK_REF!$A$2:$J$1048576,7,0),"")</f>
        <v/>
      </c>
      <c r="L315" s="5" t="str">
        <f>IF($D315&lt;&gt;"",VLOOKUP($E315,STK_REF!$A$2:$J$1048576,8,0),"")</f>
        <v/>
      </c>
      <c r="M315" s="8" t="str">
        <f>IF($D315&lt;&gt;"",IF($K315=$U315,1,IF(ISNA(VLOOKUP($K315&amp;$U315,CUR_RATES!$A$2:$F$521,4,0)),"",VLOOKUP($K315&amp;$U315,CUR_RATES!$A$2:$F$521,4,0))),"")</f>
        <v/>
      </c>
      <c r="N315" s="61" t="str">
        <f t="shared" si="46"/>
        <v/>
      </c>
      <c r="O315" s="68" t="str">
        <f t="shared" si="47"/>
        <v/>
      </c>
      <c r="P315" s="24"/>
      <c r="Q315" s="2" t="str">
        <f>IF(ROW(Q315)-ROW($E$1)&lt;=$B$4,INDEX(IDX_COMPO!F:F,ROW(IDX_COMPO!#REF!)),"")</f>
        <v/>
      </c>
      <c r="R315" s="68" t="str">
        <f t="shared" si="48"/>
        <v/>
      </c>
      <c r="S315" s="61" t="str">
        <f t="shared" si="49"/>
        <v/>
      </c>
      <c r="T315" s="62" t="str">
        <f>IF(D315&lt;&gt;"",IF(SUMPRODUCT(--($E315=STK_DIV!$A$2:$A$5),--(NXT_COMPO!$Q315=STK_DIV!$E$2:$E$5),ROW(STK_DIV!$D$2:$D$5))=0,"",INDEX(STK_DIV!$D$1:$D$5,SUMPRODUCT(--($E315=STK_DIV!$A$2:$A$5),--(NXT_COMPO!$Q315=STK_DIV!$E$2:$E$5),ROW(STK_DIV!$D$2:$D$5)))),"")</f>
        <v/>
      </c>
      <c r="U315" s="54" t="str">
        <f>IF($D315&lt;&gt;"",VLOOKUP($P315,IDX_REF!$2:$1048576,4,0),"")</f>
        <v/>
      </c>
    </row>
    <row r="316" spans="4:21" x14ac:dyDescent="0.2">
      <c r="D316" s="52" t="str">
        <f t="shared" si="44"/>
        <v/>
      </c>
      <c r="E316" s="5" t="str">
        <f t="shared" si="45"/>
        <v/>
      </c>
      <c r="F316" s="5" t="str">
        <f>IF(ROW(F316)-ROW($E$1)&lt;=$B$1-$B$2,INDEX(IDX_COMPO!B:B,ROW(IDX_COMPO!#REF!)),IF(ROW(E316)-ROW($E$1)&lt;=$B$4,VLOOKUP(E316,STK_REF!$A$2:$J$1048576,2,0),""))</f>
        <v/>
      </c>
      <c r="J316" s="62" t="str">
        <f>IF($D316&lt;=$B$1-$B$2,IF(INDEX($AA$2:$AA$1048576,MATCH($D316,$AB$2:$AB$1048576,0))="MODIFY",INDEX(IDX_CA!$G$1:$G$1041,SUMPRODUCT(--($E316=IDX_CA!$A$2:$A$1041),--(NXT_COMPO!$P316=IDX_CA!$B$2:$B$1041),--(NXT_COMPO!$Q316=IDX_CA!$C$2:$C$1041),ROW(IDX_CA!$G$2:$G$1041))),INDEX(IDX_COMPOSITION!$F$1:$F$441,SUMPRODUCT(--($E316=IDX_COMPOSITION!$A$2:$A$441),--(NXT_COMPO!$P316=IDX_COMPOSITION!$R$2:$R$441),--(NXT_COMPO!$B$5=IDX_COMPOSITION!$L$2:$L$441),ROW(IDX_COMPOSITION!$F$2:$F$441)))),IF($D316&lt;=$B$4,INDEX(IDX_CA!$G$1:$G$1041,SUMPRODUCT(--($E316=IDX_CA!$A$2:$A$1041),--(NXT_COMPO!$P316=IDX_CA!$B$2:$B$1041),--(NXT_COMPO!$Q316=IDX_CA!$C$2:$C$1041),ROW(IDX_CA!$G$2:$G$1041))),""))</f>
        <v/>
      </c>
      <c r="K316" s="63" t="str">
        <f>IF($D316&lt;&gt;"",VLOOKUP($E316,STK_REF!$A$2:$J$1048576,7,0),"")</f>
        <v/>
      </c>
      <c r="L316" s="5" t="str">
        <f>IF($D316&lt;&gt;"",VLOOKUP($E316,STK_REF!$A$2:$J$1048576,8,0),"")</f>
        <v/>
      </c>
      <c r="M316" s="8" t="str">
        <f>IF($D316&lt;&gt;"",IF($K316=$U316,1,IF(ISNA(VLOOKUP($K316&amp;$U316,CUR_RATES!$A$2:$F$521,4,0)),"",VLOOKUP($K316&amp;$U316,CUR_RATES!$A$2:$F$521,4,0))),"")</f>
        <v/>
      </c>
      <c r="N316" s="61" t="str">
        <f t="shared" si="46"/>
        <v/>
      </c>
      <c r="O316" s="68" t="str">
        <f t="shared" si="47"/>
        <v/>
      </c>
      <c r="P316" s="24"/>
      <c r="Q316" s="2" t="str">
        <f>IF(ROW(Q316)-ROW($E$1)&lt;=$B$4,INDEX(IDX_COMPO!F:F,ROW(IDX_COMPO!#REF!)),"")</f>
        <v/>
      </c>
      <c r="R316" s="68" t="str">
        <f t="shared" si="48"/>
        <v/>
      </c>
      <c r="S316" s="61" t="str">
        <f t="shared" si="49"/>
        <v/>
      </c>
      <c r="T316" s="62" t="str">
        <f>IF(D316&lt;&gt;"",IF(SUMPRODUCT(--($E316=STK_DIV!$A$2:$A$5),--(NXT_COMPO!$Q316=STK_DIV!$E$2:$E$5),ROW(STK_DIV!$D$2:$D$5))=0,"",INDEX(STK_DIV!$D$1:$D$5,SUMPRODUCT(--($E316=STK_DIV!$A$2:$A$5),--(NXT_COMPO!$Q316=STK_DIV!$E$2:$E$5),ROW(STK_DIV!$D$2:$D$5)))),"")</f>
        <v/>
      </c>
      <c r="U316" s="54" t="str">
        <f>IF($D316&lt;&gt;"",VLOOKUP($P316,IDX_REF!$2:$1048576,4,0),"")</f>
        <v/>
      </c>
    </row>
    <row r="317" spans="4:21" x14ac:dyDescent="0.2">
      <c r="D317" s="52" t="str">
        <f t="shared" si="44"/>
        <v/>
      </c>
      <c r="E317" s="5" t="str">
        <f t="shared" si="45"/>
        <v/>
      </c>
      <c r="F317" s="5" t="str">
        <f>IF(ROW(F317)-ROW($E$1)&lt;=$B$1-$B$2,INDEX(IDX_COMPO!B:B,ROW(IDX_COMPO!#REF!)),IF(ROW(E317)-ROW($E$1)&lt;=$B$4,VLOOKUP(E317,STK_REF!$A$2:$J$1048576,2,0),""))</f>
        <v/>
      </c>
      <c r="J317" s="62" t="str">
        <f>IF($D317&lt;=$B$1-$B$2,IF(INDEX($AA$2:$AA$1048576,MATCH($D317,$AB$2:$AB$1048576,0))="MODIFY",INDEX(IDX_CA!$G$1:$G$1041,SUMPRODUCT(--($E317=IDX_CA!$A$2:$A$1041),--(NXT_COMPO!$P317=IDX_CA!$B$2:$B$1041),--(NXT_COMPO!$Q317=IDX_CA!$C$2:$C$1041),ROW(IDX_CA!$G$2:$G$1041))),INDEX(IDX_COMPOSITION!$F$1:$F$441,SUMPRODUCT(--($E317=IDX_COMPOSITION!$A$2:$A$441),--(NXT_COMPO!$P317=IDX_COMPOSITION!$R$2:$R$441),--(NXT_COMPO!$B$5=IDX_COMPOSITION!$L$2:$L$441),ROW(IDX_COMPOSITION!$F$2:$F$441)))),IF($D317&lt;=$B$4,INDEX(IDX_CA!$G$1:$G$1041,SUMPRODUCT(--($E317=IDX_CA!$A$2:$A$1041),--(NXT_COMPO!$P317=IDX_CA!$B$2:$B$1041),--(NXT_COMPO!$Q317=IDX_CA!$C$2:$C$1041),ROW(IDX_CA!$G$2:$G$1041))),""))</f>
        <v/>
      </c>
      <c r="K317" s="63" t="str">
        <f>IF($D317&lt;&gt;"",VLOOKUP($E317,STK_REF!$A$2:$J$1048576,7,0),"")</f>
        <v/>
      </c>
      <c r="L317" s="5" t="str">
        <f>IF($D317&lt;&gt;"",VLOOKUP($E317,STK_REF!$A$2:$J$1048576,8,0),"")</f>
        <v/>
      </c>
      <c r="M317" s="8" t="str">
        <f>IF($D317&lt;&gt;"",IF($K317=$U317,1,IF(ISNA(VLOOKUP($K317&amp;$U317,CUR_RATES!$A$2:$F$521,4,0)),"",VLOOKUP($K317&amp;$U317,CUR_RATES!$A$2:$F$521,4,0))),"")</f>
        <v/>
      </c>
      <c r="N317" s="61" t="str">
        <f t="shared" si="46"/>
        <v/>
      </c>
      <c r="O317" s="68" t="str">
        <f t="shared" si="47"/>
        <v/>
      </c>
      <c r="P317" s="24"/>
      <c r="Q317" s="2" t="str">
        <f>IF(ROW(Q317)-ROW($E$1)&lt;=$B$4,INDEX(IDX_COMPO!F:F,ROW(IDX_COMPO!#REF!)),"")</f>
        <v/>
      </c>
      <c r="R317" s="68" t="str">
        <f t="shared" si="48"/>
        <v/>
      </c>
      <c r="S317" s="61" t="str">
        <f t="shared" si="49"/>
        <v/>
      </c>
      <c r="T317" s="62" t="str">
        <f>IF(D317&lt;&gt;"",IF(SUMPRODUCT(--($E317=STK_DIV!$A$2:$A$5),--(NXT_COMPO!$Q317=STK_DIV!$E$2:$E$5),ROW(STK_DIV!$D$2:$D$5))=0,"",INDEX(STK_DIV!$D$1:$D$5,SUMPRODUCT(--($E317=STK_DIV!$A$2:$A$5),--(NXT_COMPO!$Q317=STK_DIV!$E$2:$E$5),ROW(STK_DIV!$D$2:$D$5)))),"")</f>
        <v/>
      </c>
      <c r="U317" s="54" t="str">
        <f>IF($D317&lt;&gt;"",VLOOKUP($P317,IDX_REF!$2:$1048576,4,0),"")</f>
        <v/>
      </c>
    </row>
    <row r="318" spans="4:21" x14ac:dyDescent="0.2">
      <c r="D318" s="52" t="str">
        <f t="shared" si="44"/>
        <v/>
      </c>
      <c r="E318" s="5" t="str">
        <f t="shared" si="45"/>
        <v/>
      </c>
      <c r="F318" s="5" t="str">
        <f>IF(ROW(F318)-ROW($E$1)&lt;=$B$1-$B$2,INDEX(IDX_COMPO!B:B,ROW(IDX_COMPO!#REF!)),IF(ROW(E318)-ROW($E$1)&lt;=$B$4,VLOOKUP(E318,STK_REF!$A$2:$J$1048576,2,0),""))</f>
        <v/>
      </c>
      <c r="J318" s="62" t="str">
        <f>IF($D318&lt;=$B$1-$B$2,IF(INDEX($AA$2:$AA$1048576,MATCH($D318,$AB$2:$AB$1048576,0))="MODIFY",INDEX(IDX_CA!$G$1:$G$1041,SUMPRODUCT(--($E318=IDX_CA!$A$2:$A$1041),--(NXT_COMPO!$P318=IDX_CA!$B$2:$B$1041),--(NXT_COMPO!$Q318=IDX_CA!$C$2:$C$1041),ROW(IDX_CA!$G$2:$G$1041))),INDEX(IDX_COMPOSITION!$F$1:$F$441,SUMPRODUCT(--($E318=IDX_COMPOSITION!$A$2:$A$441),--(NXT_COMPO!$P318=IDX_COMPOSITION!$R$2:$R$441),--(NXT_COMPO!$B$5=IDX_COMPOSITION!$L$2:$L$441),ROW(IDX_COMPOSITION!$F$2:$F$441)))),IF($D318&lt;=$B$4,INDEX(IDX_CA!$G$1:$G$1041,SUMPRODUCT(--($E318=IDX_CA!$A$2:$A$1041),--(NXT_COMPO!$P318=IDX_CA!$B$2:$B$1041),--(NXT_COMPO!$Q318=IDX_CA!$C$2:$C$1041),ROW(IDX_CA!$G$2:$G$1041))),""))</f>
        <v/>
      </c>
      <c r="K318" s="63" t="str">
        <f>IF($D318&lt;&gt;"",VLOOKUP($E318,STK_REF!$A$2:$J$1048576,7,0),"")</f>
        <v/>
      </c>
      <c r="L318" s="5" t="str">
        <f>IF($D318&lt;&gt;"",VLOOKUP($E318,STK_REF!$A$2:$J$1048576,8,0),"")</f>
        <v/>
      </c>
      <c r="M318" s="8" t="str">
        <f>IF($D318&lt;&gt;"",IF($K318=$U318,1,IF(ISNA(VLOOKUP($K318&amp;$U318,CUR_RATES!$A$2:$F$521,4,0)),"",VLOOKUP($K318&amp;$U318,CUR_RATES!$A$2:$F$521,4,0))),"")</f>
        <v/>
      </c>
      <c r="N318" s="61" t="str">
        <f t="shared" si="46"/>
        <v/>
      </c>
      <c r="O318" s="68" t="str">
        <f t="shared" si="47"/>
        <v/>
      </c>
      <c r="P318" s="24"/>
      <c r="Q318" s="2" t="str">
        <f>IF(ROW(Q318)-ROW($E$1)&lt;=$B$4,INDEX(IDX_COMPO!F:F,ROW(IDX_COMPO!#REF!)),"")</f>
        <v/>
      </c>
      <c r="R318" s="68" t="str">
        <f t="shared" si="48"/>
        <v/>
      </c>
      <c r="S318" s="61" t="str">
        <f t="shared" si="49"/>
        <v/>
      </c>
      <c r="T318" s="62" t="str">
        <f>IF(D318&lt;&gt;"",IF(SUMPRODUCT(--($E318=STK_DIV!$A$2:$A$5),--(NXT_COMPO!$Q318=STK_DIV!$E$2:$E$5),ROW(STK_DIV!$D$2:$D$5))=0,"",INDEX(STK_DIV!$D$1:$D$5,SUMPRODUCT(--($E318=STK_DIV!$A$2:$A$5),--(NXT_COMPO!$Q318=STK_DIV!$E$2:$E$5),ROW(STK_DIV!$D$2:$D$5)))),"")</f>
        <v/>
      </c>
      <c r="U318" s="54" t="str">
        <f>IF($D318&lt;&gt;"",VLOOKUP($P318,IDX_REF!$2:$1048576,4,0),"")</f>
        <v/>
      </c>
    </row>
    <row r="319" spans="4:21" x14ac:dyDescent="0.2">
      <c r="D319" s="52" t="str">
        <f t="shared" si="44"/>
        <v/>
      </c>
      <c r="E319" s="5" t="str">
        <f t="shared" si="45"/>
        <v/>
      </c>
      <c r="F319" s="5" t="str">
        <f>IF(ROW(F319)-ROW($E$1)&lt;=$B$1-$B$2,INDEX(IDX_COMPO!B:B,ROW(IDX_COMPO!#REF!)),IF(ROW(E319)-ROW($E$1)&lt;=$B$4,VLOOKUP(E319,STK_REF!$A$2:$J$1048576,2,0),""))</f>
        <v/>
      </c>
      <c r="J319" s="62" t="str">
        <f>IF($D319&lt;=$B$1-$B$2,IF(INDEX($AA$2:$AA$1048576,MATCH($D319,$AB$2:$AB$1048576,0))="MODIFY",INDEX(IDX_CA!$G$1:$G$1041,SUMPRODUCT(--($E319=IDX_CA!$A$2:$A$1041),--(NXT_COMPO!$P319=IDX_CA!$B$2:$B$1041),--(NXT_COMPO!$Q319=IDX_CA!$C$2:$C$1041),ROW(IDX_CA!$G$2:$G$1041))),INDEX(IDX_COMPOSITION!$F$1:$F$441,SUMPRODUCT(--($E319=IDX_COMPOSITION!$A$2:$A$441),--(NXT_COMPO!$P319=IDX_COMPOSITION!$R$2:$R$441),--(NXT_COMPO!$B$5=IDX_COMPOSITION!$L$2:$L$441),ROW(IDX_COMPOSITION!$F$2:$F$441)))),IF($D319&lt;=$B$4,INDEX(IDX_CA!$G$1:$G$1041,SUMPRODUCT(--($E319=IDX_CA!$A$2:$A$1041),--(NXT_COMPO!$P319=IDX_CA!$B$2:$B$1041),--(NXT_COMPO!$Q319=IDX_CA!$C$2:$C$1041),ROW(IDX_CA!$G$2:$G$1041))),""))</f>
        <v/>
      </c>
      <c r="K319" s="63" t="str">
        <f>IF($D319&lt;&gt;"",VLOOKUP($E319,STK_REF!$A$2:$J$1048576,7,0),"")</f>
        <v/>
      </c>
      <c r="L319" s="5" t="str">
        <f>IF($D319&lt;&gt;"",VLOOKUP($E319,STK_REF!$A$2:$J$1048576,8,0),"")</f>
        <v/>
      </c>
      <c r="M319" s="8" t="str">
        <f>IF($D319&lt;&gt;"",IF($K319=$U319,1,IF(ISNA(VLOOKUP($K319&amp;$U319,CUR_RATES!$A$2:$F$521,4,0)),"",VLOOKUP($K319&amp;$U319,CUR_RATES!$A$2:$F$521,4,0))),"")</f>
        <v/>
      </c>
      <c r="N319" s="61" t="str">
        <f t="shared" si="46"/>
        <v/>
      </c>
      <c r="O319" s="68" t="str">
        <f t="shared" si="47"/>
        <v/>
      </c>
      <c r="P319" s="24"/>
      <c r="Q319" s="2" t="str">
        <f>IF(ROW(Q319)-ROW($E$1)&lt;=$B$4,INDEX(IDX_COMPO!F:F,ROW(IDX_COMPO!#REF!)),"")</f>
        <v/>
      </c>
      <c r="R319" s="68" t="str">
        <f t="shared" si="48"/>
        <v/>
      </c>
      <c r="S319" s="61" t="str">
        <f t="shared" si="49"/>
        <v/>
      </c>
      <c r="T319" s="62" t="str">
        <f>IF(D319&lt;&gt;"",IF(SUMPRODUCT(--($E319=STK_DIV!$A$2:$A$5),--(NXT_COMPO!$Q319=STK_DIV!$E$2:$E$5),ROW(STK_DIV!$D$2:$D$5))=0,"",INDEX(STK_DIV!$D$1:$D$5,SUMPRODUCT(--($E319=STK_DIV!$A$2:$A$5),--(NXT_COMPO!$Q319=STK_DIV!$E$2:$E$5),ROW(STK_DIV!$D$2:$D$5)))),"")</f>
        <v/>
      </c>
      <c r="U319" s="54" t="str">
        <f>IF($D319&lt;&gt;"",VLOOKUP($P319,IDX_REF!$2:$1048576,4,0),"")</f>
        <v/>
      </c>
    </row>
    <row r="320" spans="4:21" x14ac:dyDescent="0.2">
      <c r="D320" s="52" t="str">
        <f t="shared" si="44"/>
        <v/>
      </c>
      <c r="E320" s="5" t="str">
        <f t="shared" si="45"/>
        <v/>
      </c>
      <c r="F320" s="5" t="str">
        <f>IF(ROW(F320)-ROW($E$1)&lt;=$B$1-$B$2,INDEX(IDX_COMPO!B:B,ROW(IDX_COMPO!#REF!)),IF(ROW(E320)-ROW($E$1)&lt;=$B$4,VLOOKUP(E320,STK_REF!$A$2:$J$1048576,2,0),""))</f>
        <v/>
      </c>
      <c r="J320" s="62" t="str">
        <f>IF($D320&lt;=$B$1-$B$2,IF(INDEX($AA$2:$AA$1048576,MATCH($D320,$AB$2:$AB$1048576,0))="MODIFY",INDEX(IDX_CA!$G$1:$G$1041,SUMPRODUCT(--($E320=IDX_CA!$A$2:$A$1041),--(NXT_COMPO!$P320=IDX_CA!$B$2:$B$1041),--(NXT_COMPO!$Q320=IDX_CA!$C$2:$C$1041),ROW(IDX_CA!$G$2:$G$1041))),INDEX(IDX_COMPOSITION!$F$1:$F$441,SUMPRODUCT(--($E320=IDX_COMPOSITION!$A$2:$A$441),--(NXT_COMPO!$P320=IDX_COMPOSITION!$R$2:$R$441),--(NXT_COMPO!$B$5=IDX_COMPOSITION!$L$2:$L$441),ROW(IDX_COMPOSITION!$F$2:$F$441)))),IF($D320&lt;=$B$4,INDEX(IDX_CA!$G$1:$G$1041,SUMPRODUCT(--($E320=IDX_CA!$A$2:$A$1041),--(NXT_COMPO!$P320=IDX_CA!$B$2:$B$1041),--(NXT_COMPO!$Q320=IDX_CA!$C$2:$C$1041),ROW(IDX_CA!$G$2:$G$1041))),""))</f>
        <v/>
      </c>
      <c r="K320" s="63" t="str">
        <f>IF($D320&lt;&gt;"",VLOOKUP($E320,STK_REF!$A$2:$J$1048576,7,0),"")</f>
        <v/>
      </c>
      <c r="L320" s="5" t="str">
        <f>IF($D320&lt;&gt;"",VLOOKUP($E320,STK_REF!$A$2:$J$1048576,8,0),"")</f>
        <v/>
      </c>
      <c r="M320" s="8" t="str">
        <f>IF($D320&lt;&gt;"",IF($K320=$U320,1,IF(ISNA(VLOOKUP($K320&amp;$U320,CUR_RATES!$A$2:$F$521,4,0)),"",VLOOKUP($K320&amp;$U320,CUR_RATES!$A$2:$F$521,4,0))),"")</f>
        <v/>
      </c>
      <c r="N320" s="61" t="str">
        <f t="shared" si="46"/>
        <v/>
      </c>
      <c r="O320" s="68" t="str">
        <f t="shared" si="47"/>
        <v/>
      </c>
      <c r="P320" s="24"/>
      <c r="Q320" s="2" t="str">
        <f>IF(ROW(Q320)-ROW($E$1)&lt;=$B$4,INDEX(IDX_COMPO!F:F,ROW(IDX_COMPO!#REF!)),"")</f>
        <v/>
      </c>
      <c r="R320" s="68" t="str">
        <f t="shared" si="48"/>
        <v/>
      </c>
      <c r="S320" s="61" t="str">
        <f t="shared" si="49"/>
        <v/>
      </c>
      <c r="T320" s="62" t="str">
        <f>IF(D320&lt;&gt;"",IF(SUMPRODUCT(--($E320=STK_DIV!$A$2:$A$5),--(NXT_COMPO!$Q320=STK_DIV!$E$2:$E$5),ROW(STK_DIV!$D$2:$D$5))=0,"",INDEX(STK_DIV!$D$1:$D$5,SUMPRODUCT(--($E320=STK_DIV!$A$2:$A$5),--(NXT_COMPO!$Q320=STK_DIV!$E$2:$E$5),ROW(STK_DIV!$D$2:$D$5)))),"")</f>
        <v/>
      </c>
      <c r="U320" s="54" t="str">
        <f>IF($D320&lt;&gt;"",VLOOKUP($P320,IDX_REF!$2:$1048576,4,0),"")</f>
        <v/>
      </c>
    </row>
    <row r="321" spans="4:21" x14ac:dyDescent="0.2">
      <c r="D321" s="52" t="str">
        <f t="shared" si="44"/>
        <v/>
      </c>
      <c r="E321" s="5" t="str">
        <f t="shared" si="45"/>
        <v/>
      </c>
      <c r="F321" s="5" t="str">
        <f>IF(ROW(F321)-ROW($E$1)&lt;=$B$1-$B$2,INDEX(IDX_COMPO!B:B,ROW(IDX_COMPO!#REF!)),IF(ROW(E321)-ROW($E$1)&lt;=$B$4,VLOOKUP(E321,STK_REF!$A$2:$J$1048576,2,0),""))</f>
        <v/>
      </c>
      <c r="J321" s="62" t="str">
        <f>IF($D321&lt;=$B$1-$B$2,IF(INDEX($AA$2:$AA$1048576,MATCH($D321,$AB$2:$AB$1048576,0))="MODIFY",INDEX(IDX_CA!$G$1:$G$1041,SUMPRODUCT(--($E321=IDX_CA!$A$2:$A$1041),--(NXT_COMPO!$P321=IDX_CA!$B$2:$B$1041),--(NXT_COMPO!$Q321=IDX_CA!$C$2:$C$1041),ROW(IDX_CA!$G$2:$G$1041))),INDEX(IDX_COMPOSITION!$F$1:$F$441,SUMPRODUCT(--($E321=IDX_COMPOSITION!$A$2:$A$441),--(NXT_COMPO!$P321=IDX_COMPOSITION!$R$2:$R$441),--(NXT_COMPO!$B$5=IDX_COMPOSITION!$L$2:$L$441),ROW(IDX_COMPOSITION!$F$2:$F$441)))),IF($D321&lt;=$B$4,INDEX(IDX_CA!$G$1:$G$1041,SUMPRODUCT(--($E321=IDX_CA!$A$2:$A$1041),--(NXT_COMPO!$P321=IDX_CA!$B$2:$B$1041),--(NXT_COMPO!$Q321=IDX_CA!$C$2:$C$1041),ROW(IDX_CA!$G$2:$G$1041))),""))</f>
        <v/>
      </c>
      <c r="K321" s="63" t="str">
        <f>IF($D321&lt;&gt;"",VLOOKUP($E321,STK_REF!$A$2:$J$1048576,7,0),"")</f>
        <v/>
      </c>
      <c r="L321" s="5" t="str">
        <f>IF($D321&lt;&gt;"",VLOOKUP($E321,STK_REF!$A$2:$J$1048576,8,0),"")</f>
        <v/>
      </c>
      <c r="M321" s="8" t="str">
        <f>IF($D321&lt;&gt;"",IF($K321=$U321,1,IF(ISNA(VLOOKUP($K321&amp;$U321,CUR_RATES!$A$2:$F$521,4,0)),"",VLOOKUP($K321&amp;$U321,CUR_RATES!$A$2:$F$521,4,0))),"")</f>
        <v/>
      </c>
      <c r="N321" s="61" t="str">
        <f t="shared" si="46"/>
        <v/>
      </c>
      <c r="O321" s="68" t="str">
        <f t="shared" si="47"/>
        <v/>
      </c>
      <c r="P321" s="24"/>
      <c r="Q321" s="2" t="str">
        <f>IF(ROW(Q321)-ROW($E$1)&lt;=$B$4,INDEX(IDX_COMPO!F:F,ROW(IDX_COMPO!#REF!)),"")</f>
        <v/>
      </c>
      <c r="R321" s="68" t="str">
        <f t="shared" si="48"/>
        <v/>
      </c>
      <c r="S321" s="61" t="str">
        <f t="shared" si="49"/>
        <v/>
      </c>
      <c r="T321" s="62" t="str">
        <f>IF(D321&lt;&gt;"",IF(SUMPRODUCT(--($E321=STK_DIV!$A$2:$A$5),--(NXT_COMPO!$Q321=STK_DIV!$E$2:$E$5),ROW(STK_DIV!$D$2:$D$5))=0,"",INDEX(STK_DIV!$D$1:$D$5,SUMPRODUCT(--($E321=STK_DIV!$A$2:$A$5),--(NXT_COMPO!$Q321=STK_DIV!$E$2:$E$5),ROW(STK_DIV!$D$2:$D$5)))),"")</f>
        <v/>
      </c>
      <c r="U321" s="54" t="str">
        <f>IF($D321&lt;&gt;"",VLOOKUP($P321,IDX_REF!$2:$1048576,4,0),"")</f>
        <v/>
      </c>
    </row>
    <row r="322" spans="4:21" x14ac:dyDescent="0.2">
      <c r="D322" s="52" t="str">
        <f t="shared" ref="D322:D385" si="50">IF(ROW(D322)-ROW($D$1)&lt;=$B$4,ROW(D322)-ROW($D$1),"")</f>
        <v/>
      </c>
      <c r="E322" s="5" t="str">
        <f t="shared" si="45"/>
        <v/>
      </c>
      <c r="F322" s="5" t="str">
        <f>IF(ROW(F322)-ROW($E$1)&lt;=$B$1-$B$2,INDEX(IDX_COMPO!B:B,ROW(IDX_COMPO!#REF!)),IF(ROW(E322)-ROW($E$1)&lt;=$B$4,VLOOKUP(E322,STK_REF!$A$2:$J$1048576,2,0),""))</f>
        <v/>
      </c>
      <c r="J322" s="62" t="str">
        <f>IF($D322&lt;=$B$1-$B$2,IF(INDEX($AA$2:$AA$1048576,MATCH($D322,$AB$2:$AB$1048576,0))="MODIFY",INDEX(IDX_CA!$G$1:$G$1041,SUMPRODUCT(--($E322=IDX_CA!$A$2:$A$1041),--(NXT_COMPO!$P322=IDX_CA!$B$2:$B$1041),--(NXT_COMPO!$Q322=IDX_CA!$C$2:$C$1041),ROW(IDX_CA!$G$2:$G$1041))),INDEX(IDX_COMPOSITION!$F$1:$F$441,SUMPRODUCT(--($E322=IDX_COMPOSITION!$A$2:$A$441),--(NXT_COMPO!$P322=IDX_COMPOSITION!$R$2:$R$441),--(NXT_COMPO!$B$5=IDX_COMPOSITION!$L$2:$L$441),ROW(IDX_COMPOSITION!$F$2:$F$441)))),IF($D322&lt;=$B$4,INDEX(IDX_CA!$G$1:$G$1041,SUMPRODUCT(--($E322=IDX_CA!$A$2:$A$1041),--(NXT_COMPO!$P322=IDX_CA!$B$2:$B$1041),--(NXT_COMPO!$Q322=IDX_CA!$C$2:$C$1041),ROW(IDX_CA!$G$2:$G$1041))),""))</f>
        <v/>
      </c>
      <c r="K322" s="63" t="str">
        <f>IF($D322&lt;&gt;"",VLOOKUP($E322,STK_REF!$A$2:$J$1048576,7,0),"")</f>
        <v/>
      </c>
      <c r="L322" s="5" t="str">
        <f>IF($D322&lt;&gt;"",VLOOKUP($E322,STK_REF!$A$2:$J$1048576,8,0),"")</f>
        <v/>
      </c>
      <c r="M322" s="8" t="str">
        <f>IF($D322&lt;&gt;"",IF($K322=$U322,1,IF(ISNA(VLOOKUP($K322&amp;$U322,CUR_RATES!$A$2:$F$521,4,0)),"",VLOOKUP($K322&amp;$U322,CUR_RATES!$A$2:$F$521,4,0))),"")</f>
        <v/>
      </c>
      <c r="N322" s="61" t="str">
        <f t="shared" si="46"/>
        <v/>
      </c>
      <c r="O322" s="68" t="str">
        <f t="shared" si="47"/>
        <v/>
      </c>
      <c r="P322" s="24"/>
      <c r="Q322" s="2" t="str">
        <f>IF(ROW(Q322)-ROW($E$1)&lt;=$B$4,INDEX(IDX_COMPO!F:F,ROW(IDX_COMPO!#REF!)),"")</f>
        <v/>
      </c>
      <c r="R322" s="68" t="str">
        <f t="shared" si="48"/>
        <v/>
      </c>
      <c r="S322" s="61" t="str">
        <f t="shared" si="49"/>
        <v/>
      </c>
      <c r="T322" s="62" t="str">
        <f>IF(D322&lt;&gt;"",IF(SUMPRODUCT(--($E322=STK_DIV!$A$2:$A$5),--(NXT_COMPO!$Q322=STK_DIV!$E$2:$E$5),ROW(STK_DIV!$D$2:$D$5))=0,"",INDEX(STK_DIV!$D$1:$D$5,SUMPRODUCT(--($E322=STK_DIV!$A$2:$A$5),--(NXT_COMPO!$Q322=STK_DIV!$E$2:$E$5),ROW(STK_DIV!$D$2:$D$5)))),"")</f>
        <v/>
      </c>
      <c r="U322" s="54" t="str">
        <f>IF($D322&lt;&gt;"",VLOOKUP($P322,IDX_REF!$2:$1048576,4,0),"")</f>
        <v/>
      </c>
    </row>
    <row r="323" spans="4:21" x14ac:dyDescent="0.2">
      <c r="D323" s="52" t="str">
        <f t="shared" si="50"/>
        <v/>
      </c>
      <c r="E323" s="5" t="str">
        <f t="shared" ref="E323:E386" si="51">IF(D323&lt;=$B$1-$B$2,INDEX($X$2:$X$1048576,MATCH(D323,$AB$2:$AB$1048576,0)),IF(D323&lt;=$B$4,INDEX($AE$2:$AE$1048576,MATCH(D323-$B$1+$B$2,$AI$2:$AI$1048576,0)),""))</f>
        <v/>
      </c>
      <c r="F323" s="5" t="str">
        <f>IF(ROW(F323)-ROW($E$1)&lt;=$B$1-$B$2,INDEX(IDX_COMPO!B:B,ROW(IDX_COMPO!#REF!)),IF(ROW(E323)-ROW($E$1)&lt;=$B$4,VLOOKUP(E323,STK_REF!$A$2:$J$1048576,2,0),""))</f>
        <v/>
      </c>
      <c r="J323" s="62" t="str">
        <f>IF($D323&lt;=$B$1-$B$2,IF(INDEX($AA$2:$AA$1048576,MATCH($D323,$AB$2:$AB$1048576,0))="MODIFY",INDEX(IDX_CA!$G$1:$G$1041,SUMPRODUCT(--($E323=IDX_CA!$A$2:$A$1041),--(NXT_COMPO!$P323=IDX_CA!$B$2:$B$1041),--(NXT_COMPO!$Q323=IDX_CA!$C$2:$C$1041),ROW(IDX_CA!$G$2:$G$1041))),INDEX(IDX_COMPOSITION!$F$1:$F$441,SUMPRODUCT(--($E323=IDX_COMPOSITION!$A$2:$A$441),--(NXT_COMPO!$P323=IDX_COMPOSITION!$R$2:$R$441),--(NXT_COMPO!$B$5=IDX_COMPOSITION!$L$2:$L$441),ROW(IDX_COMPOSITION!$F$2:$F$441)))),IF($D323&lt;=$B$4,INDEX(IDX_CA!$G$1:$G$1041,SUMPRODUCT(--($E323=IDX_CA!$A$2:$A$1041),--(NXT_COMPO!$P323=IDX_CA!$B$2:$B$1041),--(NXT_COMPO!$Q323=IDX_CA!$C$2:$C$1041),ROW(IDX_CA!$G$2:$G$1041))),""))</f>
        <v/>
      </c>
      <c r="K323" s="63" t="str">
        <f>IF($D323&lt;&gt;"",VLOOKUP($E323,STK_REF!$A$2:$J$1048576,7,0),"")</f>
        <v/>
      </c>
      <c r="L323" s="5" t="str">
        <f>IF($D323&lt;&gt;"",VLOOKUP($E323,STK_REF!$A$2:$J$1048576,8,0),"")</f>
        <v/>
      </c>
      <c r="M323" s="8" t="str">
        <f>IF($D323&lt;&gt;"",IF($K323=$U323,1,IF(ISNA(VLOOKUP($K323&amp;$U323,CUR_RATES!$A$2:$F$521,4,0)),"",VLOOKUP($K323&amp;$U323,CUR_RATES!$A$2:$F$521,4,0))),"")</f>
        <v/>
      </c>
      <c r="N323" s="61" t="str">
        <f t="shared" ref="N323:N386" si="52">IF($D323&lt;&gt;"",$J323*$M323,"")</f>
        <v/>
      </c>
      <c r="O323" s="68" t="str">
        <f t="shared" ref="O323:O386" si="53">IF($D323&lt;&gt;"",$G323*($H323/100)*($I323/100)*$N323*(1/$L323),"")</f>
        <v/>
      </c>
      <c r="P323" s="24"/>
      <c r="Q323" s="2" t="str">
        <f>IF(ROW(Q323)-ROW($E$1)&lt;=$B$4,INDEX(IDX_COMPO!F:F,ROW(IDX_COMPO!#REF!)),"")</f>
        <v/>
      </c>
      <c r="R323" s="68" t="str">
        <f t="shared" ref="R323:R386" si="54">IF(AND($D323&lt;&gt;"",$T323&lt;&gt;""),$G323*($H323/100)*($I323/100)*$S323*(1/$L323),"")</f>
        <v/>
      </c>
      <c r="S323" s="61" t="str">
        <f t="shared" ref="S323:S386" si="55">IF($T323&lt;&gt;"",$T323*$M323,"")</f>
        <v/>
      </c>
      <c r="T323" s="62" t="str">
        <f>IF(D323&lt;&gt;"",IF(SUMPRODUCT(--($E323=STK_DIV!$A$2:$A$5),--(NXT_COMPO!$Q323=STK_DIV!$E$2:$E$5),ROW(STK_DIV!$D$2:$D$5))=0,"",INDEX(STK_DIV!$D$1:$D$5,SUMPRODUCT(--($E323=STK_DIV!$A$2:$A$5),--(NXT_COMPO!$Q323=STK_DIV!$E$2:$E$5),ROW(STK_DIV!$D$2:$D$5)))),"")</f>
        <v/>
      </c>
      <c r="U323" s="54" t="str">
        <f>IF($D323&lt;&gt;"",VLOOKUP($P323,IDX_REF!$2:$1048576,4,0),"")</f>
        <v/>
      </c>
    </row>
    <row r="324" spans="4:21" x14ac:dyDescent="0.2">
      <c r="D324" s="52" t="str">
        <f t="shared" si="50"/>
        <v/>
      </c>
      <c r="E324" s="5" t="str">
        <f t="shared" si="51"/>
        <v/>
      </c>
      <c r="F324" s="5" t="str">
        <f>IF(ROW(F324)-ROW($E$1)&lt;=$B$1-$B$2,INDEX(IDX_COMPO!B:B,ROW(IDX_COMPO!#REF!)),IF(ROW(E324)-ROW($E$1)&lt;=$B$4,VLOOKUP(E324,STK_REF!$A$2:$J$1048576,2,0),""))</f>
        <v/>
      </c>
      <c r="J324" s="62" t="str">
        <f>IF($D324&lt;=$B$1-$B$2,IF(INDEX($AA$2:$AA$1048576,MATCH($D324,$AB$2:$AB$1048576,0))="MODIFY",INDEX(IDX_CA!$G$1:$G$1041,SUMPRODUCT(--($E324=IDX_CA!$A$2:$A$1041),--(NXT_COMPO!$P324=IDX_CA!$B$2:$B$1041),--(NXT_COMPO!$Q324=IDX_CA!$C$2:$C$1041),ROW(IDX_CA!$G$2:$G$1041))),INDEX(IDX_COMPOSITION!$F$1:$F$441,SUMPRODUCT(--($E324=IDX_COMPOSITION!$A$2:$A$441),--(NXT_COMPO!$P324=IDX_COMPOSITION!$R$2:$R$441),--(NXT_COMPO!$B$5=IDX_COMPOSITION!$L$2:$L$441),ROW(IDX_COMPOSITION!$F$2:$F$441)))),IF($D324&lt;=$B$4,INDEX(IDX_CA!$G$1:$G$1041,SUMPRODUCT(--($E324=IDX_CA!$A$2:$A$1041),--(NXT_COMPO!$P324=IDX_CA!$B$2:$B$1041),--(NXT_COMPO!$Q324=IDX_CA!$C$2:$C$1041),ROW(IDX_CA!$G$2:$G$1041))),""))</f>
        <v/>
      </c>
      <c r="K324" s="63" t="str">
        <f>IF($D324&lt;&gt;"",VLOOKUP($E324,STK_REF!$A$2:$J$1048576,7,0),"")</f>
        <v/>
      </c>
      <c r="L324" s="5" t="str">
        <f>IF($D324&lt;&gt;"",VLOOKUP($E324,STK_REF!$A$2:$J$1048576,8,0),"")</f>
        <v/>
      </c>
      <c r="M324" s="8" t="str">
        <f>IF($D324&lt;&gt;"",IF($K324=$U324,1,IF(ISNA(VLOOKUP($K324&amp;$U324,CUR_RATES!$A$2:$F$521,4,0)),"",VLOOKUP($K324&amp;$U324,CUR_RATES!$A$2:$F$521,4,0))),"")</f>
        <v/>
      </c>
      <c r="N324" s="61" t="str">
        <f t="shared" si="52"/>
        <v/>
      </c>
      <c r="O324" s="68" t="str">
        <f t="shared" si="53"/>
        <v/>
      </c>
      <c r="P324" s="24"/>
      <c r="Q324" s="2" t="str">
        <f>IF(ROW(Q324)-ROW($E$1)&lt;=$B$4,INDEX(IDX_COMPO!F:F,ROW(IDX_COMPO!#REF!)),"")</f>
        <v/>
      </c>
      <c r="R324" s="68" t="str">
        <f t="shared" si="54"/>
        <v/>
      </c>
      <c r="S324" s="61" t="str">
        <f t="shared" si="55"/>
        <v/>
      </c>
      <c r="T324" s="62" t="str">
        <f>IF(D324&lt;&gt;"",IF(SUMPRODUCT(--($E324=STK_DIV!$A$2:$A$5),--(NXT_COMPO!$Q324=STK_DIV!$E$2:$E$5),ROW(STK_DIV!$D$2:$D$5))=0,"",INDEX(STK_DIV!$D$1:$D$5,SUMPRODUCT(--($E324=STK_DIV!$A$2:$A$5),--(NXT_COMPO!$Q324=STK_DIV!$E$2:$E$5),ROW(STK_DIV!$D$2:$D$5)))),"")</f>
        <v/>
      </c>
      <c r="U324" s="54" t="str">
        <f>IF($D324&lt;&gt;"",VLOOKUP($P324,IDX_REF!$2:$1048576,4,0),"")</f>
        <v/>
      </c>
    </row>
    <row r="325" spans="4:21" x14ac:dyDescent="0.2">
      <c r="D325" s="52" t="str">
        <f t="shared" si="50"/>
        <v/>
      </c>
      <c r="E325" s="5" t="str">
        <f t="shared" si="51"/>
        <v/>
      </c>
      <c r="F325" s="5" t="str">
        <f>IF(ROW(F325)-ROW($E$1)&lt;=$B$1-$B$2,INDEX(IDX_COMPO!B:B,ROW(IDX_COMPO!#REF!)),IF(ROW(E325)-ROW($E$1)&lt;=$B$4,VLOOKUP(E325,STK_REF!$A$2:$J$1048576,2,0),""))</f>
        <v/>
      </c>
      <c r="J325" s="62" t="str">
        <f>IF($D325&lt;=$B$1-$B$2,IF(INDEX($AA$2:$AA$1048576,MATCH($D325,$AB$2:$AB$1048576,0))="MODIFY",INDEX(IDX_CA!$G$1:$G$1041,SUMPRODUCT(--($E325=IDX_CA!$A$2:$A$1041),--(NXT_COMPO!$P325=IDX_CA!$B$2:$B$1041),--(NXT_COMPO!$Q325=IDX_CA!$C$2:$C$1041),ROW(IDX_CA!$G$2:$G$1041))),INDEX(IDX_COMPOSITION!$F$1:$F$441,SUMPRODUCT(--($E325=IDX_COMPOSITION!$A$2:$A$441),--(NXT_COMPO!$P325=IDX_COMPOSITION!$R$2:$R$441),--(NXT_COMPO!$B$5=IDX_COMPOSITION!$L$2:$L$441),ROW(IDX_COMPOSITION!$F$2:$F$441)))),IF($D325&lt;=$B$4,INDEX(IDX_CA!$G$1:$G$1041,SUMPRODUCT(--($E325=IDX_CA!$A$2:$A$1041),--(NXT_COMPO!$P325=IDX_CA!$B$2:$B$1041),--(NXT_COMPO!$Q325=IDX_CA!$C$2:$C$1041),ROW(IDX_CA!$G$2:$G$1041))),""))</f>
        <v/>
      </c>
      <c r="K325" s="63" t="str">
        <f>IF($D325&lt;&gt;"",VLOOKUP($E325,STK_REF!$A$2:$J$1048576,7,0),"")</f>
        <v/>
      </c>
      <c r="L325" s="5" t="str">
        <f>IF($D325&lt;&gt;"",VLOOKUP($E325,STK_REF!$A$2:$J$1048576,8,0),"")</f>
        <v/>
      </c>
      <c r="M325" s="8" t="str">
        <f>IF($D325&lt;&gt;"",IF($K325=$U325,1,IF(ISNA(VLOOKUP($K325&amp;$U325,CUR_RATES!$A$2:$F$521,4,0)),"",VLOOKUP($K325&amp;$U325,CUR_RATES!$A$2:$F$521,4,0))),"")</f>
        <v/>
      </c>
      <c r="N325" s="61" t="str">
        <f t="shared" si="52"/>
        <v/>
      </c>
      <c r="O325" s="68" t="str">
        <f t="shared" si="53"/>
        <v/>
      </c>
      <c r="P325" s="24"/>
      <c r="Q325" s="2" t="str">
        <f>IF(ROW(Q325)-ROW($E$1)&lt;=$B$4,INDEX(IDX_COMPO!F:F,ROW(IDX_COMPO!#REF!)),"")</f>
        <v/>
      </c>
      <c r="R325" s="68" t="str">
        <f t="shared" si="54"/>
        <v/>
      </c>
      <c r="S325" s="61" t="str">
        <f t="shared" si="55"/>
        <v/>
      </c>
      <c r="T325" s="62" t="str">
        <f>IF(D325&lt;&gt;"",IF(SUMPRODUCT(--($E325=STK_DIV!$A$2:$A$5),--(NXT_COMPO!$Q325=STK_DIV!$E$2:$E$5),ROW(STK_DIV!$D$2:$D$5))=0,"",INDEX(STK_DIV!$D$1:$D$5,SUMPRODUCT(--($E325=STK_DIV!$A$2:$A$5),--(NXT_COMPO!$Q325=STK_DIV!$E$2:$E$5),ROW(STK_DIV!$D$2:$D$5)))),"")</f>
        <v/>
      </c>
      <c r="U325" s="54" t="str">
        <f>IF($D325&lt;&gt;"",VLOOKUP($P325,IDX_REF!$2:$1048576,4,0),"")</f>
        <v/>
      </c>
    </row>
    <row r="326" spans="4:21" x14ac:dyDescent="0.2">
      <c r="D326" s="52" t="str">
        <f t="shared" si="50"/>
        <v/>
      </c>
      <c r="E326" s="5" t="str">
        <f t="shared" si="51"/>
        <v/>
      </c>
      <c r="F326" s="5" t="str">
        <f>IF(ROW(F326)-ROW($E$1)&lt;=$B$1-$B$2,INDEX(IDX_COMPO!B:B,ROW(IDX_COMPO!#REF!)),IF(ROW(E326)-ROW($E$1)&lt;=$B$4,VLOOKUP(E326,STK_REF!$A$2:$J$1048576,2,0),""))</f>
        <v/>
      </c>
      <c r="J326" s="62" t="str">
        <f>IF($D326&lt;=$B$1-$B$2,IF(INDEX($AA$2:$AA$1048576,MATCH($D326,$AB$2:$AB$1048576,0))="MODIFY",INDEX(IDX_CA!$G$1:$G$1041,SUMPRODUCT(--($E326=IDX_CA!$A$2:$A$1041),--(NXT_COMPO!$P326=IDX_CA!$B$2:$B$1041),--(NXT_COMPO!$Q326=IDX_CA!$C$2:$C$1041),ROW(IDX_CA!$G$2:$G$1041))),INDEX(IDX_COMPOSITION!$F$1:$F$441,SUMPRODUCT(--($E326=IDX_COMPOSITION!$A$2:$A$441),--(NXT_COMPO!$P326=IDX_COMPOSITION!$R$2:$R$441),--(NXT_COMPO!$B$5=IDX_COMPOSITION!$L$2:$L$441),ROW(IDX_COMPOSITION!$F$2:$F$441)))),IF($D326&lt;=$B$4,INDEX(IDX_CA!$G$1:$G$1041,SUMPRODUCT(--($E326=IDX_CA!$A$2:$A$1041),--(NXT_COMPO!$P326=IDX_CA!$B$2:$B$1041),--(NXT_COMPO!$Q326=IDX_CA!$C$2:$C$1041),ROW(IDX_CA!$G$2:$G$1041))),""))</f>
        <v/>
      </c>
      <c r="K326" s="63" t="str">
        <f>IF($D326&lt;&gt;"",VLOOKUP($E326,STK_REF!$A$2:$J$1048576,7,0),"")</f>
        <v/>
      </c>
      <c r="L326" s="5" t="str">
        <f>IF($D326&lt;&gt;"",VLOOKUP($E326,STK_REF!$A$2:$J$1048576,8,0),"")</f>
        <v/>
      </c>
      <c r="M326" s="8" t="str">
        <f>IF($D326&lt;&gt;"",IF($K326=$U326,1,IF(ISNA(VLOOKUP($K326&amp;$U326,CUR_RATES!$A$2:$F$521,4,0)),"",VLOOKUP($K326&amp;$U326,CUR_RATES!$A$2:$F$521,4,0))),"")</f>
        <v/>
      </c>
      <c r="N326" s="61" t="str">
        <f t="shared" si="52"/>
        <v/>
      </c>
      <c r="O326" s="68" t="str">
        <f t="shared" si="53"/>
        <v/>
      </c>
      <c r="P326" s="24"/>
      <c r="Q326" s="2" t="str">
        <f>IF(ROW(Q326)-ROW($E$1)&lt;=$B$4,INDEX(IDX_COMPO!F:F,ROW(IDX_COMPO!#REF!)),"")</f>
        <v/>
      </c>
      <c r="R326" s="68" t="str">
        <f t="shared" si="54"/>
        <v/>
      </c>
      <c r="S326" s="61" t="str">
        <f t="shared" si="55"/>
        <v/>
      </c>
      <c r="T326" s="62" t="str">
        <f>IF(D326&lt;&gt;"",IF(SUMPRODUCT(--($E326=STK_DIV!$A$2:$A$5),--(NXT_COMPO!$Q326=STK_DIV!$E$2:$E$5),ROW(STK_DIV!$D$2:$D$5))=0,"",INDEX(STK_DIV!$D$1:$D$5,SUMPRODUCT(--($E326=STK_DIV!$A$2:$A$5),--(NXT_COMPO!$Q326=STK_DIV!$E$2:$E$5),ROW(STK_DIV!$D$2:$D$5)))),"")</f>
        <v/>
      </c>
      <c r="U326" s="54" t="str">
        <f>IF($D326&lt;&gt;"",VLOOKUP($P326,IDX_REF!$2:$1048576,4,0),"")</f>
        <v/>
      </c>
    </row>
    <row r="327" spans="4:21" x14ac:dyDescent="0.2">
      <c r="D327" s="52" t="str">
        <f t="shared" si="50"/>
        <v/>
      </c>
      <c r="E327" s="5" t="str">
        <f t="shared" si="51"/>
        <v/>
      </c>
      <c r="F327" s="5" t="str">
        <f>IF(ROW(F327)-ROW($E$1)&lt;=$B$1-$B$2,INDEX(IDX_COMPO!B:B,ROW(IDX_COMPO!#REF!)),IF(ROW(E327)-ROW($E$1)&lt;=$B$4,VLOOKUP(E327,STK_REF!$A$2:$J$1048576,2,0),""))</f>
        <v/>
      </c>
      <c r="J327" s="62" t="str">
        <f>IF($D327&lt;=$B$1-$B$2,IF(INDEX($AA$2:$AA$1048576,MATCH($D327,$AB$2:$AB$1048576,0))="MODIFY",INDEX(IDX_CA!$G$1:$G$1041,SUMPRODUCT(--($E327=IDX_CA!$A$2:$A$1041),--(NXT_COMPO!$P327=IDX_CA!$B$2:$B$1041),--(NXT_COMPO!$Q327=IDX_CA!$C$2:$C$1041),ROW(IDX_CA!$G$2:$G$1041))),INDEX(IDX_COMPOSITION!$F$1:$F$441,SUMPRODUCT(--($E327=IDX_COMPOSITION!$A$2:$A$441),--(NXT_COMPO!$P327=IDX_COMPOSITION!$R$2:$R$441),--(NXT_COMPO!$B$5=IDX_COMPOSITION!$L$2:$L$441),ROW(IDX_COMPOSITION!$F$2:$F$441)))),IF($D327&lt;=$B$4,INDEX(IDX_CA!$G$1:$G$1041,SUMPRODUCT(--($E327=IDX_CA!$A$2:$A$1041),--(NXT_COMPO!$P327=IDX_CA!$B$2:$B$1041),--(NXT_COMPO!$Q327=IDX_CA!$C$2:$C$1041),ROW(IDX_CA!$G$2:$G$1041))),""))</f>
        <v/>
      </c>
      <c r="K327" s="63" t="str">
        <f>IF($D327&lt;&gt;"",VLOOKUP($E327,STK_REF!$A$2:$J$1048576,7,0),"")</f>
        <v/>
      </c>
      <c r="L327" s="5" t="str">
        <f>IF($D327&lt;&gt;"",VLOOKUP($E327,STK_REF!$A$2:$J$1048576,8,0),"")</f>
        <v/>
      </c>
      <c r="M327" s="8" t="str">
        <f>IF($D327&lt;&gt;"",IF($K327=$U327,1,IF(ISNA(VLOOKUP($K327&amp;$U327,CUR_RATES!$A$2:$F$521,4,0)),"",VLOOKUP($K327&amp;$U327,CUR_RATES!$A$2:$F$521,4,0))),"")</f>
        <v/>
      </c>
      <c r="N327" s="61" t="str">
        <f t="shared" si="52"/>
        <v/>
      </c>
      <c r="O327" s="68" t="str">
        <f t="shared" si="53"/>
        <v/>
      </c>
      <c r="P327" s="24"/>
      <c r="Q327" s="2" t="str">
        <f>IF(ROW(Q327)-ROW($E$1)&lt;=$B$4,INDEX(IDX_COMPO!F:F,ROW(IDX_COMPO!#REF!)),"")</f>
        <v/>
      </c>
      <c r="R327" s="68" t="str">
        <f t="shared" si="54"/>
        <v/>
      </c>
      <c r="S327" s="61" t="str">
        <f t="shared" si="55"/>
        <v/>
      </c>
      <c r="T327" s="62" t="str">
        <f>IF(D327&lt;&gt;"",IF(SUMPRODUCT(--($E327=STK_DIV!$A$2:$A$5),--(NXT_COMPO!$Q327=STK_DIV!$E$2:$E$5),ROW(STK_DIV!$D$2:$D$5))=0,"",INDEX(STK_DIV!$D$1:$D$5,SUMPRODUCT(--($E327=STK_DIV!$A$2:$A$5),--(NXT_COMPO!$Q327=STK_DIV!$E$2:$E$5),ROW(STK_DIV!$D$2:$D$5)))),"")</f>
        <v/>
      </c>
      <c r="U327" s="54" t="str">
        <f>IF($D327&lt;&gt;"",VLOOKUP($P327,IDX_REF!$2:$1048576,4,0),"")</f>
        <v/>
      </c>
    </row>
    <row r="328" spans="4:21" x14ac:dyDescent="0.2">
      <c r="D328" s="52" t="str">
        <f t="shared" si="50"/>
        <v/>
      </c>
      <c r="E328" s="5" t="str">
        <f t="shared" si="51"/>
        <v/>
      </c>
      <c r="F328" s="5" t="str">
        <f>IF(ROW(F328)-ROW($E$1)&lt;=$B$1-$B$2,INDEX(IDX_COMPO!B:B,ROW(IDX_COMPO!#REF!)),IF(ROW(E328)-ROW($E$1)&lt;=$B$4,VLOOKUP(E328,STK_REF!$A$2:$J$1048576,2,0),""))</f>
        <v/>
      </c>
      <c r="J328" s="62" t="str">
        <f>IF($D328&lt;=$B$1-$B$2,IF(INDEX($AA$2:$AA$1048576,MATCH($D328,$AB$2:$AB$1048576,0))="MODIFY",INDEX(IDX_CA!$G$1:$G$1041,SUMPRODUCT(--($E328=IDX_CA!$A$2:$A$1041),--(NXT_COMPO!$P328=IDX_CA!$B$2:$B$1041),--(NXT_COMPO!$Q328=IDX_CA!$C$2:$C$1041),ROW(IDX_CA!$G$2:$G$1041))),INDEX(IDX_COMPOSITION!$F$1:$F$441,SUMPRODUCT(--($E328=IDX_COMPOSITION!$A$2:$A$441),--(NXT_COMPO!$P328=IDX_COMPOSITION!$R$2:$R$441),--(NXT_COMPO!$B$5=IDX_COMPOSITION!$L$2:$L$441),ROW(IDX_COMPOSITION!$F$2:$F$441)))),IF($D328&lt;=$B$4,INDEX(IDX_CA!$G$1:$G$1041,SUMPRODUCT(--($E328=IDX_CA!$A$2:$A$1041),--(NXT_COMPO!$P328=IDX_CA!$B$2:$B$1041),--(NXT_COMPO!$Q328=IDX_CA!$C$2:$C$1041),ROW(IDX_CA!$G$2:$G$1041))),""))</f>
        <v/>
      </c>
      <c r="K328" s="63" t="str">
        <f>IF($D328&lt;&gt;"",VLOOKUP($E328,STK_REF!$A$2:$J$1048576,7,0),"")</f>
        <v/>
      </c>
      <c r="L328" s="5" t="str">
        <f>IF($D328&lt;&gt;"",VLOOKUP($E328,STK_REF!$A$2:$J$1048576,8,0),"")</f>
        <v/>
      </c>
      <c r="M328" s="8" t="str">
        <f>IF($D328&lt;&gt;"",IF($K328=$U328,1,IF(ISNA(VLOOKUP($K328&amp;$U328,CUR_RATES!$A$2:$F$521,4,0)),"",VLOOKUP($K328&amp;$U328,CUR_RATES!$A$2:$F$521,4,0))),"")</f>
        <v/>
      </c>
      <c r="N328" s="61" t="str">
        <f t="shared" si="52"/>
        <v/>
      </c>
      <c r="O328" s="68" t="str">
        <f t="shared" si="53"/>
        <v/>
      </c>
      <c r="P328" s="24"/>
      <c r="Q328" s="2" t="str">
        <f>IF(ROW(Q328)-ROW($E$1)&lt;=$B$4,INDEX(IDX_COMPO!F:F,ROW(IDX_COMPO!#REF!)),"")</f>
        <v/>
      </c>
      <c r="R328" s="68" t="str">
        <f t="shared" si="54"/>
        <v/>
      </c>
      <c r="S328" s="61" t="str">
        <f t="shared" si="55"/>
        <v/>
      </c>
      <c r="T328" s="62" t="str">
        <f>IF(D328&lt;&gt;"",IF(SUMPRODUCT(--($E328=STK_DIV!$A$2:$A$5),--(NXT_COMPO!$Q328=STK_DIV!$E$2:$E$5),ROW(STK_DIV!$D$2:$D$5))=0,"",INDEX(STK_DIV!$D$1:$D$5,SUMPRODUCT(--($E328=STK_DIV!$A$2:$A$5),--(NXT_COMPO!$Q328=STK_DIV!$E$2:$E$5),ROW(STK_DIV!$D$2:$D$5)))),"")</f>
        <v/>
      </c>
      <c r="U328" s="54" t="str">
        <f>IF($D328&lt;&gt;"",VLOOKUP($P328,IDX_REF!$2:$1048576,4,0),"")</f>
        <v/>
      </c>
    </row>
    <row r="329" spans="4:21" x14ac:dyDescent="0.2">
      <c r="D329" s="52" t="str">
        <f t="shared" si="50"/>
        <v/>
      </c>
      <c r="E329" s="5" t="str">
        <f t="shared" si="51"/>
        <v/>
      </c>
      <c r="F329" s="5" t="str">
        <f>IF(ROW(F329)-ROW($E$1)&lt;=$B$1-$B$2,INDEX(IDX_COMPO!B:B,ROW(IDX_COMPO!#REF!)),IF(ROW(E329)-ROW($E$1)&lt;=$B$4,VLOOKUP(E329,STK_REF!$A$2:$J$1048576,2,0),""))</f>
        <v/>
      </c>
      <c r="J329" s="62" t="str">
        <f>IF($D329&lt;=$B$1-$B$2,IF(INDEX($AA$2:$AA$1048576,MATCH($D329,$AB$2:$AB$1048576,0))="MODIFY",INDEX(IDX_CA!$G$1:$G$1041,SUMPRODUCT(--($E329=IDX_CA!$A$2:$A$1041),--(NXT_COMPO!$P329=IDX_CA!$B$2:$B$1041),--(NXT_COMPO!$Q329=IDX_CA!$C$2:$C$1041),ROW(IDX_CA!$G$2:$G$1041))),INDEX(IDX_COMPOSITION!$F$1:$F$441,SUMPRODUCT(--($E329=IDX_COMPOSITION!$A$2:$A$441),--(NXT_COMPO!$P329=IDX_COMPOSITION!$R$2:$R$441),--(NXT_COMPO!$B$5=IDX_COMPOSITION!$L$2:$L$441),ROW(IDX_COMPOSITION!$F$2:$F$441)))),IF($D329&lt;=$B$4,INDEX(IDX_CA!$G$1:$G$1041,SUMPRODUCT(--($E329=IDX_CA!$A$2:$A$1041),--(NXT_COMPO!$P329=IDX_CA!$B$2:$B$1041),--(NXT_COMPO!$Q329=IDX_CA!$C$2:$C$1041),ROW(IDX_CA!$G$2:$G$1041))),""))</f>
        <v/>
      </c>
      <c r="K329" s="63" t="str">
        <f>IF($D329&lt;&gt;"",VLOOKUP($E329,STK_REF!$A$2:$J$1048576,7,0),"")</f>
        <v/>
      </c>
      <c r="L329" s="5" t="str">
        <f>IF($D329&lt;&gt;"",VLOOKUP($E329,STK_REF!$A$2:$J$1048576,8,0),"")</f>
        <v/>
      </c>
      <c r="M329" s="8" t="str">
        <f>IF($D329&lt;&gt;"",IF($K329=$U329,1,IF(ISNA(VLOOKUP($K329&amp;$U329,CUR_RATES!$A$2:$F$521,4,0)),"",VLOOKUP($K329&amp;$U329,CUR_RATES!$A$2:$F$521,4,0))),"")</f>
        <v/>
      </c>
      <c r="N329" s="61" t="str">
        <f t="shared" si="52"/>
        <v/>
      </c>
      <c r="O329" s="68" t="str">
        <f t="shared" si="53"/>
        <v/>
      </c>
      <c r="P329" s="24"/>
      <c r="Q329" s="2" t="str">
        <f>IF(ROW(Q329)-ROW($E$1)&lt;=$B$4,INDEX(IDX_COMPO!F:F,ROW(IDX_COMPO!#REF!)),"")</f>
        <v/>
      </c>
      <c r="R329" s="68" t="str">
        <f t="shared" si="54"/>
        <v/>
      </c>
      <c r="S329" s="61" t="str">
        <f t="shared" si="55"/>
        <v/>
      </c>
      <c r="T329" s="62" t="str">
        <f>IF(D329&lt;&gt;"",IF(SUMPRODUCT(--($E329=STK_DIV!$A$2:$A$5),--(NXT_COMPO!$Q329=STK_DIV!$E$2:$E$5),ROW(STK_DIV!$D$2:$D$5))=0,"",INDEX(STK_DIV!$D$1:$D$5,SUMPRODUCT(--($E329=STK_DIV!$A$2:$A$5),--(NXT_COMPO!$Q329=STK_DIV!$E$2:$E$5),ROW(STK_DIV!$D$2:$D$5)))),"")</f>
        <v/>
      </c>
      <c r="U329" s="54" t="str">
        <f>IF($D329&lt;&gt;"",VLOOKUP($P329,IDX_REF!$2:$1048576,4,0),"")</f>
        <v/>
      </c>
    </row>
    <row r="330" spans="4:21" x14ac:dyDescent="0.2">
      <c r="D330" s="52" t="str">
        <f t="shared" si="50"/>
        <v/>
      </c>
      <c r="E330" s="5" t="str">
        <f t="shared" si="51"/>
        <v/>
      </c>
      <c r="F330" s="5" t="str">
        <f>IF(ROW(F330)-ROW($E$1)&lt;=$B$1-$B$2,INDEX(IDX_COMPO!B:B,ROW(IDX_COMPO!#REF!)),IF(ROW(E330)-ROW($E$1)&lt;=$B$4,VLOOKUP(E330,STK_REF!$A$2:$J$1048576,2,0),""))</f>
        <v/>
      </c>
      <c r="J330" s="62" t="str">
        <f>IF($D330&lt;=$B$1-$B$2,IF(INDEX($AA$2:$AA$1048576,MATCH($D330,$AB$2:$AB$1048576,0))="MODIFY",INDEX(IDX_CA!$G$1:$G$1041,SUMPRODUCT(--($E330=IDX_CA!$A$2:$A$1041),--(NXT_COMPO!$P330=IDX_CA!$B$2:$B$1041),--(NXT_COMPO!$Q330=IDX_CA!$C$2:$C$1041),ROW(IDX_CA!$G$2:$G$1041))),INDEX(IDX_COMPOSITION!$F$1:$F$441,SUMPRODUCT(--($E330=IDX_COMPOSITION!$A$2:$A$441),--(NXT_COMPO!$P330=IDX_COMPOSITION!$R$2:$R$441),--(NXT_COMPO!$B$5=IDX_COMPOSITION!$L$2:$L$441),ROW(IDX_COMPOSITION!$F$2:$F$441)))),IF($D330&lt;=$B$4,INDEX(IDX_CA!$G$1:$G$1041,SUMPRODUCT(--($E330=IDX_CA!$A$2:$A$1041),--(NXT_COMPO!$P330=IDX_CA!$B$2:$B$1041),--(NXT_COMPO!$Q330=IDX_CA!$C$2:$C$1041),ROW(IDX_CA!$G$2:$G$1041))),""))</f>
        <v/>
      </c>
      <c r="K330" s="63" t="str">
        <f>IF($D330&lt;&gt;"",VLOOKUP($E330,STK_REF!$A$2:$J$1048576,7,0),"")</f>
        <v/>
      </c>
      <c r="L330" s="5" t="str">
        <f>IF($D330&lt;&gt;"",VLOOKUP($E330,STK_REF!$A$2:$J$1048576,8,0),"")</f>
        <v/>
      </c>
      <c r="M330" s="8" t="str">
        <f>IF($D330&lt;&gt;"",IF($K330=$U330,1,IF(ISNA(VLOOKUP($K330&amp;$U330,CUR_RATES!$A$2:$F$521,4,0)),"",VLOOKUP($K330&amp;$U330,CUR_RATES!$A$2:$F$521,4,0))),"")</f>
        <v/>
      </c>
      <c r="N330" s="61" t="str">
        <f t="shared" si="52"/>
        <v/>
      </c>
      <c r="O330" s="68" t="str">
        <f t="shared" si="53"/>
        <v/>
      </c>
      <c r="P330" s="24"/>
      <c r="Q330" s="2" t="str">
        <f>IF(ROW(Q330)-ROW($E$1)&lt;=$B$4,INDEX(IDX_COMPO!F:F,ROW(IDX_COMPO!#REF!)),"")</f>
        <v/>
      </c>
      <c r="R330" s="68" t="str">
        <f t="shared" si="54"/>
        <v/>
      </c>
      <c r="S330" s="61" t="str">
        <f t="shared" si="55"/>
        <v/>
      </c>
      <c r="T330" s="62" t="str">
        <f>IF(D330&lt;&gt;"",IF(SUMPRODUCT(--($E330=STK_DIV!$A$2:$A$5),--(NXT_COMPO!$Q330=STK_DIV!$E$2:$E$5),ROW(STK_DIV!$D$2:$D$5))=0,"",INDEX(STK_DIV!$D$1:$D$5,SUMPRODUCT(--($E330=STK_DIV!$A$2:$A$5),--(NXT_COMPO!$Q330=STK_DIV!$E$2:$E$5),ROW(STK_DIV!$D$2:$D$5)))),"")</f>
        <v/>
      </c>
      <c r="U330" s="54" t="str">
        <f>IF($D330&lt;&gt;"",VLOOKUP($P330,IDX_REF!$2:$1048576,4,0),"")</f>
        <v/>
      </c>
    </row>
    <row r="331" spans="4:21" x14ac:dyDescent="0.2">
      <c r="D331" s="52" t="str">
        <f t="shared" si="50"/>
        <v/>
      </c>
      <c r="E331" s="5" t="str">
        <f t="shared" si="51"/>
        <v/>
      </c>
      <c r="F331" s="5" t="str">
        <f>IF(ROW(F331)-ROW($E$1)&lt;=$B$1-$B$2,INDEX(IDX_COMPO!B:B,ROW(IDX_COMPO!#REF!)),IF(ROW(E331)-ROW($E$1)&lt;=$B$4,VLOOKUP(E331,STK_REF!$A$2:$J$1048576,2,0),""))</f>
        <v/>
      </c>
      <c r="J331" s="62" t="str">
        <f>IF($D331&lt;=$B$1-$B$2,IF(INDEX($AA$2:$AA$1048576,MATCH($D331,$AB$2:$AB$1048576,0))="MODIFY",INDEX(IDX_CA!$G$1:$G$1041,SUMPRODUCT(--($E331=IDX_CA!$A$2:$A$1041),--(NXT_COMPO!$P331=IDX_CA!$B$2:$B$1041),--(NXT_COMPO!$Q331=IDX_CA!$C$2:$C$1041),ROW(IDX_CA!$G$2:$G$1041))),INDEX(IDX_COMPOSITION!$F$1:$F$441,SUMPRODUCT(--($E331=IDX_COMPOSITION!$A$2:$A$441),--(NXT_COMPO!$P331=IDX_COMPOSITION!$R$2:$R$441),--(NXT_COMPO!$B$5=IDX_COMPOSITION!$L$2:$L$441),ROW(IDX_COMPOSITION!$F$2:$F$441)))),IF($D331&lt;=$B$4,INDEX(IDX_CA!$G$1:$G$1041,SUMPRODUCT(--($E331=IDX_CA!$A$2:$A$1041),--(NXT_COMPO!$P331=IDX_CA!$B$2:$B$1041),--(NXT_COMPO!$Q331=IDX_CA!$C$2:$C$1041),ROW(IDX_CA!$G$2:$G$1041))),""))</f>
        <v/>
      </c>
      <c r="K331" s="63" t="str">
        <f>IF($D331&lt;&gt;"",VLOOKUP($E331,STK_REF!$A$2:$J$1048576,7,0),"")</f>
        <v/>
      </c>
      <c r="L331" s="5" t="str">
        <f>IF($D331&lt;&gt;"",VLOOKUP($E331,STK_REF!$A$2:$J$1048576,8,0),"")</f>
        <v/>
      </c>
      <c r="M331" s="8" t="str">
        <f>IF($D331&lt;&gt;"",IF($K331=$U331,1,IF(ISNA(VLOOKUP($K331&amp;$U331,CUR_RATES!$A$2:$F$521,4,0)),"",VLOOKUP($K331&amp;$U331,CUR_RATES!$A$2:$F$521,4,0))),"")</f>
        <v/>
      </c>
      <c r="N331" s="61" t="str">
        <f t="shared" si="52"/>
        <v/>
      </c>
      <c r="O331" s="68" t="str">
        <f t="shared" si="53"/>
        <v/>
      </c>
      <c r="P331" s="24"/>
      <c r="Q331" s="2" t="str">
        <f>IF(ROW(Q331)-ROW($E$1)&lt;=$B$4,INDEX(IDX_COMPO!F:F,ROW(IDX_COMPO!#REF!)),"")</f>
        <v/>
      </c>
      <c r="R331" s="68" t="str">
        <f t="shared" si="54"/>
        <v/>
      </c>
      <c r="S331" s="61" t="str">
        <f t="shared" si="55"/>
        <v/>
      </c>
      <c r="T331" s="62" t="str">
        <f>IF(D331&lt;&gt;"",IF(SUMPRODUCT(--($E331=STK_DIV!$A$2:$A$5),--(NXT_COMPO!$Q331=STK_DIV!$E$2:$E$5),ROW(STK_DIV!$D$2:$D$5))=0,"",INDEX(STK_DIV!$D$1:$D$5,SUMPRODUCT(--($E331=STK_DIV!$A$2:$A$5),--(NXT_COMPO!$Q331=STK_DIV!$E$2:$E$5),ROW(STK_DIV!$D$2:$D$5)))),"")</f>
        <v/>
      </c>
      <c r="U331" s="54" t="str">
        <f>IF($D331&lt;&gt;"",VLOOKUP($P331,IDX_REF!$2:$1048576,4,0),"")</f>
        <v/>
      </c>
    </row>
    <row r="332" spans="4:21" x14ac:dyDescent="0.2">
      <c r="D332" s="52" t="str">
        <f t="shared" si="50"/>
        <v/>
      </c>
      <c r="E332" s="5" t="str">
        <f t="shared" si="51"/>
        <v/>
      </c>
      <c r="F332" s="5" t="str">
        <f>IF(ROW(F332)-ROW($E$1)&lt;=$B$1-$B$2,INDEX(IDX_COMPO!B:B,ROW(IDX_COMPO!#REF!)),IF(ROW(E332)-ROW($E$1)&lt;=$B$4,VLOOKUP(E332,STK_REF!$A$2:$J$1048576,2,0),""))</f>
        <v/>
      </c>
      <c r="J332" s="62" t="str">
        <f>IF($D332&lt;=$B$1-$B$2,IF(INDEX($AA$2:$AA$1048576,MATCH($D332,$AB$2:$AB$1048576,0))="MODIFY",INDEX(IDX_CA!$G$1:$G$1041,SUMPRODUCT(--($E332=IDX_CA!$A$2:$A$1041),--(NXT_COMPO!$P332=IDX_CA!$B$2:$B$1041),--(NXT_COMPO!$Q332=IDX_CA!$C$2:$C$1041),ROW(IDX_CA!$G$2:$G$1041))),INDEX(IDX_COMPOSITION!$F$1:$F$441,SUMPRODUCT(--($E332=IDX_COMPOSITION!$A$2:$A$441),--(NXT_COMPO!$P332=IDX_COMPOSITION!$R$2:$R$441),--(NXT_COMPO!$B$5=IDX_COMPOSITION!$L$2:$L$441),ROW(IDX_COMPOSITION!$F$2:$F$441)))),IF($D332&lt;=$B$4,INDEX(IDX_CA!$G$1:$G$1041,SUMPRODUCT(--($E332=IDX_CA!$A$2:$A$1041),--(NXT_COMPO!$P332=IDX_CA!$B$2:$B$1041),--(NXT_COMPO!$Q332=IDX_CA!$C$2:$C$1041),ROW(IDX_CA!$G$2:$G$1041))),""))</f>
        <v/>
      </c>
      <c r="K332" s="63" t="str">
        <f>IF($D332&lt;&gt;"",VLOOKUP($E332,STK_REF!$A$2:$J$1048576,7,0),"")</f>
        <v/>
      </c>
      <c r="L332" s="5" t="str">
        <f>IF($D332&lt;&gt;"",VLOOKUP($E332,STK_REF!$A$2:$J$1048576,8,0),"")</f>
        <v/>
      </c>
      <c r="M332" s="8" t="str">
        <f>IF($D332&lt;&gt;"",IF($K332=$U332,1,IF(ISNA(VLOOKUP($K332&amp;$U332,CUR_RATES!$A$2:$F$521,4,0)),"",VLOOKUP($K332&amp;$U332,CUR_RATES!$A$2:$F$521,4,0))),"")</f>
        <v/>
      </c>
      <c r="N332" s="61" t="str">
        <f t="shared" si="52"/>
        <v/>
      </c>
      <c r="O332" s="68" t="str">
        <f t="shared" si="53"/>
        <v/>
      </c>
      <c r="P332" s="24"/>
      <c r="Q332" s="2" t="str">
        <f>IF(ROW(Q332)-ROW($E$1)&lt;=$B$4,INDEX(IDX_COMPO!F:F,ROW(IDX_COMPO!#REF!)),"")</f>
        <v/>
      </c>
      <c r="R332" s="68" t="str">
        <f t="shared" si="54"/>
        <v/>
      </c>
      <c r="S332" s="61" t="str">
        <f t="shared" si="55"/>
        <v/>
      </c>
      <c r="T332" s="62" t="str">
        <f>IF(D332&lt;&gt;"",IF(SUMPRODUCT(--($E332=STK_DIV!$A$2:$A$5),--(NXT_COMPO!$Q332=STK_DIV!$E$2:$E$5),ROW(STK_DIV!$D$2:$D$5))=0,"",INDEX(STK_DIV!$D$1:$D$5,SUMPRODUCT(--($E332=STK_DIV!$A$2:$A$5),--(NXT_COMPO!$Q332=STK_DIV!$E$2:$E$5),ROW(STK_DIV!$D$2:$D$5)))),"")</f>
        <v/>
      </c>
      <c r="U332" s="54" t="str">
        <f>IF($D332&lt;&gt;"",VLOOKUP($P332,IDX_REF!$2:$1048576,4,0),"")</f>
        <v/>
      </c>
    </row>
    <row r="333" spans="4:21" x14ac:dyDescent="0.2">
      <c r="D333" s="52" t="str">
        <f t="shared" si="50"/>
        <v/>
      </c>
      <c r="E333" s="5" t="str">
        <f t="shared" si="51"/>
        <v/>
      </c>
      <c r="F333" s="5" t="str">
        <f>IF(ROW(F333)-ROW($E$1)&lt;=$B$1-$B$2,INDEX(IDX_COMPO!B:B,ROW(IDX_COMPO!#REF!)),IF(ROW(E333)-ROW($E$1)&lt;=$B$4,VLOOKUP(E333,STK_REF!$A$2:$J$1048576,2,0),""))</f>
        <v/>
      </c>
      <c r="J333" s="62" t="str">
        <f>IF($D333&lt;=$B$1-$B$2,IF(INDEX($AA$2:$AA$1048576,MATCH($D333,$AB$2:$AB$1048576,0))="MODIFY",INDEX(IDX_CA!$G$1:$G$1041,SUMPRODUCT(--($E333=IDX_CA!$A$2:$A$1041),--(NXT_COMPO!$P333=IDX_CA!$B$2:$B$1041),--(NXT_COMPO!$Q333=IDX_CA!$C$2:$C$1041),ROW(IDX_CA!$G$2:$G$1041))),INDEX(IDX_COMPOSITION!$F$1:$F$441,SUMPRODUCT(--($E333=IDX_COMPOSITION!$A$2:$A$441),--(NXT_COMPO!$P333=IDX_COMPOSITION!$R$2:$R$441),--(NXT_COMPO!$B$5=IDX_COMPOSITION!$L$2:$L$441),ROW(IDX_COMPOSITION!$F$2:$F$441)))),IF($D333&lt;=$B$4,INDEX(IDX_CA!$G$1:$G$1041,SUMPRODUCT(--($E333=IDX_CA!$A$2:$A$1041),--(NXT_COMPO!$P333=IDX_CA!$B$2:$B$1041),--(NXT_COMPO!$Q333=IDX_CA!$C$2:$C$1041),ROW(IDX_CA!$G$2:$G$1041))),""))</f>
        <v/>
      </c>
      <c r="K333" s="63" t="str">
        <f>IF($D333&lt;&gt;"",VLOOKUP($E333,STK_REF!$A$2:$J$1048576,7,0),"")</f>
        <v/>
      </c>
      <c r="L333" s="5" t="str">
        <f>IF($D333&lt;&gt;"",VLOOKUP($E333,STK_REF!$A$2:$J$1048576,8,0),"")</f>
        <v/>
      </c>
      <c r="M333" s="8" t="str">
        <f>IF($D333&lt;&gt;"",IF($K333=$U333,1,IF(ISNA(VLOOKUP($K333&amp;$U333,CUR_RATES!$A$2:$F$521,4,0)),"",VLOOKUP($K333&amp;$U333,CUR_RATES!$A$2:$F$521,4,0))),"")</f>
        <v/>
      </c>
      <c r="N333" s="61" t="str">
        <f t="shared" si="52"/>
        <v/>
      </c>
      <c r="O333" s="68" t="str">
        <f t="shared" si="53"/>
        <v/>
      </c>
      <c r="P333" s="24"/>
      <c r="Q333" s="2" t="str">
        <f>IF(ROW(Q333)-ROW($E$1)&lt;=$B$4,INDEX(IDX_COMPO!F:F,ROW(IDX_COMPO!#REF!)),"")</f>
        <v/>
      </c>
      <c r="R333" s="68" t="str">
        <f t="shared" si="54"/>
        <v/>
      </c>
      <c r="S333" s="61" t="str">
        <f t="shared" si="55"/>
        <v/>
      </c>
      <c r="T333" s="62" t="str">
        <f>IF(D333&lt;&gt;"",IF(SUMPRODUCT(--($E333=STK_DIV!$A$2:$A$5),--(NXT_COMPO!$Q333=STK_DIV!$E$2:$E$5),ROW(STK_DIV!$D$2:$D$5))=0,"",INDEX(STK_DIV!$D$1:$D$5,SUMPRODUCT(--($E333=STK_DIV!$A$2:$A$5),--(NXT_COMPO!$Q333=STK_DIV!$E$2:$E$5),ROW(STK_DIV!$D$2:$D$5)))),"")</f>
        <v/>
      </c>
      <c r="U333" s="54" t="str">
        <f>IF($D333&lt;&gt;"",VLOOKUP($P333,IDX_REF!$2:$1048576,4,0),"")</f>
        <v/>
      </c>
    </row>
    <row r="334" spans="4:21" x14ac:dyDescent="0.2">
      <c r="D334" s="52" t="str">
        <f t="shared" si="50"/>
        <v/>
      </c>
      <c r="E334" s="5" t="str">
        <f t="shared" si="51"/>
        <v/>
      </c>
      <c r="F334" s="5" t="str">
        <f>IF(ROW(F334)-ROW($E$1)&lt;=$B$1-$B$2,INDEX(IDX_COMPO!B:B,ROW(IDX_COMPO!#REF!)),IF(ROW(E334)-ROW($E$1)&lt;=$B$4,VLOOKUP(E334,STK_REF!$A$2:$J$1048576,2,0),""))</f>
        <v/>
      </c>
      <c r="J334" s="62" t="str">
        <f>IF($D334&lt;=$B$1-$B$2,IF(INDEX($AA$2:$AA$1048576,MATCH($D334,$AB$2:$AB$1048576,0))="MODIFY",INDEX(IDX_CA!$G$1:$G$1041,SUMPRODUCT(--($E334=IDX_CA!$A$2:$A$1041),--(NXT_COMPO!$P334=IDX_CA!$B$2:$B$1041),--(NXT_COMPO!$Q334=IDX_CA!$C$2:$C$1041),ROW(IDX_CA!$G$2:$G$1041))),INDEX(IDX_COMPOSITION!$F$1:$F$441,SUMPRODUCT(--($E334=IDX_COMPOSITION!$A$2:$A$441),--(NXT_COMPO!$P334=IDX_COMPOSITION!$R$2:$R$441),--(NXT_COMPO!$B$5=IDX_COMPOSITION!$L$2:$L$441),ROW(IDX_COMPOSITION!$F$2:$F$441)))),IF($D334&lt;=$B$4,INDEX(IDX_CA!$G$1:$G$1041,SUMPRODUCT(--($E334=IDX_CA!$A$2:$A$1041),--(NXT_COMPO!$P334=IDX_CA!$B$2:$B$1041),--(NXT_COMPO!$Q334=IDX_CA!$C$2:$C$1041),ROW(IDX_CA!$G$2:$G$1041))),""))</f>
        <v/>
      </c>
      <c r="K334" s="63" t="str">
        <f>IF($D334&lt;&gt;"",VLOOKUP($E334,STK_REF!$A$2:$J$1048576,7,0),"")</f>
        <v/>
      </c>
      <c r="L334" s="5" t="str">
        <f>IF($D334&lt;&gt;"",VLOOKUP($E334,STK_REF!$A$2:$J$1048576,8,0),"")</f>
        <v/>
      </c>
      <c r="M334" s="8" t="str">
        <f>IF($D334&lt;&gt;"",IF($K334=$U334,1,IF(ISNA(VLOOKUP($K334&amp;$U334,CUR_RATES!$A$2:$F$521,4,0)),"",VLOOKUP($K334&amp;$U334,CUR_RATES!$A$2:$F$521,4,0))),"")</f>
        <v/>
      </c>
      <c r="N334" s="61" t="str">
        <f t="shared" si="52"/>
        <v/>
      </c>
      <c r="O334" s="68" t="str">
        <f t="shared" si="53"/>
        <v/>
      </c>
      <c r="P334" s="24"/>
      <c r="Q334" s="2" t="str">
        <f>IF(ROW(Q334)-ROW($E$1)&lt;=$B$4,INDEX(IDX_COMPO!F:F,ROW(IDX_COMPO!#REF!)),"")</f>
        <v/>
      </c>
      <c r="R334" s="68" t="str">
        <f t="shared" si="54"/>
        <v/>
      </c>
      <c r="S334" s="61" t="str">
        <f t="shared" si="55"/>
        <v/>
      </c>
      <c r="T334" s="62" t="str">
        <f>IF(D334&lt;&gt;"",IF(SUMPRODUCT(--($E334=STK_DIV!$A$2:$A$5),--(NXT_COMPO!$Q334=STK_DIV!$E$2:$E$5),ROW(STK_DIV!$D$2:$D$5))=0,"",INDEX(STK_DIV!$D$1:$D$5,SUMPRODUCT(--($E334=STK_DIV!$A$2:$A$5),--(NXT_COMPO!$Q334=STK_DIV!$E$2:$E$5),ROW(STK_DIV!$D$2:$D$5)))),"")</f>
        <v/>
      </c>
      <c r="U334" s="54" t="str">
        <f>IF($D334&lt;&gt;"",VLOOKUP($P334,IDX_REF!$2:$1048576,4,0),"")</f>
        <v/>
      </c>
    </row>
    <row r="335" spans="4:21" x14ac:dyDescent="0.2">
      <c r="D335" s="52" t="str">
        <f t="shared" si="50"/>
        <v/>
      </c>
      <c r="E335" s="5" t="str">
        <f t="shared" si="51"/>
        <v/>
      </c>
      <c r="F335" s="5" t="str">
        <f>IF(ROW(F335)-ROW($E$1)&lt;=$B$1-$B$2,INDEX(IDX_COMPO!B:B,ROW(IDX_COMPO!#REF!)),IF(ROW(E335)-ROW($E$1)&lt;=$B$4,VLOOKUP(E335,STK_REF!$A$2:$J$1048576,2,0),""))</f>
        <v/>
      </c>
      <c r="J335" s="62" t="str">
        <f>IF($D335&lt;=$B$1-$B$2,IF(INDEX($AA$2:$AA$1048576,MATCH($D335,$AB$2:$AB$1048576,0))="MODIFY",INDEX(IDX_CA!$G$1:$G$1041,SUMPRODUCT(--($E335=IDX_CA!$A$2:$A$1041),--(NXT_COMPO!$P335=IDX_CA!$B$2:$B$1041),--(NXT_COMPO!$Q335=IDX_CA!$C$2:$C$1041),ROW(IDX_CA!$G$2:$G$1041))),INDEX(IDX_COMPOSITION!$F$1:$F$441,SUMPRODUCT(--($E335=IDX_COMPOSITION!$A$2:$A$441),--(NXT_COMPO!$P335=IDX_COMPOSITION!$R$2:$R$441),--(NXT_COMPO!$B$5=IDX_COMPOSITION!$L$2:$L$441),ROW(IDX_COMPOSITION!$F$2:$F$441)))),IF($D335&lt;=$B$4,INDEX(IDX_CA!$G$1:$G$1041,SUMPRODUCT(--($E335=IDX_CA!$A$2:$A$1041),--(NXT_COMPO!$P335=IDX_CA!$B$2:$B$1041),--(NXT_COMPO!$Q335=IDX_CA!$C$2:$C$1041),ROW(IDX_CA!$G$2:$G$1041))),""))</f>
        <v/>
      </c>
      <c r="K335" s="63" t="str">
        <f>IF($D335&lt;&gt;"",VLOOKUP($E335,STK_REF!$A$2:$J$1048576,7,0),"")</f>
        <v/>
      </c>
      <c r="L335" s="5" t="str">
        <f>IF($D335&lt;&gt;"",VLOOKUP($E335,STK_REF!$A$2:$J$1048576,8,0),"")</f>
        <v/>
      </c>
      <c r="M335" s="8" t="str">
        <f>IF($D335&lt;&gt;"",IF($K335=$U335,1,IF(ISNA(VLOOKUP($K335&amp;$U335,CUR_RATES!$A$2:$F$521,4,0)),"",VLOOKUP($K335&amp;$U335,CUR_RATES!$A$2:$F$521,4,0))),"")</f>
        <v/>
      </c>
      <c r="N335" s="61" t="str">
        <f t="shared" si="52"/>
        <v/>
      </c>
      <c r="O335" s="68" t="str">
        <f t="shared" si="53"/>
        <v/>
      </c>
      <c r="P335" s="24"/>
      <c r="Q335" s="2" t="str">
        <f>IF(ROW(Q335)-ROW($E$1)&lt;=$B$4,INDEX(IDX_COMPO!F:F,ROW(IDX_COMPO!#REF!)),"")</f>
        <v/>
      </c>
      <c r="R335" s="68" t="str">
        <f t="shared" si="54"/>
        <v/>
      </c>
      <c r="S335" s="61" t="str">
        <f t="shared" si="55"/>
        <v/>
      </c>
      <c r="T335" s="62" t="str">
        <f>IF(D335&lt;&gt;"",IF(SUMPRODUCT(--($E335=STK_DIV!$A$2:$A$5),--(NXT_COMPO!$Q335=STK_DIV!$E$2:$E$5),ROW(STK_DIV!$D$2:$D$5))=0,"",INDEX(STK_DIV!$D$1:$D$5,SUMPRODUCT(--($E335=STK_DIV!$A$2:$A$5),--(NXT_COMPO!$Q335=STK_DIV!$E$2:$E$5),ROW(STK_DIV!$D$2:$D$5)))),"")</f>
        <v/>
      </c>
      <c r="U335" s="54" t="str">
        <f>IF($D335&lt;&gt;"",VLOOKUP($P335,IDX_REF!$2:$1048576,4,0),"")</f>
        <v/>
      </c>
    </row>
    <row r="336" spans="4:21" x14ac:dyDescent="0.2">
      <c r="D336" s="52" t="str">
        <f t="shared" si="50"/>
        <v/>
      </c>
      <c r="E336" s="5" t="str">
        <f t="shared" si="51"/>
        <v/>
      </c>
      <c r="F336" s="5" t="str">
        <f>IF(ROW(F336)-ROW($E$1)&lt;=$B$1-$B$2,INDEX(IDX_COMPO!B:B,ROW(IDX_COMPO!#REF!)),IF(ROW(E336)-ROW($E$1)&lt;=$B$4,VLOOKUP(E336,STK_REF!$A$2:$J$1048576,2,0),""))</f>
        <v/>
      </c>
      <c r="J336" s="62" t="str">
        <f>IF($D336&lt;=$B$1-$B$2,IF(INDEX($AA$2:$AA$1048576,MATCH($D336,$AB$2:$AB$1048576,0))="MODIFY",INDEX(IDX_CA!$G$1:$G$1041,SUMPRODUCT(--($E336=IDX_CA!$A$2:$A$1041),--(NXT_COMPO!$P336=IDX_CA!$B$2:$B$1041),--(NXT_COMPO!$Q336=IDX_CA!$C$2:$C$1041),ROW(IDX_CA!$G$2:$G$1041))),INDEX(IDX_COMPOSITION!$F$1:$F$441,SUMPRODUCT(--($E336=IDX_COMPOSITION!$A$2:$A$441),--(NXT_COMPO!$P336=IDX_COMPOSITION!$R$2:$R$441),--(NXT_COMPO!$B$5=IDX_COMPOSITION!$L$2:$L$441),ROW(IDX_COMPOSITION!$F$2:$F$441)))),IF($D336&lt;=$B$4,INDEX(IDX_CA!$G$1:$G$1041,SUMPRODUCT(--($E336=IDX_CA!$A$2:$A$1041),--(NXT_COMPO!$P336=IDX_CA!$B$2:$B$1041),--(NXT_COMPO!$Q336=IDX_CA!$C$2:$C$1041),ROW(IDX_CA!$G$2:$G$1041))),""))</f>
        <v/>
      </c>
      <c r="K336" s="63" t="str">
        <f>IF($D336&lt;&gt;"",VLOOKUP($E336,STK_REF!$A$2:$J$1048576,7,0),"")</f>
        <v/>
      </c>
      <c r="L336" s="5" t="str">
        <f>IF($D336&lt;&gt;"",VLOOKUP($E336,STK_REF!$A$2:$J$1048576,8,0),"")</f>
        <v/>
      </c>
      <c r="M336" s="8" t="str">
        <f>IF($D336&lt;&gt;"",IF($K336=$U336,1,IF(ISNA(VLOOKUP($K336&amp;$U336,CUR_RATES!$A$2:$F$521,4,0)),"",VLOOKUP($K336&amp;$U336,CUR_RATES!$A$2:$F$521,4,0))),"")</f>
        <v/>
      </c>
      <c r="N336" s="61" t="str">
        <f t="shared" si="52"/>
        <v/>
      </c>
      <c r="O336" s="68" t="str">
        <f t="shared" si="53"/>
        <v/>
      </c>
      <c r="P336" s="24"/>
      <c r="Q336" s="2" t="str">
        <f>IF(ROW(Q336)-ROW($E$1)&lt;=$B$4,INDEX(IDX_COMPO!F:F,ROW(IDX_COMPO!#REF!)),"")</f>
        <v/>
      </c>
      <c r="R336" s="68" t="str">
        <f t="shared" si="54"/>
        <v/>
      </c>
      <c r="S336" s="61" t="str">
        <f t="shared" si="55"/>
        <v/>
      </c>
      <c r="T336" s="62" t="str">
        <f>IF(D336&lt;&gt;"",IF(SUMPRODUCT(--($E336=STK_DIV!$A$2:$A$5),--(NXT_COMPO!$Q336=STK_DIV!$E$2:$E$5),ROW(STK_DIV!$D$2:$D$5))=0,"",INDEX(STK_DIV!$D$1:$D$5,SUMPRODUCT(--($E336=STK_DIV!$A$2:$A$5),--(NXT_COMPO!$Q336=STK_DIV!$E$2:$E$5),ROW(STK_DIV!$D$2:$D$5)))),"")</f>
        <v/>
      </c>
      <c r="U336" s="54" t="str">
        <f>IF($D336&lt;&gt;"",VLOOKUP($P336,IDX_REF!$2:$1048576,4,0),"")</f>
        <v/>
      </c>
    </row>
    <row r="337" spans="4:21" x14ac:dyDescent="0.2">
      <c r="D337" s="52" t="str">
        <f t="shared" si="50"/>
        <v/>
      </c>
      <c r="E337" s="5" t="str">
        <f t="shared" si="51"/>
        <v/>
      </c>
      <c r="F337" s="5" t="str">
        <f>IF(ROW(F337)-ROW($E$1)&lt;=$B$1-$B$2,INDEX(IDX_COMPO!B:B,ROW(IDX_COMPO!#REF!)),IF(ROW(E337)-ROW($E$1)&lt;=$B$4,VLOOKUP(E337,STK_REF!$A$2:$J$1048576,2,0),""))</f>
        <v/>
      </c>
      <c r="J337" s="62" t="str">
        <f>IF($D337&lt;=$B$1-$B$2,IF(INDEX($AA$2:$AA$1048576,MATCH($D337,$AB$2:$AB$1048576,0))="MODIFY",INDEX(IDX_CA!$G$1:$G$1041,SUMPRODUCT(--($E337=IDX_CA!$A$2:$A$1041),--(NXT_COMPO!$P337=IDX_CA!$B$2:$B$1041),--(NXT_COMPO!$Q337=IDX_CA!$C$2:$C$1041),ROW(IDX_CA!$G$2:$G$1041))),INDEX(IDX_COMPOSITION!$F$1:$F$441,SUMPRODUCT(--($E337=IDX_COMPOSITION!$A$2:$A$441),--(NXT_COMPO!$P337=IDX_COMPOSITION!$R$2:$R$441),--(NXT_COMPO!$B$5=IDX_COMPOSITION!$L$2:$L$441),ROW(IDX_COMPOSITION!$F$2:$F$441)))),IF($D337&lt;=$B$4,INDEX(IDX_CA!$G$1:$G$1041,SUMPRODUCT(--($E337=IDX_CA!$A$2:$A$1041),--(NXT_COMPO!$P337=IDX_CA!$B$2:$B$1041),--(NXT_COMPO!$Q337=IDX_CA!$C$2:$C$1041),ROW(IDX_CA!$G$2:$G$1041))),""))</f>
        <v/>
      </c>
      <c r="K337" s="63" t="str">
        <f>IF($D337&lt;&gt;"",VLOOKUP($E337,STK_REF!$A$2:$J$1048576,7,0),"")</f>
        <v/>
      </c>
      <c r="L337" s="5" t="str">
        <f>IF($D337&lt;&gt;"",VLOOKUP($E337,STK_REF!$A$2:$J$1048576,8,0),"")</f>
        <v/>
      </c>
      <c r="M337" s="8" t="str">
        <f>IF($D337&lt;&gt;"",IF($K337=$U337,1,IF(ISNA(VLOOKUP($K337&amp;$U337,CUR_RATES!$A$2:$F$521,4,0)),"",VLOOKUP($K337&amp;$U337,CUR_RATES!$A$2:$F$521,4,0))),"")</f>
        <v/>
      </c>
      <c r="N337" s="61" t="str">
        <f t="shared" si="52"/>
        <v/>
      </c>
      <c r="O337" s="68" t="str">
        <f t="shared" si="53"/>
        <v/>
      </c>
      <c r="P337" s="24"/>
      <c r="Q337" s="2" t="str">
        <f>IF(ROW(Q337)-ROW($E$1)&lt;=$B$4,INDEX(IDX_COMPO!F:F,ROW(IDX_COMPO!#REF!)),"")</f>
        <v/>
      </c>
      <c r="R337" s="68" t="str">
        <f t="shared" si="54"/>
        <v/>
      </c>
      <c r="S337" s="61" t="str">
        <f t="shared" si="55"/>
        <v/>
      </c>
      <c r="T337" s="62" t="str">
        <f>IF(D337&lt;&gt;"",IF(SUMPRODUCT(--($E337=STK_DIV!$A$2:$A$5),--(NXT_COMPO!$Q337=STK_DIV!$E$2:$E$5),ROW(STK_DIV!$D$2:$D$5))=0,"",INDEX(STK_DIV!$D$1:$D$5,SUMPRODUCT(--($E337=STK_DIV!$A$2:$A$5),--(NXT_COMPO!$Q337=STK_DIV!$E$2:$E$5),ROW(STK_DIV!$D$2:$D$5)))),"")</f>
        <v/>
      </c>
      <c r="U337" s="54" t="str">
        <f>IF($D337&lt;&gt;"",VLOOKUP($P337,IDX_REF!$2:$1048576,4,0),"")</f>
        <v/>
      </c>
    </row>
    <row r="338" spans="4:21" x14ac:dyDescent="0.2">
      <c r="D338" s="52" t="str">
        <f t="shared" si="50"/>
        <v/>
      </c>
      <c r="E338" s="5" t="str">
        <f t="shared" si="51"/>
        <v/>
      </c>
      <c r="F338" s="5" t="str">
        <f>IF(ROW(F338)-ROW($E$1)&lt;=$B$1-$B$2,INDEX(IDX_COMPO!B:B,ROW(IDX_COMPO!#REF!)),IF(ROW(E338)-ROW($E$1)&lt;=$B$4,VLOOKUP(E338,STK_REF!$A$2:$J$1048576,2,0),""))</f>
        <v/>
      </c>
      <c r="J338" s="62" t="str">
        <f>IF($D338&lt;=$B$1-$B$2,IF(INDEX($AA$2:$AA$1048576,MATCH($D338,$AB$2:$AB$1048576,0))="MODIFY",INDEX(IDX_CA!$G$1:$G$1041,SUMPRODUCT(--($E338=IDX_CA!$A$2:$A$1041),--(NXT_COMPO!$P338=IDX_CA!$B$2:$B$1041),--(NXT_COMPO!$Q338=IDX_CA!$C$2:$C$1041),ROW(IDX_CA!$G$2:$G$1041))),INDEX(IDX_COMPOSITION!$F$1:$F$441,SUMPRODUCT(--($E338=IDX_COMPOSITION!$A$2:$A$441),--(NXT_COMPO!$P338=IDX_COMPOSITION!$R$2:$R$441),--(NXT_COMPO!$B$5=IDX_COMPOSITION!$L$2:$L$441),ROW(IDX_COMPOSITION!$F$2:$F$441)))),IF($D338&lt;=$B$4,INDEX(IDX_CA!$G$1:$G$1041,SUMPRODUCT(--($E338=IDX_CA!$A$2:$A$1041),--(NXT_COMPO!$P338=IDX_CA!$B$2:$B$1041),--(NXT_COMPO!$Q338=IDX_CA!$C$2:$C$1041),ROW(IDX_CA!$G$2:$G$1041))),""))</f>
        <v/>
      </c>
      <c r="K338" s="63" t="str">
        <f>IF($D338&lt;&gt;"",VLOOKUP($E338,STK_REF!$A$2:$J$1048576,7,0),"")</f>
        <v/>
      </c>
      <c r="L338" s="5" t="str">
        <f>IF($D338&lt;&gt;"",VLOOKUP($E338,STK_REF!$A$2:$J$1048576,8,0),"")</f>
        <v/>
      </c>
      <c r="M338" s="8" t="str">
        <f>IF($D338&lt;&gt;"",IF($K338=$U338,1,IF(ISNA(VLOOKUP($K338&amp;$U338,CUR_RATES!$A$2:$F$521,4,0)),"",VLOOKUP($K338&amp;$U338,CUR_RATES!$A$2:$F$521,4,0))),"")</f>
        <v/>
      </c>
      <c r="N338" s="61" t="str">
        <f t="shared" si="52"/>
        <v/>
      </c>
      <c r="O338" s="68" t="str">
        <f t="shared" si="53"/>
        <v/>
      </c>
      <c r="P338" s="24"/>
      <c r="Q338" s="2" t="str">
        <f>IF(ROW(Q338)-ROW($E$1)&lt;=$B$4,INDEX(IDX_COMPO!F:F,ROW(IDX_COMPO!#REF!)),"")</f>
        <v/>
      </c>
      <c r="R338" s="68" t="str">
        <f t="shared" si="54"/>
        <v/>
      </c>
      <c r="S338" s="61" t="str">
        <f t="shared" si="55"/>
        <v/>
      </c>
      <c r="T338" s="62" t="str">
        <f>IF(D338&lt;&gt;"",IF(SUMPRODUCT(--($E338=STK_DIV!$A$2:$A$5),--(NXT_COMPO!$Q338=STK_DIV!$E$2:$E$5),ROW(STK_DIV!$D$2:$D$5))=0,"",INDEX(STK_DIV!$D$1:$D$5,SUMPRODUCT(--($E338=STK_DIV!$A$2:$A$5),--(NXT_COMPO!$Q338=STK_DIV!$E$2:$E$5),ROW(STK_DIV!$D$2:$D$5)))),"")</f>
        <v/>
      </c>
      <c r="U338" s="54" t="str">
        <f>IF($D338&lt;&gt;"",VLOOKUP($P338,IDX_REF!$2:$1048576,4,0),"")</f>
        <v/>
      </c>
    </row>
    <row r="339" spans="4:21" x14ac:dyDescent="0.2">
      <c r="D339" s="52" t="str">
        <f t="shared" si="50"/>
        <v/>
      </c>
      <c r="E339" s="5" t="str">
        <f t="shared" si="51"/>
        <v/>
      </c>
      <c r="F339" s="5" t="str">
        <f>IF(ROW(F339)-ROW($E$1)&lt;=$B$1-$B$2,INDEX(IDX_COMPO!B:B,ROW(IDX_COMPO!#REF!)),IF(ROW(E339)-ROW($E$1)&lt;=$B$4,VLOOKUP(E339,STK_REF!$A$2:$J$1048576,2,0),""))</f>
        <v/>
      </c>
      <c r="J339" s="62" t="str">
        <f>IF($D339&lt;=$B$1-$B$2,IF(INDEX($AA$2:$AA$1048576,MATCH($D339,$AB$2:$AB$1048576,0))="MODIFY",INDEX(IDX_CA!$G$1:$G$1041,SUMPRODUCT(--($E339=IDX_CA!$A$2:$A$1041),--(NXT_COMPO!$P339=IDX_CA!$B$2:$B$1041),--(NXT_COMPO!$Q339=IDX_CA!$C$2:$C$1041),ROW(IDX_CA!$G$2:$G$1041))),INDEX(IDX_COMPOSITION!$F$1:$F$441,SUMPRODUCT(--($E339=IDX_COMPOSITION!$A$2:$A$441),--(NXT_COMPO!$P339=IDX_COMPOSITION!$R$2:$R$441),--(NXT_COMPO!$B$5=IDX_COMPOSITION!$L$2:$L$441),ROW(IDX_COMPOSITION!$F$2:$F$441)))),IF($D339&lt;=$B$4,INDEX(IDX_CA!$G$1:$G$1041,SUMPRODUCT(--($E339=IDX_CA!$A$2:$A$1041),--(NXT_COMPO!$P339=IDX_CA!$B$2:$B$1041),--(NXT_COMPO!$Q339=IDX_CA!$C$2:$C$1041),ROW(IDX_CA!$G$2:$G$1041))),""))</f>
        <v/>
      </c>
      <c r="K339" s="63" t="str">
        <f>IF($D339&lt;&gt;"",VLOOKUP($E339,STK_REF!$A$2:$J$1048576,7,0),"")</f>
        <v/>
      </c>
      <c r="L339" s="5" t="str">
        <f>IF($D339&lt;&gt;"",VLOOKUP($E339,STK_REF!$A$2:$J$1048576,8,0),"")</f>
        <v/>
      </c>
      <c r="M339" s="8" t="str">
        <f>IF($D339&lt;&gt;"",IF($K339=$U339,1,IF(ISNA(VLOOKUP($K339&amp;$U339,CUR_RATES!$A$2:$F$521,4,0)),"",VLOOKUP($K339&amp;$U339,CUR_RATES!$A$2:$F$521,4,0))),"")</f>
        <v/>
      </c>
      <c r="N339" s="61" t="str">
        <f t="shared" si="52"/>
        <v/>
      </c>
      <c r="O339" s="68" t="str">
        <f t="shared" si="53"/>
        <v/>
      </c>
      <c r="P339" s="24"/>
      <c r="Q339" s="2" t="str">
        <f>IF(ROW(Q339)-ROW($E$1)&lt;=$B$4,INDEX(IDX_COMPO!F:F,ROW(IDX_COMPO!#REF!)),"")</f>
        <v/>
      </c>
      <c r="R339" s="68" t="str">
        <f t="shared" si="54"/>
        <v/>
      </c>
      <c r="S339" s="61" t="str">
        <f t="shared" si="55"/>
        <v/>
      </c>
      <c r="T339" s="62" t="str">
        <f>IF(D339&lt;&gt;"",IF(SUMPRODUCT(--($E339=STK_DIV!$A$2:$A$5),--(NXT_COMPO!$Q339=STK_DIV!$E$2:$E$5),ROW(STK_DIV!$D$2:$D$5))=0,"",INDEX(STK_DIV!$D$1:$D$5,SUMPRODUCT(--($E339=STK_DIV!$A$2:$A$5),--(NXT_COMPO!$Q339=STK_DIV!$E$2:$E$5),ROW(STK_DIV!$D$2:$D$5)))),"")</f>
        <v/>
      </c>
      <c r="U339" s="54" t="str">
        <f>IF($D339&lt;&gt;"",VLOOKUP($P339,IDX_REF!$2:$1048576,4,0),"")</f>
        <v/>
      </c>
    </row>
    <row r="340" spans="4:21" x14ac:dyDescent="0.2">
      <c r="D340" s="52" t="str">
        <f t="shared" si="50"/>
        <v/>
      </c>
      <c r="E340" s="5" t="str">
        <f t="shared" si="51"/>
        <v/>
      </c>
      <c r="F340" s="5" t="str">
        <f>IF(ROW(F340)-ROW($E$1)&lt;=$B$1-$B$2,INDEX(IDX_COMPO!B:B,ROW(IDX_COMPO!#REF!)),IF(ROW(E340)-ROW($E$1)&lt;=$B$4,VLOOKUP(E340,STK_REF!$A$2:$J$1048576,2,0),""))</f>
        <v/>
      </c>
      <c r="J340" s="62" t="str">
        <f>IF($D340&lt;=$B$1-$B$2,IF(INDEX($AA$2:$AA$1048576,MATCH($D340,$AB$2:$AB$1048576,0))="MODIFY",INDEX(IDX_CA!$G$1:$G$1041,SUMPRODUCT(--($E340=IDX_CA!$A$2:$A$1041),--(NXT_COMPO!$P340=IDX_CA!$B$2:$B$1041),--(NXT_COMPO!$Q340=IDX_CA!$C$2:$C$1041),ROW(IDX_CA!$G$2:$G$1041))),INDEX(IDX_COMPOSITION!$F$1:$F$441,SUMPRODUCT(--($E340=IDX_COMPOSITION!$A$2:$A$441),--(NXT_COMPO!$P340=IDX_COMPOSITION!$R$2:$R$441),--(NXT_COMPO!$B$5=IDX_COMPOSITION!$L$2:$L$441),ROW(IDX_COMPOSITION!$F$2:$F$441)))),IF($D340&lt;=$B$4,INDEX(IDX_CA!$G$1:$G$1041,SUMPRODUCT(--($E340=IDX_CA!$A$2:$A$1041),--(NXT_COMPO!$P340=IDX_CA!$B$2:$B$1041),--(NXT_COMPO!$Q340=IDX_CA!$C$2:$C$1041),ROW(IDX_CA!$G$2:$G$1041))),""))</f>
        <v/>
      </c>
      <c r="K340" s="63" t="str">
        <f>IF($D340&lt;&gt;"",VLOOKUP($E340,STK_REF!$A$2:$J$1048576,7,0),"")</f>
        <v/>
      </c>
      <c r="L340" s="5" t="str">
        <f>IF($D340&lt;&gt;"",VLOOKUP($E340,STK_REF!$A$2:$J$1048576,8,0),"")</f>
        <v/>
      </c>
      <c r="M340" s="8" t="str">
        <f>IF($D340&lt;&gt;"",IF($K340=$U340,1,IF(ISNA(VLOOKUP($K340&amp;$U340,CUR_RATES!$A$2:$F$521,4,0)),"",VLOOKUP($K340&amp;$U340,CUR_RATES!$A$2:$F$521,4,0))),"")</f>
        <v/>
      </c>
      <c r="N340" s="61" t="str">
        <f t="shared" si="52"/>
        <v/>
      </c>
      <c r="O340" s="68" t="str">
        <f t="shared" si="53"/>
        <v/>
      </c>
      <c r="P340" s="24"/>
      <c r="Q340" s="2" t="str">
        <f>IF(ROW(Q340)-ROW($E$1)&lt;=$B$4,INDEX(IDX_COMPO!F:F,ROW(IDX_COMPO!#REF!)),"")</f>
        <v/>
      </c>
      <c r="R340" s="68" t="str">
        <f t="shared" si="54"/>
        <v/>
      </c>
      <c r="S340" s="61" t="str">
        <f t="shared" si="55"/>
        <v/>
      </c>
      <c r="T340" s="62" t="str">
        <f>IF(D340&lt;&gt;"",IF(SUMPRODUCT(--($E340=STK_DIV!$A$2:$A$5),--(NXT_COMPO!$Q340=STK_DIV!$E$2:$E$5),ROW(STK_DIV!$D$2:$D$5))=0,"",INDEX(STK_DIV!$D$1:$D$5,SUMPRODUCT(--($E340=STK_DIV!$A$2:$A$5),--(NXT_COMPO!$Q340=STK_DIV!$E$2:$E$5),ROW(STK_DIV!$D$2:$D$5)))),"")</f>
        <v/>
      </c>
      <c r="U340" s="54" t="str">
        <f>IF($D340&lt;&gt;"",VLOOKUP($P340,IDX_REF!$2:$1048576,4,0),"")</f>
        <v/>
      </c>
    </row>
    <row r="341" spans="4:21" x14ac:dyDescent="0.2">
      <c r="D341" s="52" t="str">
        <f t="shared" si="50"/>
        <v/>
      </c>
      <c r="E341" s="5" t="str">
        <f t="shared" si="51"/>
        <v/>
      </c>
      <c r="F341" s="5" t="str">
        <f>IF(ROW(F341)-ROW($E$1)&lt;=$B$1-$B$2,INDEX(IDX_COMPO!B:B,ROW(IDX_COMPO!#REF!)),IF(ROW(E341)-ROW($E$1)&lt;=$B$4,VLOOKUP(E341,STK_REF!$A$2:$J$1048576,2,0),""))</f>
        <v/>
      </c>
      <c r="J341" s="62" t="str">
        <f>IF($D341&lt;=$B$1-$B$2,IF(INDEX($AA$2:$AA$1048576,MATCH($D341,$AB$2:$AB$1048576,0))="MODIFY",INDEX(IDX_CA!$G$1:$G$1041,SUMPRODUCT(--($E341=IDX_CA!$A$2:$A$1041),--(NXT_COMPO!$P341=IDX_CA!$B$2:$B$1041),--(NXT_COMPO!$Q341=IDX_CA!$C$2:$C$1041),ROW(IDX_CA!$G$2:$G$1041))),INDEX(IDX_COMPOSITION!$F$1:$F$441,SUMPRODUCT(--($E341=IDX_COMPOSITION!$A$2:$A$441),--(NXT_COMPO!$P341=IDX_COMPOSITION!$R$2:$R$441),--(NXT_COMPO!$B$5=IDX_COMPOSITION!$L$2:$L$441),ROW(IDX_COMPOSITION!$F$2:$F$441)))),IF($D341&lt;=$B$4,INDEX(IDX_CA!$G$1:$G$1041,SUMPRODUCT(--($E341=IDX_CA!$A$2:$A$1041),--(NXT_COMPO!$P341=IDX_CA!$B$2:$B$1041),--(NXT_COMPO!$Q341=IDX_CA!$C$2:$C$1041),ROW(IDX_CA!$G$2:$G$1041))),""))</f>
        <v/>
      </c>
      <c r="K341" s="63" t="str">
        <f>IF($D341&lt;&gt;"",VLOOKUP($E341,STK_REF!$A$2:$J$1048576,7,0),"")</f>
        <v/>
      </c>
      <c r="L341" s="5" t="str">
        <f>IF($D341&lt;&gt;"",VLOOKUP($E341,STK_REF!$A$2:$J$1048576,8,0),"")</f>
        <v/>
      </c>
      <c r="M341" s="8" t="str">
        <f>IF($D341&lt;&gt;"",IF($K341=$U341,1,IF(ISNA(VLOOKUP($K341&amp;$U341,CUR_RATES!$A$2:$F$521,4,0)),"",VLOOKUP($K341&amp;$U341,CUR_RATES!$A$2:$F$521,4,0))),"")</f>
        <v/>
      </c>
      <c r="N341" s="61" t="str">
        <f t="shared" si="52"/>
        <v/>
      </c>
      <c r="O341" s="68" t="str">
        <f t="shared" si="53"/>
        <v/>
      </c>
      <c r="P341" s="24"/>
      <c r="Q341" s="2" t="str">
        <f>IF(ROW(Q341)-ROW($E$1)&lt;=$B$4,INDEX(IDX_COMPO!F:F,ROW(IDX_COMPO!#REF!)),"")</f>
        <v/>
      </c>
      <c r="R341" s="68" t="str">
        <f t="shared" si="54"/>
        <v/>
      </c>
      <c r="S341" s="61" t="str">
        <f t="shared" si="55"/>
        <v/>
      </c>
      <c r="T341" s="62" t="str">
        <f>IF(D341&lt;&gt;"",IF(SUMPRODUCT(--($E341=STK_DIV!$A$2:$A$5),--(NXT_COMPO!$Q341=STK_DIV!$E$2:$E$5),ROW(STK_DIV!$D$2:$D$5))=0,"",INDEX(STK_DIV!$D$1:$D$5,SUMPRODUCT(--($E341=STK_DIV!$A$2:$A$5),--(NXT_COMPO!$Q341=STK_DIV!$E$2:$E$5),ROW(STK_DIV!$D$2:$D$5)))),"")</f>
        <v/>
      </c>
      <c r="U341" s="54" t="str">
        <f>IF($D341&lt;&gt;"",VLOOKUP($P341,IDX_REF!$2:$1048576,4,0),"")</f>
        <v/>
      </c>
    </row>
    <row r="342" spans="4:21" x14ac:dyDescent="0.2">
      <c r="D342" s="52" t="str">
        <f t="shared" si="50"/>
        <v/>
      </c>
      <c r="E342" s="5" t="str">
        <f t="shared" si="51"/>
        <v/>
      </c>
      <c r="F342" s="5" t="str">
        <f>IF(ROW(F342)-ROW($E$1)&lt;=$B$1-$B$2,INDEX(IDX_COMPO!B:B,ROW(IDX_COMPO!#REF!)),IF(ROW(E342)-ROW($E$1)&lt;=$B$4,VLOOKUP(E342,STK_REF!$A$2:$J$1048576,2,0),""))</f>
        <v/>
      </c>
      <c r="J342" s="62" t="str">
        <f>IF($D342&lt;=$B$1-$B$2,IF(INDEX($AA$2:$AA$1048576,MATCH($D342,$AB$2:$AB$1048576,0))="MODIFY",INDEX(IDX_CA!$G$1:$G$1041,SUMPRODUCT(--($E342=IDX_CA!$A$2:$A$1041),--(NXT_COMPO!$P342=IDX_CA!$B$2:$B$1041),--(NXT_COMPO!$Q342=IDX_CA!$C$2:$C$1041),ROW(IDX_CA!$G$2:$G$1041))),INDEX(IDX_COMPOSITION!$F$1:$F$441,SUMPRODUCT(--($E342=IDX_COMPOSITION!$A$2:$A$441),--(NXT_COMPO!$P342=IDX_COMPOSITION!$R$2:$R$441),--(NXT_COMPO!$B$5=IDX_COMPOSITION!$L$2:$L$441),ROW(IDX_COMPOSITION!$F$2:$F$441)))),IF($D342&lt;=$B$4,INDEX(IDX_CA!$G$1:$G$1041,SUMPRODUCT(--($E342=IDX_CA!$A$2:$A$1041),--(NXT_COMPO!$P342=IDX_CA!$B$2:$B$1041),--(NXT_COMPO!$Q342=IDX_CA!$C$2:$C$1041),ROW(IDX_CA!$G$2:$G$1041))),""))</f>
        <v/>
      </c>
      <c r="K342" s="63" t="str">
        <f>IF($D342&lt;&gt;"",VLOOKUP($E342,STK_REF!$A$2:$J$1048576,7,0),"")</f>
        <v/>
      </c>
      <c r="L342" s="5" t="str">
        <f>IF($D342&lt;&gt;"",VLOOKUP($E342,STK_REF!$A$2:$J$1048576,8,0),"")</f>
        <v/>
      </c>
      <c r="M342" s="8" t="str">
        <f>IF($D342&lt;&gt;"",IF($K342=$U342,1,IF(ISNA(VLOOKUP($K342&amp;$U342,CUR_RATES!$A$2:$F$521,4,0)),"",VLOOKUP($K342&amp;$U342,CUR_RATES!$A$2:$F$521,4,0))),"")</f>
        <v/>
      </c>
      <c r="N342" s="61" t="str">
        <f t="shared" si="52"/>
        <v/>
      </c>
      <c r="O342" s="68" t="str">
        <f t="shared" si="53"/>
        <v/>
      </c>
      <c r="P342" s="24"/>
      <c r="Q342" s="2" t="str">
        <f>IF(ROW(Q342)-ROW($E$1)&lt;=$B$4,INDEX(IDX_COMPO!F:F,ROW(IDX_COMPO!#REF!)),"")</f>
        <v/>
      </c>
      <c r="R342" s="68" t="str">
        <f t="shared" si="54"/>
        <v/>
      </c>
      <c r="S342" s="61" t="str">
        <f t="shared" si="55"/>
        <v/>
      </c>
      <c r="T342" s="62" t="str">
        <f>IF(D342&lt;&gt;"",IF(SUMPRODUCT(--($E342=STK_DIV!$A$2:$A$5),--(NXT_COMPO!$Q342=STK_DIV!$E$2:$E$5),ROW(STK_DIV!$D$2:$D$5))=0,"",INDEX(STK_DIV!$D$1:$D$5,SUMPRODUCT(--($E342=STK_DIV!$A$2:$A$5),--(NXT_COMPO!$Q342=STK_DIV!$E$2:$E$5),ROW(STK_DIV!$D$2:$D$5)))),"")</f>
        <v/>
      </c>
      <c r="U342" s="54" t="str">
        <f>IF($D342&lt;&gt;"",VLOOKUP($P342,IDX_REF!$2:$1048576,4,0),"")</f>
        <v/>
      </c>
    </row>
    <row r="343" spans="4:21" x14ac:dyDescent="0.2">
      <c r="D343" s="52" t="str">
        <f t="shared" si="50"/>
        <v/>
      </c>
      <c r="E343" s="5" t="str">
        <f t="shared" si="51"/>
        <v/>
      </c>
      <c r="F343" s="5" t="str">
        <f>IF(ROW(F343)-ROW($E$1)&lt;=$B$1-$B$2,INDEX(IDX_COMPO!B:B,ROW(IDX_COMPO!#REF!)),IF(ROW(E343)-ROW($E$1)&lt;=$B$4,VLOOKUP(E343,STK_REF!$A$2:$J$1048576,2,0),""))</f>
        <v/>
      </c>
      <c r="J343" s="62" t="str">
        <f>IF($D343&lt;=$B$1-$B$2,IF(INDEX($AA$2:$AA$1048576,MATCH($D343,$AB$2:$AB$1048576,0))="MODIFY",INDEX(IDX_CA!$G$1:$G$1041,SUMPRODUCT(--($E343=IDX_CA!$A$2:$A$1041),--(NXT_COMPO!$P343=IDX_CA!$B$2:$B$1041),--(NXT_COMPO!$Q343=IDX_CA!$C$2:$C$1041),ROW(IDX_CA!$G$2:$G$1041))),INDEX(IDX_COMPOSITION!$F$1:$F$441,SUMPRODUCT(--($E343=IDX_COMPOSITION!$A$2:$A$441),--(NXT_COMPO!$P343=IDX_COMPOSITION!$R$2:$R$441),--(NXT_COMPO!$B$5=IDX_COMPOSITION!$L$2:$L$441),ROW(IDX_COMPOSITION!$F$2:$F$441)))),IF($D343&lt;=$B$4,INDEX(IDX_CA!$G$1:$G$1041,SUMPRODUCT(--($E343=IDX_CA!$A$2:$A$1041),--(NXT_COMPO!$P343=IDX_CA!$B$2:$B$1041),--(NXT_COMPO!$Q343=IDX_CA!$C$2:$C$1041),ROW(IDX_CA!$G$2:$G$1041))),""))</f>
        <v/>
      </c>
      <c r="K343" s="63" t="str">
        <f>IF($D343&lt;&gt;"",VLOOKUP($E343,STK_REF!$A$2:$J$1048576,7,0),"")</f>
        <v/>
      </c>
      <c r="L343" s="5" t="str">
        <f>IF($D343&lt;&gt;"",VLOOKUP($E343,STK_REF!$A$2:$J$1048576,8,0),"")</f>
        <v/>
      </c>
      <c r="M343" s="8" t="str">
        <f>IF($D343&lt;&gt;"",IF($K343=$U343,1,IF(ISNA(VLOOKUP($K343&amp;$U343,CUR_RATES!$A$2:$F$521,4,0)),"",VLOOKUP($K343&amp;$U343,CUR_RATES!$A$2:$F$521,4,0))),"")</f>
        <v/>
      </c>
      <c r="N343" s="61" t="str">
        <f t="shared" si="52"/>
        <v/>
      </c>
      <c r="O343" s="68" t="str">
        <f t="shared" si="53"/>
        <v/>
      </c>
      <c r="P343" s="24"/>
      <c r="Q343" s="2" t="str">
        <f>IF(ROW(Q343)-ROW($E$1)&lt;=$B$4,INDEX(IDX_COMPO!F:F,ROW(IDX_COMPO!#REF!)),"")</f>
        <v/>
      </c>
      <c r="R343" s="68" t="str">
        <f t="shared" si="54"/>
        <v/>
      </c>
      <c r="S343" s="61" t="str">
        <f t="shared" si="55"/>
        <v/>
      </c>
      <c r="T343" s="62" t="str">
        <f>IF(D343&lt;&gt;"",IF(SUMPRODUCT(--($E343=STK_DIV!$A$2:$A$5),--(NXT_COMPO!$Q343=STK_DIV!$E$2:$E$5),ROW(STK_DIV!$D$2:$D$5))=0,"",INDEX(STK_DIV!$D$1:$D$5,SUMPRODUCT(--($E343=STK_DIV!$A$2:$A$5),--(NXT_COMPO!$Q343=STK_DIV!$E$2:$E$5),ROW(STK_DIV!$D$2:$D$5)))),"")</f>
        <v/>
      </c>
      <c r="U343" s="54" t="str">
        <f>IF($D343&lt;&gt;"",VLOOKUP($P343,IDX_REF!$2:$1048576,4,0),"")</f>
        <v/>
      </c>
    </row>
    <row r="344" spans="4:21" x14ac:dyDescent="0.2">
      <c r="D344" s="52" t="str">
        <f t="shared" si="50"/>
        <v/>
      </c>
      <c r="E344" s="5" t="str">
        <f t="shared" si="51"/>
        <v/>
      </c>
      <c r="F344" s="5" t="str">
        <f>IF(ROW(F344)-ROW($E$1)&lt;=$B$1-$B$2,INDEX(IDX_COMPO!B:B,ROW(IDX_COMPO!#REF!)),IF(ROW(E344)-ROW($E$1)&lt;=$B$4,VLOOKUP(E344,STK_REF!$A$2:$J$1048576,2,0),""))</f>
        <v/>
      </c>
      <c r="J344" s="62" t="str">
        <f>IF($D344&lt;=$B$1-$B$2,IF(INDEX($AA$2:$AA$1048576,MATCH($D344,$AB$2:$AB$1048576,0))="MODIFY",INDEX(IDX_CA!$G$1:$G$1041,SUMPRODUCT(--($E344=IDX_CA!$A$2:$A$1041),--(NXT_COMPO!$P344=IDX_CA!$B$2:$B$1041),--(NXT_COMPO!$Q344=IDX_CA!$C$2:$C$1041),ROW(IDX_CA!$G$2:$G$1041))),INDEX(IDX_COMPOSITION!$F$1:$F$441,SUMPRODUCT(--($E344=IDX_COMPOSITION!$A$2:$A$441),--(NXT_COMPO!$P344=IDX_COMPOSITION!$R$2:$R$441),--(NXT_COMPO!$B$5=IDX_COMPOSITION!$L$2:$L$441),ROW(IDX_COMPOSITION!$F$2:$F$441)))),IF($D344&lt;=$B$4,INDEX(IDX_CA!$G$1:$G$1041,SUMPRODUCT(--($E344=IDX_CA!$A$2:$A$1041),--(NXT_COMPO!$P344=IDX_CA!$B$2:$B$1041),--(NXT_COMPO!$Q344=IDX_CA!$C$2:$C$1041),ROW(IDX_CA!$G$2:$G$1041))),""))</f>
        <v/>
      </c>
      <c r="K344" s="63" t="str">
        <f>IF($D344&lt;&gt;"",VLOOKUP($E344,STK_REF!$A$2:$J$1048576,7,0),"")</f>
        <v/>
      </c>
      <c r="L344" s="5" t="str">
        <f>IF($D344&lt;&gt;"",VLOOKUP($E344,STK_REF!$A$2:$J$1048576,8,0),"")</f>
        <v/>
      </c>
      <c r="M344" s="8" t="str">
        <f>IF($D344&lt;&gt;"",IF($K344=$U344,1,IF(ISNA(VLOOKUP($K344&amp;$U344,CUR_RATES!$A$2:$F$521,4,0)),"",VLOOKUP($K344&amp;$U344,CUR_RATES!$A$2:$F$521,4,0))),"")</f>
        <v/>
      </c>
      <c r="N344" s="61" t="str">
        <f t="shared" si="52"/>
        <v/>
      </c>
      <c r="O344" s="68" t="str">
        <f t="shared" si="53"/>
        <v/>
      </c>
      <c r="P344" s="24"/>
      <c r="Q344" s="2" t="str">
        <f>IF(ROW(Q344)-ROW($E$1)&lt;=$B$4,INDEX(IDX_COMPO!F:F,ROW(IDX_COMPO!#REF!)),"")</f>
        <v/>
      </c>
      <c r="R344" s="68" t="str">
        <f t="shared" si="54"/>
        <v/>
      </c>
      <c r="S344" s="61" t="str">
        <f t="shared" si="55"/>
        <v/>
      </c>
      <c r="T344" s="62" t="str">
        <f>IF(D344&lt;&gt;"",IF(SUMPRODUCT(--($E344=STK_DIV!$A$2:$A$5),--(NXT_COMPO!$Q344=STK_DIV!$E$2:$E$5),ROW(STK_DIV!$D$2:$D$5))=0,"",INDEX(STK_DIV!$D$1:$D$5,SUMPRODUCT(--($E344=STK_DIV!$A$2:$A$5),--(NXT_COMPO!$Q344=STK_DIV!$E$2:$E$5),ROW(STK_DIV!$D$2:$D$5)))),"")</f>
        <v/>
      </c>
      <c r="U344" s="54" t="str">
        <f>IF($D344&lt;&gt;"",VLOOKUP($P344,IDX_REF!$2:$1048576,4,0),"")</f>
        <v/>
      </c>
    </row>
    <row r="345" spans="4:21" x14ac:dyDescent="0.2">
      <c r="D345" s="52" t="str">
        <f t="shared" si="50"/>
        <v/>
      </c>
      <c r="E345" s="5" t="str">
        <f t="shared" si="51"/>
        <v/>
      </c>
      <c r="F345" s="5" t="str">
        <f>IF(ROW(F345)-ROW($E$1)&lt;=$B$1-$B$2,INDEX(IDX_COMPO!B:B,ROW(IDX_COMPO!#REF!)),IF(ROW(E345)-ROW($E$1)&lt;=$B$4,VLOOKUP(E345,STK_REF!$A$2:$J$1048576,2,0),""))</f>
        <v/>
      </c>
      <c r="J345" s="62" t="str">
        <f>IF($D345&lt;=$B$1-$B$2,IF(INDEX($AA$2:$AA$1048576,MATCH($D345,$AB$2:$AB$1048576,0))="MODIFY",INDEX(IDX_CA!$G$1:$G$1041,SUMPRODUCT(--($E345=IDX_CA!$A$2:$A$1041),--(NXT_COMPO!$P345=IDX_CA!$B$2:$B$1041),--(NXT_COMPO!$Q345=IDX_CA!$C$2:$C$1041),ROW(IDX_CA!$G$2:$G$1041))),INDEX(IDX_COMPOSITION!$F$1:$F$441,SUMPRODUCT(--($E345=IDX_COMPOSITION!$A$2:$A$441),--(NXT_COMPO!$P345=IDX_COMPOSITION!$R$2:$R$441),--(NXT_COMPO!$B$5=IDX_COMPOSITION!$L$2:$L$441),ROW(IDX_COMPOSITION!$F$2:$F$441)))),IF($D345&lt;=$B$4,INDEX(IDX_CA!$G$1:$G$1041,SUMPRODUCT(--($E345=IDX_CA!$A$2:$A$1041),--(NXT_COMPO!$P345=IDX_CA!$B$2:$B$1041),--(NXT_COMPO!$Q345=IDX_CA!$C$2:$C$1041),ROW(IDX_CA!$G$2:$G$1041))),""))</f>
        <v/>
      </c>
      <c r="K345" s="63" t="str">
        <f>IF($D345&lt;&gt;"",VLOOKUP($E345,STK_REF!$A$2:$J$1048576,7,0),"")</f>
        <v/>
      </c>
      <c r="L345" s="5" t="str">
        <f>IF($D345&lt;&gt;"",VLOOKUP($E345,STK_REF!$A$2:$J$1048576,8,0),"")</f>
        <v/>
      </c>
      <c r="M345" s="8" t="str">
        <f>IF($D345&lt;&gt;"",IF($K345=$U345,1,IF(ISNA(VLOOKUP($K345&amp;$U345,CUR_RATES!$A$2:$F$521,4,0)),"",VLOOKUP($K345&amp;$U345,CUR_RATES!$A$2:$F$521,4,0))),"")</f>
        <v/>
      </c>
      <c r="N345" s="61" t="str">
        <f t="shared" si="52"/>
        <v/>
      </c>
      <c r="O345" s="68" t="str">
        <f t="shared" si="53"/>
        <v/>
      </c>
      <c r="P345" s="24"/>
      <c r="Q345" s="2" t="str">
        <f>IF(ROW(Q345)-ROW($E$1)&lt;=$B$4,INDEX(IDX_COMPO!F:F,ROW(IDX_COMPO!#REF!)),"")</f>
        <v/>
      </c>
      <c r="R345" s="68" t="str">
        <f t="shared" si="54"/>
        <v/>
      </c>
      <c r="S345" s="61" t="str">
        <f t="shared" si="55"/>
        <v/>
      </c>
      <c r="T345" s="62" t="str">
        <f>IF(D345&lt;&gt;"",IF(SUMPRODUCT(--($E345=STK_DIV!$A$2:$A$5),--(NXT_COMPO!$Q345=STK_DIV!$E$2:$E$5),ROW(STK_DIV!$D$2:$D$5))=0,"",INDEX(STK_DIV!$D$1:$D$5,SUMPRODUCT(--($E345=STK_DIV!$A$2:$A$5),--(NXT_COMPO!$Q345=STK_DIV!$E$2:$E$5),ROW(STK_DIV!$D$2:$D$5)))),"")</f>
        <v/>
      </c>
      <c r="U345" s="54" t="str">
        <f>IF($D345&lt;&gt;"",VLOOKUP($P345,IDX_REF!$2:$1048576,4,0),"")</f>
        <v/>
      </c>
    </row>
    <row r="346" spans="4:21" x14ac:dyDescent="0.2">
      <c r="D346" s="52" t="str">
        <f t="shared" si="50"/>
        <v/>
      </c>
      <c r="E346" s="5" t="str">
        <f t="shared" si="51"/>
        <v/>
      </c>
      <c r="F346" s="5" t="str">
        <f>IF(ROW(F346)-ROW($E$1)&lt;=$B$1-$B$2,INDEX(IDX_COMPO!B:B,ROW(IDX_COMPO!#REF!)),IF(ROW(E346)-ROW($E$1)&lt;=$B$4,VLOOKUP(E346,STK_REF!$A$2:$J$1048576,2,0),""))</f>
        <v/>
      </c>
      <c r="J346" s="62" t="str">
        <f>IF($D346&lt;=$B$1-$B$2,IF(INDEX($AA$2:$AA$1048576,MATCH($D346,$AB$2:$AB$1048576,0))="MODIFY",INDEX(IDX_CA!$G$1:$G$1041,SUMPRODUCT(--($E346=IDX_CA!$A$2:$A$1041),--(NXT_COMPO!$P346=IDX_CA!$B$2:$B$1041),--(NXT_COMPO!$Q346=IDX_CA!$C$2:$C$1041),ROW(IDX_CA!$G$2:$G$1041))),INDEX(IDX_COMPOSITION!$F$1:$F$441,SUMPRODUCT(--($E346=IDX_COMPOSITION!$A$2:$A$441),--(NXT_COMPO!$P346=IDX_COMPOSITION!$R$2:$R$441),--(NXT_COMPO!$B$5=IDX_COMPOSITION!$L$2:$L$441),ROW(IDX_COMPOSITION!$F$2:$F$441)))),IF($D346&lt;=$B$4,INDEX(IDX_CA!$G$1:$G$1041,SUMPRODUCT(--($E346=IDX_CA!$A$2:$A$1041),--(NXT_COMPO!$P346=IDX_CA!$B$2:$B$1041),--(NXT_COMPO!$Q346=IDX_CA!$C$2:$C$1041),ROW(IDX_CA!$G$2:$G$1041))),""))</f>
        <v/>
      </c>
      <c r="K346" s="63" t="str">
        <f>IF($D346&lt;&gt;"",VLOOKUP($E346,STK_REF!$A$2:$J$1048576,7,0),"")</f>
        <v/>
      </c>
      <c r="L346" s="5" t="str">
        <f>IF($D346&lt;&gt;"",VLOOKUP($E346,STK_REF!$A$2:$J$1048576,8,0),"")</f>
        <v/>
      </c>
      <c r="M346" s="8" t="str">
        <f>IF($D346&lt;&gt;"",IF($K346=$U346,1,IF(ISNA(VLOOKUP($K346&amp;$U346,CUR_RATES!$A$2:$F$521,4,0)),"",VLOOKUP($K346&amp;$U346,CUR_RATES!$A$2:$F$521,4,0))),"")</f>
        <v/>
      </c>
      <c r="N346" s="61" t="str">
        <f t="shared" si="52"/>
        <v/>
      </c>
      <c r="O346" s="68" t="str">
        <f t="shared" si="53"/>
        <v/>
      </c>
      <c r="P346" s="24"/>
      <c r="Q346" s="2" t="str">
        <f>IF(ROW(Q346)-ROW($E$1)&lt;=$B$4,INDEX(IDX_COMPO!F:F,ROW(IDX_COMPO!#REF!)),"")</f>
        <v/>
      </c>
      <c r="R346" s="68" t="str">
        <f t="shared" si="54"/>
        <v/>
      </c>
      <c r="S346" s="61" t="str">
        <f t="shared" si="55"/>
        <v/>
      </c>
      <c r="T346" s="62" t="str">
        <f>IF(D346&lt;&gt;"",IF(SUMPRODUCT(--($E346=STK_DIV!$A$2:$A$5),--(NXT_COMPO!$Q346=STK_DIV!$E$2:$E$5),ROW(STK_DIV!$D$2:$D$5))=0,"",INDEX(STK_DIV!$D$1:$D$5,SUMPRODUCT(--($E346=STK_DIV!$A$2:$A$5),--(NXT_COMPO!$Q346=STK_DIV!$E$2:$E$5),ROW(STK_DIV!$D$2:$D$5)))),"")</f>
        <v/>
      </c>
      <c r="U346" s="54" t="str">
        <f>IF($D346&lt;&gt;"",VLOOKUP($P346,IDX_REF!$2:$1048576,4,0),"")</f>
        <v/>
      </c>
    </row>
    <row r="347" spans="4:21" x14ac:dyDescent="0.2">
      <c r="D347" s="52" t="str">
        <f t="shared" si="50"/>
        <v/>
      </c>
      <c r="E347" s="5" t="str">
        <f t="shared" si="51"/>
        <v/>
      </c>
      <c r="F347" s="5" t="str">
        <f>IF(ROW(F347)-ROW($E$1)&lt;=$B$1-$B$2,INDEX(IDX_COMPO!B:B,ROW(IDX_COMPO!#REF!)),IF(ROW(E347)-ROW($E$1)&lt;=$B$4,VLOOKUP(E347,STK_REF!$A$2:$J$1048576,2,0),""))</f>
        <v/>
      </c>
      <c r="J347" s="62" t="str">
        <f>IF($D347&lt;=$B$1-$B$2,IF(INDEX($AA$2:$AA$1048576,MATCH($D347,$AB$2:$AB$1048576,0))="MODIFY",INDEX(IDX_CA!$G$1:$G$1041,SUMPRODUCT(--($E347=IDX_CA!$A$2:$A$1041),--(NXT_COMPO!$P347=IDX_CA!$B$2:$B$1041),--(NXT_COMPO!$Q347=IDX_CA!$C$2:$C$1041),ROW(IDX_CA!$G$2:$G$1041))),INDEX(IDX_COMPOSITION!$F$1:$F$441,SUMPRODUCT(--($E347=IDX_COMPOSITION!$A$2:$A$441),--(NXT_COMPO!$P347=IDX_COMPOSITION!$R$2:$R$441),--(NXT_COMPO!$B$5=IDX_COMPOSITION!$L$2:$L$441),ROW(IDX_COMPOSITION!$F$2:$F$441)))),IF($D347&lt;=$B$4,INDEX(IDX_CA!$G$1:$G$1041,SUMPRODUCT(--($E347=IDX_CA!$A$2:$A$1041),--(NXT_COMPO!$P347=IDX_CA!$B$2:$B$1041),--(NXT_COMPO!$Q347=IDX_CA!$C$2:$C$1041),ROW(IDX_CA!$G$2:$G$1041))),""))</f>
        <v/>
      </c>
      <c r="K347" s="63" t="str">
        <f>IF($D347&lt;&gt;"",VLOOKUP($E347,STK_REF!$A$2:$J$1048576,7,0),"")</f>
        <v/>
      </c>
      <c r="L347" s="5" t="str">
        <f>IF($D347&lt;&gt;"",VLOOKUP($E347,STK_REF!$A$2:$J$1048576,8,0),"")</f>
        <v/>
      </c>
      <c r="M347" s="8" t="str">
        <f>IF($D347&lt;&gt;"",IF($K347=$U347,1,IF(ISNA(VLOOKUP($K347&amp;$U347,CUR_RATES!$A$2:$F$521,4,0)),"",VLOOKUP($K347&amp;$U347,CUR_RATES!$A$2:$F$521,4,0))),"")</f>
        <v/>
      </c>
      <c r="N347" s="61" t="str">
        <f t="shared" si="52"/>
        <v/>
      </c>
      <c r="O347" s="68" t="str">
        <f t="shared" si="53"/>
        <v/>
      </c>
      <c r="P347" s="24"/>
      <c r="Q347" s="2" t="str">
        <f>IF(ROW(Q347)-ROW($E$1)&lt;=$B$4,INDEX(IDX_COMPO!F:F,ROW(IDX_COMPO!#REF!)),"")</f>
        <v/>
      </c>
      <c r="R347" s="68" t="str">
        <f t="shared" si="54"/>
        <v/>
      </c>
      <c r="S347" s="61" t="str">
        <f t="shared" si="55"/>
        <v/>
      </c>
      <c r="T347" s="62" t="str">
        <f>IF(D347&lt;&gt;"",IF(SUMPRODUCT(--($E347=STK_DIV!$A$2:$A$5),--(NXT_COMPO!$Q347=STK_DIV!$E$2:$E$5),ROW(STK_DIV!$D$2:$D$5))=0,"",INDEX(STK_DIV!$D$1:$D$5,SUMPRODUCT(--($E347=STK_DIV!$A$2:$A$5),--(NXT_COMPO!$Q347=STK_DIV!$E$2:$E$5),ROW(STK_DIV!$D$2:$D$5)))),"")</f>
        <v/>
      </c>
      <c r="U347" s="54" t="str">
        <f>IF($D347&lt;&gt;"",VLOOKUP($P347,IDX_REF!$2:$1048576,4,0),"")</f>
        <v/>
      </c>
    </row>
    <row r="348" spans="4:21" x14ac:dyDescent="0.2">
      <c r="D348" s="52" t="str">
        <f t="shared" si="50"/>
        <v/>
      </c>
      <c r="E348" s="5" t="str">
        <f t="shared" si="51"/>
        <v/>
      </c>
      <c r="F348" s="5" t="str">
        <f>IF(ROW(F348)-ROW($E$1)&lt;=$B$1-$B$2,INDEX(IDX_COMPO!B:B,ROW(IDX_COMPO!#REF!)),IF(ROW(E348)-ROW($E$1)&lt;=$B$4,VLOOKUP(E348,STK_REF!$A$2:$J$1048576,2,0),""))</f>
        <v/>
      </c>
      <c r="J348" s="62" t="str">
        <f>IF($D348&lt;=$B$1-$B$2,IF(INDEX($AA$2:$AA$1048576,MATCH($D348,$AB$2:$AB$1048576,0))="MODIFY",INDEX(IDX_CA!$G$1:$G$1041,SUMPRODUCT(--($E348=IDX_CA!$A$2:$A$1041),--(NXT_COMPO!$P348=IDX_CA!$B$2:$B$1041),--(NXT_COMPO!$Q348=IDX_CA!$C$2:$C$1041),ROW(IDX_CA!$G$2:$G$1041))),INDEX(IDX_COMPOSITION!$F$1:$F$441,SUMPRODUCT(--($E348=IDX_COMPOSITION!$A$2:$A$441),--(NXT_COMPO!$P348=IDX_COMPOSITION!$R$2:$R$441),--(NXT_COMPO!$B$5=IDX_COMPOSITION!$L$2:$L$441),ROW(IDX_COMPOSITION!$F$2:$F$441)))),IF($D348&lt;=$B$4,INDEX(IDX_CA!$G$1:$G$1041,SUMPRODUCT(--($E348=IDX_CA!$A$2:$A$1041),--(NXT_COMPO!$P348=IDX_CA!$B$2:$B$1041),--(NXT_COMPO!$Q348=IDX_CA!$C$2:$C$1041),ROW(IDX_CA!$G$2:$G$1041))),""))</f>
        <v/>
      </c>
      <c r="K348" s="63" t="str">
        <f>IF($D348&lt;&gt;"",VLOOKUP($E348,STK_REF!$A$2:$J$1048576,7,0),"")</f>
        <v/>
      </c>
      <c r="L348" s="5" t="str">
        <f>IF($D348&lt;&gt;"",VLOOKUP($E348,STK_REF!$A$2:$J$1048576,8,0),"")</f>
        <v/>
      </c>
      <c r="M348" s="8" t="str">
        <f>IF($D348&lt;&gt;"",IF($K348=$U348,1,IF(ISNA(VLOOKUP($K348&amp;$U348,CUR_RATES!$A$2:$F$521,4,0)),"",VLOOKUP($K348&amp;$U348,CUR_RATES!$A$2:$F$521,4,0))),"")</f>
        <v/>
      </c>
      <c r="N348" s="61" t="str">
        <f t="shared" si="52"/>
        <v/>
      </c>
      <c r="O348" s="68" t="str">
        <f t="shared" si="53"/>
        <v/>
      </c>
      <c r="P348" s="24"/>
      <c r="Q348" s="2" t="str">
        <f>IF(ROW(Q348)-ROW($E$1)&lt;=$B$4,INDEX(IDX_COMPO!F:F,ROW(IDX_COMPO!#REF!)),"")</f>
        <v/>
      </c>
      <c r="R348" s="68" t="str">
        <f t="shared" si="54"/>
        <v/>
      </c>
      <c r="S348" s="61" t="str">
        <f t="shared" si="55"/>
        <v/>
      </c>
      <c r="T348" s="62" t="str">
        <f>IF(D348&lt;&gt;"",IF(SUMPRODUCT(--($E348=STK_DIV!$A$2:$A$5),--(NXT_COMPO!$Q348=STK_DIV!$E$2:$E$5),ROW(STK_DIV!$D$2:$D$5))=0,"",INDEX(STK_DIV!$D$1:$D$5,SUMPRODUCT(--($E348=STK_DIV!$A$2:$A$5),--(NXT_COMPO!$Q348=STK_DIV!$E$2:$E$5),ROW(STK_DIV!$D$2:$D$5)))),"")</f>
        <v/>
      </c>
      <c r="U348" s="54" t="str">
        <f>IF($D348&lt;&gt;"",VLOOKUP($P348,IDX_REF!$2:$1048576,4,0),"")</f>
        <v/>
      </c>
    </row>
    <row r="349" spans="4:21" x14ac:dyDescent="0.2">
      <c r="D349" s="52" t="str">
        <f t="shared" si="50"/>
        <v/>
      </c>
      <c r="E349" s="5" t="str">
        <f t="shared" si="51"/>
        <v/>
      </c>
      <c r="F349" s="5" t="str">
        <f>IF(ROW(F349)-ROW($E$1)&lt;=$B$1-$B$2,INDEX(IDX_COMPO!B:B,ROW(IDX_COMPO!#REF!)),IF(ROW(E349)-ROW($E$1)&lt;=$B$4,VLOOKUP(E349,STK_REF!$A$2:$J$1048576,2,0),""))</f>
        <v/>
      </c>
      <c r="J349" s="62" t="str">
        <f>IF($D349&lt;=$B$1-$B$2,IF(INDEX($AA$2:$AA$1048576,MATCH($D349,$AB$2:$AB$1048576,0))="MODIFY",INDEX(IDX_CA!$G$1:$G$1041,SUMPRODUCT(--($E349=IDX_CA!$A$2:$A$1041),--(NXT_COMPO!$P349=IDX_CA!$B$2:$B$1041),--(NXT_COMPO!$Q349=IDX_CA!$C$2:$C$1041),ROW(IDX_CA!$G$2:$G$1041))),INDEX(IDX_COMPOSITION!$F$1:$F$441,SUMPRODUCT(--($E349=IDX_COMPOSITION!$A$2:$A$441),--(NXT_COMPO!$P349=IDX_COMPOSITION!$R$2:$R$441),--(NXT_COMPO!$B$5=IDX_COMPOSITION!$L$2:$L$441),ROW(IDX_COMPOSITION!$F$2:$F$441)))),IF($D349&lt;=$B$4,INDEX(IDX_CA!$G$1:$G$1041,SUMPRODUCT(--($E349=IDX_CA!$A$2:$A$1041),--(NXT_COMPO!$P349=IDX_CA!$B$2:$B$1041),--(NXT_COMPO!$Q349=IDX_CA!$C$2:$C$1041),ROW(IDX_CA!$G$2:$G$1041))),""))</f>
        <v/>
      </c>
      <c r="K349" s="63" t="str">
        <f>IF($D349&lt;&gt;"",VLOOKUP($E349,STK_REF!$A$2:$J$1048576,7,0),"")</f>
        <v/>
      </c>
      <c r="L349" s="5" t="str">
        <f>IF($D349&lt;&gt;"",VLOOKUP($E349,STK_REF!$A$2:$J$1048576,8,0),"")</f>
        <v/>
      </c>
      <c r="M349" s="8" t="str">
        <f>IF($D349&lt;&gt;"",IF($K349=$U349,1,IF(ISNA(VLOOKUP($K349&amp;$U349,CUR_RATES!$A$2:$F$521,4,0)),"",VLOOKUP($K349&amp;$U349,CUR_RATES!$A$2:$F$521,4,0))),"")</f>
        <v/>
      </c>
      <c r="N349" s="61" t="str">
        <f t="shared" si="52"/>
        <v/>
      </c>
      <c r="O349" s="68" t="str">
        <f t="shared" si="53"/>
        <v/>
      </c>
      <c r="P349" s="24"/>
      <c r="Q349" s="2" t="str">
        <f>IF(ROW(Q349)-ROW($E$1)&lt;=$B$4,INDEX(IDX_COMPO!F:F,ROW(IDX_COMPO!#REF!)),"")</f>
        <v/>
      </c>
      <c r="R349" s="68" t="str">
        <f t="shared" si="54"/>
        <v/>
      </c>
      <c r="S349" s="61" t="str">
        <f t="shared" si="55"/>
        <v/>
      </c>
      <c r="T349" s="62" t="str">
        <f>IF(D349&lt;&gt;"",IF(SUMPRODUCT(--($E349=STK_DIV!$A$2:$A$5),--(NXT_COMPO!$Q349=STK_DIV!$E$2:$E$5),ROW(STK_DIV!$D$2:$D$5))=0,"",INDEX(STK_DIV!$D$1:$D$5,SUMPRODUCT(--($E349=STK_DIV!$A$2:$A$5),--(NXT_COMPO!$Q349=STK_DIV!$E$2:$E$5),ROW(STK_DIV!$D$2:$D$5)))),"")</f>
        <v/>
      </c>
      <c r="U349" s="54" t="str">
        <f>IF($D349&lt;&gt;"",VLOOKUP($P349,IDX_REF!$2:$1048576,4,0),"")</f>
        <v/>
      </c>
    </row>
    <row r="350" spans="4:21" x14ac:dyDescent="0.2">
      <c r="D350" s="52" t="str">
        <f t="shared" si="50"/>
        <v/>
      </c>
      <c r="E350" s="5" t="str">
        <f t="shared" si="51"/>
        <v/>
      </c>
      <c r="F350" s="5" t="str">
        <f>IF(ROW(F350)-ROW($E$1)&lt;=$B$1-$B$2,INDEX(IDX_COMPO!B:B,ROW(IDX_COMPO!#REF!)),IF(ROW(E350)-ROW($E$1)&lt;=$B$4,VLOOKUP(E350,STK_REF!$A$2:$J$1048576,2,0),""))</f>
        <v/>
      </c>
      <c r="J350" s="62" t="str">
        <f>IF($D350&lt;=$B$1-$B$2,IF(INDEX($AA$2:$AA$1048576,MATCH($D350,$AB$2:$AB$1048576,0))="MODIFY",INDEX(IDX_CA!$G$1:$G$1041,SUMPRODUCT(--($E350=IDX_CA!$A$2:$A$1041),--(NXT_COMPO!$P350=IDX_CA!$B$2:$B$1041),--(NXT_COMPO!$Q350=IDX_CA!$C$2:$C$1041),ROW(IDX_CA!$G$2:$G$1041))),INDEX(IDX_COMPOSITION!$F$1:$F$441,SUMPRODUCT(--($E350=IDX_COMPOSITION!$A$2:$A$441),--(NXT_COMPO!$P350=IDX_COMPOSITION!$R$2:$R$441),--(NXT_COMPO!$B$5=IDX_COMPOSITION!$L$2:$L$441),ROW(IDX_COMPOSITION!$F$2:$F$441)))),IF($D350&lt;=$B$4,INDEX(IDX_CA!$G$1:$G$1041,SUMPRODUCT(--($E350=IDX_CA!$A$2:$A$1041),--(NXT_COMPO!$P350=IDX_CA!$B$2:$B$1041),--(NXT_COMPO!$Q350=IDX_CA!$C$2:$C$1041),ROW(IDX_CA!$G$2:$G$1041))),""))</f>
        <v/>
      </c>
      <c r="K350" s="63" t="str">
        <f>IF($D350&lt;&gt;"",VLOOKUP($E350,STK_REF!$A$2:$J$1048576,7,0),"")</f>
        <v/>
      </c>
      <c r="L350" s="5" t="str">
        <f>IF($D350&lt;&gt;"",VLOOKUP($E350,STK_REF!$A$2:$J$1048576,8,0),"")</f>
        <v/>
      </c>
      <c r="M350" s="8" t="str">
        <f>IF($D350&lt;&gt;"",IF($K350=$U350,1,IF(ISNA(VLOOKUP($K350&amp;$U350,CUR_RATES!$A$2:$F$521,4,0)),"",VLOOKUP($K350&amp;$U350,CUR_RATES!$A$2:$F$521,4,0))),"")</f>
        <v/>
      </c>
      <c r="N350" s="61" t="str">
        <f t="shared" si="52"/>
        <v/>
      </c>
      <c r="O350" s="68" t="str">
        <f t="shared" si="53"/>
        <v/>
      </c>
      <c r="P350" s="24"/>
      <c r="Q350" s="2" t="str">
        <f>IF(ROW(Q350)-ROW($E$1)&lt;=$B$4,INDEX(IDX_COMPO!F:F,ROW(IDX_COMPO!#REF!)),"")</f>
        <v/>
      </c>
      <c r="R350" s="68" t="str">
        <f t="shared" si="54"/>
        <v/>
      </c>
      <c r="S350" s="61" t="str">
        <f t="shared" si="55"/>
        <v/>
      </c>
      <c r="T350" s="62" t="str">
        <f>IF(D350&lt;&gt;"",IF(SUMPRODUCT(--($E350=STK_DIV!$A$2:$A$5),--(NXT_COMPO!$Q350=STK_DIV!$E$2:$E$5),ROW(STK_DIV!$D$2:$D$5))=0,"",INDEX(STK_DIV!$D$1:$D$5,SUMPRODUCT(--($E350=STK_DIV!$A$2:$A$5),--(NXT_COMPO!$Q350=STK_DIV!$E$2:$E$5),ROW(STK_DIV!$D$2:$D$5)))),"")</f>
        <v/>
      </c>
      <c r="U350" s="54" t="str">
        <f>IF($D350&lt;&gt;"",VLOOKUP($P350,IDX_REF!$2:$1048576,4,0),"")</f>
        <v/>
      </c>
    </row>
    <row r="351" spans="4:21" x14ac:dyDescent="0.2">
      <c r="D351" s="52" t="str">
        <f t="shared" si="50"/>
        <v/>
      </c>
      <c r="E351" s="5" t="str">
        <f t="shared" si="51"/>
        <v/>
      </c>
      <c r="F351" s="5" t="str">
        <f>IF(ROW(F351)-ROW($E$1)&lt;=$B$1-$B$2,INDEX(IDX_COMPO!B:B,ROW(IDX_COMPO!#REF!)),IF(ROW(E351)-ROW($E$1)&lt;=$B$4,VLOOKUP(E351,STK_REF!$A$2:$J$1048576,2,0),""))</f>
        <v/>
      </c>
      <c r="J351" s="62" t="str">
        <f>IF($D351&lt;=$B$1-$B$2,IF(INDEX($AA$2:$AA$1048576,MATCH($D351,$AB$2:$AB$1048576,0))="MODIFY",INDEX(IDX_CA!$G$1:$G$1041,SUMPRODUCT(--($E351=IDX_CA!$A$2:$A$1041),--(NXT_COMPO!$P351=IDX_CA!$B$2:$B$1041),--(NXT_COMPO!$Q351=IDX_CA!$C$2:$C$1041),ROW(IDX_CA!$G$2:$G$1041))),INDEX(IDX_COMPOSITION!$F$1:$F$441,SUMPRODUCT(--($E351=IDX_COMPOSITION!$A$2:$A$441),--(NXT_COMPO!$P351=IDX_COMPOSITION!$R$2:$R$441),--(NXT_COMPO!$B$5=IDX_COMPOSITION!$L$2:$L$441),ROW(IDX_COMPOSITION!$F$2:$F$441)))),IF($D351&lt;=$B$4,INDEX(IDX_CA!$G$1:$G$1041,SUMPRODUCT(--($E351=IDX_CA!$A$2:$A$1041),--(NXT_COMPO!$P351=IDX_CA!$B$2:$B$1041),--(NXT_COMPO!$Q351=IDX_CA!$C$2:$C$1041),ROW(IDX_CA!$G$2:$G$1041))),""))</f>
        <v/>
      </c>
      <c r="K351" s="63" t="str">
        <f>IF($D351&lt;&gt;"",VLOOKUP($E351,STK_REF!$A$2:$J$1048576,7,0),"")</f>
        <v/>
      </c>
      <c r="L351" s="5" t="str">
        <f>IF($D351&lt;&gt;"",VLOOKUP($E351,STK_REF!$A$2:$J$1048576,8,0),"")</f>
        <v/>
      </c>
      <c r="M351" s="8" t="str">
        <f>IF($D351&lt;&gt;"",IF($K351=$U351,1,IF(ISNA(VLOOKUP($K351&amp;$U351,CUR_RATES!$A$2:$F$521,4,0)),"",VLOOKUP($K351&amp;$U351,CUR_RATES!$A$2:$F$521,4,0))),"")</f>
        <v/>
      </c>
      <c r="N351" s="61" t="str">
        <f t="shared" si="52"/>
        <v/>
      </c>
      <c r="O351" s="68" t="str">
        <f t="shared" si="53"/>
        <v/>
      </c>
      <c r="P351" s="24"/>
      <c r="Q351" s="2" t="str">
        <f>IF(ROW(Q351)-ROW($E$1)&lt;=$B$4,INDEX(IDX_COMPO!F:F,ROW(IDX_COMPO!#REF!)),"")</f>
        <v/>
      </c>
      <c r="R351" s="68" t="str">
        <f t="shared" si="54"/>
        <v/>
      </c>
      <c r="S351" s="61" t="str">
        <f t="shared" si="55"/>
        <v/>
      </c>
      <c r="T351" s="62" t="str">
        <f>IF(D351&lt;&gt;"",IF(SUMPRODUCT(--($E351=STK_DIV!$A$2:$A$5),--(NXT_COMPO!$Q351=STK_DIV!$E$2:$E$5),ROW(STK_DIV!$D$2:$D$5))=0,"",INDEX(STK_DIV!$D$1:$D$5,SUMPRODUCT(--($E351=STK_DIV!$A$2:$A$5),--(NXT_COMPO!$Q351=STK_DIV!$E$2:$E$5),ROW(STK_DIV!$D$2:$D$5)))),"")</f>
        <v/>
      </c>
      <c r="U351" s="54" t="str">
        <f>IF($D351&lt;&gt;"",VLOOKUP($P351,IDX_REF!$2:$1048576,4,0),"")</f>
        <v/>
      </c>
    </row>
    <row r="352" spans="4:21" x14ac:dyDescent="0.2">
      <c r="D352" s="52" t="str">
        <f t="shared" si="50"/>
        <v/>
      </c>
      <c r="E352" s="5" t="str">
        <f t="shared" si="51"/>
        <v/>
      </c>
      <c r="F352" s="5" t="str">
        <f>IF(ROW(F352)-ROW($E$1)&lt;=$B$1-$B$2,INDEX(IDX_COMPO!B:B,ROW(IDX_COMPO!#REF!)),IF(ROW(E352)-ROW($E$1)&lt;=$B$4,VLOOKUP(E352,STK_REF!$A$2:$J$1048576,2,0),""))</f>
        <v/>
      </c>
      <c r="J352" s="62" t="str">
        <f>IF($D352&lt;=$B$1-$B$2,IF(INDEX($AA$2:$AA$1048576,MATCH($D352,$AB$2:$AB$1048576,0))="MODIFY",INDEX(IDX_CA!$G$1:$G$1041,SUMPRODUCT(--($E352=IDX_CA!$A$2:$A$1041),--(NXT_COMPO!$P352=IDX_CA!$B$2:$B$1041),--(NXT_COMPO!$Q352=IDX_CA!$C$2:$C$1041),ROW(IDX_CA!$G$2:$G$1041))),INDEX(IDX_COMPOSITION!$F$1:$F$441,SUMPRODUCT(--($E352=IDX_COMPOSITION!$A$2:$A$441),--(NXT_COMPO!$P352=IDX_COMPOSITION!$R$2:$R$441),--(NXT_COMPO!$B$5=IDX_COMPOSITION!$L$2:$L$441),ROW(IDX_COMPOSITION!$F$2:$F$441)))),IF($D352&lt;=$B$4,INDEX(IDX_CA!$G$1:$G$1041,SUMPRODUCT(--($E352=IDX_CA!$A$2:$A$1041),--(NXT_COMPO!$P352=IDX_CA!$B$2:$B$1041),--(NXT_COMPO!$Q352=IDX_CA!$C$2:$C$1041),ROW(IDX_CA!$G$2:$G$1041))),""))</f>
        <v/>
      </c>
      <c r="K352" s="63" t="str">
        <f>IF($D352&lt;&gt;"",VLOOKUP($E352,STK_REF!$A$2:$J$1048576,7,0),"")</f>
        <v/>
      </c>
      <c r="L352" s="5" t="str">
        <f>IF($D352&lt;&gt;"",VLOOKUP($E352,STK_REF!$A$2:$J$1048576,8,0),"")</f>
        <v/>
      </c>
      <c r="M352" s="8" t="str">
        <f>IF($D352&lt;&gt;"",IF($K352=$U352,1,IF(ISNA(VLOOKUP($K352&amp;$U352,CUR_RATES!$A$2:$F$521,4,0)),"",VLOOKUP($K352&amp;$U352,CUR_RATES!$A$2:$F$521,4,0))),"")</f>
        <v/>
      </c>
      <c r="N352" s="61" t="str">
        <f t="shared" si="52"/>
        <v/>
      </c>
      <c r="O352" s="68" t="str">
        <f t="shared" si="53"/>
        <v/>
      </c>
      <c r="P352" s="24"/>
      <c r="Q352" s="2" t="str">
        <f>IF(ROW(Q352)-ROW($E$1)&lt;=$B$4,INDEX(IDX_COMPO!F:F,ROW(IDX_COMPO!#REF!)),"")</f>
        <v/>
      </c>
      <c r="R352" s="68" t="str">
        <f t="shared" si="54"/>
        <v/>
      </c>
      <c r="S352" s="61" t="str">
        <f t="shared" si="55"/>
        <v/>
      </c>
      <c r="T352" s="62" t="str">
        <f>IF(D352&lt;&gt;"",IF(SUMPRODUCT(--($E352=STK_DIV!$A$2:$A$5),--(NXT_COMPO!$Q352=STK_DIV!$E$2:$E$5),ROW(STK_DIV!$D$2:$D$5))=0,"",INDEX(STK_DIV!$D$1:$D$5,SUMPRODUCT(--($E352=STK_DIV!$A$2:$A$5),--(NXT_COMPO!$Q352=STK_DIV!$E$2:$E$5),ROW(STK_DIV!$D$2:$D$5)))),"")</f>
        <v/>
      </c>
      <c r="U352" s="54" t="str">
        <f>IF($D352&lt;&gt;"",VLOOKUP($P352,IDX_REF!$2:$1048576,4,0),"")</f>
        <v/>
      </c>
    </row>
    <row r="353" spans="4:21" x14ac:dyDescent="0.2">
      <c r="D353" s="52" t="str">
        <f t="shared" si="50"/>
        <v/>
      </c>
      <c r="E353" s="5" t="str">
        <f t="shared" si="51"/>
        <v/>
      </c>
      <c r="F353" s="5" t="str">
        <f>IF(ROW(F353)-ROW($E$1)&lt;=$B$1-$B$2,INDEX(IDX_COMPO!B:B,ROW(IDX_COMPO!#REF!)),IF(ROW(E353)-ROW($E$1)&lt;=$B$4,VLOOKUP(E353,STK_REF!$A$2:$J$1048576,2,0),""))</f>
        <v/>
      </c>
      <c r="J353" s="62" t="str">
        <f>IF($D353&lt;=$B$1-$B$2,IF(INDEX($AA$2:$AA$1048576,MATCH($D353,$AB$2:$AB$1048576,0))="MODIFY",INDEX(IDX_CA!$G$1:$G$1041,SUMPRODUCT(--($E353=IDX_CA!$A$2:$A$1041),--(NXT_COMPO!$P353=IDX_CA!$B$2:$B$1041),--(NXT_COMPO!$Q353=IDX_CA!$C$2:$C$1041),ROW(IDX_CA!$G$2:$G$1041))),INDEX(IDX_COMPOSITION!$F$1:$F$441,SUMPRODUCT(--($E353=IDX_COMPOSITION!$A$2:$A$441),--(NXT_COMPO!$P353=IDX_COMPOSITION!$R$2:$R$441),--(NXT_COMPO!$B$5=IDX_COMPOSITION!$L$2:$L$441),ROW(IDX_COMPOSITION!$F$2:$F$441)))),IF($D353&lt;=$B$4,INDEX(IDX_CA!$G$1:$G$1041,SUMPRODUCT(--($E353=IDX_CA!$A$2:$A$1041),--(NXT_COMPO!$P353=IDX_CA!$B$2:$B$1041),--(NXT_COMPO!$Q353=IDX_CA!$C$2:$C$1041),ROW(IDX_CA!$G$2:$G$1041))),""))</f>
        <v/>
      </c>
      <c r="K353" s="63" t="str">
        <f>IF($D353&lt;&gt;"",VLOOKUP($E353,STK_REF!$A$2:$J$1048576,7,0),"")</f>
        <v/>
      </c>
      <c r="L353" s="5" t="str">
        <f>IF($D353&lt;&gt;"",VLOOKUP($E353,STK_REF!$A$2:$J$1048576,8,0),"")</f>
        <v/>
      </c>
      <c r="M353" s="8" t="str">
        <f>IF($D353&lt;&gt;"",IF($K353=$U353,1,IF(ISNA(VLOOKUP($K353&amp;$U353,CUR_RATES!$A$2:$F$521,4,0)),"",VLOOKUP($K353&amp;$U353,CUR_RATES!$A$2:$F$521,4,0))),"")</f>
        <v/>
      </c>
      <c r="N353" s="61" t="str">
        <f t="shared" si="52"/>
        <v/>
      </c>
      <c r="O353" s="68" t="str">
        <f t="shared" si="53"/>
        <v/>
      </c>
      <c r="P353" s="24"/>
      <c r="Q353" s="2" t="str">
        <f>IF(ROW(Q353)-ROW($E$1)&lt;=$B$4,INDEX(IDX_COMPO!F:F,ROW(IDX_COMPO!#REF!)),"")</f>
        <v/>
      </c>
      <c r="R353" s="68" t="str">
        <f t="shared" si="54"/>
        <v/>
      </c>
      <c r="S353" s="61" t="str">
        <f t="shared" si="55"/>
        <v/>
      </c>
      <c r="T353" s="62" t="str">
        <f>IF(D353&lt;&gt;"",IF(SUMPRODUCT(--($E353=STK_DIV!$A$2:$A$5),--(NXT_COMPO!$Q353=STK_DIV!$E$2:$E$5),ROW(STK_DIV!$D$2:$D$5))=0,"",INDEX(STK_DIV!$D$1:$D$5,SUMPRODUCT(--($E353=STK_DIV!$A$2:$A$5),--(NXT_COMPO!$Q353=STK_DIV!$E$2:$E$5),ROW(STK_DIV!$D$2:$D$5)))),"")</f>
        <v/>
      </c>
      <c r="U353" s="54" t="str">
        <f>IF($D353&lt;&gt;"",VLOOKUP($P353,IDX_REF!$2:$1048576,4,0),"")</f>
        <v/>
      </c>
    </row>
    <row r="354" spans="4:21" x14ac:dyDescent="0.2">
      <c r="D354" s="52" t="str">
        <f t="shared" si="50"/>
        <v/>
      </c>
      <c r="E354" s="5" t="str">
        <f t="shared" si="51"/>
        <v/>
      </c>
      <c r="F354" s="5" t="str">
        <f>IF(ROW(F354)-ROW($E$1)&lt;=$B$1-$B$2,INDEX(IDX_COMPO!B:B,ROW(IDX_COMPO!#REF!)),IF(ROW(E354)-ROW($E$1)&lt;=$B$4,VLOOKUP(E354,STK_REF!$A$2:$J$1048576,2,0),""))</f>
        <v/>
      </c>
      <c r="J354" s="62" t="str">
        <f>IF($D354&lt;=$B$1-$B$2,IF(INDEX($AA$2:$AA$1048576,MATCH($D354,$AB$2:$AB$1048576,0))="MODIFY",INDEX(IDX_CA!$G$1:$G$1041,SUMPRODUCT(--($E354=IDX_CA!$A$2:$A$1041),--(NXT_COMPO!$P354=IDX_CA!$B$2:$B$1041),--(NXT_COMPO!$Q354=IDX_CA!$C$2:$C$1041),ROW(IDX_CA!$G$2:$G$1041))),INDEX(IDX_COMPOSITION!$F$1:$F$441,SUMPRODUCT(--($E354=IDX_COMPOSITION!$A$2:$A$441),--(NXT_COMPO!$P354=IDX_COMPOSITION!$R$2:$R$441),--(NXT_COMPO!$B$5=IDX_COMPOSITION!$L$2:$L$441),ROW(IDX_COMPOSITION!$F$2:$F$441)))),IF($D354&lt;=$B$4,INDEX(IDX_CA!$G$1:$G$1041,SUMPRODUCT(--($E354=IDX_CA!$A$2:$A$1041),--(NXT_COMPO!$P354=IDX_CA!$B$2:$B$1041),--(NXT_COMPO!$Q354=IDX_CA!$C$2:$C$1041),ROW(IDX_CA!$G$2:$G$1041))),""))</f>
        <v/>
      </c>
      <c r="K354" s="63" t="str">
        <f>IF($D354&lt;&gt;"",VLOOKUP($E354,STK_REF!$A$2:$J$1048576,7,0),"")</f>
        <v/>
      </c>
      <c r="L354" s="5" t="str">
        <f>IF($D354&lt;&gt;"",VLOOKUP($E354,STK_REF!$A$2:$J$1048576,8,0),"")</f>
        <v/>
      </c>
      <c r="M354" s="8" t="str">
        <f>IF($D354&lt;&gt;"",IF($K354=$U354,1,IF(ISNA(VLOOKUP($K354&amp;$U354,CUR_RATES!$A$2:$F$521,4,0)),"",VLOOKUP($K354&amp;$U354,CUR_RATES!$A$2:$F$521,4,0))),"")</f>
        <v/>
      </c>
      <c r="N354" s="61" t="str">
        <f t="shared" si="52"/>
        <v/>
      </c>
      <c r="O354" s="68" t="str">
        <f t="shared" si="53"/>
        <v/>
      </c>
      <c r="P354" s="24"/>
      <c r="Q354" s="2" t="str">
        <f>IF(ROW(Q354)-ROW($E$1)&lt;=$B$4,INDEX(IDX_COMPO!F:F,ROW(IDX_COMPO!#REF!)),"")</f>
        <v/>
      </c>
      <c r="R354" s="68" t="str">
        <f t="shared" si="54"/>
        <v/>
      </c>
      <c r="S354" s="61" t="str">
        <f t="shared" si="55"/>
        <v/>
      </c>
      <c r="T354" s="62" t="str">
        <f>IF(D354&lt;&gt;"",IF(SUMPRODUCT(--($E354=STK_DIV!$A$2:$A$5),--(NXT_COMPO!$Q354=STK_DIV!$E$2:$E$5),ROW(STK_DIV!$D$2:$D$5))=0,"",INDEX(STK_DIV!$D$1:$D$5,SUMPRODUCT(--($E354=STK_DIV!$A$2:$A$5),--(NXT_COMPO!$Q354=STK_DIV!$E$2:$E$5),ROW(STK_DIV!$D$2:$D$5)))),"")</f>
        <v/>
      </c>
      <c r="U354" s="54" t="str">
        <f>IF($D354&lt;&gt;"",VLOOKUP($P354,IDX_REF!$2:$1048576,4,0),"")</f>
        <v/>
      </c>
    </row>
    <row r="355" spans="4:21" x14ac:dyDescent="0.2">
      <c r="D355" s="52" t="str">
        <f t="shared" si="50"/>
        <v/>
      </c>
      <c r="E355" s="5" t="str">
        <f t="shared" si="51"/>
        <v/>
      </c>
      <c r="F355" s="5" t="str">
        <f>IF(ROW(F355)-ROW($E$1)&lt;=$B$1-$B$2,INDEX(IDX_COMPO!B:B,ROW(IDX_COMPO!#REF!)),IF(ROW(E355)-ROW($E$1)&lt;=$B$4,VLOOKUP(E355,STK_REF!$A$2:$J$1048576,2,0),""))</f>
        <v/>
      </c>
      <c r="J355" s="62" t="str">
        <f>IF($D355&lt;=$B$1-$B$2,IF(INDEX($AA$2:$AA$1048576,MATCH($D355,$AB$2:$AB$1048576,0))="MODIFY",INDEX(IDX_CA!$G$1:$G$1041,SUMPRODUCT(--($E355=IDX_CA!$A$2:$A$1041),--(NXT_COMPO!$P355=IDX_CA!$B$2:$B$1041),--(NXT_COMPO!$Q355=IDX_CA!$C$2:$C$1041),ROW(IDX_CA!$G$2:$G$1041))),INDEX(IDX_COMPOSITION!$F$1:$F$441,SUMPRODUCT(--($E355=IDX_COMPOSITION!$A$2:$A$441),--(NXT_COMPO!$P355=IDX_COMPOSITION!$R$2:$R$441),--(NXT_COMPO!$B$5=IDX_COMPOSITION!$L$2:$L$441),ROW(IDX_COMPOSITION!$F$2:$F$441)))),IF($D355&lt;=$B$4,INDEX(IDX_CA!$G$1:$G$1041,SUMPRODUCT(--($E355=IDX_CA!$A$2:$A$1041),--(NXT_COMPO!$P355=IDX_CA!$B$2:$B$1041),--(NXT_COMPO!$Q355=IDX_CA!$C$2:$C$1041),ROW(IDX_CA!$G$2:$G$1041))),""))</f>
        <v/>
      </c>
      <c r="K355" s="63" t="str">
        <f>IF($D355&lt;&gt;"",VLOOKUP($E355,STK_REF!$A$2:$J$1048576,7,0),"")</f>
        <v/>
      </c>
      <c r="L355" s="5" t="str">
        <f>IF($D355&lt;&gt;"",VLOOKUP($E355,STK_REF!$A$2:$J$1048576,8,0),"")</f>
        <v/>
      </c>
      <c r="M355" s="8" t="str">
        <f>IF($D355&lt;&gt;"",IF($K355=$U355,1,IF(ISNA(VLOOKUP($K355&amp;$U355,CUR_RATES!$A$2:$F$521,4,0)),"",VLOOKUP($K355&amp;$U355,CUR_RATES!$A$2:$F$521,4,0))),"")</f>
        <v/>
      </c>
      <c r="N355" s="61" t="str">
        <f t="shared" si="52"/>
        <v/>
      </c>
      <c r="O355" s="68" t="str">
        <f t="shared" si="53"/>
        <v/>
      </c>
      <c r="P355" s="24"/>
      <c r="Q355" s="2" t="str">
        <f>IF(ROW(Q355)-ROW($E$1)&lt;=$B$4,INDEX(IDX_COMPO!F:F,ROW(IDX_COMPO!#REF!)),"")</f>
        <v/>
      </c>
      <c r="R355" s="68" t="str">
        <f t="shared" si="54"/>
        <v/>
      </c>
      <c r="S355" s="61" t="str">
        <f t="shared" si="55"/>
        <v/>
      </c>
      <c r="T355" s="62" t="str">
        <f>IF(D355&lt;&gt;"",IF(SUMPRODUCT(--($E355=STK_DIV!$A$2:$A$5),--(NXT_COMPO!$Q355=STK_DIV!$E$2:$E$5),ROW(STK_DIV!$D$2:$D$5))=0,"",INDEX(STK_DIV!$D$1:$D$5,SUMPRODUCT(--($E355=STK_DIV!$A$2:$A$5),--(NXT_COMPO!$Q355=STK_DIV!$E$2:$E$5),ROW(STK_DIV!$D$2:$D$5)))),"")</f>
        <v/>
      </c>
      <c r="U355" s="54" t="str">
        <f>IF($D355&lt;&gt;"",VLOOKUP($P355,IDX_REF!$2:$1048576,4,0),"")</f>
        <v/>
      </c>
    </row>
    <row r="356" spans="4:21" x14ac:dyDescent="0.2">
      <c r="D356" s="52" t="str">
        <f t="shared" si="50"/>
        <v/>
      </c>
      <c r="E356" s="5" t="str">
        <f t="shared" si="51"/>
        <v/>
      </c>
      <c r="F356" s="5" t="str">
        <f>IF(ROW(F356)-ROW($E$1)&lt;=$B$1-$B$2,INDEX(IDX_COMPO!B:B,ROW(IDX_COMPO!#REF!)),IF(ROW(E356)-ROW($E$1)&lt;=$B$4,VLOOKUP(E356,STK_REF!$A$2:$J$1048576,2,0),""))</f>
        <v/>
      </c>
      <c r="J356" s="62" t="str">
        <f>IF($D356&lt;=$B$1-$B$2,IF(INDEX($AA$2:$AA$1048576,MATCH($D356,$AB$2:$AB$1048576,0))="MODIFY",INDEX(IDX_CA!$G$1:$G$1041,SUMPRODUCT(--($E356=IDX_CA!$A$2:$A$1041),--(NXT_COMPO!$P356=IDX_CA!$B$2:$B$1041),--(NXT_COMPO!$Q356=IDX_CA!$C$2:$C$1041),ROW(IDX_CA!$G$2:$G$1041))),INDEX(IDX_COMPOSITION!$F$1:$F$441,SUMPRODUCT(--($E356=IDX_COMPOSITION!$A$2:$A$441),--(NXT_COMPO!$P356=IDX_COMPOSITION!$R$2:$R$441),--(NXT_COMPO!$B$5=IDX_COMPOSITION!$L$2:$L$441),ROW(IDX_COMPOSITION!$F$2:$F$441)))),IF($D356&lt;=$B$4,INDEX(IDX_CA!$G$1:$G$1041,SUMPRODUCT(--($E356=IDX_CA!$A$2:$A$1041),--(NXT_COMPO!$P356=IDX_CA!$B$2:$B$1041),--(NXT_COMPO!$Q356=IDX_CA!$C$2:$C$1041),ROW(IDX_CA!$G$2:$G$1041))),""))</f>
        <v/>
      </c>
      <c r="K356" s="63" t="str">
        <f>IF($D356&lt;&gt;"",VLOOKUP($E356,STK_REF!$A$2:$J$1048576,7,0),"")</f>
        <v/>
      </c>
      <c r="L356" s="5" t="str">
        <f>IF($D356&lt;&gt;"",VLOOKUP($E356,STK_REF!$A$2:$J$1048576,8,0),"")</f>
        <v/>
      </c>
      <c r="M356" s="8" t="str">
        <f>IF($D356&lt;&gt;"",IF($K356=$U356,1,IF(ISNA(VLOOKUP($K356&amp;$U356,CUR_RATES!$A$2:$F$521,4,0)),"",VLOOKUP($K356&amp;$U356,CUR_RATES!$A$2:$F$521,4,0))),"")</f>
        <v/>
      </c>
      <c r="N356" s="61" t="str">
        <f t="shared" si="52"/>
        <v/>
      </c>
      <c r="O356" s="68" t="str">
        <f t="shared" si="53"/>
        <v/>
      </c>
      <c r="P356" s="24"/>
      <c r="Q356" s="2" t="str">
        <f>IF(ROW(Q356)-ROW($E$1)&lt;=$B$4,INDEX(IDX_COMPO!F:F,ROW(IDX_COMPO!#REF!)),"")</f>
        <v/>
      </c>
      <c r="R356" s="68" t="str">
        <f t="shared" si="54"/>
        <v/>
      </c>
      <c r="S356" s="61" t="str">
        <f t="shared" si="55"/>
        <v/>
      </c>
      <c r="T356" s="62" t="str">
        <f>IF(D356&lt;&gt;"",IF(SUMPRODUCT(--($E356=STK_DIV!$A$2:$A$5),--(NXT_COMPO!$Q356=STK_DIV!$E$2:$E$5),ROW(STK_DIV!$D$2:$D$5))=0,"",INDEX(STK_DIV!$D$1:$D$5,SUMPRODUCT(--($E356=STK_DIV!$A$2:$A$5),--(NXT_COMPO!$Q356=STK_DIV!$E$2:$E$5),ROW(STK_DIV!$D$2:$D$5)))),"")</f>
        <v/>
      </c>
      <c r="U356" s="54" t="str">
        <f>IF($D356&lt;&gt;"",VLOOKUP($P356,IDX_REF!$2:$1048576,4,0),"")</f>
        <v/>
      </c>
    </row>
    <row r="357" spans="4:21" x14ac:dyDescent="0.2">
      <c r="D357" s="52" t="str">
        <f t="shared" si="50"/>
        <v/>
      </c>
      <c r="E357" s="5" t="str">
        <f t="shared" si="51"/>
        <v/>
      </c>
      <c r="F357" s="5" t="str">
        <f>IF(ROW(F357)-ROW($E$1)&lt;=$B$1-$B$2,INDEX(IDX_COMPO!B:B,ROW(IDX_COMPO!#REF!)),IF(ROW(E357)-ROW($E$1)&lt;=$B$4,VLOOKUP(E357,STK_REF!$A$2:$J$1048576,2,0),""))</f>
        <v/>
      </c>
      <c r="J357" s="62" t="str">
        <f>IF($D357&lt;=$B$1-$B$2,IF(INDEX($AA$2:$AA$1048576,MATCH($D357,$AB$2:$AB$1048576,0))="MODIFY",INDEX(IDX_CA!$G$1:$G$1041,SUMPRODUCT(--($E357=IDX_CA!$A$2:$A$1041),--(NXT_COMPO!$P357=IDX_CA!$B$2:$B$1041),--(NXT_COMPO!$Q357=IDX_CA!$C$2:$C$1041),ROW(IDX_CA!$G$2:$G$1041))),INDEX(IDX_COMPOSITION!$F$1:$F$441,SUMPRODUCT(--($E357=IDX_COMPOSITION!$A$2:$A$441),--(NXT_COMPO!$P357=IDX_COMPOSITION!$R$2:$R$441),--(NXT_COMPO!$B$5=IDX_COMPOSITION!$L$2:$L$441),ROW(IDX_COMPOSITION!$F$2:$F$441)))),IF($D357&lt;=$B$4,INDEX(IDX_CA!$G$1:$G$1041,SUMPRODUCT(--($E357=IDX_CA!$A$2:$A$1041),--(NXT_COMPO!$P357=IDX_CA!$B$2:$B$1041),--(NXT_COMPO!$Q357=IDX_CA!$C$2:$C$1041),ROW(IDX_CA!$G$2:$G$1041))),""))</f>
        <v/>
      </c>
      <c r="K357" s="63" t="str">
        <f>IF($D357&lt;&gt;"",VLOOKUP($E357,STK_REF!$A$2:$J$1048576,7,0),"")</f>
        <v/>
      </c>
      <c r="L357" s="5" t="str">
        <f>IF($D357&lt;&gt;"",VLOOKUP($E357,STK_REF!$A$2:$J$1048576,8,0),"")</f>
        <v/>
      </c>
      <c r="M357" s="8" t="str">
        <f>IF($D357&lt;&gt;"",IF($K357=$U357,1,IF(ISNA(VLOOKUP($K357&amp;$U357,CUR_RATES!$A$2:$F$521,4,0)),"",VLOOKUP($K357&amp;$U357,CUR_RATES!$A$2:$F$521,4,0))),"")</f>
        <v/>
      </c>
      <c r="N357" s="61" t="str">
        <f t="shared" si="52"/>
        <v/>
      </c>
      <c r="O357" s="68" t="str">
        <f t="shared" si="53"/>
        <v/>
      </c>
      <c r="P357" s="24"/>
      <c r="Q357" s="2" t="str">
        <f>IF(ROW(Q357)-ROW($E$1)&lt;=$B$4,INDEX(IDX_COMPO!F:F,ROW(IDX_COMPO!#REF!)),"")</f>
        <v/>
      </c>
      <c r="R357" s="68" t="str">
        <f t="shared" si="54"/>
        <v/>
      </c>
      <c r="S357" s="61" t="str">
        <f t="shared" si="55"/>
        <v/>
      </c>
      <c r="T357" s="62" t="str">
        <f>IF(D357&lt;&gt;"",IF(SUMPRODUCT(--($E357=STK_DIV!$A$2:$A$5),--(NXT_COMPO!$Q357=STK_DIV!$E$2:$E$5),ROW(STK_DIV!$D$2:$D$5))=0,"",INDEX(STK_DIV!$D$1:$D$5,SUMPRODUCT(--($E357=STK_DIV!$A$2:$A$5),--(NXT_COMPO!$Q357=STK_DIV!$E$2:$E$5),ROW(STK_DIV!$D$2:$D$5)))),"")</f>
        <v/>
      </c>
      <c r="U357" s="54" t="str">
        <f>IF($D357&lt;&gt;"",VLOOKUP($P357,IDX_REF!$2:$1048576,4,0),"")</f>
        <v/>
      </c>
    </row>
    <row r="358" spans="4:21" x14ac:dyDescent="0.2">
      <c r="D358" s="52" t="str">
        <f t="shared" si="50"/>
        <v/>
      </c>
      <c r="E358" s="5" t="str">
        <f t="shared" si="51"/>
        <v/>
      </c>
      <c r="F358" s="5" t="str">
        <f>IF(ROW(F358)-ROW($E$1)&lt;=$B$1-$B$2,INDEX(IDX_COMPO!B:B,ROW(IDX_COMPO!#REF!)),IF(ROW(E358)-ROW($E$1)&lt;=$B$4,VLOOKUP(E358,STK_REF!$A$2:$J$1048576,2,0),""))</f>
        <v/>
      </c>
      <c r="J358" s="62" t="str">
        <f>IF($D358&lt;=$B$1-$B$2,IF(INDEX($AA$2:$AA$1048576,MATCH($D358,$AB$2:$AB$1048576,0))="MODIFY",INDEX(IDX_CA!$G$1:$G$1041,SUMPRODUCT(--($E358=IDX_CA!$A$2:$A$1041),--(NXT_COMPO!$P358=IDX_CA!$B$2:$B$1041),--(NXT_COMPO!$Q358=IDX_CA!$C$2:$C$1041),ROW(IDX_CA!$G$2:$G$1041))),INDEX(IDX_COMPOSITION!$F$1:$F$441,SUMPRODUCT(--($E358=IDX_COMPOSITION!$A$2:$A$441),--(NXT_COMPO!$P358=IDX_COMPOSITION!$R$2:$R$441),--(NXT_COMPO!$B$5=IDX_COMPOSITION!$L$2:$L$441),ROW(IDX_COMPOSITION!$F$2:$F$441)))),IF($D358&lt;=$B$4,INDEX(IDX_CA!$G$1:$G$1041,SUMPRODUCT(--($E358=IDX_CA!$A$2:$A$1041),--(NXT_COMPO!$P358=IDX_CA!$B$2:$B$1041),--(NXT_COMPO!$Q358=IDX_CA!$C$2:$C$1041),ROW(IDX_CA!$G$2:$G$1041))),""))</f>
        <v/>
      </c>
      <c r="K358" s="63" t="str">
        <f>IF($D358&lt;&gt;"",VLOOKUP($E358,STK_REF!$A$2:$J$1048576,7,0),"")</f>
        <v/>
      </c>
      <c r="L358" s="5" t="str">
        <f>IF($D358&lt;&gt;"",VLOOKUP($E358,STK_REF!$A$2:$J$1048576,8,0),"")</f>
        <v/>
      </c>
      <c r="M358" s="8" t="str">
        <f>IF($D358&lt;&gt;"",IF($K358=$U358,1,IF(ISNA(VLOOKUP($K358&amp;$U358,CUR_RATES!$A$2:$F$521,4,0)),"",VLOOKUP($K358&amp;$U358,CUR_RATES!$A$2:$F$521,4,0))),"")</f>
        <v/>
      </c>
      <c r="N358" s="61" t="str">
        <f t="shared" si="52"/>
        <v/>
      </c>
      <c r="O358" s="68" t="str">
        <f t="shared" si="53"/>
        <v/>
      </c>
      <c r="P358" s="24"/>
      <c r="Q358" s="2" t="str">
        <f>IF(ROW(Q358)-ROW($E$1)&lt;=$B$4,INDEX(IDX_COMPO!F:F,ROW(IDX_COMPO!#REF!)),"")</f>
        <v/>
      </c>
      <c r="R358" s="68" t="str">
        <f t="shared" si="54"/>
        <v/>
      </c>
      <c r="S358" s="61" t="str">
        <f t="shared" si="55"/>
        <v/>
      </c>
      <c r="T358" s="62" t="str">
        <f>IF(D358&lt;&gt;"",IF(SUMPRODUCT(--($E358=STK_DIV!$A$2:$A$5),--(NXT_COMPO!$Q358=STK_DIV!$E$2:$E$5),ROW(STK_DIV!$D$2:$D$5))=0,"",INDEX(STK_DIV!$D$1:$D$5,SUMPRODUCT(--($E358=STK_DIV!$A$2:$A$5),--(NXT_COMPO!$Q358=STK_DIV!$E$2:$E$5),ROW(STK_DIV!$D$2:$D$5)))),"")</f>
        <v/>
      </c>
      <c r="U358" s="54" t="str">
        <f>IF($D358&lt;&gt;"",VLOOKUP($P358,IDX_REF!$2:$1048576,4,0),"")</f>
        <v/>
      </c>
    </row>
    <row r="359" spans="4:21" x14ac:dyDescent="0.2">
      <c r="D359" s="52" t="str">
        <f t="shared" si="50"/>
        <v/>
      </c>
      <c r="E359" s="5" t="str">
        <f t="shared" si="51"/>
        <v/>
      </c>
      <c r="F359" s="5" t="str">
        <f>IF(ROW(F359)-ROW($E$1)&lt;=$B$1-$B$2,INDEX(IDX_COMPO!B:B,ROW(IDX_COMPO!#REF!)),IF(ROW(E359)-ROW($E$1)&lt;=$B$4,VLOOKUP(E359,STK_REF!$A$2:$J$1048576,2,0),""))</f>
        <v/>
      </c>
      <c r="J359" s="62" t="str">
        <f>IF($D359&lt;=$B$1-$B$2,IF(INDEX($AA$2:$AA$1048576,MATCH($D359,$AB$2:$AB$1048576,0))="MODIFY",INDEX(IDX_CA!$G$1:$G$1041,SUMPRODUCT(--($E359=IDX_CA!$A$2:$A$1041),--(NXT_COMPO!$P359=IDX_CA!$B$2:$B$1041),--(NXT_COMPO!$Q359=IDX_CA!$C$2:$C$1041),ROW(IDX_CA!$G$2:$G$1041))),INDEX(IDX_COMPOSITION!$F$1:$F$441,SUMPRODUCT(--($E359=IDX_COMPOSITION!$A$2:$A$441),--(NXT_COMPO!$P359=IDX_COMPOSITION!$R$2:$R$441),--(NXT_COMPO!$B$5=IDX_COMPOSITION!$L$2:$L$441),ROW(IDX_COMPOSITION!$F$2:$F$441)))),IF($D359&lt;=$B$4,INDEX(IDX_CA!$G$1:$G$1041,SUMPRODUCT(--($E359=IDX_CA!$A$2:$A$1041),--(NXT_COMPO!$P359=IDX_CA!$B$2:$B$1041),--(NXT_COMPO!$Q359=IDX_CA!$C$2:$C$1041),ROW(IDX_CA!$G$2:$G$1041))),""))</f>
        <v/>
      </c>
      <c r="K359" s="63" t="str">
        <f>IF($D359&lt;&gt;"",VLOOKUP($E359,STK_REF!$A$2:$J$1048576,7,0),"")</f>
        <v/>
      </c>
      <c r="L359" s="5" t="str">
        <f>IF($D359&lt;&gt;"",VLOOKUP($E359,STK_REF!$A$2:$J$1048576,8,0),"")</f>
        <v/>
      </c>
      <c r="M359" s="8" t="str">
        <f>IF($D359&lt;&gt;"",IF($K359=$U359,1,IF(ISNA(VLOOKUP($K359&amp;$U359,CUR_RATES!$A$2:$F$521,4,0)),"",VLOOKUP($K359&amp;$U359,CUR_RATES!$A$2:$F$521,4,0))),"")</f>
        <v/>
      </c>
      <c r="N359" s="61" t="str">
        <f t="shared" si="52"/>
        <v/>
      </c>
      <c r="O359" s="68" t="str">
        <f t="shared" si="53"/>
        <v/>
      </c>
      <c r="P359" s="24"/>
      <c r="Q359" s="2" t="str">
        <f>IF(ROW(Q359)-ROW($E$1)&lt;=$B$4,INDEX(IDX_COMPO!F:F,ROW(IDX_COMPO!#REF!)),"")</f>
        <v/>
      </c>
      <c r="R359" s="68" t="str">
        <f t="shared" si="54"/>
        <v/>
      </c>
      <c r="S359" s="61" t="str">
        <f t="shared" si="55"/>
        <v/>
      </c>
      <c r="T359" s="62" t="str">
        <f>IF(D359&lt;&gt;"",IF(SUMPRODUCT(--($E359=STK_DIV!$A$2:$A$5),--(NXT_COMPO!$Q359=STK_DIV!$E$2:$E$5),ROW(STK_DIV!$D$2:$D$5))=0,"",INDEX(STK_DIV!$D$1:$D$5,SUMPRODUCT(--($E359=STK_DIV!$A$2:$A$5),--(NXT_COMPO!$Q359=STK_DIV!$E$2:$E$5),ROW(STK_DIV!$D$2:$D$5)))),"")</f>
        <v/>
      </c>
      <c r="U359" s="54" t="str">
        <f>IF($D359&lt;&gt;"",VLOOKUP($P359,IDX_REF!$2:$1048576,4,0),"")</f>
        <v/>
      </c>
    </row>
    <row r="360" spans="4:21" x14ac:dyDescent="0.2">
      <c r="D360" s="52" t="str">
        <f t="shared" si="50"/>
        <v/>
      </c>
      <c r="E360" s="5" t="str">
        <f t="shared" si="51"/>
        <v/>
      </c>
      <c r="F360" s="5" t="str">
        <f>IF(ROW(F360)-ROW($E$1)&lt;=$B$1-$B$2,INDEX(IDX_COMPO!B:B,ROW(IDX_COMPO!#REF!)),IF(ROW(E360)-ROW($E$1)&lt;=$B$4,VLOOKUP(E360,STK_REF!$A$2:$J$1048576,2,0),""))</f>
        <v/>
      </c>
      <c r="J360" s="62" t="str">
        <f>IF($D360&lt;=$B$1-$B$2,IF(INDEX($AA$2:$AA$1048576,MATCH($D360,$AB$2:$AB$1048576,0))="MODIFY",INDEX(IDX_CA!$G$1:$G$1041,SUMPRODUCT(--($E360=IDX_CA!$A$2:$A$1041),--(NXT_COMPO!$P360=IDX_CA!$B$2:$B$1041),--(NXT_COMPO!$Q360=IDX_CA!$C$2:$C$1041),ROW(IDX_CA!$G$2:$G$1041))),INDEX(IDX_COMPOSITION!$F$1:$F$441,SUMPRODUCT(--($E360=IDX_COMPOSITION!$A$2:$A$441),--(NXT_COMPO!$P360=IDX_COMPOSITION!$R$2:$R$441),--(NXT_COMPO!$B$5=IDX_COMPOSITION!$L$2:$L$441),ROW(IDX_COMPOSITION!$F$2:$F$441)))),IF($D360&lt;=$B$4,INDEX(IDX_CA!$G$1:$G$1041,SUMPRODUCT(--($E360=IDX_CA!$A$2:$A$1041),--(NXT_COMPO!$P360=IDX_CA!$B$2:$B$1041),--(NXT_COMPO!$Q360=IDX_CA!$C$2:$C$1041),ROW(IDX_CA!$G$2:$G$1041))),""))</f>
        <v/>
      </c>
      <c r="K360" s="63" t="str">
        <f>IF($D360&lt;&gt;"",VLOOKUP($E360,STK_REF!$A$2:$J$1048576,7,0),"")</f>
        <v/>
      </c>
      <c r="L360" s="5" t="str">
        <f>IF($D360&lt;&gt;"",VLOOKUP($E360,STK_REF!$A$2:$J$1048576,8,0),"")</f>
        <v/>
      </c>
      <c r="M360" s="8" t="str">
        <f>IF($D360&lt;&gt;"",IF($K360=$U360,1,IF(ISNA(VLOOKUP($K360&amp;$U360,CUR_RATES!$A$2:$F$521,4,0)),"",VLOOKUP($K360&amp;$U360,CUR_RATES!$A$2:$F$521,4,0))),"")</f>
        <v/>
      </c>
      <c r="N360" s="61" t="str">
        <f t="shared" si="52"/>
        <v/>
      </c>
      <c r="O360" s="68" t="str">
        <f t="shared" si="53"/>
        <v/>
      </c>
      <c r="P360" s="24"/>
      <c r="Q360" s="2" t="str">
        <f>IF(ROW(Q360)-ROW($E$1)&lt;=$B$4,INDEX(IDX_COMPO!F:F,ROW(IDX_COMPO!#REF!)),"")</f>
        <v/>
      </c>
      <c r="R360" s="68" t="str">
        <f t="shared" si="54"/>
        <v/>
      </c>
      <c r="S360" s="61" t="str">
        <f t="shared" si="55"/>
        <v/>
      </c>
      <c r="T360" s="62" t="str">
        <f>IF(D360&lt;&gt;"",IF(SUMPRODUCT(--($E360=STK_DIV!$A$2:$A$5),--(NXT_COMPO!$Q360=STK_DIV!$E$2:$E$5),ROW(STK_DIV!$D$2:$D$5))=0,"",INDEX(STK_DIV!$D$1:$D$5,SUMPRODUCT(--($E360=STK_DIV!$A$2:$A$5),--(NXT_COMPO!$Q360=STK_DIV!$E$2:$E$5),ROW(STK_DIV!$D$2:$D$5)))),"")</f>
        <v/>
      </c>
      <c r="U360" s="54" t="str">
        <f>IF($D360&lt;&gt;"",VLOOKUP($P360,IDX_REF!$2:$1048576,4,0),"")</f>
        <v/>
      </c>
    </row>
    <row r="361" spans="4:21" x14ac:dyDescent="0.2">
      <c r="D361" s="52" t="str">
        <f t="shared" si="50"/>
        <v/>
      </c>
      <c r="E361" s="5" t="str">
        <f t="shared" si="51"/>
        <v/>
      </c>
      <c r="F361" s="5" t="str">
        <f>IF(ROW(F361)-ROW($E$1)&lt;=$B$1-$B$2,INDEX(IDX_COMPO!B:B,ROW(IDX_COMPO!#REF!)),IF(ROW(E361)-ROW($E$1)&lt;=$B$4,VLOOKUP(E361,STK_REF!$A$2:$J$1048576,2,0),""))</f>
        <v/>
      </c>
      <c r="J361" s="62" t="str">
        <f>IF($D361&lt;=$B$1-$B$2,IF(INDEX($AA$2:$AA$1048576,MATCH($D361,$AB$2:$AB$1048576,0))="MODIFY",INDEX(IDX_CA!$G$1:$G$1041,SUMPRODUCT(--($E361=IDX_CA!$A$2:$A$1041),--(NXT_COMPO!$P361=IDX_CA!$B$2:$B$1041),--(NXT_COMPO!$Q361=IDX_CA!$C$2:$C$1041),ROW(IDX_CA!$G$2:$G$1041))),INDEX(IDX_COMPOSITION!$F$1:$F$441,SUMPRODUCT(--($E361=IDX_COMPOSITION!$A$2:$A$441),--(NXT_COMPO!$P361=IDX_COMPOSITION!$R$2:$R$441),--(NXT_COMPO!$B$5=IDX_COMPOSITION!$L$2:$L$441),ROW(IDX_COMPOSITION!$F$2:$F$441)))),IF($D361&lt;=$B$4,INDEX(IDX_CA!$G$1:$G$1041,SUMPRODUCT(--($E361=IDX_CA!$A$2:$A$1041),--(NXT_COMPO!$P361=IDX_CA!$B$2:$B$1041),--(NXT_COMPO!$Q361=IDX_CA!$C$2:$C$1041),ROW(IDX_CA!$G$2:$G$1041))),""))</f>
        <v/>
      </c>
      <c r="K361" s="63" t="str">
        <f>IF($D361&lt;&gt;"",VLOOKUP($E361,STK_REF!$A$2:$J$1048576,7,0),"")</f>
        <v/>
      </c>
      <c r="L361" s="5" t="str">
        <f>IF($D361&lt;&gt;"",VLOOKUP($E361,STK_REF!$A$2:$J$1048576,8,0),"")</f>
        <v/>
      </c>
      <c r="M361" s="8" t="str">
        <f>IF($D361&lt;&gt;"",IF($K361=$U361,1,IF(ISNA(VLOOKUP($K361&amp;$U361,CUR_RATES!$A$2:$F$521,4,0)),"",VLOOKUP($K361&amp;$U361,CUR_RATES!$A$2:$F$521,4,0))),"")</f>
        <v/>
      </c>
      <c r="N361" s="61" t="str">
        <f t="shared" si="52"/>
        <v/>
      </c>
      <c r="O361" s="68" t="str">
        <f t="shared" si="53"/>
        <v/>
      </c>
      <c r="P361" s="24"/>
      <c r="Q361" s="2" t="str">
        <f>IF(ROW(Q361)-ROW($E$1)&lt;=$B$4,INDEX(IDX_COMPO!F:F,ROW(IDX_COMPO!#REF!)),"")</f>
        <v/>
      </c>
      <c r="R361" s="68" t="str">
        <f t="shared" si="54"/>
        <v/>
      </c>
      <c r="S361" s="61" t="str">
        <f t="shared" si="55"/>
        <v/>
      </c>
      <c r="T361" s="62" t="str">
        <f>IF(D361&lt;&gt;"",IF(SUMPRODUCT(--($E361=STK_DIV!$A$2:$A$5),--(NXT_COMPO!$Q361=STK_DIV!$E$2:$E$5),ROW(STK_DIV!$D$2:$D$5))=0,"",INDEX(STK_DIV!$D$1:$D$5,SUMPRODUCT(--($E361=STK_DIV!$A$2:$A$5),--(NXT_COMPO!$Q361=STK_DIV!$E$2:$E$5),ROW(STK_DIV!$D$2:$D$5)))),"")</f>
        <v/>
      </c>
      <c r="U361" s="54" t="str">
        <f>IF($D361&lt;&gt;"",VLOOKUP($P361,IDX_REF!$2:$1048576,4,0),"")</f>
        <v/>
      </c>
    </row>
    <row r="362" spans="4:21" x14ac:dyDescent="0.2">
      <c r="D362" s="52" t="str">
        <f t="shared" si="50"/>
        <v/>
      </c>
      <c r="E362" s="5" t="str">
        <f t="shared" si="51"/>
        <v/>
      </c>
      <c r="F362" s="5" t="str">
        <f>IF(ROW(F362)-ROW($E$1)&lt;=$B$1-$B$2,INDEX(IDX_COMPO!B:B,ROW(IDX_COMPO!#REF!)),IF(ROW(E362)-ROW($E$1)&lt;=$B$4,VLOOKUP(E362,STK_REF!$A$2:$J$1048576,2,0),""))</f>
        <v/>
      </c>
      <c r="J362" s="62" t="str">
        <f>IF($D362&lt;=$B$1-$B$2,IF(INDEX($AA$2:$AA$1048576,MATCH($D362,$AB$2:$AB$1048576,0))="MODIFY",INDEX(IDX_CA!$G$1:$G$1041,SUMPRODUCT(--($E362=IDX_CA!$A$2:$A$1041),--(NXT_COMPO!$P362=IDX_CA!$B$2:$B$1041),--(NXT_COMPO!$Q362=IDX_CA!$C$2:$C$1041),ROW(IDX_CA!$G$2:$G$1041))),INDEX(IDX_COMPOSITION!$F$1:$F$441,SUMPRODUCT(--($E362=IDX_COMPOSITION!$A$2:$A$441),--(NXT_COMPO!$P362=IDX_COMPOSITION!$R$2:$R$441),--(NXT_COMPO!$B$5=IDX_COMPOSITION!$L$2:$L$441),ROW(IDX_COMPOSITION!$F$2:$F$441)))),IF($D362&lt;=$B$4,INDEX(IDX_CA!$G$1:$G$1041,SUMPRODUCT(--($E362=IDX_CA!$A$2:$A$1041),--(NXT_COMPO!$P362=IDX_CA!$B$2:$B$1041),--(NXT_COMPO!$Q362=IDX_CA!$C$2:$C$1041),ROW(IDX_CA!$G$2:$G$1041))),""))</f>
        <v/>
      </c>
      <c r="K362" s="63" t="str">
        <f>IF($D362&lt;&gt;"",VLOOKUP($E362,STK_REF!$A$2:$J$1048576,7,0),"")</f>
        <v/>
      </c>
      <c r="L362" s="5" t="str">
        <f>IF($D362&lt;&gt;"",VLOOKUP($E362,STK_REF!$A$2:$J$1048576,8,0),"")</f>
        <v/>
      </c>
      <c r="M362" s="8" t="str">
        <f>IF($D362&lt;&gt;"",IF($K362=$U362,1,IF(ISNA(VLOOKUP($K362&amp;$U362,CUR_RATES!$A$2:$F$521,4,0)),"",VLOOKUP($K362&amp;$U362,CUR_RATES!$A$2:$F$521,4,0))),"")</f>
        <v/>
      </c>
      <c r="N362" s="61" t="str">
        <f t="shared" si="52"/>
        <v/>
      </c>
      <c r="O362" s="68" t="str">
        <f t="shared" si="53"/>
        <v/>
      </c>
      <c r="P362" s="24"/>
      <c r="Q362" s="2" t="str">
        <f>IF(ROW(Q362)-ROW($E$1)&lt;=$B$4,INDEX(IDX_COMPO!F:F,ROW(IDX_COMPO!#REF!)),"")</f>
        <v/>
      </c>
      <c r="R362" s="68" t="str">
        <f t="shared" si="54"/>
        <v/>
      </c>
      <c r="S362" s="61" t="str">
        <f t="shared" si="55"/>
        <v/>
      </c>
      <c r="T362" s="62" t="str">
        <f>IF(D362&lt;&gt;"",IF(SUMPRODUCT(--($E362=STK_DIV!$A$2:$A$5),--(NXT_COMPO!$Q362=STK_DIV!$E$2:$E$5),ROW(STK_DIV!$D$2:$D$5))=0,"",INDEX(STK_DIV!$D$1:$D$5,SUMPRODUCT(--($E362=STK_DIV!$A$2:$A$5),--(NXT_COMPO!$Q362=STK_DIV!$E$2:$E$5),ROW(STK_DIV!$D$2:$D$5)))),"")</f>
        <v/>
      </c>
      <c r="U362" s="54" t="str">
        <f>IF($D362&lt;&gt;"",VLOOKUP($P362,IDX_REF!$2:$1048576,4,0),"")</f>
        <v/>
      </c>
    </row>
    <row r="363" spans="4:21" x14ac:dyDescent="0.2">
      <c r="D363" s="52" t="str">
        <f t="shared" si="50"/>
        <v/>
      </c>
      <c r="E363" s="5" t="str">
        <f t="shared" si="51"/>
        <v/>
      </c>
      <c r="F363" s="5" t="str">
        <f>IF(ROW(F363)-ROW($E$1)&lt;=$B$1-$B$2,INDEX(IDX_COMPO!B:B,ROW(IDX_COMPO!#REF!)),IF(ROW(E363)-ROW($E$1)&lt;=$B$4,VLOOKUP(E363,STK_REF!$A$2:$J$1048576,2,0),""))</f>
        <v/>
      </c>
      <c r="J363" s="62" t="str">
        <f>IF($D363&lt;=$B$1-$B$2,IF(INDEX($AA$2:$AA$1048576,MATCH($D363,$AB$2:$AB$1048576,0))="MODIFY",INDEX(IDX_CA!$G$1:$G$1041,SUMPRODUCT(--($E363=IDX_CA!$A$2:$A$1041),--(NXT_COMPO!$P363=IDX_CA!$B$2:$B$1041),--(NXT_COMPO!$Q363=IDX_CA!$C$2:$C$1041),ROW(IDX_CA!$G$2:$G$1041))),INDEX(IDX_COMPOSITION!$F$1:$F$441,SUMPRODUCT(--($E363=IDX_COMPOSITION!$A$2:$A$441),--(NXT_COMPO!$P363=IDX_COMPOSITION!$R$2:$R$441),--(NXT_COMPO!$B$5=IDX_COMPOSITION!$L$2:$L$441),ROW(IDX_COMPOSITION!$F$2:$F$441)))),IF($D363&lt;=$B$4,INDEX(IDX_CA!$G$1:$G$1041,SUMPRODUCT(--($E363=IDX_CA!$A$2:$A$1041),--(NXT_COMPO!$P363=IDX_CA!$B$2:$B$1041),--(NXT_COMPO!$Q363=IDX_CA!$C$2:$C$1041),ROW(IDX_CA!$G$2:$G$1041))),""))</f>
        <v/>
      </c>
      <c r="K363" s="63" t="str">
        <f>IF($D363&lt;&gt;"",VLOOKUP($E363,STK_REF!$A$2:$J$1048576,7,0),"")</f>
        <v/>
      </c>
      <c r="L363" s="5" t="str">
        <f>IF($D363&lt;&gt;"",VLOOKUP($E363,STK_REF!$A$2:$J$1048576,8,0),"")</f>
        <v/>
      </c>
      <c r="M363" s="8" t="str">
        <f>IF($D363&lt;&gt;"",IF($K363=$U363,1,IF(ISNA(VLOOKUP($K363&amp;$U363,CUR_RATES!$A$2:$F$521,4,0)),"",VLOOKUP($K363&amp;$U363,CUR_RATES!$A$2:$F$521,4,0))),"")</f>
        <v/>
      </c>
      <c r="N363" s="61" t="str">
        <f t="shared" si="52"/>
        <v/>
      </c>
      <c r="O363" s="68" t="str">
        <f t="shared" si="53"/>
        <v/>
      </c>
      <c r="P363" s="24"/>
      <c r="Q363" s="2" t="str">
        <f>IF(ROW(Q363)-ROW($E$1)&lt;=$B$4,INDEX(IDX_COMPO!F:F,ROW(IDX_COMPO!#REF!)),"")</f>
        <v/>
      </c>
      <c r="R363" s="68" t="str">
        <f t="shared" si="54"/>
        <v/>
      </c>
      <c r="S363" s="61" t="str">
        <f t="shared" si="55"/>
        <v/>
      </c>
      <c r="T363" s="62" t="str">
        <f>IF(D363&lt;&gt;"",IF(SUMPRODUCT(--($E363=STK_DIV!$A$2:$A$5),--(NXT_COMPO!$Q363=STK_DIV!$E$2:$E$5),ROW(STK_DIV!$D$2:$D$5))=0,"",INDEX(STK_DIV!$D$1:$D$5,SUMPRODUCT(--($E363=STK_DIV!$A$2:$A$5),--(NXT_COMPO!$Q363=STK_DIV!$E$2:$E$5),ROW(STK_DIV!$D$2:$D$5)))),"")</f>
        <v/>
      </c>
      <c r="U363" s="54" t="str">
        <f>IF($D363&lt;&gt;"",VLOOKUP($P363,IDX_REF!$2:$1048576,4,0),"")</f>
        <v/>
      </c>
    </row>
    <row r="364" spans="4:21" x14ac:dyDescent="0.2">
      <c r="D364" s="52" t="str">
        <f t="shared" si="50"/>
        <v/>
      </c>
      <c r="E364" s="5" t="str">
        <f t="shared" si="51"/>
        <v/>
      </c>
      <c r="F364" s="5" t="str">
        <f>IF(ROW(F364)-ROW($E$1)&lt;=$B$1-$B$2,INDEX(IDX_COMPO!B:B,ROW(IDX_COMPO!#REF!)),IF(ROW(E364)-ROW($E$1)&lt;=$B$4,VLOOKUP(E364,STK_REF!$A$2:$J$1048576,2,0),""))</f>
        <v/>
      </c>
      <c r="J364" s="62" t="str">
        <f>IF($D364&lt;=$B$1-$B$2,IF(INDEX($AA$2:$AA$1048576,MATCH($D364,$AB$2:$AB$1048576,0))="MODIFY",INDEX(IDX_CA!$G$1:$G$1041,SUMPRODUCT(--($E364=IDX_CA!$A$2:$A$1041),--(NXT_COMPO!$P364=IDX_CA!$B$2:$B$1041),--(NXT_COMPO!$Q364=IDX_CA!$C$2:$C$1041),ROW(IDX_CA!$G$2:$G$1041))),INDEX(IDX_COMPOSITION!$F$1:$F$441,SUMPRODUCT(--($E364=IDX_COMPOSITION!$A$2:$A$441),--(NXT_COMPO!$P364=IDX_COMPOSITION!$R$2:$R$441),--(NXT_COMPO!$B$5=IDX_COMPOSITION!$L$2:$L$441),ROW(IDX_COMPOSITION!$F$2:$F$441)))),IF($D364&lt;=$B$4,INDEX(IDX_CA!$G$1:$G$1041,SUMPRODUCT(--($E364=IDX_CA!$A$2:$A$1041),--(NXT_COMPO!$P364=IDX_CA!$B$2:$B$1041),--(NXT_COMPO!$Q364=IDX_CA!$C$2:$C$1041),ROW(IDX_CA!$G$2:$G$1041))),""))</f>
        <v/>
      </c>
      <c r="K364" s="63" t="str">
        <f>IF($D364&lt;&gt;"",VLOOKUP($E364,STK_REF!$A$2:$J$1048576,7,0),"")</f>
        <v/>
      </c>
      <c r="L364" s="5" t="str">
        <f>IF($D364&lt;&gt;"",VLOOKUP($E364,STK_REF!$A$2:$J$1048576,8,0),"")</f>
        <v/>
      </c>
      <c r="M364" s="8" t="str">
        <f>IF($D364&lt;&gt;"",IF($K364=$U364,1,IF(ISNA(VLOOKUP($K364&amp;$U364,CUR_RATES!$A$2:$F$521,4,0)),"",VLOOKUP($K364&amp;$U364,CUR_RATES!$A$2:$F$521,4,0))),"")</f>
        <v/>
      </c>
      <c r="N364" s="61" t="str">
        <f t="shared" si="52"/>
        <v/>
      </c>
      <c r="O364" s="68" t="str">
        <f t="shared" si="53"/>
        <v/>
      </c>
      <c r="P364" s="24"/>
      <c r="Q364" s="2" t="str">
        <f>IF(ROW(Q364)-ROW($E$1)&lt;=$B$4,INDEX(IDX_COMPO!F:F,ROW(IDX_COMPO!#REF!)),"")</f>
        <v/>
      </c>
      <c r="R364" s="68" t="str">
        <f t="shared" si="54"/>
        <v/>
      </c>
      <c r="S364" s="61" t="str">
        <f t="shared" si="55"/>
        <v/>
      </c>
      <c r="T364" s="62" t="str">
        <f>IF(D364&lt;&gt;"",IF(SUMPRODUCT(--($E364=STK_DIV!$A$2:$A$5),--(NXT_COMPO!$Q364=STK_DIV!$E$2:$E$5),ROW(STK_DIV!$D$2:$D$5))=0,"",INDEX(STK_DIV!$D$1:$D$5,SUMPRODUCT(--($E364=STK_DIV!$A$2:$A$5),--(NXT_COMPO!$Q364=STK_DIV!$E$2:$E$5),ROW(STK_DIV!$D$2:$D$5)))),"")</f>
        <v/>
      </c>
      <c r="U364" s="54" t="str">
        <f>IF($D364&lt;&gt;"",VLOOKUP($P364,IDX_REF!$2:$1048576,4,0),"")</f>
        <v/>
      </c>
    </row>
    <row r="365" spans="4:21" x14ac:dyDescent="0.2">
      <c r="D365" s="52" t="str">
        <f t="shared" si="50"/>
        <v/>
      </c>
      <c r="E365" s="5" t="str">
        <f t="shared" si="51"/>
        <v/>
      </c>
      <c r="F365" s="5" t="str">
        <f>IF(ROW(F365)-ROW($E$1)&lt;=$B$1-$B$2,INDEX(IDX_COMPO!B:B,ROW(IDX_COMPO!#REF!)),IF(ROW(E365)-ROW($E$1)&lt;=$B$4,VLOOKUP(E365,STK_REF!$A$2:$J$1048576,2,0),""))</f>
        <v/>
      </c>
      <c r="J365" s="62" t="str">
        <f>IF($D365&lt;=$B$1-$B$2,IF(INDEX($AA$2:$AA$1048576,MATCH($D365,$AB$2:$AB$1048576,0))="MODIFY",INDEX(IDX_CA!$G$1:$G$1041,SUMPRODUCT(--($E365=IDX_CA!$A$2:$A$1041),--(NXT_COMPO!$P365=IDX_CA!$B$2:$B$1041),--(NXT_COMPO!$Q365=IDX_CA!$C$2:$C$1041),ROW(IDX_CA!$G$2:$G$1041))),INDEX(IDX_COMPOSITION!$F$1:$F$441,SUMPRODUCT(--($E365=IDX_COMPOSITION!$A$2:$A$441),--(NXT_COMPO!$P365=IDX_COMPOSITION!$R$2:$R$441),--(NXT_COMPO!$B$5=IDX_COMPOSITION!$L$2:$L$441),ROW(IDX_COMPOSITION!$F$2:$F$441)))),IF($D365&lt;=$B$4,INDEX(IDX_CA!$G$1:$G$1041,SUMPRODUCT(--($E365=IDX_CA!$A$2:$A$1041),--(NXT_COMPO!$P365=IDX_CA!$B$2:$B$1041),--(NXT_COMPO!$Q365=IDX_CA!$C$2:$C$1041),ROW(IDX_CA!$G$2:$G$1041))),""))</f>
        <v/>
      </c>
      <c r="K365" s="63" t="str">
        <f>IF($D365&lt;&gt;"",VLOOKUP($E365,STK_REF!$A$2:$J$1048576,7,0),"")</f>
        <v/>
      </c>
      <c r="L365" s="5" t="str">
        <f>IF($D365&lt;&gt;"",VLOOKUP($E365,STK_REF!$A$2:$J$1048576,8,0),"")</f>
        <v/>
      </c>
      <c r="M365" s="8" t="str">
        <f>IF($D365&lt;&gt;"",IF($K365=$U365,1,IF(ISNA(VLOOKUP($K365&amp;$U365,CUR_RATES!$A$2:$F$521,4,0)),"",VLOOKUP($K365&amp;$U365,CUR_RATES!$A$2:$F$521,4,0))),"")</f>
        <v/>
      </c>
      <c r="N365" s="61" t="str">
        <f t="shared" si="52"/>
        <v/>
      </c>
      <c r="O365" s="68" t="str">
        <f t="shared" si="53"/>
        <v/>
      </c>
      <c r="P365" s="24"/>
      <c r="Q365" s="2" t="str">
        <f>IF(ROW(Q365)-ROW($E$1)&lt;=$B$4,INDEX(IDX_COMPO!F:F,ROW(IDX_COMPO!#REF!)),"")</f>
        <v/>
      </c>
      <c r="R365" s="68" t="str">
        <f t="shared" si="54"/>
        <v/>
      </c>
      <c r="S365" s="61" t="str">
        <f t="shared" si="55"/>
        <v/>
      </c>
      <c r="T365" s="62" t="str">
        <f>IF(D365&lt;&gt;"",IF(SUMPRODUCT(--($E365=STK_DIV!$A$2:$A$5),--(NXT_COMPO!$Q365=STK_DIV!$E$2:$E$5),ROW(STK_DIV!$D$2:$D$5))=0,"",INDEX(STK_DIV!$D$1:$D$5,SUMPRODUCT(--($E365=STK_DIV!$A$2:$A$5),--(NXT_COMPO!$Q365=STK_DIV!$E$2:$E$5),ROW(STK_DIV!$D$2:$D$5)))),"")</f>
        <v/>
      </c>
      <c r="U365" s="54" t="str">
        <f>IF($D365&lt;&gt;"",VLOOKUP($P365,IDX_REF!$2:$1048576,4,0),"")</f>
        <v/>
      </c>
    </row>
    <row r="366" spans="4:21" x14ac:dyDescent="0.2">
      <c r="D366" s="52" t="str">
        <f t="shared" si="50"/>
        <v/>
      </c>
      <c r="E366" s="5" t="str">
        <f t="shared" si="51"/>
        <v/>
      </c>
      <c r="F366" s="5" t="str">
        <f>IF(ROW(F366)-ROW($E$1)&lt;=$B$1-$B$2,INDEX(IDX_COMPO!B:B,ROW(IDX_COMPO!#REF!)),IF(ROW(E366)-ROW($E$1)&lt;=$B$4,VLOOKUP(E366,STK_REF!$A$2:$J$1048576,2,0),""))</f>
        <v/>
      </c>
      <c r="J366" s="62" t="str">
        <f>IF($D366&lt;=$B$1-$B$2,IF(INDEX($AA$2:$AA$1048576,MATCH($D366,$AB$2:$AB$1048576,0))="MODIFY",INDEX(IDX_CA!$G$1:$G$1041,SUMPRODUCT(--($E366=IDX_CA!$A$2:$A$1041),--(NXT_COMPO!$P366=IDX_CA!$B$2:$B$1041),--(NXT_COMPO!$Q366=IDX_CA!$C$2:$C$1041),ROW(IDX_CA!$G$2:$G$1041))),INDEX(IDX_COMPOSITION!$F$1:$F$441,SUMPRODUCT(--($E366=IDX_COMPOSITION!$A$2:$A$441),--(NXT_COMPO!$P366=IDX_COMPOSITION!$R$2:$R$441),--(NXT_COMPO!$B$5=IDX_COMPOSITION!$L$2:$L$441),ROW(IDX_COMPOSITION!$F$2:$F$441)))),IF($D366&lt;=$B$4,INDEX(IDX_CA!$G$1:$G$1041,SUMPRODUCT(--($E366=IDX_CA!$A$2:$A$1041),--(NXT_COMPO!$P366=IDX_CA!$B$2:$B$1041),--(NXT_COMPO!$Q366=IDX_CA!$C$2:$C$1041),ROW(IDX_CA!$G$2:$G$1041))),""))</f>
        <v/>
      </c>
      <c r="K366" s="63" t="str">
        <f>IF($D366&lt;&gt;"",VLOOKUP($E366,STK_REF!$A$2:$J$1048576,7,0),"")</f>
        <v/>
      </c>
      <c r="L366" s="5" t="str">
        <f>IF($D366&lt;&gt;"",VLOOKUP($E366,STK_REF!$A$2:$J$1048576,8,0),"")</f>
        <v/>
      </c>
      <c r="M366" s="8" t="str">
        <f>IF($D366&lt;&gt;"",IF($K366=$U366,1,IF(ISNA(VLOOKUP($K366&amp;$U366,CUR_RATES!$A$2:$F$521,4,0)),"",VLOOKUP($K366&amp;$U366,CUR_RATES!$A$2:$F$521,4,0))),"")</f>
        <v/>
      </c>
      <c r="N366" s="61" t="str">
        <f t="shared" si="52"/>
        <v/>
      </c>
      <c r="O366" s="68" t="str">
        <f t="shared" si="53"/>
        <v/>
      </c>
      <c r="P366" s="24"/>
      <c r="Q366" s="2" t="str">
        <f>IF(ROW(Q366)-ROW($E$1)&lt;=$B$4,INDEX(IDX_COMPO!F:F,ROW(IDX_COMPO!#REF!)),"")</f>
        <v/>
      </c>
      <c r="R366" s="68" t="str">
        <f t="shared" si="54"/>
        <v/>
      </c>
      <c r="S366" s="61" t="str">
        <f t="shared" si="55"/>
        <v/>
      </c>
      <c r="T366" s="62" t="str">
        <f>IF(D366&lt;&gt;"",IF(SUMPRODUCT(--($E366=STK_DIV!$A$2:$A$5),--(NXT_COMPO!$Q366=STK_DIV!$E$2:$E$5),ROW(STK_DIV!$D$2:$D$5))=0,"",INDEX(STK_DIV!$D$1:$D$5,SUMPRODUCT(--($E366=STK_DIV!$A$2:$A$5),--(NXT_COMPO!$Q366=STK_DIV!$E$2:$E$5),ROW(STK_DIV!$D$2:$D$5)))),"")</f>
        <v/>
      </c>
      <c r="U366" s="54" t="str">
        <f>IF($D366&lt;&gt;"",VLOOKUP($P366,IDX_REF!$2:$1048576,4,0),"")</f>
        <v/>
      </c>
    </row>
    <row r="367" spans="4:21" x14ac:dyDescent="0.2">
      <c r="D367" s="52" t="str">
        <f t="shared" si="50"/>
        <v/>
      </c>
      <c r="E367" s="5" t="str">
        <f t="shared" si="51"/>
        <v/>
      </c>
      <c r="F367" s="5" t="str">
        <f>IF(ROW(F367)-ROW($E$1)&lt;=$B$1-$B$2,INDEX(IDX_COMPO!B:B,ROW(IDX_COMPO!#REF!)),IF(ROW(E367)-ROW($E$1)&lt;=$B$4,VLOOKUP(E367,STK_REF!$A$2:$J$1048576,2,0),""))</f>
        <v/>
      </c>
      <c r="J367" s="62" t="str">
        <f>IF($D367&lt;=$B$1-$B$2,IF(INDEX($AA$2:$AA$1048576,MATCH($D367,$AB$2:$AB$1048576,0))="MODIFY",INDEX(IDX_CA!$G$1:$G$1041,SUMPRODUCT(--($E367=IDX_CA!$A$2:$A$1041),--(NXT_COMPO!$P367=IDX_CA!$B$2:$B$1041),--(NXT_COMPO!$Q367=IDX_CA!$C$2:$C$1041),ROW(IDX_CA!$G$2:$G$1041))),INDEX(IDX_COMPOSITION!$F$1:$F$441,SUMPRODUCT(--($E367=IDX_COMPOSITION!$A$2:$A$441),--(NXT_COMPO!$P367=IDX_COMPOSITION!$R$2:$R$441),--(NXT_COMPO!$B$5=IDX_COMPOSITION!$L$2:$L$441),ROW(IDX_COMPOSITION!$F$2:$F$441)))),IF($D367&lt;=$B$4,INDEX(IDX_CA!$G$1:$G$1041,SUMPRODUCT(--($E367=IDX_CA!$A$2:$A$1041),--(NXT_COMPO!$P367=IDX_CA!$B$2:$B$1041),--(NXT_COMPO!$Q367=IDX_CA!$C$2:$C$1041),ROW(IDX_CA!$G$2:$G$1041))),""))</f>
        <v/>
      </c>
      <c r="K367" s="63" t="str">
        <f>IF($D367&lt;&gt;"",VLOOKUP($E367,STK_REF!$A$2:$J$1048576,7,0),"")</f>
        <v/>
      </c>
      <c r="L367" s="5" t="str">
        <f>IF($D367&lt;&gt;"",VLOOKUP($E367,STK_REF!$A$2:$J$1048576,8,0),"")</f>
        <v/>
      </c>
      <c r="M367" s="8" t="str">
        <f>IF($D367&lt;&gt;"",IF($K367=$U367,1,IF(ISNA(VLOOKUP($K367&amp;$U367,CUR_RATES!$A$2:$F$521,4,0)),"",VLOOKUP($K367&amp;$U367,CUR_RATES!$A$2:$F$521,4,0))),"")</f>
        <v/>
      </c>
      <c r="N367" s="61" t="str">
        <f t="shared" si="52"/>
        <v/>
      </c>
      <c r="O367" s="68" t="str">
        <f t="shared" si="53"/>
        <v/>
      </c>
      <c r="P367" s="24"/>
      <c r="Q367" s="2" t="str">
        <f>IF(ROW(Q367)-ROW($E$1)&lt;=$B$4,INDEX(IDX_COMPO!F:F,ROW(IDX_COMPO!#REF!)),"")</f>
        <v/>
      </c>
      <c r="R367" s="68" t="str">
        <f t="shared" si="54"/>
        <v/>
      </c>
      <c r="S367" s="61" t="str">
        <f t="shared" si="55"/>
        <v/>
      </c>
      <c r="T367" s="62" t="str">
        <f>IF(D367&lt;&gt;"",IF(SUMPRODUCT(--($E367=STK_DIV!$A$2:$A$5),--(NXT_COMPO!$Q367=STK_DIV!$E$2:$E$5),ROW(STK_DIV!$D$2:$D$5))=0,"",INDEX(STK_DIV!$D$1:$D$5,SUMPRODUCT(--($E367=STK_DIV!$A$2:$A$5),--(NXT_COMPO!$Q367=STK_DIV!$E$2:$E$5),ROW(STK_DIV!$D$2:$D$5)))),"")</f>
        <v/>
      </c>
      <c r="U367" s="54" t="str">
        <f>IF($D367&lt;&gt;"",VLOOKUP($P367,IDX_REF!$2:$1048576,4,0),"")</f>
        <v/>
      </c>
    </row>
    <row r="368" spans="4:21" x14ac:dyDescent="0.2">
      <c r="D368" s="52" t="str">
        <f t="shared" si="50"/>
        <v/>
      </c>
      <c r="E368" s="5" t="str">
        <f t="shared" si="51"/>
        <v/>
      </c>
      <c r="F368" s="5" t="str">
        <f>IF(ROW(F368)-ROW($E$1)&lt;=$B$1-$B$2,INDEX(IDX_COMPO!B:B,ROW(IDX_COMPO!#REF!)),IF(ROW(E368)-ROW($E$1)&lt;=$B$4,VLOOKUP(E368,STK_REF!$A$2:$J$1048576,2,0),""))</f>
        <v/>
      </c>
      <c r="J368" s="62" t="str">
        <f>IF($D368&lt;=$B$1-$B$2,IF(INDEX($AA$2:$AA$1048576,MATCH($D368,$AB$2:$AB$1048576,0))="MODIFY",INDEX(IDX_CA!$G$1:$G$1041,SUMPRODUCT(--($E368=IDX_CA!$A$2:$A$1041),--(NXT_COMPO!$P368=IDX_CA!$B$2:$B$1041),--(NXT_COMPO!$Q368=IDX_CA!$C$2:$C$1041),ROW(IDX_CA!$G$2:$G$1041))),INDEX(IDX_COMPOSITION!$F$1:$F$441,SUMPRODUCT(--($E368=IDX_COMPOSITION!$A$2:$A$441),--(NXT_COMPO!$P368=IDX_COMPOSITION!$R$2:$R$441),--(NXT_COMPO!$B$5=IDX_COMPOSITION!$L$2:$L$441),ROW(IDX_COMPOSITION!$F$2:$F$441)))),IF($D368&lt;=$B$4,INDEX(IDX_CA!$G$1:$G$1041,SUMPRODUCT(--($E368=IDX_CA!$A$2:$A$1041),--(NXT_COMPO!$P368=IDX_CA!$B$2:$B$1041),--(NXT_COMPO!$Q368=IDX_CA!$C$2:$C$1041),ROW(IDX_CA!$G$2:$G$1041))),""))</f>
        <v/>
      </c>
      <c r="K368" s="63" t="str">
        <f>IF($D368&lt;&gt;"",VLOOKUP($E368,STK_REF!$A$2:$J$1048576,7,0),"")</f>
        <v/>
      </c>
      <c r="L368" s="5" t="str">
        <f>IF($D368&lt;&gt;"",VLOOKUP($E368,STK_REF!$A$2:$J$1048576,8,0),"")</f>
        <v/>
      </c>
      <c r="M368" s="8" t="str">
        <f>IF($D368&lt;&gt;"",IF($K368=$U368,1,IF(ISNA(VLOOKUP($K368&amp;$U368,CUR_RATES!$A$2:$F$521,4,0)),"",VLOOKUP($K368&amp;$U368,CUR_RATES!$A$2:$F$521,4,0))),"")</f>
        <v/>
      </c>
      <c r="N368" s="61" t="str">
        <f t="shared" si="52"/>
        <v/>
      </c>
      <c r="O368" s="68" t="str">
        <f t="shared" si="53"/>
        <v/>
      </c>
      <c r="P368" s="24"/>
      <c r="Q368" s="2" t="str">
        <f>IF(ROW(Q368)-ROW($E$1)&lt;=$B$4,INDEX(IDX_COMPO!F:F,ROW(IDX_COMPO!#REF!)),"")</f>
        <v/>
      </c>
      <c r="R368" s="68" t="str">
        <f t="shared" si="54"/>
        <v/>
      </c>
      <c r="S368" s="61" t="str">
        <f t="shared" si="55"/>
        <v/>
      </c>
      <c r="T368" s="62" t="str">
        <f>IF(D368&lt;&gt;"",IF(SUMPRODUCT(--($E368=STK_DIV!$A$2:$A$5),--(NXT_COMPO!$Q368=STK_DIV!$E$2:$E$5),ROW(STK_DIV!$D$2:$D$5))=0,"",INDEX(STK_DIV!$D$1:$D$5,SUMPRODUCT(--($E368=STK_DIV!$A$2:$A$5),--(NXT_COMPO!$Q368=STK_DIV!$E$2:$E$5),ROW(STK_DIV!$D$2:$D$5)))),"")</f>
        <v/>
      </c>
      <c r="U368" s="54" t="str">
        <f>IF($D368&lt;&gt;"",VLOOKUP($P368,IDX_REF!$2:$1048576,4,0),"")</f>
        <v/>
      </c>
    </row>
    <row r="369" spans="4:21" x14ac:dyDescent="0.2">
      <c r="D369" s="52" t="str">
        <f t="shared" si="50"/>
        <v/>
      </c>
      <c r="E369" s="5" t="str">
        <f t="shared" si="51"/>
        <v/>
      </c>
      <c r="F369" s="5" t="str">
        <f>IF(ROW(F369)-ROW($E$1)&lt;=$B$1-$B$2,INDEX(IDX_COMPO!B:B,ROW(IDX_COMPO!#REF!)),IF(ROW(E369)-ROW($E$1)&lt;=$B$4,VLOOKUP(E369,STK_REF!$A$2:$J$1048576,2,0),""))</f>
        <v/>
      </c>
      <c r="J369" s="62" t="str">
        <f>IF($D369&lt;=$B$1-$B$2,IF(INDEX($AA$2:$AA$1048576,MATCH($D369,$AB$2:$AB$1048576,0))="MODIFY",INDEX(IDX_CA!$G$1:$G$1041,SUMPRODUCT(--($E369=IDX_CA!$A$2:$A$1041),--(NXT_COMPO!$P369=IDX_CA!$B$2:$B$1041),--(NXT_COMPO!$Q369=IDX_CA!$C$2:$C$1041),ROW(IDX_CA!$G$2:$G$1041))),INDEX(IDX_COMPOSITION!$F$1:$F$441,SUMPRODUCT(--($E369=IDX_COMPOSITION!$A$2:$A$441),--(NXT_COMPO!$P369=IDX_COMPOSITION!$R$2:$R$441),--(NXT_COMPO!$B$5=IDX_COMPOSITION!$L$2:$L$441),ROW(IDX_COMPOSITION!$F$2:$F$441)))),IF($D369&lt;=$B$4,INDEX(IDX_CA!$G$1:$G$1041,SUMPRODUCT(--($E369=IDX_CA!$A$2:$A$1041),--(NXT_COMPO!$P369=IDX_CA!$B$2:$B$1041),--(NXT_COMPO!$Q369=IDX_CA!$C$2:$C$1041),ROW(IDX_CA!$G$2:$G$1041))),""))</f>
        <v/>
      </c>
      <c r="K369" s="63" t="str">
        <f>IF($D369&lt;&gt;"",VLOOKUP($E369,STK_REF!$A$2:$J$1048576,7,0),"")</f>
        <v/>
      </c>
      <c r="L369" s="5" t="str">
        <f>IF($D369&lt;&gt;"",VLOOKUP($E369,STK_REF!$A$2:$J$1048576,8,0),"")</f>
        <v/>
      </c>
      <c r="M369" s="8" t="str">
        <f>IF($D369&lt;&gt;"",IF($K369=$U369,1,IF(ISNA(VLOOKUP($K369&amp;$U369,CUR_RATES!$A$2:$F$521,4,0)),"",VLOOKUP($K369&amp;$U369,CUR_RATES!$A$2:$F$521,4,0))),"")</f>
        <v/>
      </c>
      <c r="N369" s="61" t="str">
        <f t="shared" si="52"/>
        <v/>
      </c>
      <c r="O369" s="68" t="str">
        <f t="shared" si="53"/>
        <v/>
      </c>
      <c r="P369" s="24"/>
      <c r="Q369" s="2" t="str">
        <f>IF(ROW(Q369)-ROW($E$1)&lt;=$B$4,INDEX(IDX_COMPO!F:F,ROW(IDX_COMPO!#REF!)),"")</f>
        <v/>
      </c>
      <c r="R369" s="68" t="str">
        <f t="shared" si="54"/>
        <v/>
      </c>
      <c r="S369" s="61" t="str">
        <f t="shared" si="55"/>
        <v/>
      </c>
      <c r="T369" s="62" t="str">
        <f>IF(D369&lt;&gt;"",IF(SUMPRODUCT(--($E369=STK_DIV!$A$2:$A$5),--(NXT_COMPO!$Q369=STK_DIV!$E$2:$E$5),ROW(STK_DIV!$D$2:$D$5))=0,"",INDEX(STK_DIV!$D$1:$D$5,SUMPRODUCT(--($E369=STK_DIV!$A$2:$A$5),--(NXT_COMPO!$Q369=STK_DIV!$E$2:$E$5),ROW(STK_DIV!$D$2:$D$5)))),"")</f>
        <v/>
      </c>
      <c r="U369" s="54" t="str">
        <f>IF($D369&lt;&gt;"",VLOOKUP($P369,IDX_REF!$2:$1048576,4,0),"")</f>
        <v/>
      </c>
    </row>
    <row r="370" spans="4:21" x14ac:dyDescent="0.2">
      <c r="D370" s="52" t="str">
        <f t="shared" si="50"/>
        <v/>
      </c>
      <c r="E370" s="5" t="str">
        <f t="shared" si="51"/>
        <v/>
      </c>
      <c r="F370" s="5" t="str">
        <f>IF(ROW(F370)-ROW($E$1)&lt;=$B$1-$B$2,INDEX(IDX_COMPO!B:B,ROW(IDX_COMPO!#REF!)),IF(ROW(E370)-ROW($E$1)&lt;=$B$4,VLOOKUP(E370,STK_REF!$A$2:$J$1048576,2,0),""))</f>
        <v/>
      </c>
      <c r="J370" s="62" t="str">
        <f>IF($D370&lt;=$B$1-$B$2,IF(INDEX($AA$2:$AA$1048576,MATCH($D370,$AB$2:$AB$1048576,0))="MODIFY",INDEX(IDX_CA!$G$1:$G$1041,SUMPRODUCT(--($E370=IDX_CA!$A$2:$A$1041),--(NXT_COMPO!$P370=IDX_CA!$B$2:$B$1041),--(NXT_COMPO!$Q370=IDX_CA!$C$2:$C$1041),ROW(IDX_CA!$G$2:$G$1041))),INDEX(IDX_COMPOSITION!$F$1:$F$441,SUMPRODUCT(--($E370=IDX_COMPOSITION!$A$2:$A$441),--(NXT_COMPO!$P370=IDX_COMPOSITION!$R$2:$R$441),--(NXT_COMPO!$B$5=IDX_COMPOSITION!$L$2:$L$441),ROW(IDX_COMPOSITION!$F$2:$F$441)))),IF($D370&lt;=$B$4,INDEX(IDX_CA!$G$1:$G$1041,SUMPRODUCT(--($E370=IDX_CA!$A$2:$A$1041),--(NXT_COMPO!$P370=IDX_CA!$B$2:$B$1041),--(NXT_COMPO!$Q370=IDX_CA!$C$2:$C$1041),ROW(IDX_CA!$G$2:$G$1041))),""))</f>
        <v/>
      </c>
      <c r="K370" s="63" t="str">
        <f>IF($D370&lt;&gt;"",VLOOKUP($E370,STK_REF!$A$2:$J$1048576,7,0),"")</f>
        <v/>
      </c>
      <c r="L370" s="5" t="str">
        <f>IF($D370&lt;&gt;"",VLOOKUP($E370,STK_REF!$A$2:$J$1048576,8,0),"")</f>
        <v/>
      </c>
      <c r="M370" s="8" t="str">
        <f>IF($D370&lt;&gt;"",IF($K370=$U370,1,IF(ISNA(VLOOKUP($K370&amp;$U370,CUR_RATES!$A$2:$F$521,4,0)),"",VLOOKUP($K370&amp;$U370,CUR_RATES!$A$2:$F$521,4,0))),"")</f>
        <v/>
      </c>
      <c r="N370" s="61" t="str">
        <f t="shared" si="52"/>
        <v/>
      </c>
      <c r="O370" s="68" t="str">
        <f t="shared" si="53"/>
        <v/>
      </c>
      <c r="P370" s="24"/>
      <c r="Q370" s="2" t="str">
        <f>IF(ROW(Q370)-ROW($E$1)&lt;=$B$4,INDEX(IDX_COMPO!F:F,ROW(IDX_COMPO!#REF!)),"")</f>
        <v/>
      </c>
      <c r="R370" s="68" t="str">
        <f t="shared" si="54"/>
        <v/>
      </c>
      <c r="S370" s="61" t="str">
        <f t="shared" si="55"/>
        <v/>
      </c>
      <c r="T370" s="62" t="str">
        <f>IF(D370&lt;&gt;"",IF(SUMPRODUCT(--($E370=STK_DIV!$A$2:$A$5),--(NXT_COMPO!$Q370=STK_DIV!$E$2:$E$5),ROW(STK_DIV!$D$2:$D$5))=0,"",INDEX(STK_DIV!$D$1:$D$5,SUMPRODUCT(--($E370=STK_DIV!$A$2:$A$5),--(NXT_COMPO!$Q370=STK_DIV!$E$2:$E$5),ROW(STK_DIV!$D$2:$D$5)))),"")</f>
        <v/>
      </c>
      <c r="U370" s="54" t="str">
        <f>IF($D370&lt;&gt;"",VLOOKUP($P370,IDX_REF!$2:$1048576,4,0),"")</f>
        <v/>
      </c>
    </row>
    <row r="371" spans="4:21" x14ac:dyDescent="0.2">
      <c r="D371" s="52" t="str">
        <f t="shared" si="50"/>
        <v/>
      </c>
      <c r="E371" s="5" t="str">
        <f t="shared" si="51"/>
        <v/>
      </c>
      <c r="F371" s="5" t="str">
        <f>IF(ROW(F371)-ROW($E$1)&lt;=$B$1-$B$2,INDEX(IDX_COMPO!B:B,ROW(IDX_COMPO!#REF!)),IF(ROW(E371)-ROW($E$1)&lt;=$B$4,VLOOKUP(E371,STK_REF!$A$2:$J$1048576,2,0),""))</f>
        <v/>
      </c>
      <c r="J371" s="62" t="str">
        <f>IF($D371&lt;=$B$1-$B$2,IF(INDEX($AA$2:$AA$1048576,MATCH($D371,$AB$2:$AB$1048576,0))="MODIFY",INDEX(IDX_CA!$G$1:$G$1041,SUMPRODUCT(--($E371=IDX_CA!$A$2:$A$1041),--(NXT_COMPO!$P371=IDX_CA!$B$2:$B$1041),--(NXT_COMPO!$Q371=IDX_CA!$C$2:$C$1041),ROW(IDX_CA!$G$2:$G$1041))),INDEX(IDX_COMPOSITION!$F$1:$F$441,SUMPRODUCT(--($E371=IDX_COMPOSITION!$A$2:$A$441),--(NXT_COMPO!$P371=IDX_COMPOSITION!$R$2:$R$441),--(NXT_COMPO!$B$5=IDX_COMPOSITION!$L$2:$L$441),ROW(IDX_COMPOSITION!$F$2:$F$441)))),IF($D371&lt;=$B$4,INDEX(IDX_CA!$G$1:$G$1041,SUMPRODUCT(--($E371=IDX_CA!$A$2:$A$1041),--(NXT_COMPO!$P371=IDX_CA!$B$2:$B$1041),--(NXT_COMPO!$Q371=IDX_CA!$C$2:$C$1041),ROW(IDX_CA!$G$2:$G$1041))),""))</f>
        <v/>
      </c>
      <c r="K371" s="63" t="str">
        <f>IF($D371&lt;&gt;"",VLOOKUP($E371,STK_REF!$A$2:$J$1048576,7,0),"")</f>
        <v/>
      </c>
      <c r="L371" s="5" t="str">
        <f>IF($D371&lt;&gt;"",VLOOKUP($E371,STK_REF!$A$2:$J$1048576,8,0),"")</f>
        <v/>
      </c>
      <c r="M371" s="8" t="str">
        <f>IF($D371&lt;&gt;"",IF($K371=$U371,1,IF(ISNA(VLOOKUP($K371&amp;$U371,CUR_RATES!$A$2:$F$521,4,0)),"",VLOOKUP($K371&amp;$U371,CUR_RATES!$A$2:$F$521,4,0))),"")</f>
        <v/>
      </c>
      <c r="N371" s="61" t="str">
        <f t="shared" si="52"/>
        <v/>
      </c>
      <c r="O371" s="68" t="str">
        <f t="shared" si="53"/>
        <v/>
      </c>
      <c r="P371" s="24"/>
      <c r="Q371" s="2" t="str">
        <f>IF(ROW(Q371)-ROW($E$1)&lt;=$B$4,INDEX(IDX_COMPO!F:F,ROW(IDX_COMPO!#REF!)),"")</f>
        <v/>
      </c>
      <c r="R371" s="68" t="str">
        <f t="shared" si="54"/>
        <v/>
      </c>
      <c r="S371" s="61" t="str">
        <f t="shared" si="55"/>
        <v/>
      </c>
      <c r="T371" s="62" t="str">
        <f>IF(D371&lt;&gt;"",IF(SUMPRODUCT(--($E371=STK_DIV!$A$2:$A$5),--(NXT_COMPO!$Q371=STK_DIV!$E$2:$E$5),ROW(STK_DIV!$D$2:$D$5))=0,"",INDEX(STK_DIV!$D$1:$D$5,SUMPRODUCT(--($E371=STK_DIV!$A$2:$A$5),--(NXT_COMPO!$Q371=STK_DIV!$E$2:$E$5),ROW(STK_DIV!$D$2:$D$5)))),"")</f>
        <v/>
      </c>
      <c r="U371" s="54" t="str">
        <f>IF($D371&lt;&gt;"",VLOOKUP($P371,IDX_REF!$2:$1048576,4,0),"")</f>
        <v/>
      </c>
    </row>
    <row r="372" spans="4:21" x14ac:dyDescent="0.2">
      <c r="D372" s="52" t="str">
        <f t="shared" si="50"/>
        <v/>
      </c>
      <c r="E372" s="5" t="str">
        <f t="shared" si="51"/>
        <v/>
      </c>
      <c r="F372" s="5" t="str">
        <f>IF(ROW(F372)-ROW($E$1)&lt;=$B$1-$B$2,INDEX(IDX_COMPO!B:B,ROW(IDX_COMPO!#REF!)),IF(ROW(E372)-ROW($E$1)&lt;=$B$4,VLOOKUP(E372,STK_REF!$A$2:$J$1048576,2,0),""))</f>
        <v/>
      </c>
      <c r="J372" s="62" t="str">
        <f>IF($D372&lt;=$B$1-$B$2,IF(INDEX($AA$2:$AA$1048576,MATCH($D372,$AB$2:$AB$1048576,0))="MODIFY",INDEX(IDX_CA!$G$1:$G$1041,SUMPRODUCT(--($E372=IDX_CA!$A$2:$A$1041),--(NXT_COMPO!$P372=IDX_CA!$B$2:$B$1041),--(NXT_COMPO!$Q372=IDX_CA!$C$2:$C$1041),ROW(IDX_CA!$G$2:$G$1041))),INDEX(IDX_COMPOSITION!$F$1:$F$441,SUMPRODUCT(--($E372=IDX_COMPOSITION!$A$2:$A$441),--(NXT_COMPO!$P372=IDX_COMPOSITION!$R$2:$R$441),--(NXT_COMPO!$B$5=IDX_COMPOSITION!$L$2:$L$441),ROW(IDX_COMPOSITION!$F$2:$F$441)))),IF($D372&lt;=$B$4,INDEX(IDX_CA!$G$1:$G$1041,SUMPRODUCT(--($E372=IDX_CA!$A$2:$A$1041),--(NXT_COMPO!$P372=IDX_CA!$B$2:$B$1041),--(NXT_COMPO!$Q372=IDX_CA!$C$2:$C$1041),ROW(IDX_CA!$G$2:$G$1041))),""))</f>
        <v/>
      </c>
      <c r="K372" s="63" t="str">
        <f>IF($D372&lt;&gt;"",VLOOKUP($E372,STK_REF!$A$2:$J$1048576,7,0),"")</f>
        <v/>
      </c>
      <c r="L372" s="5" t="str">
        <f>IF($D372&lt;&gt;"",VLOOKUP($E372,STK_REF!$A$2:$J$1048576,8,0),"")</f>
        <v/>
      </c>
      <c r="M372" s="8" t="str">
        <f>IF($D372&lt;&gt;"",IF($K372=$U372,1,IF(ISNA(VLOOKUP($K372&amp;$U372,CUR_RATES!$A$2:$F$521,4,0)),"",VLOOKUP($K372&amp;$U372,CUR_RATES!$A$2:$F$521,4,0))),"")</f>
        <v/>
      </c>
      <c r="N372" s="61" t="str">
        <f t="shared" si="52"/>
        <v/>
      </c>
      <c r="O372" s="68" t="str">
        <f t="shared" si="53"/>
        <v/>
      </c>
      <c r="P372" s="24"/>
      <c r="Q372" s="2" t="str">
        <f>IF(ROW(Q372)-ROW($E$1)&lt;=$B$4,INDEX(IDX_COMPO!F:F,ROW(IDX_COMPO!#REF!)),"")</f>
        <v/>
      </c>
      <c r="R372" s="68" t="str">
        <f t="shared" si="54"/>
        <v/>
      </c>
      <c r="S372" s="61" t="str">
        <f t="shared" si="55"/>
        <v/>
      </c>
      <c r="T372" s="62" t="str">
        <f>IF(D372&lt;&gt;"",IF(SUMPRODUCT(--($E372=STK_DIV!$A$2:$A$5),--(NXT_COMPO!$Q372=STK_DIV!$E$2:$E$5),ROW(STK_DIV!$D$2:$D$5))=0,"",INDEX(STK_DIV!$D$1:$D$5,SUMPRODUCT(--($E372=STK_DIV!$A$2:$A$5),--(NXT_COMPO!$Q372=STK_DIV!$E$2:$E$5),ROW(STK_DIV!$D$2:$D$5)))),"")</f>
        <v/>
      </c>
      <c r="U372" s="54" t="str">
        <f>IF($D372&lt;&gt;"",VLOOKUP($P372,IDX_REF!$2:$1048576,4,0),"")</f>
        <v/>
      </c>
    </row>
    <row r="373" spans="4:21" x14ac:dyDescent="0.2">
      <c r="D373" s="52" t="str">
        <f t="shared" si="50"/>
        <v/>
      </c>
      <c r="E373" s="5" t="str">
        <f t="shared" si="51"/>
        <v/>
      </c>
      <c r="F373" s="5" t="str">
        <f>IF(ROW(F373)-ROW($E$1)&lt;=$B$1-$B$2,INDEX(IDX_COMPO!B:B,ROW(IDX_COMPO!#REF!)),IF(ROW(E373)-ROW($E$1)&lt;=$B$4,VLOOKUP(E373,STK_REF!$A$2:$J$1048576,2,0),""))</f>
        <v/>
      </c>
      <c r="J373" s="62" t="str">
        <f>IF($D373&lt;=$B$1-$B$2,IF(INDEX($AA$2:$AA$1048576,MATCH($D373,$AB$2:$AB$1048576,0))="MODIFY",INDEX(IDX_CA!$G$1:$G$1041,SUMPRODUCT(--($E373=IDX_CA!$A$2:$A$1041),--(NXT_COMPO!$P373=IDX_CA!$B$2:$B$1041),--(NXT_COMPO!$Q373=IDX_CA!$C$2:$C$1041),ROW(IDX_CA!$G$2:$G$1041))),INDEX(IDX_COMPOSITION!$F$1:$F$441,SUMPRODUCT(--($E373=IDX_COMPOSITION!$A$2:$A$441),--(NXT_COMPO!$P373=IDX_COMPOSITION!$R$2:$R$441),--(NXT_COMPO!$B$5=IDX_COMPOSITION!$L$2:$L$441),ROW(IDX_COMPOSITION!$F$2:$F$441)))),IF($D373&lt;=$B$4,INDEX(IDX_CA!$G$1:$G$1041,SUMPRODUCT(--($E373=IDX_CA!$A$2:$A$1041),--(NXT_COMPO!$P373=IDX_CA!$B$2:$B$1041),--(NXT_COMPO!$Q373=IDX_CA!$C$2:$C$1041),ROW(IDX_CA!$G$2:$G$1041))),""))</f>
        <v/>
      </c>
      <c r="K373" s="63" t="str">
        <f>IF($D373&lt;&gt;"",VLOOKUP($E373,STK_REF!$A$2:$J$1048576,7,0),"")</f>
        <v/>
      </c>
      <c r="L373" s="5" t="str">
        <f>IF($D373&lt;&gt;"",VLOOKUP($E373,STK_REF!$A$2:$J$1048576,8,0),"")</f>
        <v/>
      </c>
      <c r="M373" s="8" t="str">
        <f>IF($D373&lt;&gt;"",IF($K373=$U373,1,IF(ISNA(VLOOKUP($K373&amp;$U373,CUR_RATES!$A$2:$F$521,4,0)),"",VLOOKUP($K373&amp;$U373,CUR_RATES!$A$2:$F$521,4,0))),"")</f>
        <v/>
      </c>
      <c r="N373" s="61" t="str">
        <f t="shared" si="52"/>
        <v/>
      </c>
      <c r="O373" s="68" t="str">
        <f t="shared" si="53"/>
        <v/>
      </c>
      <c r="P373" s="24"/>
      <c r="Q373" s="2" t="str">
        <f>IF(ROW(Q373)-ROW($E$1)&lt;=$B$4,INDEX(IDX_COMPO!F:F,ROW(IDX_COMPO!#REF!)),"")</f>
        <v/>
      </c>
      <c r="R373" s="68" t="str">
        <f t="shared" si="54"/>
        <v/>
      </c>
      <c r="S373" s="61" t="str">
        <f t="shared" si="55"/>
        <v/>
      </c>
      <c r="T373" s="62" t="str">
        <f>IF(D373&lt;&gt;"",IF(SUMPRODUCT(--($E373=STK_DIV!$A$2:$A$5),--(NXT_COMPO!$Q373=STK_DIV!$E$2:$E$5),ROW(STK_DIV!$D$2:$D$5))=0,"",INDEX(STK_DIV!$D$1:$D$5,SUMPRODUCT(--($E373=STK_DIV!$A$2:$A$5),--(NXT_COMPO!$Q373=STK_DIV!$E$2:$E$5),ROW(STK_DIV!$D$2:$D$5)))),"")</f>
        <v/>
      </c>
      <c r="U373" s="54" t="str">
        <f>IF($D373&lt;&gt;"",VLOOKUP($P373,IDX_REF!$2:$1048576,4,0),"")</f>
        <v/>
      </c>
    </row>
    <row r="374" spans="4:21" x14ac:dyDescent="0.2">
      <c r="D374" s="52" t="str">
        <f t="shared" si="50"/>
        <v/>
      </c>
      <c r="E374" s="5" t="str">
        <f t="shared" si="51"/>
        <v/>
      </c>
      <c r="F374" s="5" t="str">
        <f>IF(ROW(F374)-ROW($E$1)&lt;=$B$1-$B$2,INDEX(IDX_COMPO!B:B,ROW(IDX_COMPO!#REF!)),IF(ROW(E374)-ROW($E$1)&lt;=$B$4,VLOOKUP(E374,STK_REF!$A$2:$J$1048576,2,0),""))</f>
        <v/>
      </c>
      <c r="J374" s="62" t="str">
        <f>IF($D374&lt;=$B$1-$B$2,IF(INDEX($AA$2:$AA$1048576,MATCH($D374,$AB$2:$AB$1048576,0))="MODIFY",INDEX(IDX_CA!$G$1:$G$1041,SUMPRODUCT(--($E374=IDX_CA!$A$2:$A$1041),--(NXT_COMPO!$P374=IDX_CA!$B$2:$B$1041),--(NXT_COMPO!$Q374=IDX_CA!$C$2:$C$1041),ROW(IDX_CA!$G$2:$G$1041))),INDEX(IDX_COMPOSITION!$F$1:$F$441,SUMPRODUCT(--($E374=IDX_COMPOSITION!$A$2:$A$441),--(NXT_COMPO!$P374=IDX_COMPOSITION!$R$2:$R$441),--(NXT_COMPO!$B$5=IDX_COMPOSITION!$L$2:$L$441),ROW(IDX_COMPOSITION!$F$2:$F$441)))),IF($D374&lt;=$B$4,INDEX(IDX_CA!$G$1:$G$1041,SUMPRODUCT(--($E374=IDX_CA!$A$2:$A$1041),--(NXT_COMPO!$P374=IDX_CA!$B$2:$B$1041),--(NXT_COMPO!$Q374=IDX_CA!$C$2:$C$1041),ROW(IDX_CA!$G$2:$G$1041))),""))</f>
        <v/>
      </c>
      <c r="K374" s="63" t="str">
        <f>IF($D374&lt;&gt;"",VLOOKUP($E374,STK_REF!$A$2:$J$1048576,7,0),"")</f>
        <v/>
      </c>
      <c r="L374" s="5" t="str">
        <f>IF($D374&lt;&gt;"",VLOOKUP($E374,STK_REF!$A$2:$J$1048576,8,0),"")</f>
        <v/>
      </c>
      <c r="M374" s="8" t="str">
        <f>IF($D374&lt;&gt;"",IF($K374=$U374,1,IF(ISNA(VLOOKUP($K374&amp;$U374,CUR_RATES!$A$2:$F$521,4,0)),"",VLOOKUP($K374&amp;$U374,CUR_RATES!$A$2:$F$521,4,0))),"")</f>
        <v/>
      </c>
      <c r="N374" s="61" t="str">
        <f t="shared" si="52"/>
        <v/>
      </c>
      <c r="O374" s="68" t="str">
        <f t="shared" si="53"/>
        <v/>
      </c>
      <c r="P374" s="24"/>
      <c r="Q374" s="2" t="str">
        <f>IF(ROW(Q374)-ROW($E$1)&lt;=$B$4,INDEX(IDX_COMPO!F:F,ROW(IDX_COMPO!#REF!)),"")</f>
        <v/>
      </c>
      <c r="R374" s="68" t="str">
        <f t="shared" si="54"/>
        <v/>
      </c>
      <c r="S374" s="61" t="str">
        <f t="shared" si="55"/>
        <v/>
      </c>
      <c r="T374" s="62" t="str">
        <f>IF(D374&lt;&gt;"",IF(SUMPRODUCT(--($E374=STK_DIV!$A$2:$A$5),--(NXT_COMPO!$Q374=STK_DIV!$E$2:$E$5),ROW(STK_DIV!$D$2:$D$5))=0,"",INDEX(STK_DIV!$D$1:$D$5,SUMPRODUCT(--($E374=STK_DIV!$A$2:$A$5),--(NXT_COMPO!$Q374=STK_DIV!$E$2:$E$5),ROW(STK_DIV!$D$2:$D$5)))),"")</f>
        <v/>
      </c>
      <c r="U374" s="54" t="str">
        <f>IF($D374&lt;&gt;"",VLOOKUP($P374,IDX_REF!$2:$1048576,4,0),"")</f>
        <v/>
      </c>
    </row>
    <row r="375" spans="4:21" x14ac:dyDescent="0.2">
      <c r="D375" s="52" t="str">
        <f t="shared" si="50"/>
        <v/>
      </c>
      <c r="E375" s="5" t="str">
        <f t="shared" si="51"/>
        <v/>
      </c>
      <c r="F375" s="5" t="str">
        <f>IF(ROW(F375)-ROW($E$1)&lt;=$B$1-$B$2,INDEX(IDX_COMPO!B:B,ROW(IDX_COMPO!#REF!)),IF(ROW(E375)-ROW($E$1)&lt;=$B$4,VLOOKUP(E375,STK_REF!$A$2:$J$1048576,2,0),""))</f>
        <v/>
      </c>
      <c r="J375" s="62" t="str">
        <f>IF($D375&lt;=$B$1-$B$2,IF(INDEX($AA$2:$AA$1048576,MATCH($D375,$AB$2:$AB$1048576,0))="MODIFY",INDEX(IDX_CA!$G$1:$G$1041,SUMPRODUCT(--($E375=IDX_CA!$A$2:$A$1041),--(NXT_COMPO!$P375=IDX_CA!$B$2:$B$1041),--(NXT_COMPO!$Q375=IDX_CA!$C$2:$C$1041),ROW(IDX_CA!$G$2:$G$1041))),INDEX(IDX_COMPOSITION!$F$1:$F$441,SUMPRODUCT(--($E375=IDX_COMPOSITION!$A$2:$A$441),--(NXT_COMPO!$P375=IDX_COMPOSITION!$R$2:$R$441),--(NXT_COMPO!$B$5=IDX_COMPOSITION!$L$2:$L$441),ROW(IDX_COMPOSITION!$F$2:$F$441)))),IF($D375&lt;=$B$4,INDEX(IDX_CA!$G$1:$G$1041,SUMPRODUCT(--($E375=IDX_CA!$A$2:$A$1041),--(NXT_COMPO!$P375=IDX_CA!$B$2:$B$1041),--(NXT_COMPO!$Q375=IDX_CA!$C$2:$C$1041),ROW(IDX_CA!$G$2:$G$1041))),""))</f>
        <v/>
      </c>
      <c r="K375" s="63" t="str">
        <f>IF($D375&lt;&gt;"",VLOOKUP($E375,STK_REF!$A$2:$J$1048576,7,0),"")</f>
        <v/>
      </c>
      <c r="L375" s="5" t="str">
        <f>IF($D375&lt;&gt;"",VLOOKUP($E375,STK_REF!$A$2:$J$1048576,8,0),"")</f>
        <v/>
      </c>
      <c r="M375" s="8" t="str">
        <f>IF($D375&lt;&gt;"",IF($K375=$U375,1,IF(ISNA(VLOOKUP($K375&amp;$U375,CUR_RATES!$A$2:$F$521,4,0)),"",VLOOKUP($K375&amp;$U375,CUR_RATES!$A$2:$F$521,4,0))),"")</f>
        <v/>
      </c>
      <c r="N375" s="61" t="str">
        <f t="shared" si="52"/>
        <v/>
      </c>
      <c r="O375" s="68" t="str">
        <f t="shared" si="53"/>
        <v/>
      </c>
      <c r="P375" s="24"/>
      <c r="Q375" s="2" t="str">
        <f>IF(ROW(Q375)-ROW($E$1)&lt;=$B$4,INDEX(IDX_COMPO!F:F,ROW(IDX_COMPO!#REF!)),"")</f>
        <v/>
      </c>
      <c r="R375" s="68" t="str">
        <f t="shared" si="54"/>
        <v/>
      </c>
      <c r="S375" s="61" t="str">
        <f t="shared" si="55"/>
        <v/>
      </c>
      <c r="T375" s="62" t="str">
        <f>IF(D375&lt;&gt;"",IF(SUMPRODUCT(--($E375=STK_DIV!$A$2:$A$5),--(NXT_COMPO!$Q375=STK_DIV!$E$2:$E$5),ROW(STK_DIV!$D$2:$D$5))=0,"",INDEX(STK_DIV!$D$1:$D$5,SUMPRODUCT(--($E375=STK_DIV!$A$2:$A$5),--(NXT_COMPO!$Q375=STK_DIV!$E$2:$E$5),ROW(STK_DIV!$D$2:$D$5)))),"")</f>
        <v/>
      </c>
      <c r="U375" s="54" t="str">
        <f>IF($D375&lt;&gt;"",VLOOKUP($P375,IDX_REF!$2:$1048576,4,0),"")</f>
        <v/>
      </c>
    </row>
    <row r="376" spans="4:21" x14ac:dyDescent="0.2">
      <c r="D376" s="52" t="str">
        <f t="shared" si="50"/>
        <v/>
      </c>
      <c r="E376" s="5" t="str">
        <f t="shared" si="51"/>
        <v/>
      </c>
      <c r="F376" s="5" t="str">
        <f>IF(ROW(F376)-ROW($E$1)&lt;=$B$1-$B$2,INDEX(IDX_COMPO!B:B,ROW(IDX_COMPO!#REF!)),IF(ROW(E376)-ROW($E$1)&lt;=$B$4,VLOOKUP(E376,STK_REF!$A$2:$J$1048576,2,0),""))</f>
        <v/>
      </c>
      <c r="J376" s="62" t="str">
        <f>IF($D376&lt;=$B$1-$B$2,IF(INDEX($AA$2:$AA$1048576,MATCH($D376,$AB$2:$AB$1048576,0))="MODIFY",INDEX(IDX_CA!$G$1:$G$1041,SUMPRODUCT(--($E376=IDX_CA!$A$2:$A$1041),--(NXT_COMPO!$P376=IDX_CA!$B$2:$B$1041),--(NXT_COMPO!$Q376=IDX_CA!$C$2:$C$1041),ROW(IDX_CA!$G$2:$G$1041))),INDEX(IDX_COMPOSITION!$F$1:$F$441,SUMPRODUCT(--($E376=IDX_COMPOSITION!$A$2:$A$441),--(NXT_COMPO!$P376=IDX_COMPOSITION!$R$2:$R$441),--(NXT_COMPO!$B$5=IDX_COMPOSITION!$L$2:$L$441),ROW(IDX_COMPOSITION!$F$2:$F$441)))),IF($D376&lt;=$B$4,INDEX(IDX_CA!$G$1:$G$1041,SUMPRODUCT(--($E376=IDX_CA!$A$2:$A$1041),--(NXT_COMPO!$P376=IDX_CA!$B$2:$B$1041),--(NXT_COMPO!$Q376=IDX_CA!$C$2:$C$1041),ROW(IDX_CA!$G$2:$G$1041))),""))</f>
        <v/>
      </c>
      <c r="K376" s="63" t="str">
        <f>IF($D376&lt;&gt;"",VLOOKUP($E376,STK_REF!$A$2:$J$1048576,7,0),"")</f>
        <v/>
      </c>
      <c r="L376" s="5" t="str">
        <f>IF($D376&lt;&gt;"",VLOOKUP($E376,STK_REF!$A$2:$J$1048576,8,0),"")</f>
        <v/>
      </c>
      <c r="M376" s="8" t="str">
        <f>IF($D376&lt;&gt;"",IF($K376=$U376,1,IF(ISNA(VLOOKUP($K376&amp;$U376,CUR_RATES!$A$2:$F$521,4,0)),"",VLOOKUP($K376&amp;$U376,CUR_RATES!$A$2:$F$521,4,0))),"")</f>
        <v/>
      </c>
      <c r="N376" s="61" t="str">
        <f t="shared" si="52"/>
        <v/>
      </c>
      <c r="O376" s="68" t="str">
        <f t="shared" si="53"/>
        <v/>
      </c>
      <c r="P376" s="24"/>
      <c r="Q376" s="2" t="str">
        <f>IF(ROW(Q376)-ROW($E$1)&lt;=$B$4,INDEX(IDX_COMPO!F:F,ROW(IDX_COMPO!#REF!)),"")</f>
        <v/>
      </c>
      <c r="R376" s="68" t="str">
        <f t="shared" si="54"/>
        <v/>
      </c>
      <c r="S376" s="61" t="str">
        <f t="shared" si="55"/>
        <v/>
      </c>
      <c r="T376" s="62" t="str">
        <f>IF(D376&lt;&gt;"",IF(SUMPRODUCT(--($E376=STK_DIV!$A$2:$A$5),--(NXT_COMPO!$Q376=STK_DIV!$E$2:$E$5),ROW(STK_DIV!$D$2:$D$5))=0,"",INDEX(STK_DIV!$D$1:$D$5,SUMPRODUCT(--($E376=STK_DIV!$A$2:$A$5),--(NXT_COMPO!$Q376=STK_DIV!$E$2:$E$5),ROW(STK_DIV!$D$2:$D$5)))),"")</f>
        <v/>
      </c>
      <c r="U376" s="54" t="str">
        <f>IF($D376&lt;&gt;"",VLOOKUP($P376,IDX_REF!$2:$1048576,4,0),"")</f>
        <v/>
      </c>
    </row>
    <row r="377" spans="4:21" x14ac:dyDescent="0.2">
      <c r="D377" s="52" t="str">
        <f t="shared" si="50"/>
        <v/>
      </c>
      <c r="E377" s="5" t="str">
        <f t="shared" si="51"/>
        <v/>
      </c>
      <c r="F377" s="5" t="str">
        <f>IF(ROW(F377)-ROW($E$1)&lt;=$B$1-$B$2,INDEX(IDX_COMPO!B:B,ROW(IDX_COMPO!#REF!)),IF(ROW(E377)-ROW($E$1)&lt;=$B$4,VLOOKUP(E377,STK_REF!$A$2:$J$1048576,2,0),""))</f>
        <v/>
      </c>
      <c r="J377" s="62" t="str">
        <f>IF($D377&lt;=$B$1-$B$2,IF(INDEX($AA$2:$AA$1048576,MATCH($D377,$AB$2:$AB$1048576,0))="MODIFY",INDEX(IDX_CA!$G$1:$G$1041,SUMPRODUCT(--($E377=IDX_CA!$A$2:$A$1041),--(NXT_COMPO!$P377=IDX_CA!$B$2:$B$1041),--(NXT_COMPO!$Q377=IDX_CA!$C$2:$C$1041),ROW(IDX_CA!$G$2:$G$1041))),INDEX(IDX_COMPOSITION!$F$1:$F$441,SUMPRODUCT(--($E377=IDX_COMPOSITION!$A$2:$A$441),--(NXT_COMPO!$P377=IDX_COMPOSITION!$R$2:$R$441),--(NXT_COMPO!$B$5=IDX_COMPOSITION!$L$2:$L$441),ROW(IDX_COMPOSITION!$F$2:$F$441)))),IF($D377&lt;=$B$4,INDEX(IDX_CA!$G$1:$G$1041,SUMPRODUCT(--($E377=IDX_CA!$A$2:$A$1041),--(NXT_COMPO!$P377=IDX_CA!$B$2:$B$1041),--(NXT_COMPO!$Q377=IDX_CA!$C$2:$C$1041),ROW(IDX_CA!$G$2:$G$1041))),""))</f>
        <v/>
      </c>
      <c r="K377" s="63" t="str">
        <f>IF($D377&lt;&gt;"",VLOOKUP($E377,STK_REF!$A$2:$J$1048576,7,0),"")</f>
        <v/>
      </c>
      <c r="L377" s="5" t="str">
        <f>IF($D377&lt;&gt;"",VLOOKUP($E377,STK_REF!$A$2:$J$1048576,8,0),"")</f>
        <v/>
      </c>
      <c r="M377" s="8" t="str">
        <f>IF($D377&lt;&gt;"",IF($K377=$U377,1,IF(ISNA(VLOOKUP($K377&amp;$U377,CUR_RATES!$A$2:$F$521,4,0)),"",VLOOKUP($K377&amp;$U377,CUR_RATES!$A$2:$F$521,4,0))),"")</f>
        <v/>
      </c>
      <c r="N377" s="61" t="str">
        <f t="shared" si="52"/>
        <v/>
      </c>
      <c r="O377" s="68" t="str">
        <f t="shared" si="53"/>
        <v/>
      </c>
      <c r="P377" s="24"/>
      <c r="Q377" s="2" t="str">
        <f>IF(ROW(Q377)-ROW($E$1)&lt;=$B$4,INDEX(IDX_COMPO!F:F,ROW(IDX_COMPO!#REF!)),"")</f>
        <v/>
      </c>
      <c r="R377" s="68" t="str">
        <f t="shared" si="54"/>
        <v/>
      </c>
      <c r="S377" s="61" t="str">
        <f t="shared" si="55"/>
        <v/>
      </c>
      <c r="T377" s="62" t="str">
        <f>IF(D377&lt;&gt;"",IF(SUMPRODUCT(--($E377=STK_DIV!$A$2:$A$5),--(NXT_COMPO!$Q377=STK_DIV!$E$2:$E$5),ROW(STK_DIV!$D$2:$D$5))=0,"",INDEX(STK_DIV!$D$1:$D$5,SUMPRODUCT(--($E377=STK_DIV!$A$2:$A$5),--(NXT_COMPO!$Q377=STK_DIV!$E$2:$E$5),ROW(STK_DIV!$D$2:$D$5)))),"")</f>
        <v/>
      </c>
      <c r="U377" s="54" t="str">
        <f>IF($D377&lt;&gt;"",VLOOKUP($P377,IDX_REF!$2:$1048576,4,0),"")</f>
        <v/>
      </c>
    </row>
    <row r="378" spans="4:21" x14ac:dyDescent="0.2">
      <c r="D378" s="52" t="str">
        <f t="shared" si="50"/>
        <v/>
      </c>
      <c r="E378" s="5" t="str">
        <f t="shared" si="51"/>
        <v/>
      </c>
      <c r="F378" s="5" t="str">
        <f>IF(ROW(F378)-ROW($E$1)&lt;=$B$1-$B$2,INDEX(IDX_COMPO!B:B,ROW(IDX_COMPO!#REF!)),IF(ROW(E378)-ROW($E$1)&lt;=$B$4,VLOOKUP(E378,STK_REF!$A$2:$J$1048576,2,0),""))</f>
        <v/>
      </c>
      <c r="J378" s="62" t="str">
        <f>IF($D378&lt;=$B$1-$B$2,IF(INDEX($AA$2:$AA$1048576,MATCH($D378,$AB$2:$AB$1048576,0))="MODIFY",INDEX(IDX_CA!$G$1:$G$1041,SUMPRODUCT(--($E378=IDX_CA!$A$2:$A$1041),--(NXT_COMPO!$P378=IDX_CA!$B$2:$B$1041),--(NXT_COMPO!$Q378=IDX_CA!$C$2:$C$1041),ROW(IDX_CA!$G$2:$G$1041))),INDEX(IDX_COMPOSITION!$F$1:$F$441,SUMPRODUCT(--($E378=IDX_COMPOSITION!$A$2:$A$441),--(NXT_COMPO!$P378=IDX_COMPOSITION!$R$2:$R$441),--(NXT_COMPO!$B$5=IDX_COMPOSITION!$L$2:$L$441),ROW(IDX_COMPOSITION!$F$2:$F$441)))),IF($D378&lt;=$B$4,INDEX(IDX_CA!$G$1:$G$1041,SUMPRODUCT(--($E378=IDX_CA!$A$2:$A$1041),--(NXT_COMPO!$P378=IDX_CA!$B$2:$B$1041),--(NXT_COMPO!$Q378=IDX_CA!$C$2:$C$1041),ROW(IDX_CA!$G$2:$G$1041))),""))</f>
        <v/>
      </c>
      <c r="K378" s="63" t="str">
        <f>IF($D378&lt;&gt;"",VLOOKUP($E378,STK_REF!$A$2:$J$1048576,7,0),"")</f>
        <v/>
      </c>
      <c r="L378" s="5" t="str">
        <f>IF($D378&lt;&gt;"",VLOOKUP($E378,STK_REF!$A$2:$J$1048576,8,0),"")</f>
        <v/>
      </c>
      <c r="M378" s="8" t="str">
        <f>IF($D378&lt;&gt;"",IF($K378=$U378,1,IF(ISNA(VLOOKUP($K378&amp;$U378,CUR_RATES!$A$2:$F$521,4,0)),"",VLOOKUP($K378&amp;$U378,CUR_RATES!$A$2:$F$521,4,0))),"")</f>
        <v/>
      </c>
      <c r="N378" s="61" t="str">
        <f t="shared" si="52"/>
        <v/>
      </c>
      <c r="O378" s="68" t="str">
        <f t="shared" si="53"/>
        <v/>
      </c>
      <c r="P378" s="24"/>
      <c r="Q378" s="2" t="str">
        <f>IF(ROW(Q378)-ROW($E$1)&lt;=$B$4,INDEX(IDX_COMPO!F:F,ROW(IDX_COMPO!#REF!)),"")</f>
        <v/>
      </c>
      <c r="R378" s="68" t="str">
        <f t="shared" si="54"/>
        <v/>
      </c>
      <c r="S378" s="61" t="str">
        <f t="shared" si="55"/>
        <v/>
      </c>
      <c r="T378" s="62" t="str">
        <f>IF(D378&lt;&gt;"",IF(SUMPRODUCT(--($E378=STK_DIV!$A$2:$A$5),--(NXT_COMPO!$Q378=STK_DIV!$E$2:$E$5),ROW(STK_DIV!$D$2:$D$5))=0,"",INDEX(STK_DIV!$D$1:$D$5,SUMPRODUCT(--($E378=STK_DIV!$A$2:$A$5),--(NXT_COMPO!$Q378=STK_DIV!$E$2:$E$5),ROW(STK_DIV!$D$2:$D$5)))),"")</f>
        <v/>
      </c>
      <c r="U378" s="54" t="str">
        <f>IF($D378&lt;&gt;"",VLOOKUP($P378,IDX_REF!$2:$1048576,4,0),"")</f>
        <v/>
      </c>
    </row>
    <row r="379" spans="4:21" x14ac:dyDescent="0.2">
      <c r="D379" s="52" t="str">
        <f t="shared" si="50"/>
        <v/>
      </c>
      <c r="E379" s="5" t="str">
        <f t="shared" si="51"/>
        <v/>
      </c>
      <c r="F379" s="5" t="str">
        <f>IF(ROW(F379)-ROW($E$1)&lt;=$B$1-$B$2,INDEX(IDX_COMPO!B:B,ROW(IDX_COMPO!#REF!)),IF(ROW(E379)-ROW($E$1)&lt;=$B$4,VLOOKUP(E379,STK_REF!$A$2:$J$1048576,2,0),""))</f>
        <v/>
      </c>
      <c r="J379" s="62" t="str">
        <f>IF($D379&lt;=$B$1-$B$2,IF(INDEX($AA$2:$AA$1048576,MATCH($D379,$AB$2:$AB$1048576,0))="MODIFY",INDEX(IDX_CA!$G$1:$G$1041,SUMPRODUCT(--($E379=IDX_CA!$A$2:$A$1041),--(NXT_COMPO!$P379=IDX_CA!$B$2:$B$1041),--(NXT_COMPO!$Q379=IDX_CA!$C$2:$C$1041),ROW(IDX_CA!$G$2:$G$1041))),INDEX(IDX_COMPOSITION!$F$1:$F$441,SUMPRODUCT(--($E379=IDX_COMPOSITION!$A$2:$A$441),--(NXT_COMPO!$P379=IDX_COMPOSITION!$R$2:$R$441),--(NXT_COMPO!$B$5=IDX_COMPOSITION!$L$2:$L$441),ROW(IDX_COMPOSITION!$F$2:$F$441)))),IF($D379&lt;=$B$4,INDEX(IDX_CA!$G$1:$G$1041,SUMPRODUCT(--($E379=IDX_CA!$A$2:$A$1041),--(NXT_COMPO!$P379=IDX_CA!$B$2:$B$1041),--(NXT_COMPO!$Q379=IDX_CA!$C$2:$C$1041),ROW(IDX_CA!$G$2:$G$1041))),""))</f>
        <v/>
      </c>
      <c r="K379" s="63" t="str">
        <f>IF($D379&lt;&gt;"",VLOOKUP($E379,STK_REF!$A$2:$J$1048576,7,0),"")</f>
        <v/>
      </c>
      <c r="L379" s="5" t="str">
        <f>IF($D379&lt;&gt;"",VLOOKUP($E379,STK_REF!$A$2:$J$1048576,8,0),"")</f>
        <v/>
      </c>
      <c r="M379" s="8" t="str">
        <f>IF($D379&lt;&gt;"",IF($K379=$U379,1,IF(ISNA(VLOOKUP($K379&amp;$U379,CUR_RATES!$A$2:$F$521,4,0)),"",VLOOKUP($K379&amp;$U379,CUR_RATES!$A$2:$F$521,4,0))),"")</f>
        <v/>
      </c>
      <c r="N379" s="61" t="str">
        <f t="shared" si="52"/>
        <v/>
      </c>
      <c r="O379" s="68" t="str">
        <f t="shared" si="53"/>
        <v/>
      </c>
      <c r="P379" s="24"/>
      <c r="Q379" s="2" t="str">
        <f>IF(ROW(Q379)-ROW($E$1)&lt;=$B$4,INDEX(IDX_COMPO!F:F,ROW(IDX_COMPO!#REF!)),"")</f>
        <v/>
      </c>
      <c r="R379" s="68" t="str">
        <f t="shared" si="54"/>
        <v/>
      </c>
      <c r="S379" s="61" t="str">
        <f t="shared" si="55"/>
        <v/>
      </c>
      <c r="T379" s="62" t="str">
        <f>IF(D379&lt;&gt;"",IF(SUMPRODUCT(--($E379=STK_DIV!$A$2:$A$5),--(NXT_COMPO!$Q379=STK_DIV!$E$2:$E$5),ROW(STK_DIV!$D$2:$D$5))=0,"",INDEX(STK_DIV!$D$1:$D$5,SUMPRODUCT(--($E379=STK_DIV!$A$2:$A$5),--(NXT_COMPO!$Q379=STK_DIV!$E$2:$E$5),ROW(STK_DIV!$D$2:$D$5)))),"")</f>
        <v/>
      </c>
      <c r="U379" s="54" t="str">
        <f>IF($D379&lt;&gt;"",VLOOKUP($P379,IDX_REF!$2:$1048576,4,0),"")</f>
        <v/>
      </c>
    </row>
    <row r="380" spans="4:21" x14ac:dyDescent="0.2">
      <c r="D380" s="52" t="str">
        <f t="shared" si="50"/>
        <v/>
      </c>
      <c r="E380" s="5" t="str">
        <f t="shared" si="51"/>
        <v/>
      </c>
      <c r="F380" s="5" t="str">
        <f>IF(ROW(F380)-ROW($E$1)&lt;=$B$1-$B$2,INDEX(IDX_COMPO!B:B,ROW(IDX_COMPO!#REF!)),IF(ROW(E380)-ROW($E$1)&lt;=$B$4,VLOOKUP(E380,STK_REF!$A$2:$J$1048576,2,0),""))</f>
        <v/>
      </c>
      <c r="J380" s="62" t="str">
        <f>IF($D380&lt;=$B$1-$B$2,IF(INDEX($AA$2:$AA$1048576,MATCH($D380,$AB$2:$AB$1048576,0))="MODIFY",INDEX(IDX_CA!$G$1:$G$1041,SUMPRODUCT(--($E380=IDX_CA!$A$2:$A$1041),--(NXT_COMPO!$P380=IDX_CA!$B$2:$B$1041),--(NXT_COMPO!$Q380=IDX_CA!$C$2:$C$1041),ROW(IDX_CA!$G$2:$G$1041))),INDEX(IDX_COMPOSITION!$F$1:$F$441,SUMPRODUCT(--($E380=IDX_COMPOSITION!$A$2:$A$441),--(NXT_COMPO!$P380=IDX_COMPOSITION!$R$2:$R$441),--(NXT_COMPO!$B$5=IDX_COMPOSITION!$L$2:$L$441),ROW(IDX_COMPOSITION!$F$2:$F$441)))),IF($D380&lt;=$B$4,INDEX(IDX_CA!$G$1:$G$1041,SUMPRODUCT(--($E380=IDX_CA!$A$2:$A$1041),--(NXT_COMPO!$P380=IDX_CA!$B$2:$B$1041),--(NXT_COMPO!$Q380=IDX_CA!$C$2:$C$1041),ROW(IDX_CA!$G$2:$G$1041))),""))</f>
        <v/>
      </c>
      <c r="K380" s="63" t="str">
        <f>IF($D380&lt;&gt;"",VLOOKUP($E380,STK_REF!$A$2:$J$1048576,7,0),"")</f>
        <v/>
      </c>
      <c r="L380" s="5" t="str">
        <f>IF($D380&lt;&gt;"",VLOOKUP($E380,STK_REF!$A$2:$J$1048576,8,0),"")</f>
        <v/>
      </c>
      <c r="M380" s="8" t="str">
        <f>IF($D380&lt;&gt;"",IF($K380=$U380,1,IF(ISNA(VLOOKUP($K380&amp;$U380,CUR_RATES!$A$2:$F$521,4,0)),"",VLOOKUP($K380&amp;$U380,CUR_RATES!$A$2:$F$521,4,0))),"")</f>
        <v/>
      </c>
      <c r="N380" s="61" t="str">
        <f t="shared" si="52"/>
        <v/>
      </c>
      <c r="O380" s="68" t="str">
        <f t="shared" si="53"/>
        <v/>
      </c>
      <c r="P380" s="24"/>
      <c r="Q380" s="2" t="str">
        <f>IF(ROW(Q380)-ROW($E$1)&lt;=$B$4,INDEX(IDX_COMPO!F:F,ROW(IDX_COMPO!#REF!)),"")</f>
        <v/>
      </c>
      <c r="R380" s="68" t="str">
        <f t="shared" si="54"/>
        <v/>
      </c>
      <c r="S380" s="61" t="str">
        <f t="shared" si="55"/>
        <v/>
      </c>
      <c r="T380" s="62" t="str">
        <f>IF(D380&lt;&gt;"",IF(SUMPRODUCT(--($E380=STK_DIV!$A$2:$A$5),--(NXT_COMPO!$Q380=STK_DIV!$E$2:$E$5),ROW(STK_DIV!$D$2:$D$5))=0,"",INDEX(STK_DIV!$D$1:$D$5,SUMPRODUCT(--($E380=STK_DIV!$A$2:$A$5),--(NXT_COMPO!$Q380=STK_DIV!$E$2:$E$5),ROW(STK_DIV!$D$2:$D$5)))),"")</f>
        <v/>
      </c>
      <c r="U380" s="54" t="str">
        <f>IF($D380&lt;&gt;"",VLOOKUP($P380,IDX_REF!$2:$1048576,4,0),"")</f>
        <v/>
      </c>
    </row>
    <row r="381" spans="4:21" x14ac:dyDescent="0.2">
      <c r="D381" s="52" t="str">
        <f t="shared" si="50"/>
        <v/>
      </c>
      <c r="E381" s="5" t="str">
        <f t="shared" si="51"/>
        <v/>
      </c>
      <c r="F381" s="5" t="str">
        <f>IF(ROW(F381)-ROW($E$1)&lt;=$B$1-$B$2,INDEX(IDX_COMPO!B:B,ROW(IDX_COMPO!#REF!)),IF(ROW(E381)-ROW($E$1)&lt;=$B$4,VLOOKUP(E381,STK_REF!$A$2:$J$1048576,2,0),""))</f>
        <v/>
      </c>
      <c r="J381" s="62" t="str">
        <f>IF($D381&lt;=$B$1-$B$2,IF(INDEX($AA$2:$AA$1048576,MATCH($D381,$AB$2:$AB$1048576,0))="MODIFY",INDEX(IDX_CA!$G$1:$G$1041,SUMPRODUCT(--($E381=IDX_CA!$A$2:$A$1041),--(NXT_COMPO!$P381=IDX_CA!$B$2:$B$1041),--(NXT_COMPO!$Q381=IDX_CA!$C$2:$C$1041),ROW(IDX_CA!$G$2:$G$1041))),INDEX(IDX_COMPOSITION!$F$1:$F$441,SUMPRODUCT(--($E381=IDX_COMPOSITION!$A$2:$A$441),--(NXT_COMPO!$P381=IDX_COMPOSITION!$R$2:$R$441),--(NXT_COMPO!$B$5=IDX_COMPOSITION!$L$2:$L$441),ROW(IDX_COMPOSITION!$F$2:$F$441)))),IF($D381&lt;=$B$4,INDEX(IDX_CA!$G$1:$G$1041,SUMPRODUCT(--($E381=IDX_CA!$A$2:$A$1041),--(NXT_COMPO!$P381=IDX_CA!$B$2:$B$1041),--(NXT_COMPO!$Q381=IDX_CA!$C$2:$C$1041),ROW(IDX_CA!$G$2:$G$1041))),""))</f>
        <v/>
      </c>
      <c r="K381" s="63" t="str">
        <f>IF($D381&lt;&gt;"",VLOOKUP($E381,STK_REF!$A$2:$J$1048576,7,0),"")</f>
        <v/>
      </c>
      <c r="L381" s="5" t="str">
        <f>IF($D381&lt;&gt;"",VLOOKUP($E381,STK_REF!$A$2:$J$1048576,8,0),"")</f>
        <v/>
      </c>
      <c r="M381" s="8" t="str">
        <f>IF($D381&lt;&gt;"",IF($K381=$U381,1,IF(ISNA(VLOOKUP($K381&amp;$U381,CUR_RATES!$A$2:$F$521,4,0)),"",VLOOKUP($K381&amp;$U381,CUR_RATES!$A$2:$F$521,4,0))),"")</f>
        <v/>
      </c>
      <c r="N381" s="61" t="str">
        <f t="shared" si="52"/>
        <v/>
      </c>
      <c r="O381" s="68" t="str">
        <f t="shared" si="53"/>
        <v/>
      </c>
      <c r="P381" s="24"/>
      <c r="Q381" s="2" t="str">
        <f>IF(ROW(Q381)-ROW($E$1)&lt;=$B$4,INDEX(IDX_COMPO!F:F,ROW(IDX_COMPO!#REF!)),"")</f>
        <v/>
      </c>
      <c r="R381" s="68" t="str">
        <f t="shared" si="54"/>
        <v/>
      </c>
      <c r="S381" s="61" t="str">
        <f t="shared" si="55"/>
        <v/>
      </c>
      <c r="T381" s="62" t="str">
        <f>IF(D381&lt;&gt;"",IF(SUMPRODUCT(--($E381=STK_DIV!$A$2:$A$5),--(NXT_COMPO!$Q381=STK_DIV!$E$2:$E$5),ROW(STK_DIV!$D$2:$D$5))=0,"",INDEX(STK_DIV!$D$1:$D$5,SUMPRODUCT(--($E381=STK_DIV!$A$2:$A$5),--(NXT_COMPO!$Q381=STK_DIV!$E$2:$E$5),ROW(STK_DIV!$D$2:$D$5)))),"")</f>
        <v/>
      </c>
      <c r="U381" s="54" t="str">
        <f>IF($D381&lt;&gt;"",VLOOKUP($P381,IDX_REF!$2:$1048576,4,0),"")</f>
        <v/>
      </c>
    </row>
    <row r="382" spans="4:21" x14ac:dyDescent="0.2">
      <c r="D382" s="52" t="str">
        <f t="shared" si="50"/>
        <v/>
      </c>
      <c r="E382" s="5" t="str">
        <f t="shared" si="51"/>
        <v/>
      </c>
      <c r="F382" s="5" t="str">
        <f>IF(ROW(F382)-ROW($E$1)&lt;=$B$1-$B$2,INDEX(IDX_COMPO!B:B,ROW(IDX_COMPO!#REF!)),IF(ROW(E382)-ROW($E$1)&lt;=$B$4,VLOOKUP(E382,STK_REF!$A$2:$J$1048576,2,0),""))</f>
        <v/>
      </c>
      <c r="J382" s="62" t="str">
        <f>IF($D382&lt;=$B$1-$B$2,IF(INDEX($AA$2:$AA$1048576,MATCH($D382,$AB$2:$AB$1048576,0))="MODIFY",INDEX(IDX_CA!$G$1:$G$1041,SUMPRODUCT(--($E382=IDX_CA!$A$2:$A$1041),--(NXT_COMPO!$P382=IDX_CA!$B$2:$B$1041),--(NXT_COMPO!$Q382=IDX_CA!$C$2:$C$1041),ROW(IDX_CA!$G$2:$G$1041))),INDEX(IDX_COMPOSITION!$F$1:$F$441,SUMPRODUCT(--($E382=IDX_COMPOSITION!$A$2:$A$441),--(NXT_COMPO!$P382=IDX_COMPOSITION!$R$2:$R$441),--(NXT_COMPO!$B$5=IDX_COMPOSITION!$L$2:$L$441),ROW(IDX_COMPOSITION!$F$2:$F$441)))),IF($D382&lt;=$B$4,INDEX(IDX_CA!$G$1:$G$1041,SUMPRODUCT(--($E382=IDX_CA!$A$2:$A$1041),--(NXT_COMPO!$P382=IDX_CA!$B$2:$B$1041),--(NXT_COMPO!$Q382=IDX_CA!$C$2:$C$1041),ROW(IDX_CA!$G$2:$G$1041))),""))</f>
        <v/>
      </c>
      <c r="K382" s="63" t="str">
        <f>IF($D382&lt;&gt;"",VLOOKUP($E382,STK_REF!$A$2:$J$1048576,7,0),"")</f>
        <v/>
      </c>
      <c r="L382" s="5" t="str">
        <f>IF($D382&lt;&gt;"",VLOOKUP($E382,STK_REF!$A$2:$J$1048576,8,0),"")</f>
        <v/>
      </c>
      <c r="M382" s="8" t="str">
        <f>IF($D382&lt;&gt;"",IF($K382=$U382,1,IF(ISNA(VLOOKUP($K382&amp;$U382,CUR_RATES!$A$2:$F$521,4,0)),"",VLOOKUP($K382&amp;$U382,CUR_RATES!$A$2:$F$521,4,0))),"")</f>
        <v/>
      </c>
      <c r="N382" s="61" t="str">
        <f t="shared" si="52"/>
        <v/>
      </c>
      <c r="O382" s="68" t="str">
        <f t="shared" si="53"/>
        <v/>
      </c>
      <c r="P382" s="24"/>
      <c r="Q382" s="2" t="str">
        <f>IF(ROW(Q382)-ROW($E$1)&lt;=$B$4,INDEX(IDX_COMPO!F:F,ROW(IDX_COMPO!#REF!)),"")</f>
        <v/>
      </c>
      <c r="R382" s="68" t="str">
        <f t="shared" si="54"/>
        <v/>
      </c>
      <c r="S382" s="61" t="str">
        <f t="shared" si="55"/>
        <v/>
      </c>
      <c r="T382" s="62" t="str">
        <f>IF(D382&lt;&gt;"",IF(SUMPRODUCT(--($E382=STK_DIV!$A$2:$A$5),--(NXT_COMPO!$Q382=STK_DIV!$E$2:$E$5),ROW(STK_DIV!$D$2:$D$5))=0,"",INDEX(STK_DIV!$D$1:$D$5,SUMPRODUCT(--($E382=STK_DIV!$A$2:$A$5),--(NXT_COMPO!$Q382=STK_DIV!$E$2:$E$5),ROW(STK_DIV!$D$2:$D$5)))),"")</f>
        <v/>
      </c>
      <c r="U382" s="54" t="str">
        <f>IF($D382&lt;&gt;"",VLOOKUP($P382,IDX_REF!$2:$1048576,4,0),"")</f>
        <v/>
      </c>
    </row>
    <row r="383" spans="4:21" x14ac:dyDescent="0.2">
      <c r="D383" s="52" t="str">
        <f t="shared" si="50"/>
        <v/>
      </c>
      <c r="E383" s="5" t="str">
        <f t="shared" si="51"/>
        <v/>
      </c>
      <c r="F383" s="5" t="str">
        <f>IF(ROW(F383)-ROW($E$1)&lt;=$B$1-$B$2,INDEX(IDX_COMPO!B:B,ROW(IDX_COMPO!#REF!)),IF(ROW(E383)-ROW($E$1)&lt;=$B$4,VLOOKUP(E383,STK_REF!$A$2:$J$1048576,2,0),""))</f>
        <v/>
      </c>
      <c r="J383" s="62" t="str">
        <f>IF($D383&lt;=$B$1-$B$2,IF(INDEX($AA$2:$AA$1048576,MATCH($D383,$AB$2:$AB$1048576,0))="MODIFY",INDEX(IDX_CA!$G$1:$G$1041,SUMPRODUCT(--($E383=IDX_CA!$A$2:$A$1041),--(NXT_COMPO!$P383=IDX_CA!$B$2:$B$1041),--(NXT_COMPO!$Q383=IDX_CA!$C$2:$C$1041),ROW(IDX_CA!$G$2:$G$1041))),INDEX(IDX_COMPOSITION!$F$1:$F$441,SUMPRODUCT(--($E383=IDX_COMPOSITION!$A$2:$A$441),--(NXT_COMPO!$P383=IDX_COMPOSITION!$R$2:$R$441),--(NXT_COMPO!$B$5=IDX_COMPOSITION!$L$2:$L$441),ROW(IDX_COMPOSITION!$F$2:$F$441)))),IF($D383&lt;=$B$4,INDEX(IDX_CA!$G$1:$G$1041,SUMPRODUCT(--($E383=IDX_CA!$A$2:$A$1041),--(NXT_COMPO!$P383=IDX_CA!$B$2:$B$1041),--(NXT_COMPO!$Q383=IDX_CA!$C$2:$C$1041),ROW(IDX_CA!$G$2:$G$1041))),""))</f>
        <v/>
      </c>
      <c r="K383" s="63" t="str">
        <f>IF($D383&lt;&gt;"",VLOOKUP($E383,STK_REF!$A$2:$J$1048576,7,0),"")</f>
        <v/>
      </c>
      <c r="L383" s="5" t="str">
        <f>IF($D383&lt;&gt;"",VLOOKUP($E383,STK_REF!$A$2:$J$1048576,8,0),"")</f>
        <v/>
      </c>
      <c r="M383" s="8" t="str">
        <f>IF($D383&lt;&gt;"",IF($K383=$U383,1,IF(ISNA(VLOOKUP($K383&amp;$U383,CUR_RATES!$A$2:$F$521,4,0)),"",VLOOKUP($K383&amp;$U383,CUR_RATES!$A$2:$F$521,4,0))),"")</f>
        <v/>
      </c>
      <c r="N383" s="61" t="str">
        <f t="shared" si="52"/>
        <v/>
      </c>
      <c r="O383" s="68" t="str">
        <f t="shared" si="53"/>
        <v/>
      </c>
      <c r="P383" s="24"/>
      <c r="Q383" s="2" t="str">
        <f>IF(ROW(Q383)-ROW($E$1)&lt;=$B$4,INDEX(IDX_COMPO!F:F,ROW(IDX_COMPO!#REF!)),"")</f>
        <v/>
      </c>
      <c r="R383" s="68" t="str">
        <f t="shared" si="54"/>
        <v/>
      </c>
      <c r="S383" s="61" t="str">
        <f t="shared" si="55"/>
        <v/>
      </c>
      <c r="T383" s="62" t="str">
        <f>IF(D383&lt;&gt;"",IF(SUMPRODUCT(--($E383=STK_DIV!$A$2:$A$5),--(NXT_COMPO!$Q383=STK_DIV!$E$2:$E$5),ROW(STK_DIV!$D$2:$D$5))=0,"",INDEX(STK_DIV!$D$1:$D$5,SUMPRODUCT(--($E383=STK_DIV!$A$2:$A$5),--(NXT_COMPO!$Q383=STK_DIV!$E$2:$E$5),ROW(STK_DIV!$D$2:$D$5)))),"")</f>
        <v/>
      </c>
      <c r="U383" s="54" t="str">
        <f>IF($D383&lt;&gt;"",VLOOKUP($P383,IDX_REF!$2:$1048576,4,0),"")</f>
        <v/>
      </c>
    </row>
    <row r="384" spans="4:21" x14ac:dyDescent="0.2">
      <c r="D384" s="52" t="str">
        <f t="shared" si="50"/>
        <v/>
      </c>
      <c r="E384" s="5" t="str">
        <f t="shared" si="51"/>
        <v/>
      </c>
      <c r="F384" s="5" t="str">
        <f>IF(ROW(F384)-ROW($E$1)&lt;=$B$1-$B$2,INDEX(IDX_COMPO!B:B,ROW(IDX_COMPO!#REF!)),IF(ROW(E384)-ROW($E$1)&lt;=$B$4,VLOOKUP(E384,STK_REF!$A$2:$J$1048576,2,0),""))</f>
        <v/>
      </c>
      <c r="J384" s="62" t="str">
        <f>IF($D384&lt;=$B$1-$B$2,IF(INDEX($AA$2:$AA$1048576,MATCH($D384,$AB$2:$AB$1048576,0))="MODIFY",INDEX(IDX_CA!$G$1:$G$1041,SUMPRODUCT(--($E384=IDX_CA!$A$2:$A$1041),--(NXT_COMPO!$P384=IDX_CA!$B$2:$B$1041),--(NXT_COMPO!$Q384=IDX_CA!$C$2:$C$1041),ROW(IDX_CA!$G$2:$G$1041))),INDEX(IDX_COMPOSITION!$F$1:$F$441,SUMPRODUCT(--($E384=IDX_COMPOSITION!$A$2:$A$441),--(NXT_COMPO!$P384=IDX_COMPOSITION!$R$2:$R$441),--(NXT_COMPO!$B$5=IDX_COMPOSITION!$L$2:$L$441),ROW(IDX_COMPOSITION!$F$2:$F$441)))),IF($D384&lt;=$B$4,INDEX(IDX_CA!$G$1:$G$1041,SUMPRODUCT(--($E384=IDX_CA!$A$2:$A$1041),--(NXT_COMPO!$P384=IDX_CA!$B$2:$B$1041),--(NXT_COMPO!$Q384=IDX_CA!$C$2:$C$1041),ROW(IDX_CA!$G$2:$G$1041))),""))</f>
        <v/>
      </c>
      <c r="K384" s="63" t="str">
        <f>IF($D384&lt;&gt;"",VLOOKUP($E384,STK_REF!$A$2:$J$1048576,7,0),"")</f>
        <v/>
      </c>
      <c r="L384" s="5" t="str">
        <f>IF($D384&lt;&gt;"",VLOOKUP($E384,STK_REF!$A$2:$J$1048576,8,0),"")</f>
        <v/>
      </c>
      <c r="M384" s="8" t="str">
        <f>IF($D384&lt;&gt;"",IF($K384=$U384,1,IF(ISNA(VLOOKUP($K384&amp;$U384,CUR_RATES!$A$2:$F$521,4,0)),"",VLOOKUP($K384&amp;$U384,CUR_RATES!$A$2:$F$521,4,0))),"")</f>
        <v/>
      </c>
      <c r="N384" s="61" t="str">
        <f t="shared" si="52"/>
        <v/>
      </c>
      <c r="O384" s="68" t="str">
        <f t="shared" si="53"/>
        <v/>
      </c>
      <c r="P384" s="24"/>
      <c r="Q384" s="2" t="str">
        <f>IF(ROW(Q384)-ROW($E$1)&lt;=$B$4,INDEX(IDX_COMPO!F:F,ROW(IDX_COMPO!#REF!)),"")</f>
        <v/>
      </c>
      <c r="R384" s="68" t="str">
        <f t="shared" si="54"/>
        <v/>
      </c>
      <c r="S384" s="61" t="str">
        <f t="shared" si="55"/>
        <v/>
      </c>
      <c r="T384" s="62" t="str">
        <f>IF(D384&lt;&gt;"",IF(SUMPRODUCT(--($E384=STK_DIV!$A$2:$A$5),--(NXT_COMPO!$Q384=STK_DIV!$E$2:$E$5),ROW(STK_DIV!$D$2:$D$5))=0,"",INDEX(STK_DIV!$D$1:$D$5,SUMPRODUCT(--($E384=STK_DIV!$A$2:$A$5),--(NXT_COMPO!$Q384=STK_DIV!$E$2:$E$5),ROW(STK_DIV!$D$2:$D$5)))),"")</f>
        <v/>
      </c>
      <c r="U384" s="54" t="str">
        <f>IF($D384&lt;&gt;"",VLOOKUP($P384,IDX_REF!$2:$1048576,4,0),"")</f>
        <v/>
      </c>
    </row>
    <row r="385" spans="4:21" x14ac:dyDescent="0.2">
      <c r="D385" s="52" t="str">
        <f t="shared" si="50"/>
        <v/>
      </c>
      <c r="E385" s="5" t="str">
        <f t="shared" si="51"/>
        <v/>
      </c>
      <c r="F385" s="5" t="str">
        <f>IF(ROW(F385)-ROW($E$1)&lt;=$B$1-$B$2,INDEX(IDX_COMPO!B:B,ROW(IDX_COMPO!#REF!)),IF(ROW(E385)-ROW($E$1)&lt;=$B$4,VLOOKUP(E385,STK_REF!$A$2:$J$1048576,2,0),""))</f>
        <v/>
      </c>
      <c r="J385" s="62" t="str">
        <f>IF($D385&lt;=$B$1-$B$2,IF(INDEX($AA$2:$AA$1048576,MATCH($D385,$AB$2:$AB$1048576,0))="MODIFY",INDEX(IDX_CA!$G$1:$G$1041,SUMPRODUCT(--($E385=IDX_CA!$A$2:$A$1041),--(NXT_COMPO!$P385=IDX_CA!$B$2:$B$1041),--(NXT_COMPO!$Q385=IDX_CA!$C$2:$C$1041),ROW(IDX_CA!$G$2:$G$1041))),INDEX(IDX_COMPOSITION!$F$1:$F$441,SUMPRODUCT(--($E385=IDX_COMPOSITION!$A$2:$A$441),--(NXT_COMPO!$P385=IDX_COMPOSITION!$R$2:$R$441),--(NXT_COMPO!$B$5=IDX_COMPOSITION!$L$2:$L$441),ROW(IDX_COMPOSITION!$F$2:$F$441)))),IF($D385&lt;=$B$4,INDEX(IDX_CA!$G$1:$G$1041,SUMPRODUCT(--($E385=IDX_CA!$A$2:$A$1041),--(NXT_COMPO!$P385=IDX_CA!$B$2:$B$1041),--(NXT_COMPO!$Q385=IDX_CA!$C$2:$C$1041),ROW(IDX_CA!$G$2:$G$1041))),""))</f>
        <v/>
      </c>
      <c r="K385" s="63" t="str">
        <f>IF($D385&lt;&gt;"",VLOOKUP($E385,STK_REF!$A$2:$J$1048576,7,0),"")</f>
        <v/>
      </c>
      <c r="L385" s="5" t="str">
        <f>IF($D385&lt;&gt;"",VLOOKUP($E385,STK_REF!$A$2:$J$1048576,8,0),"")</f>
        <v/>
      </c>
      <c r="M385" s="8" t="str">
        <f>IF($D385&lt;&gt;"",IF($K385=$U385,1,IF(ISNA(VLOOKUP($K385&amp;$U385,CUR_RATES!$A$2:$F$521,4,0)),"",VLOOKUP($K385&amp;$U385,CUR_RATES!$A$2:$F$521,4,0))),"")</f>
        <v/>
      </c>
      <c r="N385" s="61" t="str">
        <f t="shared" si="52"/>
        <v/>
      </c>
      <c r="O385" s="68" t="str">
        <f t="shared" si="53"/>
        <v/>
      </c>
      <c r="P385" s="24"/>
      <c r="Q385" s="2" t="str">
        <f>IF(ROW(Q385)-ROW($E$1)&lt;=$B$4,INDEX(IDX_COMPO!F:F,ROW(IDX_COMPO!#REF!)),"")</f>
        <v/>
      </c>
      <c r="R385" s="68" t="str">
        <f t="shared" si="54"/>
        <v/>
      </c>
      <c r="S385" s="61" t="str">
        <f t="shared" si="55"/>
        <v/>
      </c>
      <c r="T385" s="62" t="str">
        <f>IF(D385&lt;&gt;"",IF(SUMPRODUCT(--($E385=STK_DIV!$A$2:$A$5),--(NXT_COMPO!$Q385=STK_DIV!$E$2:$E$5),ROW(STK_DIV!$D$2:$D$5))=0,"",INDEX(STK_DIV!$D$1:$D$5,SUMPRODUCT(--($E385=STK_DIV!$A$2:$A$5),--(NXT_COMPO!$Q385=STK_DIV!$E$2:$E$5),ROW(STK_DIV!$D$2:$D$5)))),"")</f>
        <v/>
      </c>
      <c r="U385" s="54" t="str">
        <f>IF($D385&lt;&gt;"",VLOOKUP($P385,IDX_REF!$2:$1048576,4,0),"")</f>
        <v/>
      </c>
    </row>
    <row r="386" spans="4:21" x14ac:dyDescent="0.2">
      <c r="D386" s="52" t="str">
        <f t="shared" ref="D386:D449" si="56">IF(ROW(D386)-ROW($D$1)&lt;=$B$4,ROW(D386)-ROW($D$1),"")</f>
        <v/>
      </c>
      <c r="E386" s="5" t="str">
        <f t="shared" si="51"/>
        <v/>
      </c>
      <c r="F386" s="5" t="str">
        <f>IF(ROW(F386)-ROW($E$1)&lt;=$B$1-$B$2,INDEX(IDX_COMPO!B:B,ROW(IDX_COMPO!#REF!)),IF(ROW(E386)-ROW($E$1)&lt;=$B$4,VLOOKUP(E386,STK_REF!$A$2:$J$1048576,2,0),""))</f>
        <v/>
      </c>
      <c r="J386" s="62" t="str">
        <f>IF($D386&lt;=$B$1-$B$2,IF(INDEX($AA$2:$AA$1048576,MATCH($D386,$AB$2:$AB$1048576,0))="MODIFY",INDEX(IDX_CA!$G$1:$G$1041,SUMPRODUCT(--($E386=IDX_CA!$A$2:$A$1041),--(NXT_COMPO!$P386=IDX_CA!$B$2:$B$1041),--(NXT_COMPO!$Q386=IDX_CA!$C$2:$C$1041),ROW(IDX_CA!$G$2:$G$1041))),INDEX(IDX_COMPOSITION!$F$1:$F$441,SUMPRODUCT(--($E386=IDX_COMPOSITION!$A$2:$A$441),--(NXT_COMPO!$P386=IDX_COMPOSITION!$R$2:$R$441),--(NXT_COMPO!$B$5=IDX_COMPOSITION!$L$2:$L$441),ROW(IDX_COMPOSITION!$F$2:$F$441)))),IF($D386&lt;=$B$4,INDEX(IDX_CA!$G$1:$G$1041,SUMPRODUCT(--($E386=IDX_CA!$A$2:$A$1041),--(NXT_COMPO!$P386=IDX_CA!$B$2:$B$1041),--(NXT_COMPO!$Q386=IDX_CA!$C$2:$C$1041),ROW(IDX_CA!$G$2:$G$1041))),""))</f>
        <v/>
      </c>
      <c r="K386" s="63" t="str">
        <f>IF($D386&lt;&gt;"",VLOOKUP($E386,STK_REF!$A$2:$J$1048576,7,0),"")</f>
        <v/>
      </c>
      <c r="L386" s="5" t="str">
        <f>IF($D386&lt;&gt;"",VLOOKUP($E386,STK_REF!$A$2:$J$1048576,8,0),"")</f>
        <v/>
      </c>
      <c r="M386" s="8" t="str">
        <f>IF($D386&lt;&gt;"",IF($K386=$U386,1,IF(ISNA(VLOOKUP($K386&amp;$U386,CUR_RATES!$A$2:$F$521,4,0)),"",VLOOKUP($K386&amp;$U386,CUR_RATES!$A$2:$F$521,4,0))),"")</f>
        <v/>
      </c>
      <c r="N386" s="61" t="str">
        <f t="shared" si="52"/>
        <v/>
      </c>
      <c r="O386" s="68" t="str">
        <f t="shared" si="53"/>
        <v/>
      </c>
      <c r="P386" s="24"/>
      <c r="Q386" s="2" t="str">
        <f>IF(ROW(Q386)-ROW($E$1)&lt;=$B$4,INDEX(IDX_COMPO!F:F,ROW(IDX_COMPO!#REF!)),"")</f>
        <v/>
      </c>
      <c r="R386" s="68" t="str">
        <f t="shared" si="54"/>
        <v/>
      </c>
      <c r="S386" s="61" t="str">
        <f t="shared" si="55"/>
        <v/>
      </c>
      <c r="T386" s="62" t="str">
        <f>IF(D386&lt;&gt;"",IF(SUMPRODUCT(--($E386=STK_DIV!$A$2:$A$5),--(NXT_COMPO!$Q386=STK_DIV!$E$2:$E$5),ROW(STK_DIV!$D$2:$D$5))=0,"",INDEX(STK_DIV!$D$1:$D$5,SUMPRODUCT(--($E386=STK_DIV!$A$2:$A$5),--(NXT_COMPO!$Q386=STK_DIV!$E$2:$E$5),ROW(STK_DIV!$D$2:$D$5)))),"")</f>
        <v/>
      </c>
      <c r="U386" s="54" t="str">
        <f>IF($D386&lt;&gt;"",VLOOKUP($P386,IDX_REF!$2:$1048576,4,0),"")</f>
        <v/>
      </c>
    </row>
    <row r="387" spans="4:21" x14ac:dyDescent="0.2">
      <c r="D387" s="52" t="str">
        <f t="shared" si="56"/>
        <v/>
      </c>
      <c r="E387" s="5" t="str">
        <f t="shared" ref="E387:E450" si="57">IF(D387&lt;=$B$1-$B$2,INDEX($X$2:$X$1048576,MATCH(D387,$AB$2:$AB$1048576,0)),IF(D387&lt;=$B$4,INDEX($AE$2:$AE$1048576,MATCH(D387-$B$1+$B$2,$AI$2:$AI$1048576,0)),""))</f>
        <v/>
      </c>
      <c r="F387" s="5" t="str">
        <f>IF(ROW(F387)-ROW($E$1)&lt;=$B$1-$B$2,INDEX(IDX_COMPO!B:B,ROW(IDX_COMPO!#REF!)),IF(ROW(E387)-ROW($E$1)&lt;=$B$4,VLOOKUP(E387,STK_REF!$A$2:$J$1048576,2,0),""))</f>
        <v/>
      </c>
      <c r="J387" s="62" t="str">
        <f>IF($D387&lt;=$B$1-$B$2,IF(INDEX($AA$2:$AA$1048576,MATCH($D387,$AB$2:$AB$1048576,0))="MODIFY",INDEX(IDX_CA!$G$1:$G$1041,SUMPRODUCT(--($E387=IDX_CA!$A$2:$A$1041),--(NXT_COMPO!$P387=IDX_CA!$B$2:$B$1041),--(NXT_COMPO!$Q387=IDX_CA!$C$2:$C$1041),ROW(IDX_CA!$G$2:$G$1041))),INDEX(IDX_COMPOSITION!$F$1:$F$441,SUMPRODUCT(--($E387=IDX_COMPOSITION!$A$2:$A$441),--(NXT_COMPO!$P387=IDX_COMPOSITION!$R$2:$R$441),--(NXT_COMPO!$B$5=IDX_COMPOSITION!$L$2:$L$441),ROW(IDX_COMPOSITION!$F$2:$F$441)))),IF($D387&lt;=$B$4,INDEX(IDX_CA!$G$1:$G$1041,SUMPRODUCT(--($E387=IDX_CA!$A$2:$A$1041),--(NXT_COMPO!$P387=IDX_CA!$B$2:$B$1041),--(NXT_COMPO!$Q387=IDX_CA!$C$2:$C$1041),ROW(IDX_CA!$G$2:$G$1041))),""))</f>
        <v/>
      </c>
      <c r="K387" s="63" t="str">
        <f>IF($D387&lt;&gt;"",VLOOKUP($E387,STK_REF!$A$2:$J$1048576,7,0),"")</f>
        <v/>
      </c>
      <c r="L387" s="5" t="str">
        <f>IF($D387&lt;&gt;"",VLOOKUP($E387,STK_REF!$A$2:$J$1048576,8,0),"")</f>
        <v/>
      </c>
      <c r="M387" s="8" t="str">
        <f>IF($D387&lt;&gt;"",IF($K387=$U387,1,IF(ISNA(VLOOKUP($K387&amp;$U387,CUR_RATES!$A$2:$F$521,4,0)),"",VLOOKUP($K387&amp;$U387,CUR_RATES!$A$2:$F$521,4,0))),"")</f>
        <v/>
      </c>
      <c r="N387" s="61" t="str">
        <f t="shared" ref="N387:N450" si="58">IF($D387&lt;&gt;"",$J387*$M387,"")</f>
        <v/>
      </c>
      <c r="O387" s="68" t="str">
        <f t="shared" ref="O387:O450" si="59">IF($D387&lt;&gt;"",$G387*($H387/100)*($I387/100)*$N387*(1/$L387),"")</f>
        <v/>
      </c>
      <c r="P387" s="24"/>
      <c r="Q387" s="2" t="str">
        <f>IF(ROW(Q387)-ROW($E$1)&lt;=$B$4,INDEX(IDX_COMPO!F:F,ROW(IDX_COMPO!#REF!)),"")</f>
        <v/>
      </c>
      <c r="R387" s="68" t="str">
        <f t="shared" ref="R387:R450" si="60">IF(AND($D387&lt;&gt;"",$T387&lt;&gt;""),$G387*($H387/100)*($I387/100)*$S387*(1/$L387),"")</f>
        <v/>
      </c>
      <c r="S387" s="61" t="str">
        <f t="shared" ref="S387:S450" si="61">IF($T387&lt;&gt;"",$T387*$M387,"")</f>
        <v/>
      </c>
      <c r="T387" s="62" t="str">
        <f>IF(D387&lt;&gt;"",IF(SUMPRODUCT(--($E387=STK_DIV!$A$2:$A$5),--(NXT_COMPO!$Q387=STK_DIV!$E$2:$E$5),ROW(STK_DIV!$D$2:$D$5))=0,"",INDEX(STK_DIV!$D$1:$D$5,SUMPRODUCT(--($E387=STK_DIV!$A$2:$A$5),--(NXT_COMPO!$Q387=STK_DIV!$E$2:$E$5),ROW(STK_DIV!$D$2:$D$5)))),"")</f>
        <v/>
      </c>
      <c r="U387" s="54" t="str">
        <f>IF($D387&lt;&gt;"",VLOOKUP($P387,IDX_REF!$2:$1048576,4,0),"")</f>
        <v/>
      </c>
    </row>
    <row r="388" spans="4:21" x14ac:dyDescent="0.2">
      <c r="D388" s="52" t="str">
        <f t="shared" si="56"/>
        <v/>
      </c>
      <c r="E388" s="5" t="str">
        <f t="shared" si="57"/>
        <v/>
      </c>
      <c r="F388" s="5" t="str">
        <f>IF(ROW(F388)-ROW($E$1)&lt;=$B$1-$B$2,INDEX(IDX_COMPO!B:B,ROW(IDX_COMPO!#REF!)),IF(ROW(E388)-ROW($E$1)&lt;=$B$4,VLOOKUP(E388,STK_REF!$A$2:$J$1048576,2,0),""))</f>
        <v/>
      </c>
      <c r="J388" s="62" t="str">
        <f>IF($D388&lt;=$B$1-$B$2,IF(INDEX($AA$2:$AA$1048576,MATCH($D388,$AB$2:$AB$1048576,0))="MODIFY",INDEX(IDX_CA!$G$1:$G$1041,SUMPRODUCT(--($E388=IDX_CA!$A$2:$A$1041),--(NXT_COMPO!$P388=IDX_CA!$B$2:$B$1041),--(NXT_COMPO!$Q388=IDX_CA!$C$2:$C$1041),ROW(IDX_CA!$G$2:$G$1041))),INDEX(IDX_COMPOSITION!$F$1:$F$441,SUMPRODUCT(--($E388=IDX_COMPOSITION!$A$2:$A$441),--(NXT_COMPO!$P388=IDX_COMPOSITION!$R$2:$R$441),--(NXT_COMPO!$B$5=IDX_COMPOSITION!$L$2:$L$441),ROW(IDX_COMPOSITION!$F$2:$F$441)))),IF($D388&lt;=$B$4,INDEX(IDX_CA!$G$1:$G$1041,SUMPRODUCT(--($E388=IDX_CA!$A$2:$A$1041),--(NXT_COMPO!$P388=IDX_CA!$B$2:$B$1041),--(NXT_COMPO!$Q388=IDX_CA!$C$2:$C$1041),ROW(IDX_CA!$G$2:$G$1041))),""))</f>
        <v/>
      </c>
      <c r="K388" s="63" t="str">
        <f>IF($D388&lt;&gt;"",VLOOKUP($E388,STK_REF!$A$2:$J$1048576,7,0),"")</f>
        <v/>
      </c>
      <c r="L388" s="5" t="str">
        <f>IF($D388&lt;&gt;"",VLOOKUP($E388,STK_REF!$A$2:$J$1048576,8,0),"")</f>
        <v/>
      </c>
      <c r="M388" s="8" t="str">
        <f>IF($D388&lt;&gt;"",IF($K388=$U388,1,IF(ISNA(VLOOKUP($K388&amp;$U388,CUR_RATES!$A$2:$F$521,4,0)),"",VLOOKUP($K388&amp;$U388,CUR_RATES!$A$2:$F$521,4,0))),"")</f>
        <v/>
      </c>
      <c r="N388" s="61" t="str">
        <f t="shared" si="58"/>
        <v/>
      </c>
      <c r="O388" s="68" t="str">
        <f t="shared" si="59"/>
        <v/>
      </c>
      <c r="P388" s="24"/>
      <c r="Q388" s="2" t="str">
        <f>IF(ROW(Q388)-ROW($E$1)&lt;=$B$4,INDEX(IDX_COMPO!F:F,ROW(IDX_COMPO!#REF!)),"")</f>
        <v/>
      </c>
      <c r="R388" s="68" t="str">
        <f t="shared" si="60"/>
        <v/>
      </c>
      <c r="S388" s="61" t="str">
        <f t="shared" si="61"/>
        <v/>
      </c>
      <c r="T388" s="62" t="str">
        <f>IF(D388&lt;&gt;"",IF(SUMPRODUCT(--($E388=STK_DIV!$A$2:$A$5),--(NXT_COMPO!$Q388=STK_DIV!$E$2:$E$5),ROW(STK_DIV!$D$2:$D$5))=0,"",INDEX(STK_DIV!$D$1:$D$5,SUMPRODUCT(--($E388=STK_DIV!$A$2:$A$5),--(NXT_COMPO!$Q388=STK_DIV!$E$2:$E$5),ROW(STK_DIV!$D$2:$D$5)))),"")</f>
        <v/>
      </c>
      <c r="U388" s="54" t="str">
        <f>IF($D388&lt;&gt;"",VLOOKUP($P388,IDX_REF!$2:$1048576,4,0),"")</f>
        <v/>
      </c>
    </row>
    <row r="389" spans="4:21" x14ac:dyDescent="0.2">
      <c r="D389" s="52" t="str">
        <f t="shared" si="56"/>
        <v/>
      </c>
      <c r="E389" s="5" t="str">
        <f t="shared" si="57"/>
        <v/>
      </c>
      <c r="F389" s="5" t="str">
        <f>IF(ROW(F389)-ROW($E$1)&lt;=$B$1-$B$2,INDEX(IDX_COMPO!B:B,ROW(IDX_COMPO!#REF!)),IF(ROW(E389)-ROW($E$1)&lt;=$B$4,VLOOKUP(E389,STK_REF!$A$2:$J$1048576,2,0),""))</f>
        <v/>
      </c>
      <c r="J389" s="62" t="str">
        <f>IF($D389&lt;=$B$1-$B$2,IF(INDEX($AA$2:$AA$1048576,MATCH($D389,$AB$2:$AB$1048576,0))="MODIFY",INDEX(IDX_CA!$G$1:$G$1041,SUMPRODUCT(--($E389=IDX_CA!$A$2:$A$1041),--(NXT_COMPO!$P389=IDX_CA!$B$2:$B$1041),--(NXT_COMPO!$Q389=IDX_CA!$C$2:$C$1041),ROW(IDX_CA!$G$2:$G$1041))),INDEX(IDX_COMPOSITION!$F$1:$F$441,SUMPRODUCT(--($E389=IDX_COMPOSITION!$A$2:$A$441),--(NXT_COMPO!$P389=IDX_COMPOSITION!$R$2:$R$441),--(NXT_COMPO!$B$5=IDX_COMPOSITION!$L$2:$L$441),ROW(IDX_COMPOSITION!$F$2:$F$441)))),IF($D389&lt;=$B$4,INDEX(IDX_CA!$G$1:$G$1041,SUMPRODUCT(--($E389=IDX_CA!$A$2:$A$1041),--(NXT_COMPO!$P389=IDX_CA!$B$2:$B$1041),--(NXT_COMPO!$Q389=IDX_CA!$C$2:$C$1041),ROW(IDX_CA!$G$2:$G$1041))),""))</f>
        <v/>
      </c>
      <c r="K389" s="63" t="str">
        <f>IF($D389&lt;&gt;"",VLOOKUP($E389,STK_REF!$A$2:$J$1048576,7,0),"")</f>
        <v/>
      </c>
      <c r="L389" s="5" t="str">
        <f>IF($D389&lt;&gt;"",VLOOKUP($E389,STK_REF!$A$2:$J$1048576,8,0),"")</f>
        <v/>
      </c>
      <c r="M389" s="8" t="str">
        <f>IF($D389&lt;&gt;"",IF($K389=$U389,1,IF(ISNA(VLOOKUP($K389&amp;$U389,CUR_RATES!$A$2:$F$521,4,0)),"",VLOOKUP($K389&amp;$U389,CUR_RATES!$A$2:$F$521,4,0))),"")</f>
        <v/>
      </c>
      <c r="N389" s="61" t="str">
        <f t="shared" si="58"/>
        <v/>
      </c>
      <c r="O389" s="68" t="str">
        <f t="shared" si="59"/>
        <v/>
      </c>
      <c r="P389" s="24"/>
      <c r="Q389" s="2" t="str">
        <f>IF(ROW(Q389)-ROW($E$1)&lt;=$B$4,INDEX(IDX_COMPO!F:F,ROW(IDX_COMPO!#REF!)),"")</f>
        <v/>
      </c>
      <c r="R389" s="68" t="str">
        <f t="shared" si="60"/>
        <v/>
      </c>
      <c r="S389" s="61" t="str">
        <f t="shared" si="61"/>
        <v/>
      </c>
      <c r="T389" s="62" t="str">
        <f>IF(D389&lt;&gt;"",IF(SUMPRODUCT(--($E389=STK_DIV!$A$2:$A$5),--(NXT_COMPO!$Q389=STK_DIV!$E$2:$E$5),ROW(STK_DIV!$D$2:$D$5))=0,"",INDEX(STK_DIV!$D$1:$D$5,SUMPRODUCT(--($E389=STK_DIV!$A$2:$A$5),--(NXT_COMPO!$Q389=STK_DIV!$E$2:$E$5),ROW(STK_DIV!$D$2:$D$5)))),"")</f>
        <v/>
      </c>
      <c r="U389" s="54" t="str">
        <f>IF($D389&lt;&gt;"",VLOOKUP($P389,IDX_REF!$2:$1048576,4,0),"")</f>
        <v/>
      </c>
    </row>
    <row r="390" spans="4:21" x14ac:dyDescent="0.2">
      <c r="D390" s="52" t="str">
        <f t="shared" si="56"/>
        <v/>
      </c>
      <c r="E390" s="5" t="str">
        <f t="shared" si="57"/>
        <v/>
      </c>
      <c r="F390" s="5" t="str">
        <f>IF(ROW(F390)-ROW($E$1)&lt;=$B$1-$B$2,INDEX(IDX_COMPO!B:B,ROW(IDX_COMPO!#REF!)),IF(ROW(E390)-ROW($E$1)&lt;=$B$4,VLOOKUP(E390,STK_REF!$A$2:$J$1048576,2,0),""))</f>
        <v/>
      </c>
      <c r="J390" s="62" t="str">
        <f>IF($D390&lt;=$B$1-$B$2,IF(INDEX($AA$2:$AA$1048576,MATCH($D390,$AB$2:$AB$1048576,0))="MODIFY",INDEX(IDX_CA!$G$1:$G$1041,SUMPRODUCT(--($E390=IDX_CA!$A$2:$A$1041),--(NXT_COMPO!$P390=IDX_CA!$B$2:$B$1041),--(NXT_COMPO!$Q390=IDX_CA!$C$2:$C$1041),ROW(IDX_CA!$G$2:$G$1041))),INDEX(IDX_COMPOSITION!$F$1:$F$441,SUMPRODUCT(--($E390=IDX_COMPOSITION!$A$2:$A$441),--(NXT_COMPO!$P390=IDX_COMPOSITION!$R$2:$R$441),--(NXT_COMPO!$B$5=IDX_COMPOSITION!$L$2:$L$441),ROW(IDX_COMPOSITION!$F$2:$F$441)))),IF($D390&lt;=$B$4,INDEX(IDX_CA!$G$1:$G$1041,SUMPRODUCT(--($E390=IDX_CA!$A$2:$A$1041),--(NXT_COMPO!$P390=IDX_CA!$B$2:$B$1041),--(NXT_COMPO!$Q390=IDX_CA!$C$2:$C$1041),ROW(IDX_CA!$G$2:$G$1041))),""))</f>
        <v/>
      </c>
      <c r="K390" s="63" t="str">
        <f>IF($D390&lt;&gt;"",VLOOKUP($E390,STK_REF!$A$2:$J$1048576,7,0),"")</f>
        <v/>
      </c>
      <c r="L390" s="5" t="str">
        <f>IF($D390&lt;&gt;"",VLOOKUP($E390,STK_REF!$A$2:$J$1048576,8,0),"")</f>
        <v/>
      </c>
      <c r="M390" s="8" t="str">
        <f>IF($D390&lt;&gt;"",IF($K390=$U390,1,IF(ISNA(VLOOKUP($K390&amp;$U390,CUR_RATES!$A$2:$F$521,4,0)),"",VLOOKUP($K390&amp;$U390,CUR_RATES!$A$2:$F$521,4,0))),"")</f>
        <v/>
      </c>
      <c r="N390" s="61" t="str">
        <f t="shared" si="58"/>
        <v/>
      </c>
      <c r="O390" s="68" t="str">
        <f t="shared" si="59"/>
        <v/>
      </c>
      <c r="P390" s="24"/>
      <c r="Q390" s="2" t="str">
        <f>IF(ROW(Q390)-ROW($E$1)&lt;=$B$4,INDEX(IDX_COMPO!F:F,ROW(IDX_COMPO!#REF!)),"")</f>
        <v/>
      </c>
      <c r="R390" s="68" t="str">
        <f t="shared" si="60"/>
        <v/>
      </c>
      <c r="S390" s="61" t="str">
        <f t="shared" si="61"/>
        <v/>
      </c>
      <c r="T390" s="62" t="str">
        <f>IF(D390&lt;&gt;"",IF(SUMPRODUCT(--($E390=STK_DIV!$A$2:$A$5),--(NXT_COMPO!$Q390=STK_DIV!$E$2:$E$5),ROW(STK_DIV!$D$2:$D$5))=0,"",INDEX(STK_DIV!$D$1:$D$5,SUMPRODUCT(--($E390=STK_DIV!$A$2:$A$5),--(NXT_COMPO!$Q390=STK_DIV!$E$2:$E$5),ROW(STK_DIV!$D$2:$D$5)))),"")</f>
        <v/>
      </c>
      <c r="U390" s="54" t="str">
        <f>IF($D390&lt;&gt;"",VLOOKUP($P390,IDX_REF!$2:$1048576,4,0),"")</f>
        <v/>
      </c>
    </row>
    <row r="391" spans="4:21" x14ac:dyDescent="0.2">
      <c r="D391" s="52" t="str">
        <f t="shared" si="56"/>
        <v/>
      </c>
      <c r="E391" s="5" t="str">
        <f t="shared" si="57"/>
        <v/>
      </c>
      <c r="F391" s="5" t="str">
        <f>IF(ROW(F391)-ROW($E$1)&lt;=$B$1-$B$2,INDEX(IDX_COMPO!B:B,ROW(IDX_COMPO!#REF!)),IF(ROW(E391)-ROW($E$1)&lt;=$B$4,VLOOKUP(E391,STK_REF!$A$2:$J$1048576,2,0),""))</f>
        <v/>
      </c>
      <c r="J391" s="62" t="str">
        <f>IF($D391&lt;=$B$1-$B$2,IF(INDEX($AA$2:$AA$1048576,MATCH($D391,$AB$2:$AB$1048576,0))="MODIFY",INDEX(IDX_CA!$G$1:$G$1041,SUMPRODUCT(--($E391=IDX_CA!$A$2:$A$1041),--(NXT_COMPO!$P391=IDX_CA!$B$2:$B$1041),--(NXT_COMPO!$Q391=IDX_CA!$C$2:$C$1041),ROW(IDX_CA!$G$2:$G$1041))),INDEX(IDX_COMPOSITION!$F$1:$F$441,SUMPRODUCT(--($E391=IDX_COMPOSITION!$A$2:$A$441),--(NXT_COMPO!$P391=IDX_COMPOSITION!$R$2:$R$441),--(NXT_COMPO!$B$5=IDX_COMPOSITION!$L$2:$L$441),ROW(IDX_COMPOSITION!$F$2:$F$441)))),IF($D391&lt;=$B$4,INDEX(IDX_CA!$G$1:$G$1041,SUMPRODUCT(--($E391=IDX_CA!$A$2:$A$1041),--(NXT_COMPO!$P391=IDX_CA!$B$2:$B$1041),--(NXT_COMPO!$Q391=IDX_CA!$C$2:$C$1041),ROW(IDX_CA!$G$2:$G$1041))),""))</f>
        <v/>
      </c>
      <c r="K391" s="63" t="str">
        <f>IF($D391&lt;&gt;"",VLOOKUP($E391,STK_REF!$A$2:$J$1048576,7,0),"")</f>
        <v/>
      </c>
      <c r="L391" s="5" t="str">
        <f>IF($D391&lt;&gt;"",VLOOKUP($E391,STK_REF!$A$2:$J$1048576,8,0),"")</f>
        <v/>
      </c>
      <c r="M391" s="8" t="str">
        <f>IF($D391&lt;&gt;"",IF($K391=$U391,1,IF(ISNA(VLOOKUP($K391&amp;$U391,CUR_RATES!$A$2:$F$521,4,0)),"",VLOOKUP($K391&amp;$U391,CUR_RATES!$A$2:$F$521,4,0))),"")</f>
        <v/>
      </c>
      <c r="N391" s="61" t="str">
        <f t="shared" si="58"/>
        <v/>
      </c>
      <c r="O391" s="68" t="str">
        <f t="shared" si="59"/>
        <v/>
      </c>
      <c r="P391" s="24"/>
      <c r="Q391" s="2" t="str">
        <f>IF(ROW(Q391)-ROW($E$1)&lt;=$B$4,INDEX(IDX_COMPO!F:F,ROW(IDX_COMPO!#REF!)),"")</f>
        <v/>
      </c>
      <c r="R391" s="68" t="str">
        <f t="shared" si="60"/>
        <v/>
      </c>
      <c r="S391" s="61" t="str">
        <f t="shared" si="61"/>
        <v/>
      </c>
      <c r="T391" s="62" t="str">
        <f>IF(D391&lt;&gt;"",IF(SUMPRODUCT(--($E391=STK_DIV!$A$2:$A$5),--(NXT_COMPO!$Q391=STK_DIV!$E$2:$E$5),ROW(STK_DIV!$D$2:$D$5))=0,"",INDEX(STK_DIV!$D$1:$D$5,SUMPRODUCT(--($E391=STK_DIV!$A$2:$A$5),--(NXT_COMPO!$Q391=STK_DIV!$E$2:$E$5),ROW(STK_DIV!$D$2:$D$5)))),"")</f>
        <v/>
      </c>
      <c r="U391" s="54" t="str">
        <f>IF($D391&lt;&gt;"",VLOOKUP($P391,IDX_REF!$2:$1048576,4,0),"")</f>
        <v/>
      </c>
    </row>
    <row r="392" spans="4:21" x14ac:dyDescent="0.2">
      <c r="D392" s="52" t="str">
        <f t="shared" si="56"/>
        <v/>
      </c>
      <c r="E392" s="5" t="str">
        <f t="shared" si="57"/>
        <v/>
      </c>
      <c r="F392" s="5" t="str">
        <f>IF(ROW(F392)-ROW($E$1)&lt;=$B$1-$B$2,INDEX(IDX_COMPO!B:B,ROW(IDX_COMPO!#REF!)),IF(ROW(E392)-ROW($E$1)&lt;=$B$4,VLOOKUP(E392,STK_REF!$A$2:$J$1048576,2,0),""))</f>
        <v/>
      </c>
      <c r="J392" s="62" t="str">
        <f>IF($D392&lt;=$B$1-$B$2,IF(INDEX($AA$2:$AA$1048576,MATCH($D392,$AB$2:$AB$1048576,0))="MODIFY",INDEX(IDX_CA!$G$1:$G$1041,SUMPRODUCT(--($E392=IDX_CA!$A$2:$A$1041),--(NXT_COMPO!$P392=IDX_CA!$B$2:$B$1041),--(NXT_COMPO!$Q392=IDX_CA!$C$2:$C$1041),ROW(IDX_CA!$G$2:$G$1041))),INDEX(IDX_COMPOSITION!$F$1:$F$441,SUMPRODUCT(--($E392=IDX_COMPOSITION!$A$2:$A$441),--(NXT_COMPO!$P392=IDX_COMPOSITION!$R$2:$R$441),--(NXT_COMPO!$B$5=IDX_COMPOSITION!$L$2:$L$441),ROW(IDX_COMPOSITION!$F$2:$F$441)))),IF($D392&lt;=$B$4,INDEX(IDX_CA!$G$1:$G$1041,SUMPRODUCT(--($E392=IDX_CA!$A$2:$A$1041),--(NXT_COMPO!$P392=IDX_CA!$B$2:$B$1041),--(NXT_COMPO!$Q392=IDX_CA!$C$2:$C$1041),ROW(IDX_CA!$G$2:$G$1041))),""))</f>
        <v/>
      </c>
      <c r="K392" s="63" t="str">
        <f>IF($D392&lt;&gt;"",VLOOKUP($E392,STK_REF!$A$2:$J$1048576,7,0),"")</f>
        <v/>
      </c>
      <c r="L392" s="5" t="str">
        <f>IF($D392&lt;&gt;"",VLOOKUP($E392,STK_REF!$A$2:$J$1048576,8,0),"")</f>
        <v/>
      </c>
      <c r="M392" s="8" t="str">
        <f>IF($D392&lt;&gt;"",IF($K392=$U392,1,IF(ISNA(VLOOKUP($K392&amp;$U392,CUR_RATES!$A$2:$F$521,4,0)),"",VLOOKUP($K392&amp;$U392,CUR_RATES!$A$2:$F$521,4,0))),"")</f>
        <v/>
      </c>
      <c r="N392" s="61" t="str">
        <f t="shared" si="58"/>
        <v/>
      </c>
      <c r="O392" s="68" t="str">
        <f t="shared" si="59"/>
        <v/>
      </c>
      <c r="P392" s="24"/>
      <c r="Q392" s="2" t="str">
        <f>IF(ROW(Q392)-ROW($E$1)&lt;=$B$4,INDEX(IDX_COMPO!F:F,ROW(IDX_COMPO!#REF!)),"")</f>
        <v/>
      </c>
      <c r="R392" s="68" t="str">
        <f t="shared" si="60"/>
        <v/>
      </c>
      <c r="S392" s="61" t="str">
        <f t="shared" si="61"/>
        <v/>
      </c>
      <c r="T392" s="62" t="str">
        <f>IF(D392&lt;&gt;"",IF(SUMPRODUCT(--($E392=STK_DIV!$A$2:$A$5),--(NXT_COMPO!$Q392=STK_DIV!$E$2:$E$5),ROW(STK_DIV!$D$2:$D$5))=0,"",INDEX(STK_DIV!$D$1:$D$5,SUMPRODUCT(--($E392=STK_DIV!$A$2:$A$5),--(NXT_COMPO!$Q392=STK_DIV!$E$2:$E$5),ROW(STK_DIV!$D$2:$D$5)))),"")</f>
        <v/>
      </c>
      <c r="U392" s="54" t="str">
        <f>IF($D392&lt;&gt;"",VLOOKUP($P392,IDX_REF!$2:$1048576,4,0),"")</f>
        <v/>
      </c>
    </row>
    <row r="393" spans="4:21" x14ac:dyDescent="0.2">
      <c r="D393" s="52" t="str">
        <f t="shared" si="56"/>
        <v/>
      </c>
      <c r="E393" s="5" t="str">
        <f t="shared" si="57"/>
        <v/>
      </c>
      <c r="F393" s="5" t="str">
        <f>IF(ROW(F393)-ROW($E$1)&lt;=$B$1-$B$2,INDEX(IDX_COMPO!B:B,ROW(IDX_COMPO!#REF!)),IF(ROW(E393)-ROW($E$1)&lt;=$B$4,VLOOKUP(E393,STK_REF!$A$2:$J$1048576,2,0),""))</f>
        <v/>
      </c>
      <c r="J393" s="62" t="str">
        <f>IF($D393&lt;=$B$1-$B$2,IF(INDEX($AA$2:$AA$1048576,MATCH($D393,$AB$2:$AB$1048576,0))="MODIFY",INDEX(IDX_CA!$G$1:$G$1041,SUMPRODUCT(--($E393=IDX_CA!$A$2:$A$1041),--(NXT_COMPO!$P393=IDX_CA!$B$2:$B$1041),--(NXT_COMPO!$Q393=IDX_CA!$C$2:$C$1041),ROW(IDX_CA!$G$2:$G$1041))),INDEX(IDX_COMPOSITION!$F$1:$F$441,SUMPRODUCT(--($E393=IDX_COMPOSITION!$A$2:$A$441),--(NXT_COMPO!$P393=IDX_COMPOSITION!$R$2:$R$441),--(NXT_COMPO!$B$5=IDX_COMPOSITION!$L$2:$L$441),ROW(IDX_COMPOSITION!$F$2:$F$441)))),IF($D393&lt;=$B$4,INDEX(IDX_CA!$G$1:$G$1041,SUMPRODUCT(--($E393=IDX_CA!$A$2:$A$1041),--(NXT_COMPO!$P393=IDX_CA!$B$2:$B$1041),--(NXT_COMPO!$Q393=IDX_CA!$C$2:$C$1041),ROW(IDX_CA!$G$2:$G$1041))),""))</f>
        <v/>
      </c>
      <c r="K393" s="63" t="str">
        <f>IF($D393&lt;&gt;"",VLOOKUP($E393,STK_REF!$A$2:$J$1048576,7,0),"")</f>
        <v/>
      </c>
      <c r="L393" s="5" t="str">
        <f>IF($D393&lt;&gt;"",VLOOKUP($E393,STK_REF!$A$2:$J$1048576,8,0),"")</f>
        <v/>
      </c>
      <c r="M393" s="8" t="str">
        <f>IF($D393&lt;&gt;"",IF($K393=$U393,1,IF(ISNA(VLOOKUP($K393&amp;$U393,CUR_RATES!$A$2:$F$521,4,0)),"",VLOOKUP($K393&amp;$U393,CUR_RATES!$A$2:$F$521,4,0))),"")</f>
        <v/>
      </c>
      <c r="N393" s="61" t="str">
        <f t="shared" si="58"/>
        <v/>
      </c>
      <c r="O393" s="68" t="str">
        <f t="shared" si="59"/>
        <v/>
      </c>
      <c r="P393" s="24"/>
      <c r="Q393" s="2" t="str">
        <f>IF(ROW(Q393)-ROW($E$1)&lt;=$B$4,INDEX(IDX_COMPO!F:F,ROW(IDX_COMPO!#REF!)),"")</f>
        <v/>
      </c>
      <c r="R393" s="68" t="str">
        <f t="shared" si="60"/>
        <v/>
      </c>
      <c r="S393" s="61" t="str">
        <f t="shared" si="61"/>
        <v/>
      </c>
      <c r="T393" s="62" t="str">
        <f>IF(D393&lt;&gt;"",IF(SUMPRODUCT(--($E393=STK_DIV!$A$2:$A$5),--(NXT_COMPO!$Q393=STK_DIV!$E$2:$E$5),ROW(STK_DIV!$D$2:$D$5))=0,"",INDEX(STK_DIV!$D$1:$D$5,SUMPRODUCT(--($E393=STK_DIV!$A$2:$A$5),--(NXT_COMPO!$Q393=STK_DIV!$E$2:$E$5),ROW(STK_DIV!$D$2:$D$5)))),"")</f>
        <v/>
      </c>
      <c r="U393" s="54" t="str">
        <f>IF($D393&lt;&gt;"",VLOOKUP($P393,IDX_REF!$2:$1048576,4,0),"")</f>
        <v/>
      </c>
    </row>
    <row r="394" spans="4:21" x14ac:dyDescent="0.2">
      <c r="D394" s="52" t="str">
        <f t="shared" si="56"/>
        <v/>
      </c>
      <c r="E394" s="5" t="str">
        <f t="shared" si="57"/>
        <v/>
      </c>
      <c r="F394" s="5" t="str">
        <f>IF(ROW(F394)-ROW($E$1)&lt;=$B$1-$B$2,INDEX(IDX_COMPO!B:B,ROW(IDX_COMPO!#REF!)),IF(ROW(E394)-ROW($E$1)&lt;=$B$4,VLOOKUP(E394,STK_REF!$A$2:$J$1048576,2,0),""))</f>
        <v/>
      </c>
      <c r="J394" s="62" t="str">
        <f>IF($D394&lt;=$B$1-$B$2,IF(INDEX($AA$2:$AA$1048576,MATCH($D394,$AB$2:$AB$1048576,0))="MODIFY",INDEX(IDX_CA!$G$1:$G$1041,SUMPRODUCT(--($E394=IDX_CA!$A$2:$A$1041),--(NXT_COMPO!$P394=IDX_CA!$B$2:$B$1041),--(NXT_COMPO!$Q394=IDX_CA!$C$2:$C$1041),ROW(IDX_CA!$G$2:$G$1041))),INDEX(IDX_COMPOSITION!$F$1:$F$441,SUMPRODUCT(--($E394=IDX_COMPOSITION!$A$2:$A$441),--(NXT_COMPO!$P394=IDX_COMPOSITION!$R$2:$R$441),--(NXT_COMPO!$B$5=IDX_COMPOSITION!$L$2:$L$441),ROW(IDX_COMPOSITION!$F$2:$F$441)))),IF($D394&lt;=$B$4,INDEX(IDX_CA!$G$1:$G$1041,SUMPRODUCT(--($E394=IDX_CA!$A$2:$A$1041),--(NXT_COMPO!$P394=IDX_CA!$B$2:$B$1041),--(NXT_COMPO!$Q394=IDX_CA!$C$2:$C$1041),ROW(IDX_CA!$G$2:$G$1041))),""))</f>
        <v/>
      </c>
      <c r="K394" s="63" t="str">
        <f>IF($D394&lt;&gt;"",VLOOKUP($E394,STK_REF!$A$2:$J$1048576,7,0),"")</f>
        <v/>
      </c>
      <c r="L394" s="5" t="str">
        <f>IF($D394&lt;&gt;"",VLOOKUP($E394,STK_REF!$A$2:$J$1048576,8,0),"")</f>
        <v/>
      </c>
      <c r="M394" s="8" t="str">
        <f>IF($D394&lt;&gt;"",IF($K394=$U394,1,IF(ISNA(VLOOKUP($K394&amp;$U394,CUR_RATES!$A$2:$F$521,4,0)),"",VLOOKUP($K394&amp;$U394,CUR_RATES!$A$2:$F$521,4,0))),"")</f>
        <v/>
      </c>
      <c r="N394" s="61" t="str">
        <f t="shared" si="58"/>
        <v/>
      </c>
      <c r="O394" s="68" t="str">
        <f t="shared" si="59"/>
        <v/>
      </c>
      <c r="P394" s="24"/>
      <c r="Q394" s="2" t="str">
        <f>IF(ROW(Q394)-ROW($E$1)&lt;=$B$4,INDEX(IDX_COMPO!F:F,ROW(IDX_COMPO!#REF!)),"")</f>
        <v/>
      </c>
      <c r="R394" s="68" t="str">
        <f t="shared" si="60"/>
        <v/>
      </c>
      <c r="S394" s="61" t="str">
        <f t="shared" si="61"/>
        <v/>
      </c>
      <c r="T394" s="62" t="str">
        <f>IF(D394&lt;&gt;"",IF(SUMPRODUCT(--($E394=STK_DIV!$A$2:$A$5),--(NXT_COMPO!$Q394=STK_DIV!$E$2:$E$5),ROW(STK_DIV!$D$2:$D$5))=0,"",INDEX(STK_DIV!$D$1:$D$5,SUMPRODUCT(--($E394=STK_DIV!$A$2:$A$5),--(NXT_COMPO!$Q394=STK_DIV!$E$2:$E$5),ROW(STK_DIV!$D$2:$D$5)))),"")</f>
        <v/>
      </c>
      <c r="U394" s="54" t="str">
        <f>IF($D394&lt;&gt;"",VLOOKUP($P394,IDX_REF!$2:$1048576,4,0),"")</f>
        <v/>
      </c>
    </row>
    <row r="395" spans="4:21" x14ac:dyDescent="0.2">
      <c r="D395" s="52" t="str">
        <f t="shared" si="56"/>
        <v/>
      </c>
      <c r="E395" s="5" t="str">
        <f t="shared" si="57"/>
        <v/>
      </c>
      <c r="F395" s="5" t="str">
        <f>IF(ROW(F395)-ROW($E$1)&lt;=$B$1-$B$2,INDEX(IDX_COMPO!B:B,ROW(IDX_COMPO!#REF!)),IF(ROW(E395)-ROW($E$1)&lt;=$B$4,VLOOKUP(E395,STK_REF!$A$2:$J$1048576,2,0),""))</f>
        <v/>
      </c>
      <c r="J395" s="62" t="str">
        <f>IF($D395&lt;=$B$1-$B$2,IF(INDEX($AA$2:$AA$1048576,MATCH($D395,$AB$2:$AB$1048576,0))="MODIFY",INDEX(IDX_CA!$G$1:$G$1041,SUMPRODUCT(--($E395=IDX_CA!$A$2:$A$1041),--(NXT_COMPO!$P395=IDX_CA!$B$2:$B$1041),--(NXT_COMPO!$Q395=IDX_CA!$C$2:$C$1041),ROW(IDX_CA!$G$2:$G$1041))),INDEX(IDX_COMPOSITION!$F$1:$F$441,SUMPRODUCT(--($E395=IDX_COMPOSITION!$A$2:$A$441),--(NXT_COMPO!$P395=IDX_COMPOSITION!$R$2:$R$441),--(NXT_COMPO!$B$5=IDX_COMPOSITION!$L$2:$L$441),ROW(IDX_COMPOSITION!$F$2:$F$441)))),IF($D395&lt;=$B$4,INDEX(IDX_CA!$G$1:$G$1041,SUMPRODUCT(--($E395=IDX_CA!$A$2:$A$1041),--(NXT_COMPO!$P395=IDX_CA!$B$2:$B$1041),--(NXT_COMPO!$Q395=IDX_CA!$C$2:$C$1041),ROW(IDX_CA!$G$2:$G$1041))),""))</f>
        <v/>
      </c>
      <c r="K395" s="63" t="str">
        <f>IF($D395&lt;&gt;"",VLOOKUP($E395,STK_REF!$A$2:$J$1048576,7,0),"")</f>
        <v/>
      </c>
      <c r="L395" s="5" t="str">
        <f>IF($D395&lt;&gt;"",VLOOKUP($E395,STK_REF!$A$2:$J$1048576,8,0),"")</f>
        <v/>
      </c>
      <c r="M395" s="8" t="str">
        <f>IF($D395&lt;&gt;"",IF($K395=$U395,1,IF(ISNA(VLOOKUP($K395&amp;$U395,CUR_RATES!$A$2:$F$521,4,0)),"",VLOOKUP($K395&amp;$U395,CUR_RATES!$A$2:$F$521,4,0))),"")</f>
        <v/>
      </c>
      <c r="N395" s="61" t="str">
        <f t="shared" si="58"/>
        <v/>
      </c>
      <c r="O395" s="68" t="str">
        <f t="shared" si="59"/>
        <v/>
      </c>
      <c r="P395" s="24"/>
      <c r="Q395" s="2" t="str">
        <f>IF(ROW(Q395)-ROW($E$1)&lt;=$B$4,INDEX(IDX_COMPO!F:F,ROW(IDX_COMPO!#REF!)),"")</f>
        <v/>
      </c>
      <c r="R395" s="68" t="str">
        <f t="shared" si="60"/>
        <v/>
      </c>
      <c r="S395" s="61" t="str">
        <f t="shared" si="61"/>
        <v/>
      </c>
      <c r="T395" s="62" t="str">
        <f>IF(D395&lt;&gt;"",IF(SUMPRODUCT(--($E395=STK_DIV!$A$2:$A$5),--(NXT_COMPO!$Q395=STK_DIV!$E$2:$E$5),ROW(STK_DIV!$D$2:$D$5))=0,"",INDEX(STK_DIV!$D$1:$D$5,SUMPRODUCT(--($E395=STK_DIV!$A$2:$A$5),--(NXT_COMPO!$Q395=STK_DIV!$E$2:$E$5),ROW(STK_DIV!$D$2:$D$5)))),"")</f>
        <v/>
      </c>
      <c r="U395" s="54" t="str">
        <f>IF($D395&lt;&gt;"",VLOOKUP($P395,IDX_REF!$2:$1048576,4,0),"")</f>
        <v/>
      </c>
    </row>
    <row r="396" spans="4:21" x14ac:dyDescent="0.2">
      <c r="D396" s="52" t="str">
        <f t="shared" si="56"/>
        <v/>
      </c>
      <c r="E396" s="5" t="str">
        <f t="shared" si="57"/>
        <v/>
      </c>
      <c r="F396" s="5" t="str">
        <f>IF(ROW(F396)-ROW($E$1)&lt;=$B$1-$B$2,INDEX(IDX_COMPO!B:B,ROW(IDX_COMPO!#REF!)),IF(ROW(E396)-ROW($E$1)&lt;=$B$4,VLOOKUP(E396,STK_REF!$A$2:$J$1048576,2,0),""))</f>
        <v/>
      </c>
      <c r="J396" s="62" t="str">
        <f>IF($D396&lt;=$B$1-$B$2,IF(INDEX($AA$2:$AA$1048576,MATCH($D396,$AB$2:$AB$1048576,0))="MODIFY",INDEX(IDX_CA!$G$1:$G$1041,SUMPRODUCT(--($E396=IDX_CA!$A$2:$A$1041),--(NXT_COMPO!$P396=IDX_CA!$B$2:$B$1041),--(NXT_COMPO!$Q396=IDX_CA!$C$2:$C$1041),ROW(IDX_CA!$G$2:$G$1041))),INDEX(IDX_COMPOSITION!$F$1:$F$441,SUMPRODUCT(--($E396=IDX_COMPOSITION!$A$2:$A$441),--(NXT_COMPO!$P396=IDX_COMPOSITION!$R$2:$R$441),--(NXT_COMPO!$B$5=IDX_COMPOSITION!$L$2:$L$441),ROW(IDX_COMPOSITION!$F$2:$F$441)))),IF($D396&lt;=$B$4,INDEX(IDX_CA!$G$1:$G$1041,SUMPRODUCT(--($E396=IDX_CA!$A$2:$A$1041),--(NXT_COMPO!$P396=IDX_CA!$B$2:$B$1041),--(NXT_COMPO!$Q396=IDX_CA!$C$2:$C$1041),ROW(IDX_CA!$G$2:$G$1041))),""))</f>
        <v/>
      </c>
      <c r="K396" s="63" t="str">
        <f>IF($D396&lt;&gt;"",VLOOKUP($E396,STK_REF!$A$2:$J$1048576,7,0),"")</f>
        <v/>
      </c>
      <c r="L396" s="5" t="str">
        <f>IF($D396&lt;&gt;"",VLOOKUP($E396,STK_REF!$A$2:$J$1048576,8,0),"")</f>
        <v/>
      </c>
      <c r="M396" s="8" t="str">
        <f>IF($D396&lt;&gt;"",IF($K396=$U396,1,IF(ISNA(VLOOKUP($K396&amp;$U396,CUR_RATES!$A$2:$F$521,4,0)),"",VLOOKUP($K396&amp;$U396,CUR_RATES!$A$2:$F$521,4,0))),"")</f>
        <v/>
      </c>
      <c r="N396" s="61" t="str">
        <f t="shared" si="58"/>
        <v/>
      </c>
      <c r="O396" s="68" t="str">
        <f t="shared" si="59"/>
        <v/>
      </c>
      <c r="P396" s="24"/>
      <c r="Q396" s="2" t="str">
        <f>IF(ROW(Q396)-ROW($E$1)&lt;=$B$4,INDEX(IDX_COMPO!F:F,ROW(IDX_COMPO!#REF!)),"")</f>
        <v/>
      </c>
      <c r="R396" s="68" t="str">
        <f t="shared" si="60"/>
        <v/>
      </c>
      <c r="S396" s="61" t="str">
        <f t="shared" si="61"/>
        <v/>
      </c>
      <c r="T396" s="62" t="str">
        <f>IF(D396&lt;&gt;"",IF(SUMPRODUCT(--($E396=STK_DIV!$A$2:$A$5),--(NXT_COMPO!$Q396=STK_DIV!$E$2:$E$5),ROW(STK_DIV!$D$2:$D$5))=0,"",INDEX(STK_DIV!$D$1:$D$5,SUMPRODUCT(--($E396=STK_DIV!$A$2:$A$5),--(NXT_COMPO!$Q396=STK_DIV!$E$2:$E$5),ROW(STK_DIV!$D$2:$D$5)))),"")</f>
        <v/>
      </c>
      <c r="U396" s="54" t="str">
        <f>IF($D396&lt;&gt;"",VLOOKUP($P396,IDX_REF!$2:$1048576,4,0),"")</f>
        <v/>
      </c>
    </row>
    <row r="397" spans="4:21" x14ac:dyDescent="0.2">
      <c r="D397" s="52" t="str">
        <f t="shared" si="56"/>
        <v/>
      </c>
      <c r="E397" s="5" t="str">
        <f t="shared" si="57"/>
        <v/>
      </c>
      <c r="F397" s="5" t="str">
        <f>IF(ROW(F397)-ROW($E$1)&lt;=$B$1-$B$2,INDEX(IDX_COMPO!B:B,ROW(IDX_COMPO!#REF!)),IF(ROW(E397)-ROW($E$1)&lt;=$B$4,VLOOKUP(E397,STK_REF!$A$2:$J$1048576,2,0),""))</f>
        <v/>
      </c>
      <c r="J397" s="62" t="str">
        <f>IF($D397&lt;=$B$1-$B$2,IF(INDEX($AA$2:$AA$1048576,MATCH($D397,$AB$2:$AB$1048576,0))="MODIFY",INDEX(IDX_CA!$G$1:$G$1041,SUMPRODUCT(--($E397=IDX_CA!$A$2:$A$1041),--(NXT_COMPO!$P397=IDX_CA!$B$2:$B$1041),--(NXT_COMPO!$Q397=IDX_CA!$C$2:$C$1041),ROW(IDX_CA!$G$2:$G$1041))),INDEX(IDX_COMPOSITION!$F$1:$F$441,SUMPRODUCT(--($E397=IDX_COMPOSITION!$A$2:$A$441),--(NXT_COMPO!$P397=IDX_COMPOSITION!$R$2:$R$441),--(NXT_COMPO!$B$5=IDX_COMPOSITION!$L$2:$L$441),ROW(IDX_COMPOSITION!$F$2:$F$441)))),IF($D397&lt;=$B$4,INDEX(IDX_CA!$G$1:$G$1041,SUMPRODUCT(--($E397=IDX_CA!$A$2:$A$1041),--(NXT_COMPO!$P397=IDX_CA!$B$2:$B$1041),--(NXT_COMPO!$Q397=IDX_CA!$C$2:$C$1041),ROW(IDX_CA!$G$2:$G$1041))),""))</f>
        <v/>
      </c>
      <c r="K397" s="63" t="str">
        <f>IF($D397&lt;&gt;"",VLOOKUP($E397,STK_REF!$A$2:$J$1048576,7,0),"")</f>
        <v/>
      </c>
      <c r="L397" s="5" t="str">
        <f>IF($D397&lt;&gt;"",VLOOKUP($E397,STK_REF!$A$2:$J$1048576,8,0),"")</f>
        <v/>
      </c>
      <c r="M397" s="8" t="str">
        <f>IF($D397&lt;&gt;"",IF($K397=$U397,1,IF(ISNA(VLOOKUP($K397&amp;$U397,CUR_RATES!$A$2:$F$521,4,0)),"",VLOOKUP($K397&amp;$U397,CUR_RATES!$A$2:$F$521,4,0))),"")</f>
        <v/>
      </c>
      <c r="N397" s="61" t="str">
        <f t="shared" si="58"/>
        <v/>
      </c>
      <c r="O397" s="68" t="str">
        <f t="shared" si="59"/>
        <v/>
      </c>
      <c r="P397" s="24"/>
      <c r="Q397" s="2" t="str">
        <f>IF(ROW(Q397)-ROW($E$1)&lt;=$B$4,INDEX(IDX_COMPO!F:F,ROW(IDX_COMPO!#REF!)),"")</f>
        <v/>
      </c>
      <c r="R397" s="68" t="str">
        <f t="shared" si="60"/>
        <v/>
      </c>
      <c r="S397" s="61" t="str">
        <f t="shared" si="61"/>
        <v/>
      </c>
      <c r="T397" s="62" t="str">
        <f>IF(D397&lt;&gt;"",IF(SUMPRODUCT(--($E397=STK_DIV!$A$2:$A$5),--(NXT_COMPO!$Q397=STK_DIV!$E$2:$E$5),ROW(STK_DIV!$D$2:$D$5))=0,"",INDEX(STK_DIV!$D$1:$D$5,SUMPRODUCT(--($E397=STK_DIV!$A$2:$A$5),--(NXT_COMPO!$Q397=STK_DIV!$E$2:$E$5),ROW(STK_DIV!$D$2:$D$5)))),"")</f>
        <v/>
      </c>
      <c r="U397" s="54" t="str">
        <f>IF($D397&lt;&gt;"",VLOOKUP($P397,IDX_REF!$2:$1048576,4,0),"")</f>
        <v/>
      </c>
    </row>
    <row r="398" spans="4:21" x14ac:dyDescent="0.2">
      <c r="D398" s="52" t="str">
        <f t="shared" si="56"/>
        <v/>
      </c>
      <c r="E398" s="5" t="str">
        <f t="shared" si="57"/>
        <v/>
      </c>
      <c r="F398" s="5" t="str">
        <f>IF(ROW(F398)-ROW($E$1)&lt;=$B$1-$B$2,INDEX(IDX_COMPO!B:B,ROW(IDX_COMPO!#REF!)),IF(ROW(E398)-ROW($E$1)&lt;=$B$4,VLOOKUP(E398,STK_REF!$A$2:$J$1048576,2,0),""))</f>
        <v/>
      </c>
      <c r="J398" s="62" t="str">
        <f>IF($D398&lt;=$B$1-$B$2,IF(INDEX($AA$2:$AA$1048576,MATCH($D398,$AB$2:$AB$1048576,0))="MODIFY",INDEX(IDX_CA!$G$1:$G$1041,SUMPRODUCT(--($E398=IDX_CA!$A$2:$A$1041),--(NXT_COMPO!$P398=IDX_CA!$B$2:$B$1041),--(NXT_COMPO!$Q398=IDX_CA!$C$2:$C$1041),ROW(IDX_CA!$G$2:$G$1041))),INDEX(IDX_COMPOSITION!$F$1:$F$441,SUMPRODUCT(--($E398=IDX_COMPOSITION!$A$2:$A$441),--(NXT_COMPO!$P398=IDX_COMPOSITION!$R$2:$R$441),--(NXT_COMPO!$B$5=IDX_COMPOSITION!$L$2:$L$441),ROW(IDX_COMPOSITION!$F$2:$F$441)))),IF($D398&lt;=$B$4,INDEX(IDX_CA!$G$1:$G$1041,SUMPRODUCT(--($E398=IDX_CA!$A$2:$A$1041),--(NXT_COMPO!$P398=IDX_CA!$B$2:$B$1041),--(NXT_COMPO!$Q398=IDX_CA!$C$2:$C$1041),ROW(IDX_CA!$G$2:$G$1041))),""))</f>
        <v/>
      </c>
      <c r="K398" s="63" t="str">
        <f>IF($D398&lt;&gt;"",VLOOKUP($E398,STK_REF!$A$2:$J$1048576,7,0),"")</f>
        <v/>
      </c>
      <c r="L398" s="5" t="str">
        <f>IF($D398&lt;&gt;"",VLOOKUP($E398,STK_REF!$A$2:$J$1048576,8,0),"")</f>
        <v/>
      </c>
      <c r="M398" s="8" t="str">
        <f>IF($D398&lt;&gt;"",IF($K398=$U398,1,IF(ISNA(VLOOKUP($K398&amp;$U398,CUR_RATES!$A$2:$F$521,4,0)),"",VLOOKUP($K398&amp;$U398,CUR_RATES!$A$2:$F$521,4,0))),"")</f>
        <v/>
      </c>
      <c r="N398" s="61" t="str">
        <f t="shared" si="58"/>
        <v/>
      </c>
      <c r="O398" s="68" t="str">
        <f t="shared" si="59"/>
        <v/>
      </c>
      <c r="P398" s="24"/>
      <c r="Q398" s="2" t="str">
        <f>IF(ROW(Q398)-ROW($E$1)&lt;=$B$4,INDEX(IDX_COMPO!F:F,ROW(IDX_COMPO!#REF!)),"")</f>
        <v/>
      </c>
      <c r="R398" s="68" t="str">
        <f t="shared" si="60"/>
        <v/>
      </c>
      <c r="S398" s="61" t="str">
        <f t="shared" si="61"/>
        <v/>
      </c>
      <c r="T398" s="62" t="str">
        <f>IF(D398&lt;&gt;"",IF(SUMPRODUCT(--($E398=STK_DIV!$A$2:$A$5),--(NXT_COMPO!$Q398=STK_DIV!$E$2:$E$5),ROW(STK_DIV!$D$2:$D$5))=0,"",INDEX(STK_DIV!$D$1:$D$5,SUMPRODUCT(--($E398=STK_DIV!$A$2:$A$5),--(NXT_COMPO!$Q398=STK_DIV!$E$2:$E$5),ROW(STK_DIV!$D$2:$D$5)))),"")</f>
        <v/>
      </c>
      <c r="U398" s="54" t="str">
        <f>IF($D398&lt;&gt;"",VLOOKUP($P398,IDX_REF!$2:$1048576,4,0),"")</f>
        <v/>
      </c>
    </row>
    <row r="399" spans="4:21" x14ac:dyDescent="0.2">
      <c r="D399" s="52" t="str">
        <f t="shared" si="56"/>
        <v/>
      </c>
      <c r="E399" s="5" t="str">
        <f t="shared" si="57"/>
        <v/>
      </c>
      <c r="F399" s="5" t="str">
        <f>IF(ROW(F399)-ROW($E$1)&lt;=$B$1-$B$2,INDEX(IDX_COMPO!B:B,ROW(IDX_COMPO!#REF!)),IF(ROW(E399)-ROW($E$1)&lt;=$B$4,VLOOKUP(E399,STK_REF!$A$2:$J$1048576,2,0),""))</f>
        <v/>
      </c>
      <c r="J399" s="62" t="str">
        <f>IF($D399&lt;=$B$1-$B$2,IF(INDEX($AA$2:$AA$1048576,MATCH($D399,$AB$2:$AB$1048576,0))="MODIFY",INDEX(IDX_CA!$G$1:$G$1041,SUMPRODUCT(--($E399=IDX_CA!$A$2:$A$1041),--(NXT_COMPO!$P399=IDX_CA!$B$2:$B$1041),--(NXT_COMPO!$Q399=IDX_CA!$C$2:$C$1041),ROW(IDX_CA!$G$2:$G$1041))),INDEX(IDX_COMPOSITION!$F$1:$F$441,SUMPRODUCT(--($E399=IDX_COMPOSITION!$A$2:$A$441),--(NXT_COMPO!$P399=IDX_COMPOSITION!$R$2:$R$441),--(NXT_COMPO!$B$5=IDX_COMPOSITION!$L$2:$L$441),ROW(IDX_COMPOSITION!$F$2:$F$441)))),IF($D399&lt;=$B$4,INDEX(IDX_CA!$G$1:$G$1041,SUMPRODUCT(--($E399=IDX_CA!$A$2:$A$1041),--(NXT_COMPO!$P399=IDX_CA!$B$2:$B$1041),--(NXT_COMPO!$Q399=IDX_CA!$C$2:$C$1041),ROW(IDX_CA!$G$2:$G$1041))),""))</f>
        <v/>
      </c>
      <c r="K399" s="63" t="str">
        <f>IF($D399&lt;&gt;"",VLOOKUP($E399,STK_REF!$A$2:$J$1048576,7,0),"")</f>
        <v/>
      </c>
      <c r="L399" s="5" t="str">
        <f>IF($D399&lt;&gt;"",VLOOKUP($E399,STK_REF!$A$2:$J$1048576,8,0),"")</f>
        <v/>
      </c>
      <c r="M399" s="8" t="str">
        <f>IF($D399&lt;&gt;"",IF($K399=$U399,1,IF(ISNA(VLOOKUP($K399&amp;$U399,CUR_RATES!$A$2:$F$521,4,0)),"",VLOOKUP($K399&amp;$U399,CUR_RATES!$A$2:$F$521,4,0))),"")</f>
        <v/>
      </c>
      <c r="N399" s="61" t="str">
        <f t="shared" si="58"/>
        <v/>
      </c>
      <c r="O399" s="68" t="str">
        <f t="shared" si="59"/>
        <v/>
      </c>
      <c r="P399" s="24"/>
      <c r="Q399" s="2" t="str">
        <f>IF(ROW(Q399)-ROW($E$1)&lt;=$B$4,INDEX(IDX_COMPO!F:F,ROW(IDX_COMPO!#REF!)),"")</f>
        <v/>
      </c>
      <c r="R399" s="68" t="str">
        <f t="shared" si="60"/>
        <v/>
      </c>
      <c r="S399" s="61" t="str">
        <f t="shared" si="61"/>
        <v/>
      </c>
      <c r="T399" s="62" t="str">
        <f>IF(D399&lt;&gt;"",IF(SUMPRODUCT(--($E399=STK_DIV!$A$2:$A$5),--(NXT_COMPO!$Q399=STK_DIV!$E$2:$E$5),ROW(STK_DIV!$D$2:$D$5))=0,"",INDEX(STK_DIV!$D$1:$D$5,SUMPRODUCT(--($E399=STK_DIV!$A$2:$A$5),--(NXT_COMPO!$Q399=STK_DIV!$E$2:$E$5),ROW(STK_DIV!$D$2:$D$5)))),"")</f>
        <v/>
      </c>
      <c r="U399" s="54" t="str">
        <f>IF($D399&lt;&gt;"",VLOOKUP($P399,IDX_REF!$2:$1048576,4,0),"")</f>
        <v/>
      </c>
    </row>
    <row r="400" spans="4:21" x14ac:dyDescent="0.2">
      <c r="D400" s="52" t="str">
        <f t="shared" si="56"/>
        <v/>
      </c>
      <c r="E400" s="5" t="str">
        <f t="shared" si="57"/>
        <v/>
      </c>
      <c r="F400" s="5" t="str">
        <f>IF(ROW(F400)-ROW($E$1)&lt;=$B$1-$B$2,INDEX(IDX_COMPO!B:B,ROW(IDX_COMPO!#REF!)),IF(ROW(E400)-ROW($E$1)&lt;=$B$4,VLOOKUP(E400,STK_REF!$A$2:$J$1048576,2,0),""))</f>
        <v/>
      </c>
      <c r="J400" s="62" t="str">
        <f>IF($D400&lt;=$B$1-$B$2,IF(INDEX($AA$2:$AA$1048576,MATCH($D400,$AB$2:$AB$1048576,0))="MODIFY",INDEX(IDX_CA!$G$1:$G$1041,SUMPRODUCT(--($E400=IDX_CA!$A$2:$A$1041),--(NXT_COMPO!$P400=IDX_CA!$B$2:$B$1041),--(NXT_COMPO!$Q400=IDX_CA!$C$2:$C$1041),ROW(IDX_CA!$G$2:$G$1041))),INDEX(IDX_COMPOSITION!$F$1:$F$441,SUMPRODUCT(--($E400=IDX_COMPOSITION!$A$2:$A$441),--(NXT_COMPO!$P400=IDX_COMPOSITION!$R$2:$R$441),--(NXT_COMPO!$B$5=IDX_COMPOSITION!$L$2:$L$441),ROW(IDX_COMPOSITION!$F$2:$F$441)))),IF($D400&lt;=$B$4,INDEX(IDX_CA!$G$1:$G$1041,SUMPRODUCT(--($E400=IDX_CA!$A$2:$A$1041),--(NXT_COMPO!$P400=IDX_CA!$B$2:$B$1041),--(NXT_COMPO!$Q400=IDX_CA!$C$2:$C$1041),ROW(IDX_CA!$G$2:$G$1041))),""))</f>
        <v/>
      </c>
      <c r="K400" s="63" t="str">
        <f>IF($D400&lt;&gt;"",VLOOKUP($E400,STK_REF!$A$2:$J$1048576,7,0),"")</f>
        <v/>
      </c>
      <c r="L400" s="5" t="str">
        <f>IF($D400&lt;&gt;"",VLOOKUP($E400,STK_REF!$A$2:$J$1048576,8,0),"")</f>
        <v/>
      </c>
      <c r="M400" s="8" t="str">
        <f>IF($D400&lt;&gt;"",IF($K400=$U400,1,IF(ISNA(VLOOKUP($K400&amp;$U400,CUR_RATES!$A$2:$F$521,4,0)),"",VLOOKUP($K400&amp;$U400,CUR_RATES!$A$2:$F$521,4,0))),"")</f>
        <v/>
      </c>
      <c r="N400" s="61" t="str">
        <f t="shared" si="58"/>
        <v/>
      </c>
      <c r="O400" s="68" t="str">
        <f t="shared" si="59"/>
        <v/>
      </c>
      <c r="P400" s="24"/>
      <c r="Q400" s="2" t="str">
        <f>IF(ROW(Q400)-ROW($E$1)&lt;=$B$4,INDEX(IDX_COMPO!F:F,ROW(IDX_COMPO!#REF!)),"")</f>
        <v/>
      </c>
      <c r="R400" s="68" t="str">
        <f t="shared" si="60"/>
        <v/>
      </c>
      <c r="S400" s="61" t="str">
        <f t="shared" si="61"/>
        <v/>
      </c>
      <c r="T400" s="62" t="str">
        <f>IF(D400&lt;&gt;"",IF(SUMPRODUCT(--($E400=STK_DIV!$A$2:$A$5),--(NXT_COMPO!$Q400=STK_DIV!$E$2:$E$5),ROW(STK_DIV!$D$2:$D$5))=0,"",INDEX(STK_DIV!$D$1:$D$5,SUMPRODUCT(--($E400=STK_DIV!$A$2:$A$5),--(NXT_COMPO!$Q400=STK_DIV!$E$2:$E$5),ROW(STK_DIV!$D$2:$D$5)))),"")</f>
        <v/>
      </c>
      <c r="U400" s="54" t="str">
        <f>IF($D400&lt;&gt;"",VLOOKUP($P400,IDX_REF!$2:$1048576,4,0),"")</f>
        <v/>
      </c>
    </row>
    <row r="401" spans="4:21" x14ac:dyDescent="0.2">
      <c r="D401" s="52" t="str">
        <f t="shared" si="56"/>
        <v/>
      </c>
      <c r="E401" s="5" t="str">
        <f t="shared" si="57"/>
        <v/>
      </c>
      <c r="F401" s="5" t="str">
        <f>IF(ROW(F401)-ROW($E$1)&lt;=$B$1-$B$2,INDEX(IDX_COMPO!B:B,ROW(IDX_COMPO!#REF!)),IF(ROW(E401)-ROW($E$1)&lt;=$B$4,VLOOKUP(E401,STK_REF!$A$2:$J$1048576,2,0),""))</f>
        <v/>
      </c>
      <c r="J401" s="62" t="str">
        <f>IF($D401&lt;=$B$1-$B$2,IF(INDEX($AA$2:$AA$1048576,MATCH($D401,$AB$2:$AB$1048576,0))="MODIFY",INDEX(IDX_CA!$G$1:$G$1041,SUMPRODUCT(--($E401=IDX_CA!$A$2:$A$1041),--(NXT_COMPO!$P401=IDX_CA!$B$2:$B$1041),--(NXT_COMPO!$Q401=IDX_CA!$C$2:$C$1041),ROW(IDX_CA!$G$2:$G$1041))),INDEX(IDX_COMPOSITION!$F$1:$F$441,SUMPRODUCT(--($E401=IDX_COMPOSITION!$A$2:$A$441),--(NXT_COMPO!$P401=IDX_COMPOSITION!$R$2:$R$441),--(NXT_COMPO!$B$5=IDX_COMPOSITION!$L$2:$L$441),ROW(IDX_COMPOSITION!$F$2:$F$441)))),IF($D401&lt;=$B$4,INDEX(IDX_CA!$G$1:$G$1041,SUMPRODUCT(--($E401=IDX_CA!$A$2:$A$1041),--(NXT_COMPO!$P401=IDX_CA!$B$2:$B$1041),--(NXT_COMPO!$Q401=IDX_CA!$C$2:$C$1041),ROW(IDX_CA!$G$2:$G$1041))),""))</f>
        <v/>
      </c>
      <c r="K401" s="63" t="str">
        <f>IF($D401&lt;&gt;"",VLOOKUP($E401,STK_REF!$A$2:$J$1048576,7,0),"")</f>
        <v/>
      </c>
      <c r="L401" s="5" t="str">
        <f>IF($D401&lt;&gt;"",VLOOKUP($E401,STK_REF!$A$2:$J$1048576,8,0),"")</f>
        <v/>
      </c>
      <c r="M401" s="8" t="str">
        <f>IF($D401&lt;&gt;"",IF($K401=$U401,1,IF(ISNA(VLOOKUP($K401&amp;$U401,CUR_RATES!$A$2:$F$521,4,0)),"",VLOOKUP($K401&amp;$U401,CUR_RATES!$A$2:$F$521,4,0))),"")</f>
        <v/>
      </c>
      <c r="N401" s="61" t="str">
        <f t="shared" si="58"/>
        <v/>
      </c>
      <c r="O401" s="68" t="str">
        <f t="shared" si="59"/>
        <v/>
      </c>
      <c r="P401" s="24"/>
      <c r="Q401" s="2" t="str">
        <f>IF(ROW(Q401)-ROW($E$1)&lt;=$B$4,INDEX(IDX_COMPO!F:F,ROW(IDX_COMPO!#REF!)),"")</f>
        <v/>
      </c>
      <c r="R401" s="68" t="str">
        <f t="shared" si="60"/>
        <v/>
      </c>
      <c r="S401" s="61" t="str">
        <f t="shared" si="61"/>
        <v/>
      </c>
      <c r="T401" s="62" t="str">
        <f>IF(D401&lt;&gt;"",IF(SUMPRODUCT(--($E401=STK_DIV!$A$2:$A$5),--(NXT_COMPO!$Q401=STK_DIV!$E$2:$E$5),ROW(STK_DIV!$D$2:$D$5))=0,"",INDEX(STK_DIV!$D$1:$D$5,SUMPRODUCT(--($E401=STK_DIV!$A$2:$A$5),--(NXT_COMPO!$Q401=STK_DIV!$E$2:$E$5),ROW(STK_DIV!$D$2:$D$5)))),"")</f>
        <v/>
      </c>
      <c r="U401" s="54" t="str">
        <f>IF($D401&lt;&gt;"",VLOOKUP($P401,IDX_REF!$2:$1048576,4,0),"")</f>
        <v/>
      </c>
    </row>
    <row r="402" spans="4:21" x14ac:dyDescent="0.2">
      <c r="D402" s="52" t="str">
        <f t="shared" si="56"/>
        <v/>
      </c>
      <c r="E402" s="5" t="str">
        <f t="shared" si="57"/>
        <v/>
      </c>
      <c r="F402" s="5" t="str">
        <f>IF(ROW(F402)-ROW($E$1)&lt;=$B$1-$B$2,INDEX(IDX_COMPO!B:B,ROW(IDX_COMPO!#REF!)),IF(ROW(E402)-ROW($E$1)&lt;=$B$4,VLOOKUP(E402,STK_REF!$A$2:$J$1048576,2,0),""))</f>
        <v/>
      </c>
      <c r="J402" s="62" t="str">
        <f>IF($D402&lt;=$B$1-$B$2,IF(INDEX($AA$2:$AA$1048576,MATCH($D402,$AB$2:$AB$1048576,0))="MODIFY",INDEX(IDX_CA!$G$1:$G$1041,SUMPRODUCT(--($E402=IDX_CA!$A$2:$A$1041),--(NXT_COMPO!$P402=IDX_CA!$B$2:$B$1041),--(NXT_COMPO!$Q402=IDX_CA!$C$2:$C$1041),ROW(IDX_CA!$G$2:$G$1041))),INDEX(IDX_COMPOSITION!$F$1:$F$441,SUMPRODUCT(--($E402=IDX_COMPOSITION!$A$2:$A$441),--(NXT_COMPO!$P402=IDX_COMPOSITION!$R$2:$R$441),--(NXT_COMPO!$B$5=IDX_COMPOSITION!$L$2:$L$441),ROW(IDX_COMPOSITION!$F$2:$F$441)))),IF($D402&lt;=$B$4,INDEX(IDX_CA!$G$1:$G$1041,SUMPRODUCT(--($E402=IDX_CA!$A$2:$A$1041),--(NXT_COMPO!$P402=IDX_CA!$B$2:$B$1041),--(NXT_COMPO!$Q402=IDX_CA!$C$2:$C$1041),ROW(IDX_CA!$G$2:$G$1041))),""))</f>
        <v/>
      </c>
      <c r="K402" s="63" t="str">
        <f>IF($D402&lt;&gt;"",VLOOKUP($E402,STK_REF!$A$2:$J$1048576,7,0),"")</f>
        <v/>
      </c>
      <c r="L402" s="5" t="str">
        <f>IF($D402&lt;&gt;"",VLOOKUP($E402,STK_REF!$A$2:$J$1048576,8,0),"")</f>
        <v/>
      </c>
      <c r="M402" s="8" t="str">
        <f>IF($D402&lt;&gt;"",IF($K402=$U402,1,IF(ISNA(VLOOKUP($K402&amp;$U402,CUR_RATES!$A$2:$F$521,4,0)),"",VLOOKUP($K402&amp;$U402,CUR_RATES!$A$2:$F$521,4,0))),"")</f>
        <v/>
      </c>
      <c r="N402" s="61" t="str">
        <f t="shared" si="58"/>
        <v/>
      </c>
      <c r="O402" s="68" t="str">
        <f t="shared" si="59"/>
        <v/>
      </c>
      <c r="P402" s="24"/>
      <c r="Q402" s="2" t="str">
        <f>IF(ROW(Q402)-ROW($E$1)&lt;=$B$4,INDEX(IDX_COMPO!F:F,ROW(IDX_COMPO!#REF!)),"")</f>
        <v/>
      </c>
      <c r="R402" s="68" t="str">
        <f t="shared" si="60"/>
        <v/>
      </c>
      <c r="S402" s="61" t="str">
        <f t="shared" si="61"/>
        <v/>
      </c>
      <c r="T402" s="62" t="str">
        <f>IF(D402&lt;&gt;"",IF(SUMPRODUCT(--($E402=STK_DIV!$A$2:$A$5),--(NXT_COMPO!$Q402=STK_DIV!$E$2:$E$5),ROW(STK_DIV!$D$2:$D$5))=0,"",INDEX(STK_DIV!$D$1:$D$5,SUMPRODUCT(--($E402=STK_DIV!$A$2:$A$5),--(NXT_COMPO!$Q402=STK_DIV!$E$2:$E$5),ROW(STK_DIV!$D$2:$D$5)))),"")</f>
        <v/>
      </c>
      <c r="U402" s="54" t="str">
        <f>IF($D402&lt;&gt;"",VLOOKUP($P402,IDX_REF!$2:$1048576,4,0),"")</f>
        <v/>
      </c>
    </row>
    <row r="403" spans="4:21" x14ac:dyDescent="0.2">
      <c r="D403" s="52" t="str">
        <f t="shared" si="56"/>
        <v/>
      </c>
      <c r="E403" s="5" t="str">
        <f t="shared" si="57"/>
        <v/>
      </c>
      <c r="F403" s="5" t="str">
        <f>IF(ROW(F403)-ROW($E$1)&lt;=$B$1-$B$2,INDEX(IDX_COMPO!B:B,ROW(IDX_COMPO!#REF!)),IF(ROW(E403)-ROW($E$1)&lt;=$B$4,VLOOKUP(E403,STK_REF!$A$2:$J$1048576,2,0),""))</f>
        <v/>
      </c>
      <c r="J403" s="62" t="str">
        <f>IF($D403&lt;=$B$1-$B$2,IF(INDEX($AA$2:$AA$1048576,MATCH($D403,$AB$2:$AB$1048576,0))="MODIFY",INDEX(IDX_CA!$G$1:$G$1041,SUMPRODUCT(--($E403=IDX_CA!$A$2:$A$1041),--(NXT_COMPO!$P403=IDX_CA!$B$2:$B$1041),--(NXT_COMPO!$Q403=IDX_CA!$C$2:$C$1041),ROW(IDX_CA!$G$2:$G$1041))),INDEX(IDX_COMPOSITION!$F$1:$F$441,SUMPRODUCT(--($E403=IDX_COMPOSITION!$A$2:$A$441),--(NXT_COMPO!$P403=IDX_COMPOSITION!$R$2:$R$441),--(NXT_COMPO!$B$5=IDX_COMPOSITION!$L$2:$L$441),ROW(IDX_COMPOSITION!$F$2:$F$441)))),IF($D403&lt;=$B$4,INDEX(IDX_CA!$G$1:$G$1041,SUMPRODUCT(--($E403=IDX_CA!$A$2:$A$1041),--(NXT_COMPO!$P403=IDX_CA!$B$2:$B$1041),--(NXT_COMPO!$Q403=IDX_CA!$C$2:$C$1041),ROW(IDX_CA!$G$2:$G$1041))),""))</f>
        <v/>
      </c>
      <c r="K403" s="63" t="str">
        <f>IF($D403&lt;&gt;"",VLOOKUP($E403,STK_REF!$A$2:$J$1048576,7,0),"")</f>
        <v/>
      </c>
      <c r="L403" s="5" t="str">
        <f>IF($D403&lt;&gt;"",VLOOKUP($E403,STK_REF!$A$2:$J$1048576,8,0),"")</f>
        <v/>
      </c>
      <c r="M403" s="8" t="str">
        <f>IF($D403&lt;&gt;"",IF($K403=$U403,1,IF(ISNA(VLOOKUP($K403&amp;$U403,CUR_RATES!$A$2:$F$521,4,0)),"",VLOOKUP($K403&amp;$U403,CUR_RATES!$A$2:$F$521,4,0))),"")</f>
        <v/>
      </c>
      <c r="N403" s="61" t="str">
        <f t="shared" si="58"/>
        <v/>
      </c>
      <c r="O403" s="68" t="str">
        <f t="shared" si="59"/>
        <v/>
      </c>
      <c r="P403" s="24"/>
      <c r="Q403" s="2" t="str">
        <f>IF(ROW(Q403)-ROW($E$1)&lt;=$B$4,INDEX(IDX_COMPO!F:F,ROW(IDX_COMPO!#REF!)),"")</f>
        <v/>
      </c>
      <c r="R403" s="68" t="str">
        <f t="shared" si="60"/>
        <v/>
      </c>
      <c r="S403" s="61" t="str">
        <f t="shared" si="61"/>
        <v/>
      </c>
      <c r="T403" s="62" t="str">
        <f>IF(D403&lt;&gt;"",IF(SUMPRODUCT(--($E403=STK_DIV!$A$2:$A$5),--(NXT_COMPO!$Q403=STK_DIV!$E$2:$E$5),ROW(STK_DIV!$D$2:$D$5))=0,"",INDEX(STK_DIV!$D$1:$D$5,SUMPRODUCT(--($E403=STK_DIV!$A$2:$A$5),--(NXT_COMPO!$Q403=STK_DIV!$E$2:$E$5),ROW(STK_DIV!$D$2:$D$5)))),"")</f>
        <v/>
      </c>
      <c r="U403" s="54" t="str">
        <f>IF($D403&lt;&gt;"",VLOOKUP($P403,IDX_REF!$2:$1048576,4,0),"")</f>
        <v/>
      </c>
    </row>
    <row r="404" spans="4:21" x14ac:dyDescent="0.2">
      <c r="D404" s="52" t="str">
        <f t="shared" si="56"/>
        <v/>
      </c>
      <c r="E404" s="5" t="str">
        <f t="shared" si="57"/>
        <v/>
      </c>
      <c r="F404" s="5" t="str">
        <f>IF(ROW(F404)-ROW($E$1)&lt;=$B$1-$B$2,INDEX(IDX_COMPO!B:B,ROW(IDX_COMPO!#REF!)),IF(ROW(E404)-ROW($E$1)&lt;=$B$4,VLOOKUP(E404,STK_REF!$A$2:$J$1048576,2,0),""))</f>
        <v/>
      </c>
      <c r="J404" s="62" t="str">
        <f>IF($D404&lt;=$B$1-$B$2,IF(INDEX($AA$2:$AA$1048576,MATCH($D404,$AB$2:$AB$1048576,0))="MODIFY",INDEX(IDX_CA!$G$1:$G$1041,SUMPRODUCT(--($E404=IDX_CA!$A$2:$A$1041),--(NXT_COMPO!$P404=IDX_CA!$B$2:$B$1041),--(NXT_COMPO!$Q404=IDX_CA!$C$2:$C$1041),ROW(IDX_CA!$G$2:$G$1041))),INDEX(IDX_COMPOSITION!$F$1:$F$441,SUMPRODUCT(--($E404=IDX_COMPOSITION!$A$2:$A$441),--(NXT_COMPO!$P404=IDX_COMPOSITION!$R$2:$R$441),--(NXT_COMPO!$B$5=IDX_COMPOSITION!$L$2:$L$441),ROW(IDX_COMPOSITION!$F$2:$F$441)))),IF($D404&lt;=$B$4,INDEX(IDX_CA!$G$1:$G$1041,SUMPRODUCT(--($E404=IDX_CA!$A$2:$A$1041),--(NXT_COMPO!$P404=IDX_CA!$B$2:$B$1041),--(NXT_COMPO!$Q404=IDX_CA!$C$2:$C$1041),ROW(IDX_CA!$G$2:$G$1041))),""))</f>
        <v/>
      </c>
      <c r="K404" s="63" t="str">
        <f>IF($D404&lt;&gt;"",VLOOKUP($E404,STK_REF!$A$2:$J$1048576,7,0),"")</f>
        <v/>
      </c>
      <c r="L404" s="5" t="str">
        <f>IF($D404&lt;&gt;"",VLOOKUP($E404,STK_REF!$A$2:$J$1048576,8,0),"")</f>
        <v/>
      </c>
      <c r="M404" s="8" t="str">
        <f>IF($D404&lt;&gt;"",IF($K404=$U404,1,IF(ISNA(VLOOKUP($K404&amp;$U404,CUR_RATES!$A$2:$F$521,4,0)),"",VLOOKUP($K404&amp;$U404,CUR_RATES!$A$2:$F$521,4,0))),"")</f>
        <v/>
      </c>
      <c r="N404" s="61" t="str">
        <f t="shared" si="58"/>
        <v/>
      </c>
      <c r="O404" s="68" t="str">
        <f t="shared" si="59"/>
        <v/>
      </c>
      <c r="P404" s="24"/>
      <c r="Q404" s="2" t="str">
        <f>IF(ROW(Q404)-ROW($E$1)&lt;=$B$4,INDEX(IDX_COMPO!F:F,ROW(IDX_COMPO!#REF!)),"")</f>
        <v/>
      </c>
      <c r="R404" s="68" t="str">
        <f t="shared" si="60"/>
        <v/>
      </c>
      <c r="S404" s="61" t="str">
        <f t="shared" si="61"/>
        <v/>
      </c>
      <c r="T404" s="62" t="str">
        <f>IF(D404&lt;&gt;"",IF(SUMPRODUCT(--($E404=STK_DIV!$A$2:$A$5),--(NXT_COMPO!$Q404=STK_DIV!$E$2:$E$5),ROW(STK_DIV!$D$2:$D$5))=0,"",INDEX(STK_DIV!$D$1:$D$5,SUMPRODUCT(--($E404=STK_DIV!$A$2:$A$5),--(NXT_COMPO!$Q404=STK_DIV!$E$2:$E$5),ROW(STK_DIV!$D$2:$D$5)))),"")</f>
        <v/>
      </c>
      <c r="U404" s="54" t="str">
        <f>IF($D404&lt;&gt;"",VLOOKUP($P404,IDX_REF!$2:$1048576,4,0),"")</f>
        <v/>
      </c>
    </row>
    <row r="405" spans="4:21" x14ac:dyDescent="0.2">
      <c r="D405" s="52" t="str">
        <f t="shared" si="56"/>
        <v/>
      </c>
      <c r="E405" s="5" t="str">
        <f t="shared" si="57"/>
        <v/>
      </c>
      <c r="F405" s="5" t="str">
        <f>IF(ROW(F405)-ROW($E$1)&lt;=$B$1-$B$2,INDEX(IDX_COMPO!B:B,ROW(IDX_COMPO!#REF!)),IF(ROW(E405)-ROW($E$1)&lt;=$B$4,VLOOKUP(E405,STK_REF!$A$2:$J$1048576,2,0),""))</f>
        <v/>
      </c>
      <c r="J405" s="62" t="str">
        <f>IF($D405&lt;=$B$1-$B$2,IF(INDEX($AA$2:$AA$1048576,MATCH($D405,$AB$2:$AB$1048576,0))="MODIFY",INDEX(IDX_CA!$G$1:$G$1041,SUMPRODUCT(--($E405=IDX_CA!$A$2:$A$1041),--(NXT_COMPO!$P405=IDX_CA!$B$2:$B$1041),--(NXT_COMPO!$Q405=IDX_CA!$C$2:$C$1041),ROW(IDX_CA!$G$2:$G$1041))),INDEX(IDX_COMPOSITION!$F$1:$F$441,SUMPRODUCT(--($E405=IDX_COMPOSITION!$A$2:$A$441),--(NXT_COMPO!$P405=IDX_COMPOSITION!$R$2:$R$441),--(NXT_COMPO!$B$5=IDX_COMPOSITION!$L$2:$L$441),ROW(IDX_COMPOSITION!$F$2:$F$441)))),IF($D405&lt;=$B$4,INDEX(IDX_CA!$G$1:$G$1041,SUMPRODUCT(--($E405=IDX_CA!$A$2:$A$1041),--(NXT_COMPO!$P405=IDX_CA!$B$2:$B$1041),--(NXT_COMPO!$Q405=IDX_CA!$C$2:$C$1041),ROW(IDX_CA!$G$2:$G$1041))),""))</f>
        <v/>
      </c>
      <c r="K405" s="63" t="str">
        <f>IF($D405&lt;&gt;"",VLOOKUP($E405,STK_REF!$A$2:$J$1048576,7,0),"")</f>
        <v/>
      </c>
      <c r="L405" s="5" t="str">
        <f>IF($D405&lt;&gt;"",VLOOKUP($E405,STK_REF!$A$2:$J$1048576,8,0),"")</f>
        <v/>
      </c>
      <c r="M405" s="8" t="str">
        <f>IF($D405&lt;&gt;"",IF($K405=$U405,1,IF(ISNA(VLOOKUP($K405&amp;$U405,CUR_RATES!$A$2:$F$521,4,0)),"",VLOOKUP($K405&amp;$U405,CUR_RATES!$A$2:$F$521,4,0))),"")</f>
        <v/>
      </c>
      <c r="N405" s="61" t="str">
        <f t="shared" si="58"/>
        <v/>
      </c>
      <c r="O405" s="68" t="str">
        <f t="shared" si="59"/>
        <v/>
      </c>
      <c r="P405" s="24"/>
      <c r="Q405" s="2" t="str">
        <f>IF(ROW(Q405)-ROW($E$1)&lt;=$B$4,INDEX(IDX_COMPO!F:F,ROW(IDX_COMPO!#REF!)),"")</f>
        <v/>
      </c>
      <c r="R405" s="68" t="str">
        <f t="shared" si="60"/>
        <v/>
      </c>
      <c r="S405" s="61" t="str">
        <f t="shared" si="61"/>
        <v/>
      </c>
      <c r="T405" s="62" t="str">
        <f>IF(D405&lt;&gt;"",IF(SUMPRODUCT(--($E405=STK_DIV!$A$2:$A$5),--(NXT_COMPO!$Q405=STK_DIV!$E$2:$E$5),ROW(STK_DIV!$D$2:$D$5))=0,"",INDEX(STK_DIV!$D$1:$D$5,SUMPRODUCT(--($E405=STK_DIV!$A$2:$A$5),--(NXT_COMPO!$Q405=STK_DIV!$E$2:$E$5),ROW(STK_DIV!$D$2:$D$5)))),"")</f>
        <v/>
      </c>
      <c r="U405" s="54" t="str">
        <f>IF($D405&lt;&gt;"",VLOOKUP($P405,IDX_REF!$2:$1048576,4,0),"")</f>
        <v/>
      </c>
    </row>
    <row r="406" spans="4:21" x14ac:dyDescent="0.2">
      <c r="D406" s="52" t="str">
        <f t="shared" si="56"/>
        <v/>
      </c>
      <c r="E406" s="5" t="str">
        <f t="shared" si="57"/>
        <v/>
      </c>
      <c r="F406" s="5" t="str">
        <f>IF(ROW(F406)-ROW($E$1)&lt;=$B$1-$B$2,INDEX(IDX_COMPO!B:B,ROW(IDX_COMPO!#REF!)),IF(ROW(E406)-ROW($E$1)&lt;=$B$4,VLOOKUP(E406,STK_REF!$A$2:$J$1048576,2,0),""))</f>
        <v/>
      </c>
      <c r="J406" s="62" t="str">
        <f>IF($D406&lt;=$B$1-$B$2,IF(INDEX($AA$2:$AA$1048576,MATCH($D406,$AB$2:$AB$1048576,0))="MODIFY",INDEX(IDX_CA!$G$1:$G$1041,SUMPRODUCT(--($E406=IDX_CA!$A$2:$A$1041),--(NXT_COMPO!$P406=IDX_CA!$B$2:$B$1041),--(NXT_COMPO!$Q406=IDX_CA!$C$2:$C$1041),ROW(IDX_CA!$G$2:$G$1041))),INDEX(IDX_COMPOSITION!$F$1:$F$441,SUMPRODUCT(--($E406=IDX_COMPOSITION!$A$2:$A$441),--(NXT_COMPO!$P406=IDX_COMPOSITION!$R$2:$R$441),--(NXT_COMPO!$B$5=IDX_COMPOSITION!$L$2:$L$441),ROW(IDX_COMPOSITION!$F$2:$F$441)))),IF($D406&lt;=$B$4,INDEX(IDX_CA!$G$1:$G$1041,SUMPRODUCT(--($E406=IDX_CA!$A$2:$A$1041),--(NXT_COMPO!$P406=IDX_CA!$B$2:$B$1041),--(NXT_COMPO!$Q406=IDX_CA!$C$2:$C$1041),ROW(IDX_CA!$G$2:$G$1041))),""))</f>
        <v/>
      </c>
      <c r="K406" s="63" t="str">
        <f>IF($D406&lt;&gt;"",VLOOKUP($E406,STK_REF!$A$2:$J$1048576,7,0),"")</f>
        <v/>
      </c>
      <c r="L406" s="5" t="str">
        <f>IF($D406&lt;&gt;"",VLOOKUP($E406,STK_REF!$A$2:$J$1048576,8,0),"")</f>
        <v/>
      </c>
      <c r="M406" s="8" t="str">
        <f>IF($D406&lt;&gt;"",IF($K406=$U406,1,IF(ISNA(VLOOKUP($K406&amp;$U406,CUR_RATES!$A$2:$F$521,4,0)),"",VLOOKUP($K406&amp;$U406,CUR_RATES!$A$2:$F$521,4,0))),"")</f>
        <v/>
      </c>
      <c r="N406" s="61" t="str">
        <f t="shared" si="58"/>
        <v/>
      </c>
      <c r="O406" s="68" t="str">
        <f t="shared" si="59"/>
        <v/>
      </c>
      <c r="P406" s="24"/>
      <c r="Q406" s="2" t="str">
        <f>IF(ROW(Q406)-ROW($E$1)&lt;=$B$4,INDEX(IDX_COMPO!F:F,ROW(IDX_COMPO!#REF!)),"")</f>
        <v/>
      </c>
      <c r="R406" s="68" t="str">
        <f t="shared" si="60"/>
        <v/>
      </c>
      <c r="S406" s="61" t="str">
        <f t="shared" si="61"/>
        <v/>
      </c>
      <c r="T406" s="62" t="str">
        <f>IF(D406&lt;&gt;"",IF(SUMPRODUCT(--($E406=STK_DIV!$A$2:$A$5),--(NXT_COMPO!$Q406=STK_DIV!$E$2:$E$5),ROW(STK_DIV!$D$2:$D$5))=0,"",INDEX(STK_DIV!$D$1:$D$5,SUMPRODUCT(--($E406=STK_DIV!$A$2:$A$5),--(NXT_COMPO!$Q406=STK_DIV!$E$2:$E$5),ROW(STK_DIV!$D$2:$D$5)))),"")</f>
        <v/>
      </c>
      <c r="U406" s="54" t="str">
        <f>IF($D406&lt;&gt;"",VLOOKUP($P406,IDX_REF!$2:$1048576,4,0),"")</f>
        <v/>
      </c>
    </row>
    <row r="407" spans="4:21" x14ac:dyDescent="0.2">
      <c r="D407" s="52" t="str">
        <f t="shared" si="56"/>
        <v/>
      </c>
      <c r="E407" s="5" t="str">
        <f t="shared" si="57"/>
        <v/>
      </c>
      <c r="F407" s="5" t="str">
        <f>IF(ROW(F407)-ROW($E$1)&lt;=$B$1-$B$2,INDEX(IDX_COMPO!B:B,ROW(IDX_COMPO!#REF!)),IF(ROW(E407)-ROW($E$1)&lt;=$B$4,VLOOKUP(E407,STK_REF!$A$2:$J$1048576,2,0),""))</f>
        <v/>
      </c>
      <c r="J407" s="62" t="str">
        <f>IF($D407&lt;=$B$1-$B$2,IF(INDEX($AA$2:$AA$1048576,MATCH($D407,$AB$2:$AB$1048576,0))="MODIFY",INDEX(IDX_CA!$G$1:$G$1041,SUMPRODUCT(--($E407=IDX_CA!$A$2:$A$1041),--(NXT_COMPO!$P407=IDX_CA!$B$2:$B$1041),--(NXT_COMPO!$Q407=IDX_CA!$C$2:$C$1041),ROW(IDX_CA!$G$2:$G$1041))),INDEX(IDX_COMPOSITION!$F$1:$F$441,SUMPRODUCT(--($E407=IDX_COMPOSITION!$A$2:$A$441),--(NXT_COMPO!$P407=IDX_COMPOSITION!$R$2:$R$441),--(NXT_COMPO!$B$5=IDX_COMPOSITION!$L$2:$L$441),ROW(IDX_COMPOSITION!$F$2:$F$441)))),IF($D407&lt;=$B$4,INDEX(IDX_CA!$G$1:$G$1041,SUMPRODUCT(--($E407=IDX_CA!$A$2:$A$1041),--(NXT_COMPO!$P407=IDX_CA!$B$2:$B$1041),--(NXT_COMPO!$Q407=IDX_CA!$C$2:$C$1041),ROW(IDX_CA!$G$2:$G$1041))),""))</f>
        <v/>
      </c>
      <c r="K407" s="63" t="str">
        <f>IF($D407&lt;&gt;"",VLOOKUP($E407,STK_REF!$A$2:$J$1048576,7,0),"")</f>
        <v/>
      </c>
      <c r="L407" s="5" t="str">
        <f>IF($D407&lt;&gt;"",VLOOKUP($E407,STK_REF!$A$2:$J$1048576,8,0),"")</f>
        <v/>
      </c>
      <c r="M407" s="8" t="str">
        <f>IF($D407&lt;&gt;"",IF($K407=$U407,1,IF(ISNA(VLOOKUP($K407&amp;$U407,CUR_RATES!$A$2:$F$521,4,0)),"",VLOOKUP($K407&amp;$U407,CUR_RATES!$A$2:$F$521,4,0))),"")</f>
        <v/>
      </c>
      <c r="N407" s="61" t="str">
        <f t="shared" si="58"/>
        <v/>
      </c>
      <c r="O407" s="68" t="str">
        <f t="shared" si="59"/>
        <v/>
      </c>
      <c r="P407" s="24"/>
      <c r="Q407" s="2" t="str">
        <f>IF(ROW(Q407)-ROW($E$1)&lt;=$B$4,INDEX(IDX_COMPO!F:F,ROW(IDX_COMPO!#REF!)),"")</f>
        <v/>
      </c>
      <c r="R407" s="68" t="str">
        <f t="shared" si="60"/>
        <v/>
      </c>
      <c r="S407" s="61" t="str">
        <f t="shared" si="61"/>
        <v/>
      </c>
      <c r="T407" s="62" t="str">
        <f>IF(D407&lt;&gt;"",IF(SUMPRODUCT(--($E407=STK_DIV!$A$2:$A$5),--(NXT_COMPO!$Q407=STK_DIV!$E$2:$E$5),ROW(STK_DIV!$D$2:$D$5))=0,"",INDEX(STK_DIV!$D$1:$D$5,SUMPRODUCT(--($E407=STK_DIV!$A$2:$A$5),--(NXT_COMPO!$Q407=STK_DIV!$E$2:$E$5),ROW(STK_DIV!$D$2:$D$5)))),"")</f>
        <v/>
      </c>
      <c r="U407" s="54" t="str">
        <f>IF($D407&lt;&gt;"",VLOOKUP($P407,IDX_REF!$2:$1048576,4,0),"")</f>
        <v/>
      </c>
    </row>
    <row r="408" spans="4:21" x14ac:dyDescent="0.2">
      <c r="D408" s="52" t="str">
        <f t="shared" si="56"/>
        <v/>
      </c>
      <c r="E408" s="5" t="str">
        <f t="shared" si="57"/>
        <v/>
      </c>
      <c r="F408" s="5" t="str">
        <f>IF(ROW(F408)-ROW($E$1)&lt;=$B$1-$B$2,INDEX(IDX_COMPO!B:B,ROW(IDX_COMPO!#REF!)),IF(ROW(E408)-ROW($E$1)&lt;=$B$4,VLOOKUP(E408,STK_REF!$A$2:$J$1048576,2,0),""))</f>
        <v/>
      </c>
      <c r="J408" s="62" t="str">
        <f>IF($D408&lt;=$B$1-$B$2,IF(INDEX($AA$2:$AA$1048576,MATCH($D408,$AB$2:$AB$1048576,0))="MODIFY",INDEX(IDX_CA!$G$1:$G$1041,SUMPRODUCT(--($E408=IDX_CA!$A$2:$A$1041),--(NXT_COMPO!$P408=IDX_CA!$B$2:$B$1041),--(NXT_COMPO!$Q408=IDX_CA!$C$2:$C$1041),ROW(IDX_CA!$G$2:$G$1041))),INDEX(IDX_COMPOSITION!$F$1:$F$441,SUMPRODUCT(--($E408=IDX_COMPOSITION!$A$2:$A$441),--(NXT_COMPO!$P408=IDX_COMPOSITION!$R$2:$R$441),--(NXT_COMPO!$B$5=IDX_COMPOSITION!$L$2:$L$441),ROW(IDX_COMPOSITION!$F$2:$F$441)))),IF($D408&lt;=$B$4,INDEX(IDX_CA!$G$1:$G$1041,SUMPRODUCT(--($E408=IDX_CA!$A$2:$A$1041),--(NXT_COMPO!$P408=IDX_CA!$B$2:$B$1041),--(NXT_COMPO!$Q408=IDX_CA!$C$2:$C$1041),ROW(IDX_CA!$G$2:$G$1041))),""))</f>
        <v/>
      </c>
      <c r="K408" s="63" t="str">
        <f>IF($D408&lt;&gt;"",VLOOKUP($E408,STK_REF!$A$2:$J$1048576,7,0),"")</f>
        <v/>
      </c>
      <c r="L408" s="5" t="str">
        <f>IF($D408&lt;&gt;"",VLOOKUP($E408,STK_REF!$A$2:$J$1048576,8,0),"")</f>
        <v/>
      </c>
      <c r="M408" s="8" t="str">
        <f>IF($D408&lt;&gt;"",IF($K408=$U408,1,IF(ISNA(VLOOKUP($K408&amp;$U408,CUR_RATES!$A$2:$F$521,4,0)),"",VLOOKUP($K408&amp;$U408,CUR_RATES!$A$2:$F$521,4,0))),"")</f>
        <v/>
      </c>
      <c r="N408" s="61" t="str">
        <f t="shared" si="58"/>
        <v/>
      </c>
      <c r="O408" s="68" t="str">
        <f t="shared" si="59"/>
        <v/>
      </c>
      <c r="P408" s="24"/>
      <c r="Q408" s="2" t="str">
        <f>IF(ROW(Q408)-ROW($E$1)&lt;=$B$4,INDEX(IDX_COMPO!F:F,ROW(IDX_COMPO!#REF!)),"")</f>
        <v/>
      </c>
      <c r="R408" s="68" t="str">
        <f t="shared" si="60"/>
        <v/>
      </c>
      <c r="S408" s="61" t="str">
        <f t="shared" si="61"/>
        <v/>
      </c>
      <c r="T408" s="62" t="str">
        <f>IF(D408&lt;&gt;"",IF(SUMPRODUCT(--($E408=STK_DIV!$A$2:$A$5),--(NXT_COMPO!$Q408=STK_DIV!$E$2:$E$5),ROW(STK_DIV!$D$2:$D$5))=0,"",INDEX(STK_DIV!$D$1:$D$5,SUMPRODUCT(--($E408=STK_DIV!$A$2:$A$5),--(NXT_COMPO!$Q408=STK_DIV!$E$2:$E$5),ROW(STK_DIV!$D$2:$D$5)))),"")</f>
        <v/>
      </c>
      <c r="U408" s="54" t="str">
        <f>IF($D408&lt;&gt;"",VLOOKUP($P408,IDX_REF!$2:$1048576,4,0),"")</f>
        <v/>
      </c>
    </row>
    <row r="409" spans="4:21" x14ac:dyDescent="0.2">
      <c r="D409" s="52" t="str">
        <f t="shared" si="56"/>
        <v/>
      </c>
      <c r="E409" s="5" t="str">
        <f t="shared" si="57"/>
        <v/>
      </c>
      <c r="F409" s="5" t="str">
        <f>IF(ROW(F409)-ROW($E$1)&lt;=$B$1-$B$2,INDEX(IDX_COMPO!B:B,ROW(IDX_COMPO!#REF!)),IF(ROW(E409)-ROW($E$1)&lt;=$B$4,VLOOKUP(E409,STK_REF!$A$2:$J$1048576,2,0),""))</f>
        <v/>
      </c>
      <c r="J409" s="62" t="str">
        <f>IF($D409&lt;=$B$1-$B$2,IF(INDEX($AA$2:$AA$1048576,MATCH($D409,$AB$2:$AB$1048576,0))="MODIFY",INDEX(IDX_CA!$G$1:$G$1041,SUMPRODUCT(--($E409=IDX_CA!$A$2:$A$1041),--(NXT_COMPO!$P409=IDX_CA!$B$2:$B$1041),--(NXT_COMPO!$Q409=IDX_CA!$C$2:$C$1041),ROW(IDX_CA!$G$2:$G$1041))),INDEX(IDX_COMPOSITION!$F$1:$F$441,SUMPRODUCT(--($E409=IDX_COMPOSITION!$A$2:$A$441),--(NXT_COMPO!$P409=IDX_COMPOSITION!$R$2:$R$441),--(NXT_COMPO!$B$5=IDX_COMPOSITION!$L$2:$L$441),ROW(IDX_COMPOSITION!$F$2:$F$441)))),IF($D409&lt;=$B$4,INDEX(IDX_CA!$G$1:$G$1041,SUMPRODUCT(--($E409=IDX_CA!$A$2:$A$1041),--(NXT_COMPO!$P409=IDX_CA!$B$2:$B$1041),--(NXT_COMPO!$Q409=IDX_CA!$C$2:$C$1041),ROW(IDX_CA!$G$2:$G$1041))),""))</f>
        <v/>
      </c>
      <c r="K409" s="63" t="str">
        <f>IF($D409&lt;&gt;"",VLOOKUP($E409,STK_REF!$A$2:$J$1048576,7,0),"")</f>
        <v/>
      </c>
      <c r="L409" s="5" t="str">
        <f>IF($D409&lt;&gt;"",VLOOKUP($E409,STK_REF!$A$2:$J$1048576,8,0),"")</f>
        <v/>
      </c>
      <c r="M409" s="8" t="str">
        <f>IF($D409&lt;&gt;"",IF($K409=$U409,1,IF(ISNA(VLOOKUP($K409&amp;$U409,CUR_RATES!$A$2:$F$521,4,0)),"",VLOOKUP($K409&amp;$U409,CUR_RATES!$A$2:$F$521,4,0))),"")</f>
        <v/>
      </c>
      <c r="N409" s="61" t="str">
        <f t="shared" si="58"/>
        <v/>
      </c>
      <c r="O409" s="68" t="str">
        <f t="shared" si="59"/>
        <v/>
      </c>
      <c r="P409" s="24"/>
      <c r="Q409" s="2" t="str">
        <f>IF(ROW(Q409)-ROW($E$1)&lt;=$B$4,INDEX(IDX_COMPO!F:F,ROW(IDX_COMPO!#REF!)),"")</f>
        <v/>
      </c>
      <c r="R409" s="68" t="str">
        <f t="shared" si="60"/>
        <v/>
      </c>
      <c r="S409" s="61" t="str">
        <f t="shared" si="61"/>
        <v/>
      </c>
      <c r="T409" s="62" t="str">
        <f>IF(D409&lt;&gt;"",IF(SUMPRODUCT(--($E409=STK_DIV!$A$2:$A$5),--(NXT_COMPO!$Q409=STK_DIV!$E$2:$E$5),ROW(STK_DIV!$D$2:$D$5))=0,"",INDEX(STK_DIV!$D$1:$D$5,SUMPRODUCT(--($E409=STK_DIV!$A$2:$A$5),--(NXT_COMPO!$Q409=STK_DIV!$E$2:$E$5),ROW(STK_DIV!$D$2:$D$5)))),"")</f>
        <v/>
      </c>
      <c r="U409" s="54" t="str">
        <f>IF($D409&lt;&gt;"",VLOOKUP($P409,IDX_REF!$2:$1048576,4,0),"")</f>
        <v/>
      </c>
    </row>
    <row r="410" spans="4:21" x14ac:dyDescent="0.2">
      <c r="D410" s="52" t="str">
        <f t="shared" si="56"/>
        <v/>
      </c>
      <c r="E410" s="5" t="str">
        <f t="shared" si="57"/>
        <v/>
      </c>
      <c r="F410" s="5" t="str">
        <f>IF(ROW(F410)-ROW($E$1)&lt;=$B$1-$B$2,INDEX(IDX_COMPO!B:B,ROW(IDX_COMPO!#REF!)),IF(ROW(E410)-ROW($E$1)&lt;=$B$4,VLOOKUP(E410,STK_REF!$A$2:$J$1048576,2,0),""))</f>
        <v/>
      </c>
      <c r="J410" s="62" t="str">
        <f>IF($D410&lt;=$B$1-$B$2,IF(INDEX($AA$2:$AA$1048576,MATCH($D410,$AB$2:$AB$1048576,0))="MODIFY",INDEX(IDX_CA!$G$1:$G$1041,SUMPRODUCT(--($E410=IDX_CA!$A$2:$A$1041),--(NXT_COMPO!$P410=IDX_CA!$B$2:$B$1041),--(NXT_COMPO!$Q410=IDX_CA!$C$2:$C$1041),ROW(IDX_CA!$G$2:$G$1041))),INDEX(IDX_COMPOSITION!$F$1:$F$441,SUMPRODUCT(--($E410=IDX_COMPOSITION!$A$2:$A$441),--(NXT_COMPO!$P410=IDX_COMPOSITION!$R$2:$R$441),--(NXT_COMPO!$B$5=IDX_COMPOSITION!$L$2:$L$441),ROW(IDX_COMPOSITION!$F$2:$F$441)))),IF($D410&lt;=$B$4,INDEX(IDX_CA!$G$1:$G$1041,SUMPRODUCT(--($E410=IDX_CA!$A$2:$A$1041),--(NXT_COMPO!$P410=IDX_CA!$B$2:$B$1041),--(NXT_COMPO!$Q410=IDX_CA!$C$2:$C$1041),ROW(IDX_CA!$G$2:$G$1041))),""))</f>
        <v/>
      </c>
      <c r="K410" s="63" t="str">
        <f>IF($D410&lt;&gt;"",VLOOKUP($E410,STK_REF!$A$2:$J$1048576,7,0),"")</f>
        <v/>
      </c>
      <c r="L410" s="5" t="str">
        <f>IF($D410&lt;&gt;"",VLOOKUP($E410,STK_REF!$A$2:$J$1048576,8,0),"")</f>
        <v/>
      </c>
      <c r="M410" s="8" t="str">
        <f>IF($D410&lt;&gt;"",IF($K410=$U410,1,IF(ISNA(VLOOKUP($K410&amp;$U410,CUR_RATES!$A$2:$F$521,4,0)),"",VLOOKUP($K410&amp;$U410,CUR_RATES!$A$2:$F$521,4,0))),"")</f>
        <v/>
      </c>
      <c r="N410" s="61" t="str">
        <f t="shared" si="58"/>
        <v/>
      </c>
      <c r="O410" s="68" t="str">
        <f t="shared" si="59"/>
        <v/>
      </c>
      <c r="P410" s="24"/>
      <c r="Q410" s="2" t="str">
        <f>IF(ROW(Q410)-ROW($E$1)&lt;=$B$4,INDEX(IDX_COMPO!F:F,ROW(IDX_COMPO!#REF!)),"")</f>
        <v/>
      </c>
      <c r="R410" s="68" t="str">
        <f t="shared" si="60"/>
        <v/>
      </c>
      <c r="S410" s="61" t="str">
        <f t="shared" si="61"/>
        <v/>
      </c>
      <c r="T410" s="62" t="str">
        <f>IF(D410&lt;&gt;"",IF(SUMPRODUCT(--($E410=STK_DIV!$A$2:$A$5),--(NXT_COMPO!$Q410=STK_DIV!$E$2:$E$5),ROW(STK_DIV!$D$2:$D$5))=0,"",INDEX(STK_DIV!$D$1:$D$5,SUMPRODUCT(--($E410=STK_DIV!$A$2:$A$5),--(NXT_COMPO!$Q410=STK_DIV!$E$2:$E$5),ROW(STK_DIV!$D$2:$D$5)))),"")</f>
        <v/>
      </c>
      <c r="U410" s="54" t="str">
        <f>IF($D410&lt;&gt;"",VLOOKUP($P410,IDX_REF!$2:$1048576,4,0),"")</f>
        <v/>
      </c>
    </row>
    <row r="411" spans="4:21" x14ac:dyDescent="0.2">
      <c r="D411" s="52" t="str">
        <f t="shared" si="56"/>
        <v/>
      </c>
      <c r="E411" s="5" t="str">
        <f t="shared" si="57"/>
        <v/>
      </c>
      <c r="F411" s="5" t="str">
        <f>IF(ROW(F411)-ROW($E$1)&lt;=$B$1-$B$2,INDEX(IDX_COMPO!B:B,ROW(IDX_COMPO!#REF!)),IF(ROW(E411)-ROW($E$1)&lt;=$B$4,VLOOKUP(E411,STK_REF!$A$2:$J$1048576,2,0),""))</f>
        <v/>
      </c>
      <c r="J411" s="62" t="str">
        <f>IF($D411&lt;=$B$1-$B$2,IF(INDEX($AA$2:$AA$1048576,MATCH($D411,$AB$2:$AB$1048576,0))="MODIFY",INDEX(IDX_CA!$G$1:$G$1041,SUMPRODUCT(--($E411=IDX_CA!$A$2:$A$1041),--(NXT_COMPO!$P411=IDX_CA!$B$2:$B$1041),--(NXT_COMPO!$Q411=IDX_CA!$C$2:$C$1041),ROW(IDX_CA!$G$2:$G$1041))),INDEX(IDX_COMPOSITION!$F$1:$F$441,SUMPRODUCT(--($E411=IDX_COMPOSITION!$A$2:$A$441),--(NXT_COMPO!$P411=IDX_COMPOSITION!$R$2:$R$441),--(NXT_COMPO!$B$5=IDX_COMPOSITION!$L$2:$L$441),ROW(IDX_COMPOSITION!$F$2:$F$441)))),IF($D411&lt;=$B$4,INDEX(IDX_CA!$G$1:$G$1041,SUMPRODUCT(--($E411=IDX_CA!$A$2:$A$1041),--(NXT_COMPO!$P411=IDX_CA!$B$2:$B$1041),--(NXT_COMPO!$Q411=IDX_CA!$C$2:$C$1041),ROW(IDX_CA!$G$2:$G$1041))),""))</f>
        <v/>
      </c>
      <c r="K411" s="63" t="str">
        <f>IF($D411&lt;&gt;"",VLOOKUP($E411,STK_REF!$A$2:$J$1048576,7,0),"")</f>
        <v/>
      </c>
      <c r="L411" s="5" t="str">
        <f>IF($D411&lt;&gt;"",VLOOKUP($E411,STK_REF!$A$2:$J$1048576,8,0),"")</f>
        <v/>
      </c>
      <c r="M411" s="8" t="str">
        <f>IF($D411&lt;&gt;"",IF($K411=$U411,1,IF(ISNA(VLOOKUP($K411&amp;$U411,CUR_RATES!$A$2:$F$521,4,0)),"",VLOOKUP($K411&amp;$U411,CUR_RATES!$A$2:$F$521,4,0))),"")</f>
        <v/>
      </c>
      <c r="N411" s="61" t="str">
        <f t="shared" si="58"/>
        <v/>
      </c>
      <c r="O411" s="68" t="str">
        <f t="shared" si="59"/>
        <v/>
      </c>
      <c r="P411" s="24"/>
      <c r="Q411" s="2" t="str">
        <f>IF(ROW(Q411)-ROW($E$1)&lt;=$B$4,INDEX(IDX_COMPO!F:F,ROW(IDX_COMPO!#REF!)),"")</f>
        <v/>
      </c>
      <c r="R411" s="68" t="str">
        <f t="shared" si="60"/>
        <v/>
      </c>
      <c r="S411" s="61" t="str">
        <f t="shared" si="61"/>
        <v/>
      </c>
      <c r="T411" s="62" t="str">
        <f>IF(D411&lt;&gt;"",IF(SUMPRODUCT(--($E411=STK_DIV!$A$2:$A$5),--(NXT_COMPO!$Q411=STK_DIV!$E$2:$E$5),ROW(STK_DIV!$D$2:$D$5))=0,"",INDEX(STK_DIV!$D$1:$D$5,SUMPRODUCT(--($E411=STK_DIV!$A$2:$A$5),--(NXT_COMPO!$Q411=STK_DIV!$E$2:$E$5),ROW(STK_DIV!$D$2:$D$5)))),"")</f>
        <v/>
      </c>
      <c r="U411" s="54" t="str">
        <f>IF($D411&lt;&gt;"",VLOOKUP($P411,IDX_REF!$2:$1048576,4,0),"")</f>
        <v/>
      </c>
    </row>
    <row r="412" spans="4:21" x14ac:dyDescent="0.2">
      <c r="D412" s="52" t="str">
        <f t="shared" si="56"/>
        <v/>
      </c>
      <c r="E412" s="5" t="str">
        <f t="shared" si="57"/>
        <v/>
      </c>
      <c r="F412" s="5" t="str">
        <f>IF(ROW(F412)-ROW($E$1)&lt;=$B$1-$B$2,INDEX(IDX_COMPO!B:B,ROW(IDX_COMPO!#REF!)),IF(ROW(E412)-ROW($E$1)&lt;=$B$4,VLOOKUP(E412,STK_REF!$A$2:$J$1048576,2,0),""))</f>
        <v/>
      </c>
      <c r="J412" s="62" t="str">
        <f>IF($D412&lt;=$B$1-$B$2,IF(INDEX($AA$2:$AA$1048576,MATCH($D412,$AB$2:$AB$1048576,0))="MODIFY",INDEX(IDX_CA!$G$1:$G$1041,SUMPRODUCT(--($E412=IDX_CA!$A$2:$A$1041),--(NXT_COMPO!$P412=IDX_CA!$B$2:$B$1041),--(NXT_COMPO!$Q412=IDX_CA!$C$2:$C$1041),ROW(IDX_CA!$G$2:$G$1041))),INDEX(IDX_COMPOSITION!$F$1:$F$441,SUMPRODUCT(--($E412=IDX_COMPOSITION!$A$2:$A$441),--(NXT_COMPO!$P412=IDX_COMPOSITION!$R$2:$R$441),--(NXT_COMPO!$B$5=IDX_COMPOSITION!$L$2:$L$441),ROW(IDX_COMPOSITION!$F$2:$F$441)))),IF($D412&lt;=$B$4,INDEX(IDX_CA!$G$1:$G$1041,SUMPRODUCT(--($E412=IDX_CA!$A$2:$A$1041),--(NXT_COMPO!$P412=IDX_CA!$B$2:$B$1041),--(NXT_COMPO!$Q412=IDX_CA!$C$2:$C$1041),ROW(IDX_CA!$G$2:$G$1041))),""))</f>
        <v/>
      </c>
      <c r="K412" s="63" t="str">
        <f>IF($D412&lt;&gt;"",VLOOKUP($E412,STK_REF!$A$2:$J$1048576,7,0),"")</f>
        <v/>
      </c>
      <c r="L412" s="5" t="str">
        <f>IF($D412&lt;&gt;"",VLOOKUP($E412,STK_REF!$A$2:$J$1048576,8,0),"")</f>
        <v/>
      </c>
      <c r="M412" s="8" t="str">
        <f>IF($D412&lt;&gt;"",IF($K412=$U412,1,IF(ISNA(VLOOKUP($K412&amp;$U412,CUR_RATES!$A$2:$F$521,4,0)),"",VLOOKUP($K412&amp;$U412,CUR_RATES!$A$2:$F$521,4,0))),"")</f>
        <v/>
      </c>
      <c r="N412" s="61" t="str">
        <f t="shared" si="58"/>
        <v/>
      </c>
      <c r="O412" s="68" t="str">
        <f t="shared" si="59"/>
        <v/>
      </c>
      <c r="P412" s="24"/>
      <c r="Q412" s="2" t="str">
        <f>IF(ROW(Q412)-ROW($E$1)&lt;=$B$4,INDEX(IDX_COMPO!F:F,ROW(IDX_COMPO!#REF!)),"")</f>
        <v/>
      </c>
      <c r="R412" s="68" t="str">
        <f t="shared" si="60"/>
        <v/>
      </c>
      <c r="S412" s="61" t="str">
        <f t="shared" si="61"/>
        <v/>
      </c>
      <c r="T412" s="62" t="str">
        <f>IF(D412&lt;&gt;"",IF(SUMPRODUCT(--($E412=STK_DIV!$A$2:$A$5),--(NXT_COMPO!$Q412=STK_DIV!$E$2:$E$5),ROW(STK_DIV!$D$2:$D$5))=0,"",INDEX(STK_DIV!$D$1:$D$5,SUMPRODUCT(--($E412=STK_DIV!$A$2:$A$5),--(NXT_COMPO!$Q412=STK_DIV!$E$2:$E$5),ROW(STK_DIV!$D$2:$D$5)))),"")</f>
        <v/>
      </c>
      <c r="U412" s="54" t="str">
        <f>IF($D412&lt;&gt;"",VLOOKUP($P412,IDX_REF!$2:$1048576,4,0),"")</f>
        <v/>
      </c>
    </row>
    <row r="413" spans="4:21" x14ac:dyDescent="0.2">
      <c r="D413" s="52" t="str">
        <f t="shared" si="56"/>
        <v/>
      </c>
      <c r="E413" s="5" t="str">
        <f t="shared" si="57"/>
        <v/>
      </c>
      <c r="F413" s="5" t="str">
        <f>IF(ROW(F413)-ROW($E$1)&lt;=$B$1-$B$2,INDEX(IDX_COMPO!B:B,ROW(IDX_COMPO!#REF!)),IF(ROW(E413)-ROW($E$1)&lt;=$B$4,VLOOKUP(E413,STK_REF!$A$2:$J$1048576,2,0),""))</f>
        <v/>
      </c>
      <c r="J413" s="62" t="str">
        <f>IF($D413&lt;=$B$1-$B$2,IF(INDEX($AA$2:$AA$1048576,MATCH($D413,$AB$2:$AB$1048576,0))="MODIFY",INDEX(IDX_CA!$G$1:$G$1041,SUMPRODUCT(--($E413=IDX_CA!$A$2:$A$1041),--(NXT_COMPO!$P413=IDX_CA!$B$2:$B$1041),--(NXT_COMPO!$Q413=IDX_CA!$C$2:$C$1041),ROW(IDX_CA!$G$2:$G$1041))),INDEX(IDX_COMPOSITION!$F$1:$F$441,SUMPRODUCT(--($E413=IDX_COMPOSITION!$A$2:$A$441),--(NXT_COMPO!$P413=IDX_COMPOSITION!$R$2:$R$441),--(NXT_COMPO!$B$5=IDX_COMPOSITION!$L$2:$L$441),ROW(IDX_COMPOSITION!$F$2:$F$441)))),IF($D413&lt;=$B$4,INDEX(IDX_CA!$G$1:$G$1041,SUMPRODUCT(--($E413=IDX_CA!$A$2:$A$1041),--(NXT_COMPO!$P413=IDX_CA!$B$2:$B$1041),--(NXT_COMPO!$Q413=IDX_CA!$C$2:$C$1041),ROW(IDX_CA!$G$2:$G$1041))),""))</f>
        <v/>
      </c>
      <c r="K413" s="63" t="str">
        <f>IF($D413&lt;&gt;"",VLOOKUP($E413,STK_REF!$A$2:$J$1048576,7,0),"")</f>
        <v/>
      </c>
      <c r="L413" s="5" t="str">
        <f>IF($D413&lt;&gt;"",VLOOKUP($E413,STK_REF!$A$2:$J$1048576,8,0),"")</f>
        <v/>
      </c>
      <c r="M413" s="8" t="str">
        <f>IF($D413&lt;&gt;"",IF($K413=$U413,1,IF(ISNA(VLOOKUP($K413&amp;$U413,CUR_RATES!$A$2:$F$521,4,0)),"",VLOOKUP($K413&amp;$U413,CUR_RATES!$A$2:$F$521,4,0))),"")</f>
        <v/>
      </c>
      <c r="N413" s="61" t="str">
        <f t="shared" si="58"/>
        <v/>
      </c>
      <c r="O413" s="68" t="str">
        <f t="shared" si="59"/>
        <v/>
      </c>
      <c r="P413" s="24"/>
      <c r="Q413" s="2" t="str">
        <f>IF(ROW(Q413)-ROW($E$1)&lt;=$B$4,INDEX(IDX_COMPO!F:F,ROW(IDX_COMPO!#REF!)),"")</f>
        <v/>
      </c>
      <c r="R413" s="68" t="str">
        <f t="shared" si="60"/>
        <v/>
      </c>
      <c r="S413" s="61" t="str">
        <f t="shared" si="61"/>
        <v/>
      </c>
      <c r="T413" s="62" t="str">
        <f>IF(D413&lt;&gt;"",IF(SUMPRODUCT(--($E413=STK_DIV!$A$2:$A$5),--(NXT_COMPO!$Q413=STK_DIV!$E$2:$E$5),ROW(STK_DIV!$D$2:$D$5))=0,"",INDEX(STK_DIV!$D$1:$D$5,SUMPRODUCT(--($E413=STK_DIV!$A$2:$A$5),--(NXT_COMPO!$Q413=STK_DIV!$E$2:$E$5),ROW(STK_DIV!$D$2:$D$5)))),"")</f>
        <v/>
      </c>
      <c r="U413" s="54" t="str">
        <f>IF($D413&lt;&gt;"",VLOOKUP($P413,IDX_REF!$2:$1048576,4,0),"")</f>
        <v/>
      </c>
    </row>
    <row r="414" spans="4:21" x14ac:dyDescent="0.2">
      <c r="D414" s="52" t="str">
        <f t="shared" si="56"/>
        <v/>
      </c>
      <c r="E414" s="5" t="str">
        <f t="shared" si="57"/>
        <v/>
      </c>
      <c r="F414" s="5" t="str">
        <f>IF(ROW(F414)-ROW($E$1)&lt;=$B$1-$B$2,INDEX(IDX_COMPO!B:B,ROW(IDX_COMPO!#REF!)),IF(ROW(E414)-ROW($E$1)&lt;=$B$4,VLOOKUP(E414,STK_REF!$A$2:$J$1048576,2,0),""))</f>
        <v/>
      </c>
      <c r="J414" s="62" t="str">
        <f>IF($D414&lt;=$B$1-$B$2,IF(INDEX($AA$2:$AA$1048576,MATCH($D414,$AB$2:$AB$1048576,0))="MODIFY",INDEX(IDX_CA!$G$1:$G$1041,SUMPRODUCT(--($E414=IDX_CA!$A$2:$A$1041),--(NXT_COMPO!$P414=IDX_CA!$B$2:$B$1041),--(NXT_COMPO!$Q414=IDX_CA!$C$2:$C$1041),ROW(IDX_CA!$G$2:$G$1041))),INDEX(IDX_COMPOSITION!$F$1:$F$441,SUMPRODUCT(--($E414=IDX_COMPOSITION!$A$2:$A$441),--(NXT_COMPO!$P414=IDX_COMPOSITION!$R$2:$R$441),--(NXT_COMPO!$B$5=IDX_COMPOSITION!$L$2:$L$441),ROW(IDX_COMPOSITION!$F$2:$F$441)))),IF($D414&lt;=$B$4,INDEX(IDX_CA!$G$1:$G$1041,SUMPRODUCT(--($E414=IDX_CA!$A$2:$A$1041),--(NXT_COMPO!$P414=IDX_CA!$B$2:$B$1041),--(NXT_COMPO!$Q414=IDX_CA!$C$2:$C$1041),ROW(IDX_CA!$G$2:$G$1041))),""))</f>
        <v/>
      </c>
      <c r="K414" s="63" t="str">
        <f>IF($D414&lt;&gt;"",VLOOKUP($E414,STK_REF!$A$2:$J$1048576,7,0),"")</f>
        <v/>
      </c>
      <c r="L414" s="5" t="str">
        <f>IF($D414&lt;&gt;"",VLOOKUP($E414,STK_REF!$A$2:$J$1048576,8,0),"")</f>
        <v/>
      </c>
      <c r="M414" s="8" t="str">
        <f>IF($D414&lt;&gt;"",IF($K414=$U414,1,IF(ISNA(VLOOKUP($K414&amp;$U414,CUR_RATES!$A$2:$F$521,4,0)),"",VLOOKUP($K414&amp;$U414,CUR_RATES!$A$2:$F$521,4,0))),"")</f>
        <v/>
      </c>
      <c r="N414" s="61" t="str">
        <f t="shared" si="58"/>
        <v/>
      </c>
      <c r="O414" s="68" t="str">
        <f t="shared" si="59"/>
        <v/>
      </c>
      <c r="P414" s="24"/>
      <c r="Q414" s="2" t="str">
        <f>IF(ROW(Q414)-ROW($E$1)&lt;=$B$4,INDEX(IDX_COMPO!F:F,ROW(IDX_COMPO!#REF!)),"")</f>
        <v/>
      </c>
      <c r="R414" s="68" t="str">
        <f t="shared" si="60"/>
        <v/>
      </c>
      <c r="S414" s="61" t="str">
        <f t="shared" si="61"/>
        <v/>
      </c>
      <c r="T414" s="62" t="str">
        <f>IF(D414&lt;&gt;"",IF(SUMPRODUCT(--($E414=STK_DIV!$A$2:$A$5),--(NXT_COMPO!$Q414=STK_DIV!$E$2:$E$5),ROW(STK_DIV!$D$2:$D$5))=0,"",INDEX(STK_DIV!$D$1:$D$5,SUMPRODUCT(--($E414=STK_DIV!$A$2:$A$5),--(NXT_COMPO!$Q414=STK_DIV!$E$2:$E$5),ROW(STK_DIV!$D$2:$D$5)))),"")</f>
        <v/>
      </c>
      <c r="U414" s="54" t="str">
        <f>IF($D414&lt;&gt;"",VLOOKUP($P414,IDX_REF!$2:$1048576,4,0),"")</f>
        <v/>
      </c>
    </row>
    <row r="415" spans="4:21" x14ac:dyDescent="0.2">
      <c r="D415" s="52" t="str">
        <f t="shared" si="56"/>
        <v/>
      </c>
      <c r="E415" s="5" t="str">
        <f t="shared" si="57"/>
        <v/>
      </c>
      <c r="F415" s="5" t="str">
        <f>IF(ROW(F415)-ROW($E$1)&lt;=$B$1-$B$2,INDEX(IDX_COMPO!B:B,ROW(IDX_COMPO!#REF!)),IF(ROW(E415)-ROW($E$1)&lt;=$B$4,VLOOKUP(E415,STK_REF!$A$2:$J$1048576,2,0),""))</f>
        <v/>
      </c>
      <c r="J415" s="62" t="str">
        <f>IF($D415&lt;=$B$1-$B$2,IF(INDEX($AA$2:$AA$1048576,MATCH($D415,$AB$2:$AB$1048576,0))="MODIFY",INDEX(IDX_CA!$G$1:$G$1041,SUMPRODUCT(--($E415=IDX_CA!$A$2:$A$1041),--(NXT_COMPO!$P415=IDX_CA!$B$2:$B$1041),--(NXT_COMPO!$Q415=IDX_CA!$C$2:$C$1041),ROW(IDX_CA!$G$2:$G$1041))),INDEX(IDX_COMPOSITION!$F$1:$F$441,SUMPRODUCT(--($E415=IDX_COMPOSITION!$A$2:$A$441),--(NXT_COMPO!$P415=IDX_COMPOSITION!$R$2:$R$441),--(NXT_COMPO!$B$5=IDX_COMPOSITION!$L$2:$L$441),ROW(IDX_COMPOSITION!$F$2:$F$441)))),IF($D415&lt;=$B$4,INDEX(IDX_CA!$G$1:$G$1041,SUMPRODUCT(--($E415=IDX_CA!$A$2:$A$1041),--(NXT_COMPO!$P415=IDX_CA!$B$2:$B$1041),--(NXT_COMPO!$Q415=IDX_CA!$C$2:$C$1041),ROW(IDX_CA!$G$2:$G$1041))),""))</f>
        <v/>
      </c>
      <c r="K415" s="63" t="str">
        <f>IF($D415&lt;&gt;"",VLOOKUP($E415,STK_REF!$A$2:$J$1048576,7,0),"")</f>
        <v/>
      </c>
      <c r="L415" s="5" t="str">
        <f>IF($D415&lt;&gt;"",VLOOKUP($E415,STK_REF!$A$2:$J$1048576,8,0),"")</f>
        <v/>
      </c>
      <c r="M415" s="8" t="str">
        <f>IF($D415&lt;&gt;"",IF($K415=$U415,1,IF(ISNA(VLOOKUP($K415&amp;$U415,CUR_RATES!$A$2:$F$521,4,0)),"",VLOOKUP($K415&amp;$U415,CUR_RATES!$A$2:$F$521,4,0))),"")</f>
        <v/>
      </c>
      <c r="N415" s="61" t="str">
        <f t="shared" si="58"/>
        <v/>
      </c>
      <c r="O415" s="68" t="str">
        <f t="shared" si="59"/>
        <v/>
      </c>
      <c r="P415" s="24"/>
      <c r="Q415" s="2" t="str">
        <f>IF(ROW(Q415)-ROW($E$1)&lt;=$B$4,INDEX(IDX_COMPO!F:F,ROW(IDX_COMPO!#REF!)),"")</f>
        <v/>
      </c>
      <c r="R415" s="68" t="str">
        <f t="shared" si="60"/>
        <v/>
      </c>
      <c r="S415" s="61" t="str">
        <f t="shared" si="61"/>
        <v/>
      </c>
      <c r="T415" s="62" t="str">
        <f>IF(D415&lt;&gt;"",IF(SUMPRODUCT(--($E415=STK_DIV!$A$2:$A$5),--(NXT_COMPO!$Q415=STK_DIV!$E$2:$E$5),ROW(STK_DIV!$D$2:$D$5))=0,"",INDEX(STK_DIV!$D$1:$D$5,SUMPRODUCT(--($E415=STK_DIV!$A$2:$A$5),--(NXT_COMPO!$Q415=STK_DIV!$E$2:$E$5),ROW(STK_DIV!$D$2:$D$5)))),"")</f>
        <v/>
      </c>
      <c r="U415" s="54" t="str">
        <f>IF($D415&lt;&gt;"",VLOOKUP($P415,IDX_REF!$2:$1048576,4,0),"")</f>
        <v/>
      </c>
    </row>
    <row r="416" spans="4:21" x14ac:dyDescent="0.2">
      <c r="D416" s="52" t="str">
        <f t="shared" si="56"/>
        <v/>
      </c>
      <c r="E416" s="5" t="str">
        <f t="shared" si="57"/>
        <v/>
      </c>
      <c r="F416" s="5" t="str">
        <f>IF(ROW(F416)-ROW($E$1)&lt;=$B$1-$B$2,INDEX(IDX_COMPO!B:B,ROW(IDX_COMPO!#REF!)),IF(ROW(E416)-ROW($E$1)&lt;=$B$4,VLOOKUP(E416,STK_REF!$A$2:$J$1048576,2,0),""))</f>
        <v/>
      </c>
      <c r="J416" s="62" t="str">
        <f>IF($D416&lt;=$B$1-$B$2,IF(INDEX($AA$2:$AA$1048576,MATCH($D416,$AB$2:$AB$1048576,0))="MODIFY",INDEX(IDX_CA!$G$1:$G$1041,SUMPRODUCT(--($E416=IDX_CA!$A$2:$A$1041),--(NXT_COMPO!$P416=IDX_CA!$B$2:$B$1041),--(NXT_COMPO!$Q416=IDX_CA!$C$2:$C$1041),ROW(IDX_CA!$G$2:$G$1041))),INDEX(IDX_COMPOSITION!$F$1:$F$441,SUMPRODUCT(--($E416=IDX_COMPOSITION!$A$2:$A$441),--(NXT_COMPO!$P416=IDX_COMPOSITION!$R$2:$R$441),--(NXT_COMPO!$B$5=IDX_COMPOSITION!$L$2:$L$441),ROW(IDX_COMPOSITION!$F$2:$F$441)))),IF($D416&lt;=$B$4,INDEX(IDX_CA!$G$1:$G$1041,SUMPRODUCT(--($E416=IDX_CA!$A$2:$A$1041),--(NXT_COMPO!$P416=IDX_CA!$B$2:$B$1041),--(NXT_COMPO!$Q416=IDX_CA!$C$2:$C$1041),ROW(IDX_CA!$G$2:$G$1041))),""))</f>
        <v/>
      </c>
      <c r="K416" s="63" t="str">
        <f>IF($D416&lt;&gt;"",VLOOKUP($E416,STK_REF!$A$2:$J$1048576,7,0),"")</f>
        <v/>
      </c>
      <c r="L416" s="5" t="str">
        <f>IF($D416&lt;&gt;"",VLOOKUP($E416,STK_REF!$A$2:$J$1048576,8,0),"")</f>
        <v/>
      </c>
      <c r="M416" s="8" t="str">
        <f>IF($D416&lt;&gt;"",IF($K416=$U416,1,IF(ISNA(VLOOKUP($K416&amp;$U416,CUR_RATES!$A$2:$F$521,4,0)),"",VLOOKUP($K416&amp;$U416,CUR_RATES!$A$2:$F$521,4,0))),"")</f>
        <v/>
      </c>
      <c r="N416" s="61" t="str">
        <f t="shared" si="58"/>
        <v/>
      </c>
      <c r="O416" s="68" t="str">
        <f t="shared" si="59"/>
        <v/>
      </c>
      <c r="P416" s="24"/>
      <c r="Q416" s="2" t="str">
        <f>IF(ROW(Q416)-ROW($E$1)&lt;=$B$4,INDEX(IDX_COMPO!F:F,ROW(IDX_COMPO!#REF!)),"")</f>
        <v/>
      </c>
      <c r="R416" s="68" t="str">
        <f t="shared" si="60"/>
        <v/>
      </c>
      <c r="S416" s="61" t="str">
        <f t="shared" si="61"/>
        <v/>
      </c>
      <c r="T416" s="62" t="str">
        <f>IF(D416&lt;&gt;"",IF(SUMPRODUCT(--($E416=STK_DIV!$A$2:$A$5),--(NXT_COMPO!$Q416=STK_DIV!$E$2:$E$5),ROW(STK_DIV!$D$2:$D$5))=0,"",INDEX(STK_DIV!$D$1:$D$5,SUMPRODUCT(--($E416=STK_DIV!$A$2:$A$5),--(NXT_COMPO!$Q416=STK_DIV!$E$2:$E$5),ROW(STK_DIV!$D$2:$D$5)))),"")</f>
        <v/>
      </c>
      <c r="U416" s="54" t="str">
        <f>IF($D416&lt;&gt;"",VLOOKUP($P416,IDX_REF!$2:$1048576,4,0),"")</f>
        <v/>
      </c>
    </row>
    <row r="417" spans="4:21" x14ac:dyDescent="0.2">
      <c r="D417" s="52" t="str">
        <f t="shared" si="56"/>
        <v/>
      </c>
      <c r="E417" s="5" t="str">
        <f t="shared" si="57"/>
        <v/>
      </c>
      <c r="F417" s="5" t="str">
        <f>IF(ROW(F417)-ROW($E$1)&lt;=$B$1-$B$2,INDEX(IDX_COMPO!B:B,ROW(IDX_COMPO!#REF!)),IF(ROW(E417)-ROW($E$1)&lt;=$B$4,VLOOKUP(E417,STK_REF!$A$2:$J$1048576,2,0),""))</f>
        <v/>
      </c>
      <c r="J417" s="62" t="str">
        <f>IF($D417&lt;=$B$1-$B$2,IF(INDEX($AA$2:$AA$1048576,MATCH($D417,$AB$2:$AB$1048576,0))="MODIFY",INDEX(IDX_CA!$G$1:$G$1041,SUMPRODUCT(--($E417=IDX_CA!$A$2:$A$1041),--(NXT_COMPO!$P417=IDX_CA!$B$2:$B$1041),--(NXT_COMPO!$Q417=IDX_CA!$C$2:$C$1041),ROW(IDX_CA!$G$2:$G$1041))),INDEX(IDX_COMPOSITION!$F$1:$F$441,SUMPRODUCT(--($E417=IDX_COMPOSITION!$A$2:$A$441),--(NXT_COMPO!$P417=IDX_COMPOSITION!$R$2:$R$441),--(NXT_COMPO!$B$5=IDX_COMPOSITION!$L$2:$L$441),ROW(IDX_COMPOSITION!$F$2:$F$441)))),IF($D417&lt;=$B$4,INDEX(IDX_CA!$G$1:$G$1041,SUMPRODUCT(--($E417=IDX_CA!$A$2:$A$1041),--(NXT_COMPO!$P417=IDX_CA!$B$2:$B$1041),--(NXT_COMPO!$Q417=IDX_CA!$C$2:$C$1041),ROW(IDX_CA!$G$2:$G$1041))),""))</f>
        <v/>
      </c>
      <c r="K417" s="63" t="str">
        <f>IF($D417&lt;&gt;"",VLOOKUP($E417,STK_REF!$A$2:$J$1048576,7,0),"")</f>
        <v/>
      </c>
      <c r="L417" s="5" t="str">
        <f>IF($D417&lt;&gt;"",VLOOKUP($E417,STK_REF!$A$2:$J$1048576,8,0),"")</f>
        <v/>
      </c>
      <c r="M417" s="8" t="str">
        <f>IF($D417&lt;&gt;"",IF($K417=$U417,1,IF(ISNA(VLOOKUP($K417&amp;$U417,CUR_RATES!$A$2:$F$521,4,0)),"",VLOOKUP($K417&amp;$U417,CUR_RATES!$A$2:$F$521,4,0))),"")</f>
        <v/>
      </c>
      <c r="N417" s="61" t="str">
        <f t="shared" si="58"/>
        <v/>
      </c>
      <c r="O417" s="68" t="str">
        <f t="shared" si="59"/>
        <v/>
      </c>
      <c r="P417" s="24"/>
      <c r="Q417" s="2" t="str">
        <f>IF(ROW(Q417)-ROW($E$1)&lt;=$B$4,INDEX(IDX_COMPO!F:F,ROW(IDX_COMPO!#REF!)),"")</f>
        <v/>
      </c>
      <c r="R417" s="68" t="str">
        <f t="shared" si="60"/>
        <v/>
      </c>
      <c r="S417" s="61" t="str">
        <f t="shared" si="61"/>
        <v/>
      </c>
      <c r="T417" s="62" t="str">
        <f>IF(D417&lt;&gt;"",IF(SUMPRODUCT(--($E417=STK_DIV!$A$2:$A$5),--(NXT_COMPO!$Q417=STK_DIV!$E$2:$E$5),ROW(STK_DIV!$D$2:$D$5))=0,"",INDEX(STK_DIV!$D$1:$D$5,SUMPRODUCT(--($E417=STK_DIV!$A$2:$A$5),--(NXT_COMPO!$Q417=STK_DIV!$E$2:$E$5),ROW(STK_DIV!$D$2:$D$5)))),"")</f>
        <v/>
      </c>
      <c r="U417" s="54" t="str">
        <f>IF($D417&lt;&gt;"",VLOOKUP($P417,IDX_REF!$2:$1048576,4,0),"")</f>
        <v/>
      </c>
    </row>
    <row r="418" spans="4:21" x14ac:dyDescent="0.2">
      <c r="D418" s="52" t="str">
        <f t="shared" si="56"/>
        <v/>
      </c>
      <c r="E418" s="5" t="str">
        <f t="shared" si="57"/>
        <v/>
      </c>
      <c r="F418" s="5" t="str">
        <f>IF(ROW(F418)-ROW($E$1)&lt;=$B$1-$B$2,INDEX(IDX_COMPO!B:B,ROW(IDX_COMPO!#REF!)),IF(ROW(E418)-ROW($E$1)&lt;=$B$4,VLOOKUP(E418,STK_REF!$A$2:$J$1048576,2,0),""))</f>
        <v/>
      </c>
      <c r="J418" s="62" t="str">
        <f>IF($D418&lt;=$B$1-$B$2,IF(INDEX($AA$2:$AA$1048576,MATCH($D418,$AB$2:$AB$1048576,0))="MODIFY",INDEX(IDX_CA!$G$1:$G$1041,SUMPRODUCT(--($E418=IDX_CA!$A$2:$A$1041),--(NXT_COMPO!$P418=IDX_CA!$B$2:$B$1041),--(NXT_COMPO!$Q418=IDX_CA!$C$2:$C$1041),ROW(IDX_CA!$G$2:$G$1041))),INDEX(IDX_COMPOSITION!$F$1:$F$441,SUMPRODUCT(--($E418=IDX_COMPOSITION!$A$2:$A$441),--(NXT_COMPO!$P418=IDX_COMPOSITION!$R$2:$R$441),--(NXT_COMPO!$B$5=IDX_COMPOSITION!$L$2:$L$441),ROW(IDX_COMPOSITION!$F$2:$F$441)))),IF($D418&lt;=$B$4,INDEX(IDX_CA!$G$1:$G$1041,SUMPRODUCT(--($E418=IDX_CA!$A$2:$A$1041),--(NXT_COMPO!$P418=IDX_CA!$B$2:$B$1041),--(NXT_COMPO!$Q418=IDX_CA!$C$2:$C$1041),ROW(IDX_CA!$G$2:$G$1041))),""))</f>
        <v/>
      </c>
      <c r="K418" s="63" t="str">
        <f>IF($D418&lt;&gt;"",VLOOKUP($E418,STK_REF!$A$2:$J$1048576,7,0),"")</f>
        <v/>
      </c>
      <c r="L418" s="5" t="str">
        <f>IF($D418&lt;&gt;"",VLOOKUP($E418,STK_REF!$A$2:$J$1048576,8,0),"")</f>
        <v/>
      </c>
      <c r="M418" s="8" t="str">
        <f>IF($D418&lt;&gt;"",IF($K418=$U418,1,IF(ISNA(VLOOKUP($K418&amp;$U418,CUR_RATES!$A$2:$F$521,4,0)),"",VLOOKUP($K418&amp;$U418,CUR_RATES!$A$2:$F$521,4,0))),"")</f>
        <v/>
      </c>
      <c r="N418" s="61" t="str">
        <f t="shared" si="58"/>
        <v/>
      </c>
      <c r="O418" s="68" t="str">
        <f t="shared" si="59"/>
        <v/>
      </c>
      <c r="P418" s="24"/>
      <c r="Q418" s="2" t="str">
        <f>IF(ROW(Q418)-ROW($E$1)&lt;=$B$4,INDEX(IDX_COMPO!F:F,ROW(IDX_COMPO!#REF!)),"")</f>
        <v/>
      </c>
      <c r="R418" s="68" t="str">
        <f t="shared" si="60"/>
        <v/>
      </c>
      <c r="S418" s="61" t="str">
        <f t="shared" si="61"/>
        <v/>
      </c>
      <c r="T418" s="62" t="str">
        <f>IF(D418&lt;&gt;"",IF(SUMPRODUCT(--($E418=STK_DIV!$A$2:$A$5),--(NXT_COMPO!$Q418=STK_DIV!$E$2:$E$5),ROW(STK_DIV!$D$2:$D$5))=0,"",INDEX(STK_DIV!$D$1:$D$5,SUMPRODUCT(--($E418=STK_DIV!$A$2:$A$5),--(NXT_COMPO!$Q418=STK_DIV!$E$2:$E$5),ROW(STK_DIV!$D$2:$D$5)))),"")</f>
        <v/>
      </c>
      <c r="U418" s="54" t="str">
        <f>IF($D418&lt;&gt;"",VLOOKUP($P418,IDX_REF!$2:$1048576,4,0),"")</f>
        <v/>
      </c>
    </row>
    <row r="419" spans="4:21" x14ac:dyDescent="0.2">
      <c r="D419" s="52" t="str">
        <f t="shared" si="56"/>
        <v/>
      </c>
      <c r="E419" s="5" t="str">
        <f t="shared" si="57"/>
        <v/>
      </c>
      <c r="F419" s="5" t="str">
        <f>IF(ROW(F419)-ROW($E$1)&lt;=$B$1-$B$2,INDEX(IDX_COMPO!B:B,ROW(IDX_COMPO!#REF!)),IF(ROW(E419)-ROW($E$1)&lt;=$B$4,VLOOKUP(E419,STK_REF!$A$2:$J$1048576,2,0),""))</f>
        <v/>
      </c>
      <c r="J419" s="62" t="str">
        <f>IF($D419&lt;=$B$1-$B$2,IF(INDEX($AA$2:$AA$1048576,MATCH($D419,$AB$2:$AB$1048576,0))="MODIFY",INDEX(IDX_CA!$G$1:$G$1041,SUMPRODUCT(--($E419=IDX_CA!$A$2:$A$1041),--(NXT_COMPO!$P419=IDX_CA!$B$2:$B$1041),--(NXT_COMPO!$Q419=IDX_CA!$C$2:$C$1041),ROW(IDX_CA!$G$2:$G$1041))),INDEX(IDX_COMPOSITION!$F$1:$F$441,SUMPRODUCT(--($E419=IDX_COMPOSITION!$A$2:$A$441),--(NXT_COMPO!$P419=IDX_COMPOSITION!$R$2:$R$441),--(NXT_COMPO!$B$5=IDX_COMPOSITION!$L$2:$L$441),ROW(IDX_COMPOSITION!$F$2:$F$441)))),IF($D419&lt;=$B$4,INDEX(IDX_CA!$G$1:$G$1041,SUMPRODUCT(--($E419=IDX_CA!$A$2:$A$1041),--(NXT_COMPO!$P419=IDX_CA!$B$2:$B$1041),--(NXT_COMPO!$Q419=IDX_CA!$C$2:$C$1041),ROW(IDX_CA!$G$2:$G$1041))),""))</f>
        <v/>
      </c>
      <c r="K419" s="63" t="str">
        <f>IF($D419&lt;&gt;"",VLOOKUP($E419,STK_REF!$A$2:$J$1048576,7,0),"")</f>
        <v/>
      </c>
      <c r="L419" s="5" t="str">
        <f>IF($D419&lt;&gt;"",VLOOKUP($E419,STK_REF!$A$2:$J$1048576,8,0),"")</f>
        <v/>
      </c>
      <c r="M419" s="8" t="str">
        <f>IF($D419&lt;&gt;"",IF($K419=$U419,1,IF(ISNA(VLOOKUP($K419&amp;$U419,CUR_RATES!$A$2:$F$521,4,0)),"",VLOOKUP($K419&amp;$U419,CUR_RATES!$A$2:$F$521,4,0))),"")</f>
        <v/>
      </c>
      <c r="N419" s="61" t="str">
        <f t="shared" si="58"/>
        <v/>
      </c>
      <c r="O419" s="68" t="str">
        <f t="shared" si="59"/>
        <v/>
      </c>
      <c r="P419" s="24"/>
      <c r="Q419" s="2" t="str">
        <f>IF(ROW(Q419)-ROW($E$1)&lt;=$B$4,INDEX(IDX_COMPO!F:F,ROW(IDX_COMPO!#REF!)),"")</f>
        <v/>
      </c>
      <c r="R419" s="68" t="str">
        <f t="shared" si="60"/>
        <v/>
      </c>
      <c r="S419" s="61" t="str">
        <f t="shared" si="61"/>
        <v/>
      </c>
      <c r="T419" s="62" t="str">
        <f>IF(D419&lt;&gt;"",IF(SUMPRODUCT(--($E419=STK_DIV!$A$2:$A$5),--(NXT_COMPO!$Q419=STK_DIV!$E$2:$E$5),ROW(STK_DIV!$D$2:$D$5))=0,"",INDEX(STK_DIV!$D$1:$D$5,SUMPRODUCT(--($E419=STK_DIV!$A$2:$A$5),--(NXT_COMPO!$Q419=STK_DIV!$E$2:$E$5),ROW(STK_DIV!$D$2:$D$5)))),"")</f>
        <v/>
      </c>
      <c r="U419" s="54" t="str">
        <f>IF($D419&lt;&gt;"",VLOOKUP($P419,IDX_REF!$2:$1048576,4,0),"")</f>
        <v/>
      </c>
    </row>
    <row r="420" spans="4:21" x14ac:dyDescent="0.2">
      <c r="D420" s="52" t="str">
        <f t="shared" si="56"/>
        <v/>
      </c>
      <c r="E420" s="5" t="str">
        <f t="shared" si="57"/>
        <v/>
      </c>
      <c r="F420" s="5" t="str">
        <f>IF(ROW(F420)-ROW($E$1)&lt;=$B$1-$B$2,INDEX(IDX_COMPO!B:B,ROW(IDX_COMPO!#REF!)),IF(ROW(E420)-ROW($E$1)&lt;=$B$4,VLOOKUP(E420,STK_REF!$A$2:$J$1048576,2,0),""))</f>
        <v/>
      </c>
      <c r="J420" s="62" t="str">
        <f>IF($D420&lt;=$B$1-$B$2,IF(INDEX($AA$2:$AA$1048576,MATCH($D420,$AB$2:$AB$1048576,0))="MODIFY",INDEX(IDX_CA!$G$1:$G$1041,SUMPRODUCT(--($E420=IDX_CA!$A$2:$A$1041),--(NXT_COMPO!$P420=IDX_CA!$B$2:$B$1041),--(NXT_COMPO!$Q420=IDX_CA!$C$2:$C$1041),ROW(IDX_CA!$G$2:$G$1041))),INDEX(IDX_COMPOSITION!$F$1:$F$441,SUMPRODUCT(--($E420=IDX_COMPOSITION!$A$2:$A$441),--(NXT_COMPO!$P420=IDX_COMPOSITION!$R$2:$R$441),--(NXT_COMPO!$B$5=IDX_COMPOSITION!$L$2:$L$441),ROW(IDX_COMPOSITION!$F$2:$F$441)))),IF($D420&lt;=$B$4,INDEX(IDX_CA!$G$1:$G$1041,SUMPRODUCT(--($E420=IDX_CA!$A$2:$A$1041),--(NXT_COMPO!$P420=IDX_CA!$B$2:$B$1041),--(NXT_COMPO!$Q420=IDX_CA!$C$2:$C$1041),ROW(IDX_CA!$G$2:$G$1041))),""))</f>
        <v/>
      </c>
      <c r="K420" s="63" t="str">
        <f>IF($D420&lt;&gt;"",VLOOKUP($E420,STK_REF!$A$2:$J$1048576,7,0),"")</f>
        <v/>
      </c>
      <c r="L420" s="5" t="str">
        <f>IF($D420&lt;&gt;"",VLOOKUP($E420,STK_REF!$A$2:$J$1048576,8,0),"")</f>
        <v/>
      </c>
      <c r="M420" s="8" t="str">
        <f>IF($D420&lt;&gt;"",IF($K420=$U420,1,IF(ISNA(VLOOKUP($K420&amp;$U420,CUR_RATES!$A$2:$F$521,4,0)),"",VLOOKUP($K420&amp;$U420,CUR_RATES!$A$2:$F$521,4,0))),"")</f>
        <v/>
      </c>
      <c r="N420" s="61" t="str">
        <f t="shared" si="58"/>
        <v/>
      </c>
      <c r="O420" s="68" t="str">
        <f t="shared" si="59"/>
        <v/>
      </c>
      <c r="P420" s="24"/>
      <c r="Q420" s="2" t="str">
        <f>IF(ROW(Q420)-ROW($E$1)&lt;=$B$4,INDEX(IDX_COMPO!F:F,ROW(IDX_COMPO!#REF!)),"")</f>
        <v/>
      </c>
      <c r="R420" s="68" t="str">
        <f t="shared" si="60"/>
        <v/>
      </c>
      <c r="S420" s="61" t="str">
        <f t="shared" si="61"/>
        <v/>
      </c>
      <c r="T420" s="62" t="str">
        <f>IF(D420&lt;&gt;"",IF(SUMPRODUCT(--($E420=STK_DIV!$A$2:$A$5),--(NXT_COMPO!$Q420=STK_DIV!$E$2:$E$5),ROW(STK_DIV!$D$2:$D$5))=0,"",INDEX(STK_DIV!$D$1:$D$5,SUMPRODUCT(--($E420=STK_DIV!$A$2:$A$5),--(NXT_COMPO!$Q420=STK_DIV!$E$2:$E$5),ROW(STK_DIV!$D$2:$D$5)))),"")</f>
        <v/>
      </c>
      <c r="U420" s="54" t="str">
        <f>IF($D420&lt;&gt;"",VLOOKUP($P420,IDX_REF!$2:$1048576,4,0),"")</f>
        <v/>
      </c>
    </row>
    <row r="421" spans="4:21" x14ac:dyDescent="0.2">
      <c r="D421" s="52" t="str">
        <f t="shared" si="56"/>
        <v/>
      </c>
      <c r="E421" s="5" t="str">
        <f t="shared" si="57"/>
        <v/>
      </c>
      <c r="F421" s="5" t="str">
        <f>IF(ROW(F421)-ROW($E$1)&lt;=$B$1-$B$2,INDEX(IDX_COMPO!B:B,ROW(IDX_COMPO!#REF!)),IF(ROW(E421)-ROW($E$1)&lt;=$B$4,VLOOKUP(E421,STK_REF!$A$2:$J$1048576,2,0),""))</f>
        <v/>
      </c>
      <c r="J421" s="62" t="str">
        <f>IF($D421&lt;=$B$1-$B$2,IF(INDEX($AA$2:$AA$1048576,MATCH($D421,$AB$2:$AB$1048576,0))="MODIFY",INDEX(IDX_CA!$G$1:$G$1041,SUMPRODUCT(--($E421=IDX_CA!$A$2:$A$1041),--(NXT_COMPO!$P421=IDX_CA!$B$2:$B$1041),--(NXT_COMPO!$Q421=IDX_CA!$C$2:$C$1041),ROW(IDX_CA!$G$2:$G$1041))),INDEX(IDX_COMPOSITION!$F$1:$F$441,SUMPRODUCT(--($E421=IDX_COMPOSITION!$A$2:$A$441),--(NXT_COMPO!$P421=IDX_COMPOSITION!$R$2:$R$441),--(NXT_COMPO!$B$5=IDX_COMPOSITION!$L$2:$L$441),ROW(IDX_COMPOSITION!$F$2:$F$441)))),IF($D421&lt;=$B$4,INDEX(IDX_CA!$G$1:$G$1041,SUMPRODUCT(--($E421=IDX_CA!$A$2:$A$1041),--(NXT_COMPO!$P421=IDX_CA!$B$2:$B$1041),--(NXT_COMPO!$Q421=IDX_CA!$C$2:$C$1041),ROW(IDX_CA!$G$2:$G$1041))),""))</f>
        <v/>
      </c>
      <c r="K421" s="63" t="str">
        <f>IF($D421&lt;&gt;"",VLOOKUP($E421,STK_REF!$A$2:$J$1048576,7,0),"")</f>
        <v/>
      </c>
      <c r="L421" s="5" t="str">
        <f>IF($D421&lt;&gt;"",VLOOKUP($E421,STK_REF!$A$2:$J$1048576,8,0),"")</f>
        <v/>
      </c>
      <c r="M421" s="8" t="str">
        <f>IF($D421&lt;&gt;"",IF($K421=$U421,1,IF(ISNA(VLOOKUP($K421&amp;$U421,CUR_RATES!$A$2:$F$521,4,0)),"",VLOOKUP($K421&amp;$U421,CUR_RATES!$A$2:$F$521,4,0))),"")</f>
        <v/>
      </c>
      <c r="N421" s="61" t="str">
        <f t="shared" si="58"/>
        <v/>
      </c>
      <c r="O421" s="68" t="str">
        <f t="shared" si="59"/>
        <v/>
      </c>
      <c r="P421" s="24"/>
      <c r="Q421" s="2" t="str">
        <f>IF(ROW(Q421)-ROW($E$1)&lt;=$B$4,INDEX(IDX_COMPO!F:F,ROW(IDX_COMPO!#REF!)),"")</f>
        <v/>
      </c>
      <c r="R421" s="68" t="str">
        <f t="shared" si="60"/>
        <v/>
      </c>
      <c r="S421" s="61" t="str">
        <f t="shared" si="61"/>
        <v/>
      </c>
      <c r="T421" s="62" t="str">
        <f>IF(D421&lt;&gt;"",IF(SUMPRODUCT(--($E421=STK_DIV!$A$2:$A$5),--(NXT_COMPO!$Q421=STK_DIV!$E$2:$E$5),ROW(STK_DIV!$D$2:$D$5))=0,"",INDEX(STK_DIV!$D$1:$D$5,SUMPRODUCT(--($E421=STK_DIV!$A$2:$A$5),--(NXT_COMPO!$Q421=STK_DIV!$E$2:$E$5),ROW(STK_DIV!$D$2:$D$5)))),"")</f>
        <v/>
      </c>
      <c r="U421" s="54" t="str">
        <f>IF($D421&lt;&gt;"",VLOOKUP($P421,IDX_REF!$2:$1048576,4,0),"")</f>
        <v/>
      </c>
    </row>
    <row r="422" spans="4:21" x14ac:dyDescent="0.2">
      <c r="D422" s="52" t="str">
        <f t="shared" si="56"/>
        <v/>
      </c>
      <c r="E422" s="5" t="str">
        <f t="shared" si="57"/>
        <v/>
      </c>
      <c r="F422" s="5" t="str">
        <f>IF(ROW(F422)-ROW($E$1)&lt;=$B$1-$B$2,INDEX(IDX_COMPO!B:B,ROW(IDX_COMPO!#REF!)),IF(ROW(E422)-ROW($E$1)&lt;=$B$4,VLOOKUP(E422,STK_REF!$A$2:$J$1048576,2,0),""))</f>
        <v/>
      </c>
      <c r="J422" s="62" t="str">
        <f>IF($D422&lt;=$B$1-$B$2,IF(INDEX($AA$2:$AA$1048576,MATCH($D422,$AB$2:$AB$1048576,0))="MODIFY",INDEX(IDX_CA!$G$1:$G$1041,SUMPRODUCT(--($E422=IDX_CA!$A$2:$A$1041),--(NXT_COMPO!$P422=IDX_CA!$B$2:$B$1041),--(NXT_COMPO!$Q422=IDX_CA!$C$2:$C$1041),ROW(IDX_CA!$G$2:$G$1041))),INDEX(IDX_COMPOSITION!$F$1:$F$441,SUMPRODUCT(--($E422=IDX_COMPOSITION!$A$2:$A$441),--(NXT_COMPO!$P422=IDX_COMPOSITION!$R$2:$R$441),--(NXT_COMPO!$B$5=IDX_COMPOSITION!$L$2:$L$441),ROW(IDX_COMPOSITION!$F$2:$F$441)))),IF($D422&lt;=$B$4,INDEX(IDX_CA!$G$1:$G$1041,SUMPRODUCT(--($E422=IDX_CA!$A$2:$A$1041),--(NXT_COMPO!$P422=IDX_CA!$B$2:$B$1041),--(NXT_COMPO!$Q422=IDX_CA!$C$2:$C$1041),ROW(IDX_CA!$G$2:$G$1041))),""))</f>
        <v/>
      </c>
      <c r="K422" s="63" t="str">
        <f>IF($D422&lt;&gt;"",VLOOKUP($E422,STK_REF!$A$2:$J$1048576,7,0),"")</f>
        <v/>
      </c>
      <c r="L422" s="5" t="str">
        <f>IF($D422&lt;&gt;"",VLOOKUP($E422,STK_REF!$A$2:$J$1048576,8,0),"")</f>
        <v/>
      </c>
      <c r="M422" s="8" t="str">
        <f>IF($D422&lt;&gt;"",IF($K422=$U422,1,IF(ISNA(VLOOKUP($K422&amp;$U422,CUR_RATES!$A$2:$F$521,4,0)),"",VLOOKUP($K422&amp;$U422,CUR_RATES!$A$2:$F$521,4,0))),"")</f>
        <v/>
      </c>
      <c r="N422" s="61" t="str">
        <f t="shared" si="58"/>
        <v/>
      </c>
      <c r="O422" s="68" t="str">
        <f t="shared" si="59"/>
        <v/>
      </c>
      <c r="P422" s="24"/>
      <c r="Q422" s="2" t="str">
        <f>IF(ROW(Q422)-ROW($E$1)&lt;=$B$4,INDEX(IDX_COMPO!F:F,ROW(IDX_COMPO!#REF!)),"")</f>
        <v/>
      </c>
      <c r="R422" s="68" t="str">
        <f t="shared" si="60"/>
        <v/>
      </c>
      <c r="S422" s="61" t="str">
        <f t="shared" si="61"/>
        <v/>
      </c>
      <c r="T422" s="62" t="str">
        <f>IF(D422&lt;&gt;"",IF(SUMPRODUCT(--($E422=STK_DIV!$A$2:$A$5),--(NXT_COMPO!$Q422=STK_DIV!$E$2:$E$5),ROW(STK_DIV!$D$2:$D$5))=0,"",INDEX(STK_DIV!$D$1:$D$5,SUMPRODUCT(--($E422=STK_DIV!$A$2:$A$5),--(NXT_COMPO!$Q422=STK_DIV!$E$2:$E$5),ROW(STK_DIV!$D$2:$D$5)))),"")</f>
        <v/>
      </c>
      <c r="U422" s="54" t="str">
        <f>IF($D422&lt;&gt;"",VLOOKUP($P422,IDX_REF!$2:$1048576,4,0),"")</f>
        <v/>
      </c>
    </row>
    <row r="423" spans="4:21" x14ac:dyDescent="0.2">
      <c r="D423" s="52" t="str">
        <f t="shared" si="56"/>
        <v/>
      </c>
      <c r="E423" s="5" t="str">
        <f t="shared" si="57"/>
        <v/>
      </c>
      <c r="F423" s="5" t="str">
        <f>IF(ROW(F423)-ROW($E$1)&lt;=$B$1-$B$2,INDEX(IDX_COMPO!B:B,ROW(IDX_COMPO!#REF!)),IF(ROW(E423)-ROW($E$1)&lt;=$B$4,VLOOKUP(E423,STK_REF!$A$2:$J$1048576,2,0),""))</f>
        <v/>
      </c>
      <c r="J423" s="62" t="str">
        <f>IF($D423&lt;=$B$1-$B$2,IF(INDEX($AA$2:$AA$1048576,MATCH($D423,$AB$2:$AB$1048576,0))="MODIFY",INDEX(IDX_CA!$G$1:$G$1041,SUMPRODUCT(--($E423=IDX_CA!$A$2:$A$1041),--(NXT_COMPO!$P423=IDX_CA!$B$2:$B$1041),--(NXT_COMPO!$Q423=IDX_CA!$C$2:$C$1041),ROW(IDX_CA!$G$2:$G$1041))),INDEX(IDX_COMPOSITION!$F$1:$F$441,SUMPRODUCT(--($E423=IDX_COMPOSITION!$A$2:$A$441),--(NXT_COMPO!$P423=IDX_COMPOSITION!$R$2:$R$441),--(NXT_COMPO!$B$5=IDX_COMPOSITION!$L$2:$L$441),ROW(IDX_COMPOSITION!$F$2:$F$441)))),IF($D423&lt;=$B$4,INDEX(IDX_CA!$G$1:$G$1041,SUMPRODUCT(--($E423=IDX_CA!$A$2:$A$1041),--(NXT_COMPO!$P423=IDX_CA!$B$2:$B$1041),--(NXT_COMPO!$Q423=IDX_CA!$C$2:$C$1041),ROW(IDX_CA!$G$2:$G$1041))),""))</f>
        <v/>
      </c>
      <c r="K423" s="63" t="str">
        <f>IF($D423&lt;&gt;"",VLOOKUP($E423,STK_REF!$A$2:$J$1048576,7,0),"")</f>
        <v/>
      </c>
      <c r="L423" s="5" t="str">
        <f>IF($D423&lt;&gt;"",VLOOKUP($E423,STK_REF!$A$2:$J$1048576,8,0),"")</f>
        <v/>
      </c>
      <c r="M423" s="8" t="str">
        <f>IF($D423&lt;&gt;"",IF($K423=$U423,1,IF(ISNA(VLOOKUP($K423&amp;$U423,CUR_RATES!$A$2:$F$521,4,0)),"",VLOOKUP($K423&amp;$U423,CUR_RATES!$A$2:$F$521,4,0))),"")</f>
        <v/>
      </c>
      <c r="N423" s="61" t="str">
        <f t="shared" si="58"/>
        <v/>
      </c>
      <c r="O423" s="68" t="str">
        <f t="shared" si="59"/>
        <v/>
      </c>
      <c r="P423" s="24"/>
      <c r="Q423" s="2" t="str">
        <f>IF(ROW(Q423)-ROW($E$1)&lt;=$B$4,INDEX(IDX_COMPO!F:F,ROW(IDX_COMPO!#REF!)),"")</f>
        <v/>
      </c>
      <c r="R423" s="68" t="str">
        <f t="shared" si="60"/>
        <v/>
      </c>
      <c r="S423" s="61" t="str">
        <f t="shared" si="61"/>
        <v/>
      </c>
      <c r="T423" s="62" t="str">
        <f>IF(D423&lt;&gt;"",IF(SUMPRODUCT(--($E423=STK_DIV!$A$2:$A$5),--(NXT_COMPO!$Q423=STK_DIV!$E$2:$E$5),ROW(STK_DIV!$D$2:$D$5))=0,"",INDEX(STK_DIV!$D$1:$D$5,SUMPRODUCT(--($E423=STK_DIV!$A$2:$A$5),--(NXT_COMPO!$Q423=STK_DIV!$E$2:$E$5),ROW(STK_DIV!$D$2:$D$5)))),"")</f>
        <v/>
      </c>
      <c r="U423" s="54" t="str">
        <f>IF($D423&lt;&gt;"",VLOOKUP($P423,IDX_REF!$2:$1048576,4,0),"")</f>
        <v/>
      </c>
    </row>
    <row r="424" spans="4:21" x14ac:dyDescent="0.2">
      <c r="D424" s="52" t="str">
        <f t="shared" si="56"/>
        <v/>
      </c>
      <c r="E424" s="5" t="str">
        <f t="shared" si="57"/>
        <v/>
      </c>
      <c r="F424" s="5" t="str">
        <f>IF(ROW(F424)-ROW($E$1)&lt;=$B$1-$B$2,INDEX(IDX_COMPO!B:B,ROW(IDX_COMPO!#REF!)),IF(ROW(E424)-ROW($E$1)&lt;=$B$4,VLOOKUP(E424,STK_REF!$A$2:$J$1048576,2,0),""))</f>
        <v/>
      </c>
      <c r="J424" s="62" t="str">
        <f>IF($D424&lt;=$B$1-$B$2,IF(INDEX($AA$2:$AA$1048576,MATCH($D424,$AB$2:$AB$1048576,0))="MODIFY",INDEX(IDX_CA!$G$1:$G$1041,SUMPRODUCT(--($E424=IDX_CA!$A$2:$A$1041),--(NXT_COMPO!$P424=IDX_CA!$B$2:$B$1041),--(NXT_COMPO!$Q424=IDX_CA!$C$2:$C$1041),ROW(IDX_CA!$G$2:$G$1041))),INDEX(IDX_COMPOSITION!$F$1:$F$441,SUMPRODUCT(--($E424=IDX_COMPOSITION!$A$2:$A$441),--(NXT_COMPO!$P424=IDX_COMPOSITION!$R$2:$R$441),--(NXT_COMPO!$B$5=IDX_COMPOSITION!$L$2:$L$441),ROW(IDX_COMPOSITION!$F$2:$F$441)))),IF($D424&lt;=$B$4,INDEX(IDX_CA!$G$1:$G$1041,SUMPRODUCT(--($E424=IDX_CA!$A$2:$A$1041),--(NXT_COMPO!$P424=IDX_CA!$B$2:$B$1041),--(NXT_COMPO!$Q424=IDX_CA!$C$2:$C$1041),ROW(IDX_CA!$G$2:$G$1041))),""))</f>
        <v/>
      </c>
      <c r="K424" s="63" t="str">
        <f>IF($D424&lt;&gt;"",VLOOKUP($E424,STK_REF!$A$2:$J$1048576,7,0),"")</f>
        <v/>
      </c>
      <c r="L424" s="5" t="str">
        <f>IF($D424&lt;&gt;"",VLOOKUP($E424,STK_REF!$A$2:$J$1048576,8,0),"")</f>
        <v/>
      </c>
      <c r="M424" s="8" t="str">
        <f>IF($D424&lt;&gt;"",IF($K424=$U424,1,IF(ISNA(VLOOKUP($K424&amp;$U424,CUR_RATES!$A$2:$F$521,4,0)),"",VLOOKUP($K424&amp;$U424,CUR_RATES!$A$2:$F$521,4,0))),"")</f>
        <v/>
      </c>
      <c r="N424" s="61" t="str">
        <f t="shared" si="58"/>
        <v/>
      </c>
      <c r="O424" s="68" t="str">
        <f t="shared" si="59"/>
        <v/>
      </c>
      <c r="P424" s="24"/>
      <c r="Q424" s="2" t="str">
        <f>IF(ROW(Q424)-ROW($E$1)&lt;=$B$4,INDEX(IDX_COMPO!F:F,ROW(IDX_COMPO!#REF!)),"")</f>
        <v/>
      </c>
      <c r="R424" s="68" t="str">
        <f t="shared" si="60"/>
        <v/>
      </c>
      <c r="S424" s="61" t="str">
        <f t="shared" si="61"/>
        <v/>
      </c>
      <c r="T424" s="62" t="str">
        <f>IF(D424&lt;&gt;"",IF(SUMPRODUCT(--($E424=STK_DIV!$A$2:$A$5),--(NXT_COMPO!$Q424=STK_DIV!$E$2:$E$5),ROW(STK_DIV!$D$2:$D$5))=0,"",INDEX(STK_DIV!$D$1:$D$5,SUMPRODUCT(--($E424=STK_DIV!$A$2:$A$5),--(NXT_COMPO!$Q424=STK_DIV!$E$2:$E$5),ROW(STK_DIV!$D$2:$D$5)))),"")</f>
        <v/>
      </c>
      <c r="U424" s="54" t="str">
        <f>IF($D424&lt;&gt;"",VLOOKUP($P424,IDX_REF!$2:$1048576,4,0),"")</f>
        <v/>
      </c>
    </row>
    <row r="425" spans="4:21" x14ac:dyDescent="0.2">
      <c r="D425" s="52" t="str">
        <f t="shared" si="56"/>
        <v/>
      </c>
      <c r="E425" s="5" t="str">
        <f t="shared" si="57"/>
        <v/>
      </c>
      <c r="F425" s="5" t="str">
        <f>IF(ROW(F425)-ROW($E$1)&lt;=$B$1-$B$2,INDEX(IDX_COMPO!B:B,ROW(IDX_COMPO!#REF!)),IF(ROW(E425)-ROW($E$1)&lt;=$B$4,VLOOKUP(E425,STK_REF!$A$2:$J$1048576,2,0),""))</f>
        <v/>
      </c>
      <c r="J425" s="62" t="str">
        <f>IF($D425&lt;=$B$1-$B$2,IF(INDEX($AA$2:$AA$1048576,MATCH($D425,$AB$2:$AB$1048576,0))="MODIFY",INDEX(IDX_CA!$G$1:$G$1041,SUMPRODUCT(--($E425=IDX_CA!$A$2:$A$1041),--(NXT_COMPO!$P425=IDX_CA!$B$2:$B$1041),--(NXT_COMPO!$Q425=IDX_CA!$C$2:$C$1041),ROW(IDX_CA!$G$2:$G$1041))),INDEX(IDX_COMPOSITION!$F$1:$F$441,SUMPRODUCT(--($E425=IDX_COMPOSITION!$A$2:$A$441),--(NXT_COMPO!$P425=IDX_COMPOSITION!$R$2:$R$441),--(NXT_COMPO!$B$5=IDX_COMPOSITION!$L$2:$L$441),ROW(IDX_COMPOSITION!$F$2:$F$441)))),IF($D425&lt;=$B$4,INDEX(IDX_CA!$G$1:$G$1041,SUMPRODUCT(--($E425=IDX_CA!$A$2:$A$1041),--(NXT_COMPO!$P425=IDX_CA!$B$2:$B$1041),--(NXT_COMPO!$Q425=IDX_CA!$C$2:$C$1041),ROW(IDX_CA!$G$2:$G$1041))),""))</f>
        <v/>
      </c>
      <c r="K425" s="63" t="str">
        <f>IF($D425&lt;&gt;"",VLOOKUP($E425,STK_REF!$A$2:$J$1048576,7,0),"")</f>
        <v/>
      </c>
      <c r="L425" s="5" t="str">
        <f>IF($D425&lt;&gt;"",VLOOKUP($E425,STK_REF!$A$2:$J$1048576,8,0),"")</f>
        <v/>
      </c>
      <c r="M425" s="8" t="str">
        <f>IF($D425&lt;&gt;"",IF($K425=$U425,1,IF(ISNA(VLOOKUP($K425&amp;$U425,CUR_RATES!$A$2:$F$521,4,0)),"",VLOOKUP($K425&amp;$U425,CUR_RATES!$A$2:$F$521,4,0))),"")</f>
        <v/>
      </c>
      <c r="N425" s="61" t="str">
        <f t="shared" si="58"/>
        <v/>
      </c>
      <c r="O425" s="68" t="str">
        <f t="shared" si="59"/>
        <v/>
      </c>
      <c r="P425" s="24"/>
      <c r="Q425" s="2" t="str">
        <f>IF(ROW(Q425)-ROW($E$1)&lt;=$B$4,INDEX(IDX_COMPO!F:F,ROW(IDX_COMPO!#REF!)),"")</f>
        <v/>
      </c>
      <c r="R425" s="68" t="str">
        <f t="shared" si="60"/>
        <v/>
      </c>
      <c r="S425" s="61" t="str">
        <f t="shared" si="61"/>
        <v/>
      </c>
      <c r="T425" s="62" t="str">
        <f>IF(D425&lt;&gt;"",IF(SUMPRODUCT(--($E425=STK_DIV!$A$2:$A$5),--(NXT_COMPO!$Q425=STK_DIV!$E$2:$E$5),ROW(STK_DIV!$D$2:$D$5))=0,"",INDEX(STK_DIV!$D$1:$D$5,SUMPRODUCT(--($E425=STK_DIV!$A$2:$A$5),--(NXT_COMPO!$Q425=STK_DIV!$E$2:$E$5),ROW(STK_DIV!$D$2:$D$5)))),"")</f>
        <v/>
      </c>
      <c r="U425" s="54" t="str">
        <f>IF($D425&lt;&gt;"",VLOOKUP($P425,IDX_REF!$2:$1048576,4,0),"")</f>
        <v/>
      </c>
    </row>
    <row r="426" spans="4:21" x14ac:dyDescent="0.2">
      <c r="D426" s="52" t="str">
        <f t="shared" si="56"/>
        <v/>
      </c>
      <c r="E426" s="5" t="str">
        <f t="shared" si="57"/>
        <v/>
      </c>
      <c r="F426" s="5" t="str">
        <f>IF(ROW(F426)-ROW($E$1)&lt;=$B$1-$B$2,INDEX(IDX_COMPO!B:B,ROW(IDX_COMPO!#REF!)),IF(ROW(E426)-ROW($E$1)&lt;=$B$4,VLOOKUP(E426,STK_REF!$A$2:$J$1048576,2,0),""))</f>
        <v/>
      </c>
      <c r="J426" s="62" t="str">
        <f>IF($D426&lt;=$B$1-$B$2,IF(INDEX($AA$2:$AA$1048576,MATCH($D426,$AB$2:$AB$1048576,0))="MODIFY",INDEX(IDX_CA!$G$1:$G$1041,SUMPRODUCT(--($E426=IDX_CA!$A$2:$A$1041),--(NXT_COMPO!$P426=IDX_CA!$B$2:$B$1041),--(NXT_COMPO!$Q426=IDX_CA!$C$2:$C$1041),ROW(IDX_CA!$G$2:$G$1041))),INDEX(IDX_COMPOSITION!$F$1:$F$441,SUMPRODUCT(--($E426=IDX_COMPOSITION!$A$2:$A$441),--(NXT_COMPO!$P426=IDX_COMPOSITION!$R$2:$R$441),--(NXT_COMPO!$B$5=IDX_COMPOSITION!$L$2:$L$441),ROW(IDX_COMPOSITION!$F$2:$F$441)))),IF($D426&lt;=$B$4,INDEX(IDX_CA!$G$1:$G$1041,SUMPRODUCT(--($E426=IDX_CA!$A$2:$A$1041),--(NXT_COMPO!$P426=IDX_CA!$B$2:$B$1041),--(NXT_COMPO!$Q426=IDX_CA!$C$2:$C$1041),ROW(IDX_CA!$G$2:$G$1041))),""))</f>
        <v/>
      </c>
      <c r="K426" s="63" t="str">
        <f>IF($D426&lt;&gt;"",VLOOKUP($E426,STK_REF!$A$2:$J$1048576,7,0),"")</f>
        <v/>
      </c>
      <c r="L426" s="5" t="str">
        <f>IF($D426&lt;&gt;"",VLOOKUP($E426,STK_REF!$A$2:$J$1048576,8,0),"")</f>
        <v/>
      </c>
      <c r="M426" s="8" t="str">
        <f>IF($D426&lt;&gt;"",IF($K426=$U426,1,IF(ISNA(VLOOKUP($K426&amp;$U426,CUR_RATES!$A$2:$F$521,4,0)),"",VLOOKUP($K426&amp;$U426,CUR_RATES!$A$2:$F$521,4,0))),"")</f>
        <v/>
      </c>
      <c r="N426" s="61" t="str">
        <f t="shared" si="58"/>
        <v/>
      </c>
      <c r="O426" s="68" t="str">
        <f t="shared" si="59"/>
        <v/>
      </c>
      <c r="P426" s="24"/>
      <c r="Q426" s="2" t="str">
        <f>IF(ROW(Q426)-ROW($E$1)&lt;=$B$4,INDEX(IDX_COMPO!F:F,ROW(IDX_COMPO!#REF!)),"")</f>
        <v/>
      </c>
      <c r="R426" s="68" t="str">
        <f t="shared" si="60"/>
        <v/>
      </c>
      <c r="S426" s="61" t="str">
        <f t="shared" si="61"/>
        <v/>
      </c>
      <c r="T426" s="62" t="str">
        <f>IF(D426&lt;&gt;"",IF(SUMPRODUCT(--($E426=STK_DIV!$A$2:$A$5),--(NXT_COMPO!$Q426=STK_DIV!$E$2:$E$5),ROW(STK_DIV!$D$2:$D$5))=0,"",INDEX(STK_DIV!$D$1:$D$5,SUMPRODUCT(--($E426=STK_DIV!$A$2:$A$5),--(NXT_COMPO!$Q426=STK_DIV!$E$2:$E$5),ROW(STK_DIV!$D$2:$D$5)))),"")</f>
        <v/>
      </c>
      <c r="U426" s="54" t="str">
        <f>IF($D426&lt;&gt;"",VLOOKUP($P426,IDX_REF!$2:$1048576,4,0),"")</f>
        <v/>
      </c>
    </row>
    <row r="427" spans="4:21" x14ac:dyDescent="0.2">
      <c r="D427" s="52" t="str">
        <f t="shared" si="56"/>
        <v/>
      </c>
      <c r="E427" s="5" t="str">
        <f t="shared" si="57"/>
        <v/>
      </c>
      <c r="F427" s="5" t="str">
        <f>IF(ROW(F427)-ROW($E$1)&lt;=$B$1-$B$2,INDEX(IDX_COMPO!B:B,ROW(IDX_COMPO!#REF!)),IF(ROW(E427)-ROW($E$1)&lt;=$B$4,VLOOKUP(E427,STK_REF!$A$2:$J$1048576,2,0),""))</f>
        <v/>
      </c>
      <c r="J427" s="62" t="str">
        <f>IF($D427&lt;=$B$1-$B$2,IF(INDEX($AA$2:$AA$1048576,MATCH($D427,$AB$2:$AB$1048576,0))="MODIFY",INDEX(IDX_CA!$G$1:$G$1041,SUMPRODUCT(--($E427=IDX_CA!$A$2:$A$1041),--(NXT_COMPO!$P427=IDX_CA!$B$2:$B$1041),--(NXT_COMPO!$Q427=IDX_CA!$C$2:$C$1041),ROW(IDX_CA!$G$2:$G$1041))),INDEX(IDX_COMPOSITION!$F$1:$F$441,SUMPRODUCT(--($E427=IDX_COMPOSITION!$A$2:$A$441),--(NXT_COMPO!$P427=IDX_COMPOSITION!$R$2:$R$441),--(NXT_COMPO!$B$5=IDX_COMPOSITION!$L$2:$L$441),ROW(IDX_COMPOSITION!$F$2:$F$441)))),IF($D427&lt;=$B$4,INDEX(IDX_CA!$G$1:$G$1041,SUMPRODUCT(--($E427=IDX_CA!$A$2:$A$1041),--(NXT_COMPO!$P427=IDX_CA!$B$2:$B$1041),--(NXT_COMPO!$Q427=IDX_CA!$C$2:$C$1041),ROW(IDX_CA!$G$2:$G$1041))),""))</f>
        <v/>
      </c>
      <c r="K427" s="63" t="str">
        <f>IF($D427&lt;&gt;"",VLOOKUP($E427,STK_REF!$A$2:$J$1048576,7,0),"")</f>
        <v/>
      </c>
      <c r="L427" s="5" t="str">
        <f>IF($D427&lt;&gt;"",VLOOKUP($E427,STK_REF!$A$2:$J$1048576,8,0),"")</f>
        <v/>
      </c>
      <c r="M427" s="8" t="str">
        <f>IF($D427&lt;&gt;"",IF($K427=$U427,1,IF(ISNA(VLOOKUP($K427&amp;$U427,CUR_RATES!$A$2:$F$521,4,0)),"",VLOOKUP($K427&amp;$U427,CUR_RATES!$A$2:$F$521,4,0))),"")</f>
        <v/>
      </c>
      <c r="N427" s="61" t="str">
        <f t="shared" si="58"/>
        <v/>
      </c>
      <c r="O427" s="68" t="str">
        <f t="shared" si="59"/>
        <v/>
      </c>
      <c r="P427" s="24"/>
      <c r="Q427" s="2" t="str">
        <f>IF(ROW(Q427)-ROW($E$1)&lt;=$B$4,INDEX(IDX_COMPO!F:F,ROW(IDX_COMPO!#REF!)),"")</f>
        <v/>
      </c>
      <c r="R427" s="68" t="str">
        <f t="shared" si="60"/>
        <v/>
      </c>
      <c r="S427" s="61" t="str">
        <f t="shared" si="61"/>
        <v/>
      </c>
      <c r="T427" s="62" t="str">
        <f>IF(D427&lt;&gt;"",IF(SUMPRODUCT(--($E427=STK_DIV!$A$2:$A$5),--(NXT_COMPO!$Q427=STK_DIV!$E$2:$E$5),ROW(STK_DIV!$D$2:$D$5))=0,"",INDEX(STK_DIV!$D$1:$D$5,SUMPRODUCT(--($E427=STK_DIV!$A$2:$A$5),--(NXT_COMPO!$Q427=STK_DIV!$E$2:$E$5),ROW(STK_DIV!$D$2:$D$5)))),"")</f>
        <v/>
      </c>
      <c r="U427" s="54" t="str">
        <f>IF($D427&lt;&gt;"",VLOOKUP($P427,IDX_REF!$2:$1048576,4,0),"")</f>
        <v/>
      </c>
    </row>
    <row r="428" spans="4:21" x14ac:dyDescent="0.2">
      <c r="D428" s="52" t="str">
        <f t="shared" si="56"/>
        <v/>
      </c>
      <c r="E428" s="5" t="str">
        <f t="shared" si="57"/>
        <v/>
      </c>
      <c r="F428" s="5" t="str">
        <f>IF(ROW(F428)-ROW($E$1)&lt;=$B$1-$B$2,INDEX(IDX_COMPO!B:B,ROW(IDX_COMPO!#REF!)),IF(ROW(E428)-ROW($E$1)&lt;=$B$4,VLOOKUP(E428,STK_REF!$A$2:$J$1048576,2,0),""))</f>
        <v/>
      </c>
      <c r="J428" s="62" t="str">
        <f>IF($D428&lt;=$B$1-$B$2,IF(INDEX($AA$2:$AA$1048576,MATCH($D428,$AB$2:$AB$1048576,0))="MODIFY",INDEX(IDX_CA!$G$1:$G$1041,SUMPRODUCT(--($E428=IDX_CA!$A$2:$A$1041),--(NXT_COMPO!$P428=IDX_CA!$B$2:$B$1041),--(NXT_COMPO!$Q428=IDX_CA!$C$2:$C$1041),ROW(IDX_CA!$G$2:$G$1041))),INDEX(IDX_COMPOSITION!$F$1:$F$441,SUMPRODUCT(--($E428=IDX_COMPOSITION!$A$2:$A$441),--(NXT_COMPO!$P428=IDX_COMPOSITION!$R$2:$R$441),--(NXT_COMPO!$B$5=IDX_COMPOSITION!$L$2:$L$441),ROW(IDX_COMPOSITION!$F$2:$F$441)))),IF($D428&lt;=$B$4,INDEX(IDX_CA!$G$1:$G$1041,SUMPRODUCT(--($E428=IDX_CA!$A$2:$A$1041),--(NXT_COMPO!$P428=IDX_CA!$B$2:$B$1041),--(NXT_COMPO!$Q428=IDX_CA!$C$2:$C$1041),ROW(IDX_CA!$G$2:$G$1041))),""))</f>
        <v/>
      </c>
      <c r="K428" s="63" t="str">
        <f>IF($D428&lt;&gt;"",VLOOKUP($E428,STK_REF!$A$2:$J$1048576,7,0),"")</f>
        <v/>
      </c>
      <c r="L428" s="5" t="str">
        <f>IF($D428&lt;&gt;"",VLOOKUP($E428,STK_REF!$A$2:$J$1048576,8,0),"")</f>
        <v/>
      </c>
      <c r="M428" s="8" t="str">
        <f>IF($D428&lt;&gt;"",IF($K428=$U428,1,IF(ISNA(VLOOKUP($K428&amp;$U428,CUR_RATES!$A$2:$F$521,4,0)),"",VLOOKUP($K428&amp;$U428,CUR_RATES!$A$2:$F$521,4,0))),"")</f>
        <v/>
      </c>
      <c r="N428" s="61" t="str">
        <f t="shared" si="58"/>
        <v/>
      </c>
      <c r="O428" s="68" t="str">
        <f t="shared" si="59"/>
        <v/>
      </c>
      <c r="P428" s="24"/>
      <c r="Q428" s="2" t="str">
        <f>IF(ROW(Q428)-ROW($E$1)&lt;=$B$4,INDEX(IDX_COMPO!F:F,ROW(IDX_COMPO!#REF!)),"")</f>
        <v/>
      </c>
      <c r="R428" s="68" t="str">
        <f t="shared" si="60"/>
        <v/>
      </c>
      <c r="S428" s="61" t="str">
        <f t="shared" si="61"/>
        <v/>
      </c>
      <c r="T428" s="62" t="str">
        <f>IF(D428&lt;&gt;"",IF(SUMPRODUCT(--($E428=STK_DIV!$A$2:$A$5),--(NXT_COMPO!$Q428=STK_DIV!$E$2:$E$5),ROW(STK_DIV!$D$2:$D$5))=0,"",INDEX(STK_DIV!$D$1:$D$5,SUMPRODUCT(--($E428=STK_DIV!$A$2:$A$5),--(NXT_COMPO!$Q428=STK_DIV!$E$2:$E$5),ROW(STK_DIV!$D$2:$D$5)))),"")</f>
        <v/>
      </c>
      <c r="U428" s="54" t="str">
        <f>IF($D428&lt;&gt;"",VLOOKUP($P428,IDX_REF!$2:$1048576,4,0),"")</f>
        <v/>
      </c>
    </row>
    <row r="429" spans="4:21" x14ac:dyDescent="0.2">
      <c r="D429" s="52" t="str">
        <f t="shared" si="56"/>
        <v/>
      </c>
      <c r="E429" s="5" t="str">
        <f t="shared" si="57"/>
        <v/>
      </c>
      <c r="F429" s="5" t="str">
        <f>IF(ROW(F429)-ROW($E$1)&lt;=$B$1-$B$2,INDEX(IDX_COMPO!B:B,ROW(IDX_COMPO!#REF!)),IF(ROW(E429)-ROW($E$1)&lt;=$B$4,VLOOKUP(E429,STK_REF!$A$2:$J$1048576,2,0),""))</f>
        <v/>
      </c>
      <c r="J429" s="62" t="str">
        <f>IF($D429&lt;=$B$1-$B$2,IF(INDEX($AA$2:$AA$1048576,MATCH($D429,$AB$2:$AB$1048576,0))="MODIFY",INDEX(IDX_CA!$G$1:$G$1041,SUMPRODUCT(--($E429=IDX_CA!$A$2:$A$1041),--(NXT_COMPO!$P429=IDX_CA!$B$2:$B$1041),--(NXT_COMPO!$Q429=IDX_CA!$C$2:$C$1041),ROW(IDX_CA!$G$2:$G$1041))),INDEX(IDX_COMPOSITION!$F$1:$F$441,SUMPRODUCT(--($E429=IDX_COMPOSITION!$A$2:$A$441),--(NXT_COMPO!$P429=IDX_COMPOSITION!$R$2:$R$441),--(NXT_COMPO!$B$5=IDX_COMPOSITION!$L$2:$L$441),ROW(IDX_COMPOSITION!$F$2:$F$441)))),IF($D429&lt;=$B$4,INDEX(IDX_CA!$G$1:$G$1041,SUMPRODUCT(--($E429=IDX_CA!$A$2:$A$1041),--(NXT_COMPO!$P429=IDX_CA!$B$2:$B$1041),--(NXT_COMPO!$Q429=IDX_CA!$C$2:$C$1041),ROW(IDX_CA!$G$2:$G$1041))),""))</f>
        <v/>
      </c>
      <c r="K429" s="63" t="str">
        <f>IF($D429&lt;&gt;"",VLOOKUP($E429,STK_REF!$A$2:$J$1048576,7,0),"")</f>
        <v/>
      </c>
      <c r="L429" s="5" t="str">
        <f>IF($D429&lt;&gt;"",VLOOKUP($E429,STK_REF!$A$2:$J$1048576,8,0),"")</f>
        <v/>
      </c>
      <c r="M429" s="8" t="str">
        <f>IF($D429&lt;&gt;"",IF($K429=$U429,1,IF(ISNA(VLOOKUP($K429&amp;$U429,CUR_RATES!$A$2:$F$521,4,0)),"",VLOOKUP($K429&amp;$U429,CUR_RATES!$A$2:$F$521,4,0))),"")</f>
        <v/>
      </c>
      <c r="N429" s="61" t="str">
        <f t="shared" si="58"/>
        <v/>
      </c>
      <c r="O429" s="68" t="str">
        <f t="shared" si="59"/>
        <v/>
      </c>
      <c r="P429" s="24"/>
      <c r="Q429" s="2" t="str">
        <f>IF(ROW(Q429)-ROW($E$1)&lt;=$B$4,INDEX(IDX_COMPO!F:F,ROW(IDX_COMPO!#REF!)),"")</f>
        <v/>
      </c>
      <c r="R429" s="68" t="str">
        <f t="shared" si="60"/>
        <v/>
      </c>
      <c r="S429" s="61" t="str">
        <f t="shared" si="61"/>
        <v/>
      </c>
      <c r="T429" s="62" t="str">
        <f>IF(D429&lt;&gt;"",IF(SUMPRODUCT(--($E429=STK_DIV!$A$2:$A$5),--(NXT_COMPO!$Q429=STK_DIV!$E$2:$E$5),ROW(STK_DIV!$D$2:$D$5))=0,"",INDEX(STK_DIV!$D$1:$D$5,SUMPRODUCT(--($E429=STK_DIV!$A$2:$A$5),--(NXT_COMPO!$Q429=STK_DIV!$E$2:$E$5),ROW(STK_DIV!$D$2:$D$5)))),"")</f>
        <v/>
      </c>
      <c r="U429" s="54" t="str">
        <f>IF($D429&lt;&gt;"",VLOOKUP($P429,IDX_REF!$2:$1048576,4,0),"")</f>
        <v/>
      </c>
    </row>
    <row r="430" spans="4:21" x14ac:dyDescent="0.2">
      <c r="D430" s="52" t="str">
        <f t="shared" si="56"/>
        <v/>
      </c>
      <c r="E430" s="5" t="str">
        <f t="shared" si="57"/>
        <v/>
      </c>
      <c r="F430" s="5" t="str">
        <f>IF(ROW(F430)-ROW($E$1)&lt;=$B$1-$B$2,INDEX(IDX_COMPO!B:B,ROW(IDX_COMPO!#REF!)),IF(ROW(E430)-ROW($E$1)&lt;=$B$4,VLOOKUP(E430,STK_REF!$A$2:$J$1048576,2,0),""))</f>
        <v/>
      </c>
      <c r="J430" s="62" t="str">
        <f>IF($D430&lt;=$B$1-$B$2,IF(INDEX($AA$2:$AA$1048576,MATCH($D430,$AB$2:$AB$1048576,0))="MODIFY",INDEX(IDX_CA!$G$1:$G$1041,SUMPRODUCT(--($E430=IDX_CA!$A$2:$A$1041),--(NXT_COMPO!$P430=IDX_CA!$B$2:$B$1041),--(NXT_COMPO!$Q430=IDX_CA!$C$2:$C$1041),ROW(IDX_CA!$G$2:$G$1041))),INDEX(IDX_COMPOSITION!$F$1:$F$441,SUMPRODUCT(--($E430=IDX_COMPOSITION!$A$2:$A$441),--(NXT_COMPO!$P430=IDX_COMPOSITION!$R$2:$R$441),--(NXT_COMPO!$B$5=IDX_COMPOSITION!$L$2:$L$441),ROW(IDX_COMPOSITION!$F$2:$F$441)))),IF($D430&lt;=$B$4,INDEX(IDX_CA!$G$1:$G$1041,SUMPRODUCT(--($E430=IDX_CA!$A$2:$A$1041),--(NXT_COMPO!$P430=IDX_CA!$B$2:$B$1041),--(NXT_COMPO!$Q430=IDX_CA!$C$2:$C$1041),ROW(IDX_CA!$G$2:$G$1041))),""))</f>
        <v/>
      </c>
      <c r="K430" s="63" t="str">
        <f>IF($D430&lt;&gt;"",VLOOKUP($E430,STK_REF!$A$2:$J$1048576,7,0),"")</f>
        <v/>
      </c>
      <c r="L430" s="5" t="str">
        <f>IF($D430&lt;&gt;"",VLOOKUP($E430,STK_REF!$A$2:$J$1048576,8,0),"")</f>
        <v/>
      </c>
      <c r="M430" s="8" t="str">
        <f>IF($D430&lt;&gt;"",IF($K430=$U430,1,IF(ISNA(VLOOKUP($K430&amp;$U430,CUR_RATES!$A$2:$F$521,4,0)),"",VLOOKUP($K430&amp;$U430,CUR_RATES!$A$2:$F$521,4,0))),"")</f>
        <v/>
      </c>
      <c r="N430" s="61" t="str">
        <f t="shared" si="58"/>
        <v/>
      </c>
      <c r="O430" s="68" t="str">
        <f t="shared" si="59"/>
        <v/>
      </c>
      <c r="P430" s="24"/>
      <c r="Q430" s="2" t="str">
        <f>IF(ROW(Q430)-ROW($E$1)&lt;=$B$4,INDEX(IDX_COMPO!F:F,ROW(IDX_COMPO!#REF!)),"")</f>
        <v/>
      </c>
      <c r="R430" s="68" t="str">
        <f t="shared" si="60"/>
        <v/>
      </c>
      <c r="S430" s="61" t="str">
        <f t="shared" si="61"/>
        <v/>
      </c>
      <c r="T430" s="62" t="str">
        <f>IF(D430&lt;&gt;"",IF(SUMPRODUCT(--($E430=STK_DIV!$A$2:$A$5),--(NXT_COMPO!$Q430=STK_DIV!$E$2:$E$5),ROW(STK_DIV!$D$2:$D$5))=0,"",INDEX(STK_DIV!$D$1:$D$5,SUMPRODUCT(--($E430=STK_DIV!$A$2:$A$5),--(NXT_COMPO!$Q430=STK_DIV!$E$2:$E$5),ROW(STK_DIV!$D$2:$D$5)))),"")</f>
        <v/>
      </c>
      <c r="U430" s="54" t="str">
        <f>IF($D430&lt;&gt;"",VLOOKUP($P430,IDX_REF!$2:$1048576,4,0),"")</f>
        <v/>
      </c>
    </row>
    <row r="431" spans="4:21" x14ac:dyDescent="0.2">
      <c r="D431" s="52" t="str">
        <f t="shared" si="56"/>
        <v/>
      </c>
      <c r="E431" s="5" t="str">
        <f t="shared" si="57"/>
        <v/>
      </c>
      <c r="F431" s="5" t="str">
        <f>IF(ROW(F431)-ROW($E$1)&lt;=$B$1-$B$2,INDEX(IDX_COMPO!B:B,ROW(IDX_COMPO!#REF!)),IF(ROW(E431)-ROW($E$1)&lt;=$B$4,VLOOKUP(E431,STK_REF!$A$2:$J$1048576,2,0),""))</f>
        <v/>
      </c>
      <c r="J431" s="62" t="str">
        <f>IF($D431&lt;=$B$1-$B$2,IF(INDEX($AA$2:$AA$1048576,MATCH($D431,$AB$2:$AB$1048576,0))="MODIFY",INDEX(IDX_CA!$G$1:$G$1041,SUMPRODUCT(--($E431=IDX_CA!$A$2:$A$1041),--(NXT_COMPO!$P431=IDX_CA!$B$2:$B$1041),--(NXT_COMPO!$Q431=IDX_CA!$C$2:$C$1041),ROW(IDX_CA!$G$2:$G$1041))),INDEX(IDX_COMPOSITION!$F$1:$F$441,SUMPRODUCT(--($E431=IDX_COMPOSITION!$A$2:$A$441),--(NXT_COMPO!$P431=IDX_COMPOSITION!$R$2:$R$441),--(NXT_COMPO!$B$5=IDX_COMPOSITION!$L$2:$L$441),ROW(IDX_COMPOSITION!$F$2:$F$441)))),IF($D431&lt;=$B$4,INDEX(IDX_CA!$G$1:$G$1041,SUMPRODUCT(--($E431=IDX_CA!$A$2:$A$1041),--(NXT_COMPO!$P431=IDX_CA!$B$2:$B$1041),--(NXT_COMPO!$Q431=IDX_CA!$C$2:$C$1041),ROW(IDX_CA!$G$2:$G$1041))),""))</f>
        <v/>
      </c>
      <c r="K431" s="63" t="str">
        <f>IF($D431&lt;&gt;"",VLOOKUP($E431,STK_REF!$A$2:$J$1048576,7,0),"")</f>
        <v/>
      </c>
      <c r="L431" s="5" t="str">
        <f>IF($D431&lt;&gt;"",VLOOKUP($E431,STK_REF!$A$2:$J$1048576,8,0),"")</f>
        <v/>
      </c>
      <c r="M431" s="8" t="str">
        <f>IF($D431&lt;&gt;"",IF($K431=$U431,1,IF(ISNA(VLOOKUP($K431&amp;$U431,CUR_RATES!$A$2:$F$521,4,0)),"",VLOOKUP($K431&amp;$U431,CUR_RATES!$A$2:$F$521,4,0))),"")</f>
        <v/>
      </c>
      <c r="N431" s="61" t="str">
        <f t="shared" si="58"/>
        <v/>
      </c>
      <c r="O431" s="68" t="str">
        <f t="shared" si="59"/>
        <v/>
      </c>
      <c r="P431" s="24"/>
      <c r="Q431" s="2" t="str">
        <f>IF(ROW(Q431)-ROW($E$1)&lt;=$B$4,INDEX(IDX_COMPO!F:F,ROW(IDX_COMPO!#REF!)),"")</f>
        <v/>
      </c>
      <c r="R431" s="68" t="str">
        <f t="shared" si="60"/>
        <v/>
      </c>
      <c r="S431" s="61" t="str">
        <f t="shared" si="61"/>
        <v/>
      </c>
      <c r="T431" s="62" t="str">
        <f>IF(D431&lt;&gt;"",IF(SUMPRODUCT(--($E431=STK_DIV!$A$2:$A$5),--(NXT_COMPO!$Q431=STK_DIV!$E$2:$E$5),ROW(STK_DIV!$D$2:$D$5))=0,"",INDEX(STK_DIV!$D$1:$D$5,SUMPRODUCT(--($E431=STK_DIV!$A$2:$A$5),--(NXT_COMPO!$Q431=STK_DIV!$E$2:$E$5),ROW(STK_DIV!$D$2:$D$5)))),"")</f>
        <v/>
      </c>
      <c r="U431" s="54" t="str">
        <f>IF($D431&lt;&gt;"",VLOOKUP($P431,IDX_REF!$2:$1048576,4,0),"")</f>
        <v/>
      </c>
    </row>
    <row r="432" spans="4:21" x14ac:dyDescent="0.2">
      <c r="D432" s="52" t="str">
        <f t="shared" si="56"/>
        <v/>
      </c>
      <c r="E432" s="5" t="str">
        <f t="shared" si="57"/>
        <v/>
      </c>
      <c r="F432" s="5" t="str">
        <f>IF(ROW(F432)-ROW($E$1)&lt;=$B$1-$B$2,INDEX(IDX_COMPO!B:B,ROW(IDX_COMPO!#REF!)),IF(ROW(E432)-ROW($E$1)&lt;=$B$4,VLOOKUP(E432,STK_REF!$A$2:$J$1048576,2,0),""))</f>
        <v/>
      </c>
      <c r="J432" s="62" t="str">
        <f>IF($D432&lt;=$B$1-$B$2,IF(INDEX($AA$2:$AA$1048576,MATCH($D432,$AB$2:$AB$1048576,0))="MODIFY",INDEX(IDX_CA!$G$1:$G$1041,SUMPRODUCT(--($E432=IDX_CA!$A$2:$A$1041),--(NXT_COMPO!$P432=IDX_CA!$B$2:$B$1041),--(NXT_COMPO!$Q432=IDX_CA!$C$2:$C$1041),ROW(IDX_CA!$G$2:$G$1041))),INDEX(IDX_COMPOSITION!$F$1:$F$441,SUMPRODUCT(--($E432=IDX_COMPOSITION!$A$2:$A$441),--(NXT_COMPO!$P432=IDX_COMPOSITION!$R$2:$R$441),--(NXT_COMPO!$B$5=IDX_COMPOSITION!$L$2:$L$441),ROW(IDX_COMPOSITION!$F$2:$F$441)))),IF($D432&lt;=$B$4,INDEX(IDX_CA!$G$1:$G$1041,SUMPRODUCT(--($E432=IDX_CA!$A$2:$A$1041),--(NXT_COMPO!$P432=IDX_CA!$B$2:$B$1041),--(NXT_COMPO!$Q432=IDX_CA!$C$2:$C$1041),ROW(IDX_CA!$G$2:$G$1041))),""))</f>
        <v/>
      </c>
      <c r="K432" s="63" t="str">
        <f>IF($D432&lt;&gt;"",VLOOKUP($E432,STK_REF!$A$2:$J$1048576,7,0),"")</f>
        <v/>
      </c>
      <c r="L432" s="5" t="str">
        <f>IF($D432&lt;&gt;"",VLOOKUP($E432,STK_REF!$A$2:$J$1048576,8,0),"")</f>
        <v/>
      </c>
      <c r="M432" s="8" t="str">
        <f>IF($D432&lt;&gt;"",IF($K432=$U432,1,IF(ISNA(VLOOKUP($K432&amp;$U432,CUR_RATES!$A$2:$F$521,4,0)),"",VLOOKUP($K432&amp;$U432,CUR_RATES!$A$2:$F$521,4,0))),"")</f>
        <v/>
      </c>
      <c r="N432" s="61" t="str">
        <f t="shared" si="58"/>
        <v/>
      </c>
      <c r="O432" s="68" t="str">
        <f t="shared" si="59"/>
        <v/>
      </c>
      <c r="P432" s="24"/>
      <c r="Q432" s="2" t="str">
        <f>IF(ROW(Q432)-ROW($E$1)&lt;=$B$4,INDEX(IDX_COMPO!F:F,ROW(IDX_COMPO!#REF!)),"")</f>
        <v/>
      </c>
      <c r="R432" s="68" t="str">
        <f t="shared" si="60"/>
        <v/>
      </c>
      <c r="S432" s="61" t="str">
        <f t="shared" si="61"/>
        <v/>
      </c>
      <c r="T432" s="62" t="str">
        <f>IF(D432&lt;&gt;"",IF(SUMPRODUCT(--($E432=STK_DIV!$A$2:$A$5),--(NXT_COMPO!$Q432=STK_DIV!$E$2:$E$5),ROW(STK_DIV!$D$2:$D$5))=0,"",INDEX(STK_DIV!$D$1:$D$5,SUMPRODUCT(--($E432=STK_DIV!$A$2:$A$5),--(NXT_COMPO!$Q432=STK_DIV!$E$2:$E$5),ROW(STK_DIV!$D$2:$D$5)))),"")</f>
        <v/>
      </c>
      <c r="U432" s="54" t="str">
        <f>IF($D432&lt;&gt;"",VLOOKUP($P432,IDX_REF!$2:$1048576,4,0),"")</f>
        <v/>
      </c>
    </row>
    <row r="433" spans="4:21" x14ac:dyDescent="0.2">
      <c r="D433" s="52" t="str">
        <f t="shared" si="56"/>
        <v/>
      </c>
      <c r="E433" s="5" t="str">
        <f t="shared" si="57"/>
        <v/>
      </c>
      <c r="F433" s="5" t="str">
        <f>IF(ROW(F433)-ROW($E$1)&lt;=$B$1-$B$2,INDEX(IDX_COMPO!B:B,ROW(IDX_COMPO!#REF!)),IF(ROW(E433)-ROW($E$1)&lt;=$B$4,VLOOKUP(E433,STK_REF!$A$2:$J$1048576,2,0),""))</f>
        <v/>
      </c>
      <c r="J433" s="62" t="str">
        <f>IF($D433&lt;=$B$1-$B$2,IF(INDEX($AA$2:$AA$1048576,MATCH($D433,$AB$2:$AB$1048576,0))="MODIFY",INDEX(IDX_CA!$G$1:$G$1041,SUMPRODUCT(--($E433=IDX_CA!$A$2:$A$1041),--(NXT_COMPO!$P433=IDX_CA!$B$2:$B$1041),--(NXT_COMPO!$Q433=IDX_CA!$C$2:$C$1041),ROW(IDX_CA!$G$2:$G$1041))),INDEX(IDX_COMPOSITION!$F$1:$F$441,SUMPRODUCT(--($E433=IDX_COMPOSITION!$A$2:$A$441),--(NXT_COMPO!$P433=IDX_COMPOSITION!$R$2:$R$441),--(NXT_COMPO!$B$5=IDX_COMPOSITION!$L$2:$L$441),ROW(IDX_COMPOSITION!$F$2:$F$441)))),IF($D433&lt;=$B$4,INDEX(IDX_CA!$G$1:$G$1041,SUMPRODUCT(--($E433=IDX_CA!$A$2:$A$1041),--(NXT_COMPO!$P433=IDX_CA!$B$2:$B$1041),--(NXT_COMPO!$Q433=IDX_CA!$C$2:$C$1041),ROW(IDX_CA!$G$2:$G$1041))),""))</f>
        <v/>
      </c>
      <c r="K433" s="63" t="str">
        <f>IF($D433&lt;&gt;"",VLOOKUP($E433,STK_REF!$A$2:$J$1048576,7,0),"")</f>
        <v/>
      </c>
      <c r="L433" s="5" t="str">
        <f>IF($D433&lt;&gt;"",VLOOKUP($E433,STK_REF!$A$2:$J$1048576,8,0),"")</f>
        <v/>
      </c>
      <c r="M433" s="8" t="str">
        <f>IF($D433&lt;&gt;"",IF($K433=$U433,1,IF(ISNA(VLOOKUP($K433&amp;$U433,CUR_RATES!$A$2:$F$521,4,0)),"",VLOOKUP($K433&amp;$U433,CUR_RATES!$A$2:$F$521,4,0))),"")</f>
        <v/>
      </c>
      <c r="N433" s="61" t="str">
        <f t="shared" si="58"/>
        <v/>
      </c>
      <c r="O433" s="68" t="str">
        <f t="shared" si="59"/>
        <v/>
      </c>
      <c r="P433" s="24"/>
      <c r="Q433" s="2" t="str">
        <f>IF(ROW(Q433)-ROW($E$1)&lt;=$B$4,INDEX(IDX_COMPO!F:F,ROW(IDX_COMPO!#REF!)),"")</f>
        <v/>
      </c>
      <c r="R433" s="68" t="str">
        <f t="shared" si="60"/>
        <v/>
      </c>
      <c r="S433" s="61" t="str">
        <f t="shared" si="61"/>
        <v/>
      </c>
      <c r="T433" s="62" t="str">
        <f>IF(D433&lt;&gt;"",IF(SUMPRODUCT(--($E433=STK_DIV!$A$2:$A$5),--(NXT_COMPO!$Q433=STK_DIV!$E$2:$E$5),ROW(STK_DIV!$D$2:$D$5))=0,"",INDEX(STK_DIV!$D$1:$D$5,SUMPRODUCT(--($E433=STK_DIV!$A$2:$A$5),--(NXT_COMPO!$Q433=STK_DIV!$E$2:$E$5),ROW(STK_DIV!$D$2:$D$5)))),"")</f>
        <v/>
      </c>
      <c r="U433" s="54" t="str">
        <f>IF($D433&lt;&gt;"",VLOOKUP($P433,IDX_REF!$2:$1048576,4,0),"")</f>
        <v/>
      </c>
    </row>
    <row r="434" spans="4:21" x14ac:dyDescent="0.2">
      <c r="D434" s="52" t="str">
        <f t="shared" si="56"/>
        <v/>
      </c>
      <c r="E434" s="5" t="str">
        <f t="shared" si="57"/>
        <v/>
      </c>
      <c r="F434" s="5" t="str">
        <f>IF(ROW(F434)-ROW($E$1)&lt;=$B$1-$B$2,INDEX(IDX_COMPO!B:B,ROW(IDX_COMPO!#REF!)),IF(ROW(E434)-ROW($E$1)&lt;=$B$4,VLOOKUP(E434,STK_REF!$A$2:$J$1048576,2,0),""))</f>
        <v/>
      </c>
      <c r="J434" s="62" t="str">
        <f>IF($D434&lt;=$B$1-$B$2,IF(INDEX($AA$2:$AA$1048576,MATCH($D434,$AB$2:$AB$1048576,0))="MODIFY",INDEX(IDX_CA!$G$1:$G$1041,SUMPRODUCT(--($E434=IDX_CA!$A$2:$A$1041),--(NXT_COMPO!$P434=IDX_CA!$B$2:$B$1041),--(NXT_COMPO!$Q434=IDX_CA!$C$2:$C$1041),ROW(IDX_CA!$G$2:$G$1041))),INDEX(IDX_COMPOSITION!$F$1:$F$441,SUMPRODUCT(--($E434=IDX_COMPOSITION!$A$2:$A$441),--(NXT_COMPO!$P434=IDX_COMPOSITION!$R$2:$R$441),--(NXT_COMPO!$B$5=IDX_COMPOSITION!$L$2:$L$441),ROW(IDX_COMPOSITION!$F$2:$F$441)))),IF($D434&lt;=$B$4,INDEX(IDX_CA!$G$1:$G$1041,SUMPRODUCT(--($E434=IDX_CA!$A$2:$A$1041),--(NXT_COMPO!$P434=IDX_CA!$B$2:$B$1041),--(NXT_COMPO!$Q434=IDX_CA!$C$2:$C$1041),ROW(IDX_CA!$G$2:$G$1041))),""))</f>
        <v/>
      </c>
      <c r="K434" s="63" t="str">
        <f>IF($D434&lt;&gt;"",VLOOKUP($E434,STK_REF!$A$2:$J$1048576,7,0),"")</f>
        <v/>
      </c>
      <c r="L434" s="5" t="str">
        <f>IF($D434&lt;&gt;"",VLOOKUP($E434,STK_REF!$A$2:$J$1048576,8,0),"")</f>
        <v/>
      </c>
      <c r="M434" s="8" t="str">
        <f>IF($D434&lt;&gt;"",IF($K434=$U434,1,IF(ISNA(VLOOKUP($K434&amp;$U434,CUR_RATES!$A$2:$F$521,4,0)),"",VLOOKUP($K434&amp;$U434,CUR_RATES!$A$2:$F$521,4,0))),"")</f>
        <v/>
      </c>
      <c r="N434" s="61" t="str">
        <f t="shared" si="58"/>
        <v/>
      </c>
      <c r="O434" s="68" t="str">
        <f t="shared" si="59"/>
        <v/>
      </c>
      <c r="P434" s="24"/>
      <c r="Q434" s="2" t="str">
        <f>IF(ROW(Q434)-ROW($E$1)&lt;=$B$4,INDEX(IDX_COMPO!F:F,ROW(IDX_COMPO!#REF!)),"")</f>
        <v/>
      </c>
      <c r="R434" s="68" t="str">
        <f t="shared" si="60"/>
        <v/>
      </c>
      <c r="S434" s="61" t="str">
        <f t="shared" si="61"/>
        <v/>
      </c>
      <c r="T434" s="62" t="str">
        <f>IF(D434&lt;&gt;"",IF(SUMPRODUCT(--($E434=STK_DIV!$A$2:$A$5),--(NXT_COMPO!$Q434=STK_DIV!$E$2:$E$5),ROW(STK_DIV!$D$2:$D$5))=0,"",INDEX(STK_DIV!$D$1:$D$5,SUMPRODUCT(--($E434=STK_DIV!$A$2:$A$5),--(NXT_COMPO!$Q434=STK_DIV!$E$2:$E$5),ROW(STK_DIV!$D$2:$D$5)))),"")</f>
        <v/>
      </c>
      <c r="U434" s="54" t="str">
        <f>IF($D434&lt;&gt;"",VLOOKUP($P434,IDX_REF!$2:$1048576,4,0),"")</f>
        <v/>
      </c>
    </row>
    <row r="435" spans="4:21" x14ac:dyDescent="0.2">
      <c r="D435" s="52" t="str">
        <f t="shared" si="56"/>
        <v/>
      </c>
      <c r="E435" s="5" t="str">
        <f t="shared" si="57"/>
        <v/>
      </c>
      <c r="F435" s="5" t="str">
        <f>IF(ROW(F435)-ROW($E$1)&lt;=$B$1-$B$2,INDEX(IDX_COMPO!B:B,ROW(IDX_COMPO!#REF!)),IF(ROW(E435)-ROW($E$1)&lt;=$B$4,VLOOKUP(E435,STK_REF!$A$2:$J$1048576,2,0),""))</f>
        <v/>
      </c>
      <c r="J435" s="62" t="str">
        <f>IF($D435&lt;=$B$1-$B$2,IF(INDEX($AA$2:$AA$1048576,MATCH($D435,$AB$2:$AB$1048576,0))="MODIFY",INDEX(IDX_CA!$G$1:$G$1041,SUMPRODUCT(--($E435=IDX_CA!$A$2:$A$1041),--(NXT_COMPO!$P435=IDX_CA!$B$2:$B$1041),--(NXT_COMPO!$Q435=IDX_CA!$C$2:$C$1041),ROW(IDX_CA!$G$2:$G$1041))),INDEX(IDX_COMPOSITION!$F$1:$F$441,SUMPRODUCT(--($E435=IDX_COMPOSITION!$A$2:$A$441),--(NXT_COMPO!$P435=IDX_COMPOSITION!$R$2:$R$441),--(NXT_COMPO!$B$5=IDX_COMPOSITION!$L$2:$L$441),ROW(IDX_COMPOSITION!$F$2:$F$441)))),IF($D435&lt;=$B$4,INDEX(IDX_CA!$G$1:$G$1041,SUMPRODUCT(--($E435=IDX_CA!$A$2:$A$1041),--(NXT_COMPO!$P435=IDX_CA!$B$2:$B$1041),--(NXT_COMPO!$Q435=IDX_CA!$C$2:$C$1041),ROW(IDX_CA!$G$2:$G$1041))),""))</f>
        <v/>
      </c>
      <c r="K435" s="63" t="str">
        <f>IF($D435&lt;&gt;"",VLOOKUP($E435,STK_REF!$A$2:$J$1048576,7,0),"")</f>
        <v/>
      </c>
      <c r="L435" s="5" t="str">
        <f>IF($D435&lt;&gt;"",VLOOKUP($E435,STK_REF!$A$2:$J$1048576,8,0),"")</f>
        <v/>
      </c>
      <c r="M435" s="8" t="str">
        <f>IF($D435&lt;&gt;"",IF($K435=$U435,1,IF(ISNA(VLOOKUP($K435&amp;$U435,CUR_RATES!$A$2:$F$521,4,0)),"",VLOOKUP($K435&amp;$U435,CUR_RATES!$A$2:$F$521,4,0))),"")</f>
        <v/>
      </c>
      <c r="N435" s="61" t="str">
        <f t="shared" si="58"/>
        <v/>
      </c>
      <c r="O435" s="68" t="str">
        <f t="shared" si="59"/>
        <v/>
      </c>
      <c r="P435" s="24"/>
      <c r="Q435" s="2" t="str">
        <f>IF(ROW(Q435)-ROW($E$1)&lt;=$B$4,INDEX(IDX_COMPO!F:F,ROW(IDX_COMPO!#REF!)),"")</f>
        <v/>
      </c>
      <c r="R435" s="68" t="str">
        <f t="shared" si="60"/>
        <v/>
      </c>
      <c r="S435" s="61" t="str">
        <f t="shared" si="61"/>
        <v/>
      </c>
      <c r="T435" s="62" t="str">
        <f>IF(D435&lt;&gt;"",IF(SUMPRODUCT(--($E435=STK_DIV!$A$2:$A$5),--(NXT_COMPO!$Q435=STK_DIV!$E$2:$E$5),ROW(STK_DIV!$D$2:$D$5))=0,"",INDEX(STK_DIV!$D$1:$D$5,SUMPRODUCT(--($E435=STK_DIV!$A$2:$A$5),--(NXT_COMPO!$Q435=STK_DIV!$E$2:$E$5),ROW(STK_DIV!$D$2:$D$5)))),"")</f>
        <v/>
      </c>
      <c r="U435" s="54" t="str">
        <f>IF($D435&lt;&gt;"",VLOOKUP($P435,IDX_REF!$2:$1048576,4,0),"")</f>
        <v/>
      </c>
    </row>
    <row r="436" spans="4:21" x14ac:dyDescent="0.2">
      <c r="D436" s="52" t="str">
        <f t="shared" si="56"/>
        <v/>
      </c>
      <c r="E436" s="5" t="str">
        <f t="shared" si="57"/>
        <v/>
      </c>
      <c r="F436" s="5" t="str">
        <f>IF(ROW(F436)-ROW($E$1)&lt;=$B$1-$B$2,INDEX(IDX_COMPO!B:B,ROW(IDX_COMPO!#REF!)),IF(ROW(E436)-ROW($E$1)&lt;=$B$4,VLOOKUP(E436,STK_REF!$A$2:$J$1048576,2,0),""))</f>
        <v/>
      </c>
      <c r="J436" s="62" t="str">
        <f>IF($D436&lt;=$B$1-$B$2,IF(INDEX($AA$2:$AA$1048576,MATCH($D436,$AB$2:$AB$1048576,0))="MODIFY",INDEX(IDX_CA!$G$1:$G$1041,SUMPRODUCT(--($E436=IDX_CA!$A$2:$A$1041),--(NXT_COMPO!$P436=IDX_CA!$B$2:$B$1041),--(NXT_COMPO!$Q436=IDX_CA!$C$2:$C$1041),ROW(IDX_CA!$G$2:$G$1041))),INDEX(IDX_COMPOSITION!$F$1:$F$441,SUMPRODUCT(--($E436=IDX_COMPOSITION!$A$2:$A$441),--(NXT_COMPO!$P436=IDX_COMPOSITION!$R$2:$R$441),--(NXT_COMPO!$B$5=IDX_COMPOSITION!$L$2:$L$441),ROW(IDX_COMPOSITION!$F$2:$F$441)))),IF($D436&lt;=$B$4,INDEX(IDX_CA!$G$1:$G$1041,SUMPRODUCT(--($E436=IDX_CA!$A$2:$A$1041),--(NXT_COMPO!$P436=IDX_CA!$B$2:$B$1041),--(NXT_COMPO!$Q436=IDX_CA!$C$2:$C$1041),ROW(IDX_CA!$G$2:$G$1041))),""))</f>
        <v/>
      </c>
      <c r="K436" s="63" t="str">
        <f>IF($D436&lt;&gt;"",VLOOKUP($E436,STK_REF!$A$2:$J$1048576,7,0),"")</f>
        <v/>
      </c>
      <c r="L436" s="5" t="str">
        <f>IF($D436&lt;&gt;"",VLOOKUP($E436,STK_REF!$A$2:$J$1048576,8,0),"")</f>
        <v/>
      </c>
      <c r="M436" s="8" t="str">
        <f>IF($D436&lt;&gt;"",IF($K436=$U436,1,IF(ISNA(VLOOKUP($K436&amp;$U436,CUR_RATES!$A$2:$F$521,4,0)),"",VLOOKUP($K436&amp;$U436,CUR_RATES!$A$2:$F$521,4,0))),"")</f>
        <v/>
      </c>
      <c r="N436" s="61" t="str">
        <f t="shared" si="58"/>
        <v/>
      </c>
      <c r="O436" s="68" t="str">
        <f t="shared" si="59"/>
        <v/>
      </c>
      <c r="P436" s="24"/>
      <c r="Q436" s="2" t="str">
        <f>IF(ROW(Q436)-ROW($E$1)&lt;=$B$4,INDEX(IDX_COMPO!F:F,ROW(IDX_COMPO!#REF!)),"")</f>
        <v/>
      </c>
      <c r="R436" s="68" t="str">
        <f t="shared" si="60"/>
        <v/>
      </c>
      <c r="S436" s="61" t="str">
        <f t="shared" si="61"/>
        <v/>
      </c>
      <c r="T436" s="62" t="str">
        <f>IF(D436&lt;&gt;"",IF(SUMPRODUCT(--($E436=STK_DIV!$A$2:$A$5),--(NXT_COMPO!$Q436=STK_DIV!$E$2:$E$5),ROW(STK_DIV!$D$2:$D$5))=0,"",INDEX(STK_DIV!$D$1:$D$5,SUMPRODUCT(--($E436=STK_DIV!$A$2:$A$5),--(NXT_COMPO!$Q436=STK_DIV!$E$2:$E$5),ROW(STK_DIV!$D$2:$D$5)))),"")</f>
        <v/>
      </c>
      <c r="U436" s="54" t="str">
        <f>IF($D436&lt;&gt;"",VLOOKUP($P436,IDX_REF!$2:$1048576,4,0),"")</f>
        <v/>
      </c>
    </row>
    <row r="437" spans="4:21" x14ac:dyDescent="0.2">
      <c r="D437" s="52" t="str">
        <f t="shared" si="56"/>
        <v/>
      </c>
      <c r="E437" s="5" t="str">
        <f t="shared" si="57"/>
        <v/>
      </c>
      <c r="F437" s="5" t="str">
        <f>IF(ROW(F437)-ROW($E$1)&lt;=$B$1-$B$2,INDEX(IDX_COMPO!B:B,ROW(IDX_COMPO!#REF!)),IF(ROW(E437)-ROW($E$1)&lt;=$B$4,VLOOKUP(E437,STK_REF!$A$2:$J$1048576,2,0),""))</f>
        <v/>
      </c>
      <c r="J437" s="62" t="str">
        <f>IF($D437&lt;=$B$1-$B$2,IF(INDEX($AA$2:$AA$1048576,MATCH($D437,$AB$2:$AB$1048576,0))="MODIFY",INDEX(IDX_CA!$G$1:$G$1041,SUMPRODUCT(--($E437=IDX_CA!$A$2:$A$1041),--(NXT_COMPO!$P437=IDX_CA!$B$2:$B$1041),--(NXT_COMPO!$Q437=IDX_CA!$C$2:$C$1041),ROW(IDX_CA!$G$2:$G$1041))),INDEX(IDX_COMPOSITION!$F$1:$F$441,SUMPRODUCT(--($E437=IDX_COMPOSITION!$A$2:$A$441),--(NXT_COMPO!$P437=IDX_COMPOSITION!$R$2:$R$441),--(NXT_COMPO!$B$5=IDX_COMPOSITION!$L$2:$L$441),ROW(IDX_COMPOSITION!$F$2:$F$441)))),IF($D437&lt;=$B$4,INDEX(IDX_CA!$G$1:$G$1041,SUMPRODUCT(--($E437=IDX_CA!$A$2:$A$1041),--(NXT_COMPO!$P437=IDX_CA!$B$2:$B$1041),--(NXT_COMPO!$Q437=IDX_CA!$C$2:$C$1041),ROW(IDX_CA!$G$2:$G$1041))),""))</f>
        <v/>
      </c>
      <c r="K437" s="63" t="str">
        <f>IF($D437&lt;&gt;"",VLOOKUP($E437,STK_REF!$A$2:$J$1048576,7,0),"")</f>
        <v/>
      </c>
      <c r="L437" s="5" t="str">
        <f>IF($D437&lt;&gt;"",VLOOKUP($E437,STK_REF!$A$2:$J$1048576,8,0),"")</f>
        <v/>
      </c>
      <c r="M437" s="8" t="str">
        <f>IF($D437&lt;&gt;"",IF($K437=$U437,1,IF(ISNA(VLOOKUP($K437&amp;$U437,CUR_RATES!$A$2:$F$521,4,0)),"",VLOOKUP($K437&amp;$U437,CUR_RATES!$A$2:$F$521,4,0))),"")</f>
        <v/>
      </c>
      <c r="N437" s="61" t="str">
        <f t="shared" si="58"/>
        <v/>
      </c>
      <c r="O437" s="68" t="str">
        <f t="shared" si="59"/>
        <v/>
      </c>
      <c r="P437" s="24"/>
      <c r="Q437" s="2" t="str">
        <f>IF(ROW(Q437)-ROW($E$1)&lt;=$B$4,INDEX(IDX_COMPO!F:F,ROW(IDX_COMPO!#REF!)),"")</f>
        <v/>
      </c>
      <c r="R437" s="68" t="str">
        <f t="shared" si="60"/>
        <v/>
      </c>
      <c r="S437" s="61" t="str">
        <f t="shared" si="61"/>
        <v/>
      </c>
      <c r="T437" s="62" t="str">
        <f>IF(D437&lt;&gt;"",IF(SUMPRODUCT(--($E437=STK_DIV!$A$2:$A$5),--(NXT_COMPO!$Q437=STK_DIV!$E$2:$E$5),ROW(STK_DIV!$D$2:$D$5))=0,"",INDEX(STK_DIV!$D$1:$D$5,SUMPRODUCT(--($E437=STK_DIV!$A$2:$A$5),--(NXT_COMPO!$Q437=STK_DIV!$E$2:$E$5),ROW(STK_DIV!$D$2:$D$5)))),"")</f>
        <v/>
      </c>
      <c r="U437" s="54" t="str">
        <f>IF($D437&lt;&gt;"",VLOOKUP($P437,IDX_REF!$2:$1048576,4,0),"")</f>
        <v/>
      </c>
    </row>
    <row r="438" spans="4:21" x14ac:dyDescent="0.2">
      <c r="D438" s="52" t="str">
        <f t="shared" si="56"/>
        <v/>
      </c>
      <c r="E438" s="5" t="str">
        <f t="shared" si="57"/>
        <v/>
      </c>
      <c r="F438" s="5" t="str">
        <f>IF(ROW(F438)-ROW($E$1)&lt;=$B$1-$B$2,INDEX(IDX_COMPO!B:B,ROW(IDX_COMPO!#REF!)),IF(ROW(E438)-ROW($E$1)&lt;=$B$4,VLOOKUP(E438,STK_REF!$A$2:$J$1048576,2,0),""))</f>
        <v/>
      </c>
      <c r="J438" s="62" t="str">
        <f>IF($D438&lt;=$B$1-$B$2,IF(INDEX($AA$2:$AA$1048576,MATCH($D438,$AB$2:$AB$1048576,0))="MODIFY",INDEX(IDX_CA!$G$1:$G$1041,SUMPRODUCT(--($E438=IDX_CA!$A$2:$A$1041),--(NXT_COMPO!$P438=IDX_CA!$B$2:$B$1041),--(NXT_COMPO!$Q438=IDX_CA!$C$2:$C$1041),ROW(IDX_CA!$G$2:$G$1041))),INDEX(IDX_COMPOSITION!$F$1:$F$441,SUMPRODUCT(--($E438=IDX_COMPOSITION!$A$2:$A$441),--(NXT_COMPO!$P438=IDX_COMPOSITION!$R$2:$R$441),--(NXT_COMPO!$B$5=IDX_COMPOSITION!$L$2:$L$441),ROW(IDX_COMPOSITION!$F$2:$F$441)))),IF($D438&lt;=$B$4,INDEX(IDX_CA!$G$1:$G$1041,SUMPRODUCT(--($E438=IDX_CA!$A$2:$A$1041),--(NXT_COMPO!$P438=IDX_CA!$B$2:$B$1041),--(NXT_COMPO!$Q438=IDX_CA!$C$2:$C$1041),ROW(IDX_CA!$G$2:$G$1041))),""))</f>
        <v/>
      </c>
      <c r="K438" s="63" t="str">
        <f>IF($D438&lt;&gt;"",VLOOKUP($E438,STK_REF!$A$2:$J$1048576,7,0),"")</f>
        <v/>
      </c>
      <c r="L438" s="5" t="str">
        <f>IF($D438&lt;&gt;"",VLOOKUP($E438,STK_REF!$A$2:$J$1048576,8,0),"")</f>
        <v/>
      </c>
      <c r="M438" s="8" t="str">
        <f>IF($D438&lt;&gt;"",IF($K438=$U438,1,IF(ISNA(VLOOKUP($K438&amp;$U438,CUR_RATES!$A$2:$F$521,4,0)),"",VLOOKUP($K438&amp;$U438,CUR_RATES!$A$2:$F$521,4,0))),"")</f>
        <v/>
      </c>
      <c r="N438" s="61" t="str">
        <f t="shared" si="58"/>
        <v/>
      </c>
      <c r="O438" s="68" t="str">
        <f t="shared" si="59"/>
        <v/>
      </c>
      <c r="P438" s="24"/>
      <c r="Q438" s="2" t="str">
        <f>IF(ROW(Q438)-ROW($E$1)&lt;=$B$4,INDEX(IDX_COMPO!F:F,ROW(IDX_COMPO!#REF!)),"")</f>
        <v/>
      </c>
      <c r="R438" s="68" t="str">
        <f t="shared" si="60"/>
        <v/>
      </c>
      <c r="S438" s="61" t="str">
        <f t="shared" si="61"/>
        <v/>
      </c>
      <c r="T438" s="62" t="str">
        <f>IF(D438&lt;&gt;"",IF(SUMPRODUCT(--($E438=STK_DIV!$A$2:$A$5),--(NXT_COMPO!$Q438=STK_DIV!$E$2:$E$5),ROW(STK_DIV!$D$2:$D$5))=0,"",INDEX(STK_DIV!$D$1:$D$5,SUMPRODUCT(--($E438=STK_DIV!$A$2:$A$5),--(NXT_COMPO!$Q438=STK_DIV!$E$2:$E$5),ROW(STK_DIV!$D$2:$D$5)))),"")</f>
        <v/>
      </c>
      <c r="U438" s="54" t="str">
        <f>IF($D438&lt;&gt;"",VLOOKUP($P438,IDX_REF!$2:$1048576,4,0),"")</f>
        <v/>
      </c>
    </row>
    <row r="439" spans="4:21" x14ac:dyDescent="0.2">
      <c r="D439" s="52" t="str">
        <f t="shared" si="56"/>
        <v/>
      </c>
      <c r="E439" s="5" t="str">
        <f t="shared" si="57"/>
        <v/>
      </c>
      <c r="F439" s="5" t="str">
        <f>IF(ROW(F439)-ROW($E$1)&lt;=$B$1-$B$2,INDEX(IDX_COMPO!B:B,ROW(IDX_COMPO!#REF!)),IF(ROW(E439)-ROW($E$1)&lt;=$B$4,VLOOKUP(E439,STK_REF!$A$2:$J$1048576,2,0),""))</f>
        <v/>
      </c>
      <c r="J439" s="62" t="str">
        <f>IF($D439&lt;=$B$1-$B$2,IF(INDEX($AA$2:$AA$1048576,MATCH($D439,$AB$2:$AB$1048576,0))="MODIFY",INDEX(IDX_CA!$G$1:$G$1041,SUMPRODUCT(--($E439=IDX_CA!$A$2:$A$1041),--(NXT_COMPO!$P439=IDX_CA!$B$2:$B$1041),--(NXT_COMPO!$Q439=IDX_CA!$C$2:$C$1041),ROW(IDX_CA!$G$2:$G$1041))),INDEX(IDX_COMPOSITION!$F$1:$F$441,SUMPRODUCT(--($E439=IDX_COMPOSITION!$A$2:$A$441),--(NXT_COMPO!$P439=IDX_COMPOSITION!$R$2:$R$441),--(NXT_COMPO!$B$5=IDX_COMPOSITION!$L$2:$L$441),ROW(IDX_COMPOSITION!$F$2:$F$441)))),IF($D439&lt;=$B$4,INDEX(IDX_CA!$G$1:$G$1041,SUMPRODUCT(--($E439=IDX_CA!$A$2:$A$1041),--(NXT_COMPO!$P439=IDX_CA!$B$2:$B$1041),--(NXT_COMPO!$Q439=IDX_CA!$C$2:$C$1041),ROW(IDX_CA!$G$2:$G$1041))),""))</f>
        <v/>
      </c>
      <c r="K439" s="63" t="str">
        <f>IF($D439&lt;&gt;"",VLOOKUP($E439,STK_REF!$A$2:$J$1048576,7,0),"")</f>
        <v/>
      </c>
      <c r="L439" s="5" t="str">
        <f>IF($D439&lt;&gt;"",VLOOKUP($E439,STK_REF!$A$2:$J$1048576,8,0),"")</f>
        <v/>
      </c>
      <c r="M439" s="8" t="str">
        <f>IF($D439&lt;&gt;"",IF($K439=$U439,1,IF(ISNA(VLOOKUP($K439&amp;$U439,CUR_RATES!$A$2:$F$521,4,0)),"",VLOOKUP($K439&amp;$U439,CUR_RATES!$A$2:$F$521,4,0))),"")</f>
        <v/>
      </c>
      <c r="N439" s="61" t="str">
        <f t="shared" si="58"/>
        <v/>
      </c>
      <c r="O439" s="68" t="str">
        <f t="shared" si="59"/>
        <v/>
      </c>
      <c r="P439" s="24"/>
      <c r="Q439" s="2" t="str">
        <f>IF(ROW(Q439)-ROW($E$1)&lt;=$B$4,INDEX(IDX_COMPO!F:F,ROW(IDX_COMPO!#REF!)),"")</f>
        <v/>
      </c>
      <c r="R439" s="68" t="str">
        <f t="shared" si="60"/>
        <v/>
      </c>
      <c r="S439" s="61" t="str">
        <f t="shared" si="61"/>
        <v/>
      </c>
      <c r="T439" s="62" t="str">
        <f>IF(D439&lt;&gt;"",IF(SUMPRODUCT(--($E439=STK_DIV!$A$2:$A$5),--(NXT_COMPO!$Q439=STK_DIV!$E$2:$E$5),ROW(STK_DIV!$D$2:$D$5))=0,"",INDEX(STK_DIV!$D$1:$D$5,SUMPRODUCT(--($E439=STK_DIV!$A$2:$A$5),--(NXT_COMPO!$Q439=STK_DIV!$E$2:$E$5),ROW(STK_DIV!$D$2:$D$5)))),"")</f>
        <v/>
      </c>
      <c r="U439" s="54" t="str">
        <f>IF($D439&lt;&gt;"",VLOOKUP($P439,IDX_REF!$2:$1048576,4,0),"")</f>
        <v/>
      </c>
    </row>
    <row r="440" spans="4:21" x14ac:dyDescent="0.2">
      <c r="D440" s="52" t="str">
        <f t="shared" si="56"/>
        <v/>
      </c>
      <c r="E440" s="5" t="str">
        <f t="shared" si="57"/>
        <v/>
      </c>
      <c r="F440" s="5" t="str">
        <f>IF(ROW(F440)-ROW($E$1)&lt;=$B$1-$B$2,INDEX(IDX_COMPO!B:B,ROW(IDX_COMPO!#REF!)),IF(ROW(E440)-ROW($E$1)&lt;=$B$4,VLOOKUP(E440,STK_REF!$A$2:$J$1048576,2,0),""))</f>
        <v/>
      </c>
      <c r="J440" s="62" t="str">
        <f>IF($D440&lt;=$B$1-$B$2,IF(INDEX($AA$2:$AA$1048576,MATCH($D440,$AB$2:$AB$1048576,0))="MODIFY",INDEX(IDX_CA!$G$1:$G$1041,SUMPRODUCT(--($E440=IDX_CA!$A$2:$A$1041),--(NXT_COMPO!$P440=IDX_CA!$B$2:$B$1041),--(NXT_COMPO!$Q440=IDX_CA!$C$2:$C$1041),ROW(IDX_CA!$G$2:$G$1041))),INDEX(IDX_COMPOSITION!$F$1:$F$441,SUMPRODUCT(--($E440=IDX_COMPOSITION!$A$2:$A$441),--(NXT_COMPO!$P440=IDX_COMPOSITION!$R$2:$R$441),--(NXT_COMPO!$B$5=IDX_COMPOSITION!$L$2:$L$441),ROW(IDX_COMPOSITION!$F$2:$F$441)))),IF($D440&lt;=$B$4,INDEX(IDX_CA!$G$1:$G$1041,SUMPRODUCT(--($E440=IDX_CA!$A$2:$A$1041),--(NXT_COMPO!$P440=IDX_CA!$B$2:$B$1041),--(NXT_COMPO!$Q440=IDX_CA!$C$2:$C$1041),ROW(IDX_CA!$G$2:$G$1041))),""))</f>
        <v/>
      </c>
      <c r="K440" s="63" t="str">
        <f>IF($D440&lt;&gt;"",VLOOKUP($E440,STK_REF!$A$2:$J$1048576,7,0),"")</f>
        <v/>
      </c>
      <c r="L440" s="5" t="str">
        <f>IF($D440&lt;&gt;"",VLOOKUP($E440,STK_REF!$A$2:$J$1048576,8,0),"")</f>
        <v/>
      </c>
      <c r="M440" s="8" t="str">
        <f>IF($D440&lt;&gt;"",IF($K440=$U440,1,IF(ISNA(VLOOKUP($K440&amp;$U440,CUR_RATES!$A$2:$F$521,4,0)),"",VLOOKUP($K440&amp;$U440,CUR_RATES!$A$2:$F$521,4,0))),"")</f>
        <v/>
      </c>
      <c r="N440" s="61" t="str">
        <f t="shared" si="58"/>
        <v/>
      </c>
      <c r="O440" s="68" t="str">
        <f t="shared" si="59"/>
        <v/>
      </c>
      <c r="P440" s="24"/>
      <c r="Q440" s="2" t="str">
        <f>IF(ROW(Q440)-ROW($E$1)&lt;=$B$4,INDEX(IDX_COMPO!F:F,ROW(IDX_COMPO!#REF!)),"")</f>
        <v/>
      </c>
      <c r="R440" s="68" t="str">
        <f t="shared" si="60"/>
        <v/>
      </c>
      <c r="S440" s="61" t="str">
        <f t="shared" si="61"/>
        <v/>
      </c>
      <c r="T440" s="62" t="str">
        <f>IF(D440&lt;&gt;"",IF(SUMPRODUCT(--($E440=STK_DIV!$A$2:$A$5),--(NXT_COMPO!$Q440=STK_DIV!$E$2:$E$5),ROW(STK_DIV!$D$2:$D$5))=0,"",INDEX(STK_DIV!$D$1:$D$5,SUMPRODUCT(--($E440=STK_DIV!$A$2:$A$5),--(NXT_COMPO!$Q440=STK_DIV!$E$2:$E$5),ROW(STK_DIV!$D$2:$D$5)))),"")</f>
        <v/>
      </c>
      <c r="U440" s="54" t="str">
        <f>IF($D440&lt;&gt;"",VLOOKUP($P440,IDX_REF!$2:$1048576,4,0),"")</f>
        <v/>
      </c>
    </row>
    <row r="441" spans="4:21" x14ac:dyDescent="0.2">
      <c r="D441" s="52" t="str">
        <f t="shared" si="56"/>
        <v/>
      </c>
      <c r="E441" s="5" t="str">
        <f t="shared" si="57"/>
        <v/>
      </c>
      <c r="F441" s="5" t="str">
        <f>IF(ROW(F441)-ROW($E$1)&lt;=$B$1-$B$2,INDEX(IDX_COMPO!B:B,ROW(IDX_COMPO!#REF!)),IF(ROW(E441)-ROW($E$1)&lt;=$B$4,VLOOKUP(E441,STK_REF!$A$2:$J$1048576,2,0),""))</f>
        <v/>
      </c>
      <c r="J441" s="62" t="str">
        <f>IF($D441&lt;=$B$1-$B$2,IF(INDEX($AA$2:$AA$1048576,MATCH($D441,$AB$2:$AB$1048576,0))="MODIFY",INDEX(IDX_CA!$G$1:$G$1041,SUMPRODUCT(--($E441=IDX_CA!$A$2:$A$1041),--(NXT_COMPO!$P441=IDX_CA!$B$2:$B$1041),--(NXT_COMPO!$Q441=IDX_CA!$C$2:$C$1041),ROW(IDX_CA!$G$2:$G$1041))),INDEX(IDX_COMPOSITION!$F$1:$F$441,SUMPRODUCT(--($E441=IDX_COMPOSITION!$A$2:$A$441),--(NXT_COMPO!$P441=IDX_COMPOSITION!$R$2:$R$441),--(NXT_COMPO!$B$5=IDX_COMPOSITION!$L$2:$L$441),ROW(IDX_COMPOSITION!$F$2:$F$441)))),IF($D441&lt;=$B$4,INDEX(IDX_CA!$G$1:$G$1041,SUMPRODUCT(--($E441=IDX_CA!$A$2:$A$1041),--(NXT_COMPO!$P441=IDX_CA!$B$2:$B$1041),--(NXT_COMPO!$Q441=IDX_CA!$C$2:$C$1041),ROW(IDX_CA!$G$2:$G$1041))),""))</f>
        <v/>
      </c>
      <c r="K441" s="63" t="str">
        <f>IF($D441&lt;&gt;"",VLOOKUP($E441,STK_REF!$A$2:$J$1048576,7,0),"")</f>
        <v/>
      </c>
      <c r="L441" s="5" t="str">
        <f>IF($D441&lt;&gt;"",VLOOKUP($E441,STK_REF!$A$2:$J$1048576,8,0),"")</f>
        <v/>
      </c>
      <c r="M441" s="8" t="str">
        <f>IF($D441&lt;&gt;"",IF($K441=$U441,1,IF(ISNA(VLOOKUP($K441&amp;$U441,CUR_RATES!$A$2:$F$521,4,0)),"",VLOOKUP($K441&amp;$U441,CUR_RATES!$A$2:$F$521,4,0))),"")</f>
        <v/>
      </c>
      <c r="N441" s="61" t="str">
        <f t="shared" si="58"/>
        <v/>
      </c>
      <c r="O441" s="68" t="str">
        <f t="shared" si="59"/>
        <v/>
      </c>
      <c r="P441" s="24"/>
      <c r="Q441" s="2" t="str">
        <f>IF(ROW(Q441)-ROW($E$1)&lt;=$B$4,INDEX(IDX_COMPO!F:F,ROW(IDX_COMPO!#REF!)),"")</f>
        <v/>
      </c>
      <c r="R441" s="68" t="str">
        <f t="shared" si="60"/>
        <v/>
      </c>
      <c r="S441" s="61" t="str">
        <f t="shared" si="61"/>
        <v/>
      </c>
      <c r="T441" s="62" t="str">
        <f>IF(D441&lt;&gt;"",IF(SUMPRODUCT(--($E441=STK_DIV!$A$2:$A$5),--(NXT_COMPO!$Q441=STK_DIV!$E$2:$E$5),ROW(STK_DIV!$D$2:$D$5))=0,"",INDEX(STK_DIV!$D$1:$D$5,SUMPRODUCT(--($E441=STK_DIV!$A$2:$A$5),--(NXT_COMPO!$Q441=STK_DIV!$E$2:$E$5),ROW(STK_DIV!$D$2:$D$5)))),"")</f>
        <v/>
      </c>
      <c r="U441" s="54" t="str">
        <f>IF($D441&lt;&gt;"",VLOOKUP($P441,IDX_REF!$2:$1048576,4,0),"")</f>
        <v/>
      </c>
    </row>
    <row r="442" spans="4:21" x14ac:dyDescent="0.2">
      <c r="D442" s="52" t="str">
        <f t="shared" si="56"/>
        <v/>
      </c>
      <c r="E442" s="5" t="str">
        <f t="shared" si="57"/>
        <v/>
      </c>
      <c r="F442" s="5" t="str">
        <f>IF(ROW(F442)-ROW($E$1)&lt;=$B$1-$B$2,INDEX(IDX_COMPO!B:B,ROW(IDX_COMPO!#REF!)),IF(ROW(E442)-ROW($E$1)&lt;=$B$4,VLOOKUP(E442,STK_REF!$A$2:$J$1048576,2,0),""))</f>
        <v/>
      </c>
      <c r="J442" s="62" t="str">
        <f>IF($D442&lt;=$B$1-$B$2,IF(INDEX($AA$2:$AA$1048576,MATCH($D442,$AB$2:$AB$1048576,0))="MODIFY",INDEX(IDX_CA!$G$1:$G$1041,SUMPRODUCT(--($E442=IDX_CA!$A$2:$A$1041),--(NXT_COMPO!$P442=IDX_CA!$B$2:$B$1041),--(NXT_COMPO!$Q442=IDX_CA!$C$2:$C$1041),ROW(IDX_CA!$G$2:$G$1041))),INDEX(IDX_COMPOSITION!$F$1:$F$441,SUMPRODUCT(--($E442=IDX_COMPOSITION!$A$2:$A$441),--(NXT_COMPO!$P442=IDX_COMPOSITION!$R$2:$R$441),--(NXT_COMPO!$B$5=IDX_COMPOSITION!$L$2:$L$441),ROW(IDX_COMPOSITION!$F$2:$F$441)))),IF($D442&lt;=$B$4,INDEX(IDX_CA!$G$1:$G$1041,SUMPRODUCT(--($E442=IDX_CA!$A$2:$A$1041),--(NXT_COMPO!$P442=IDX_CA!$B$2:$B$1041),--(NXT_COMPO!$Q442=IDX_CA!$C$2:$C$1041),ROW(IDX_CA!$G$2:$G$1041))),""))</f>
        <v/>
      </c>
      <c r="K442" s="63" t="str">
        <f>IF($D442&lt;&gt;"",VLOOKUP($E442,STK_REF!$A$2:$J$1048576,7,0),"")</f>
        <v/>
      </c>
      <c r="L442" s="5" t="str">
        <f>IF($D442&lt;&gt;"",VLOOKUP($E442,STK_REF!$A$2:$J$1048576,8,0),"")</f>
        <v/>
      </c>
      <c r="M442" s="8" t="str">
        <f>IF($D442&lt;&gt;"",IF($K442=$U442,1,IF(ISNA(VLOOKUP($K442&amp;$U442,CUR_RATES!$A$2:$F$521,4,0)),"",VLOOKUP($K442&amp;$U442,CUR_RATES!$A$2:$F$521,4,0))),"")</f>
        <v/>
      </c>
      <c r="N442" s="61" t="str">
        <f t="shared" si="58"/>
        <v/>
      </c>
      <c r="O442" s="68" t="str">
        <f t="shared" si="59"/>
        <v/>
      </c>
      <c r="P442" s="24"/>
      <c r="Q442" s="2" t="str">
        <f>IF(ROW(Q442)-ROW($E$1)&lt;=$B$4,INDEX(IDX_COMPO!F:F,ROW(IDX_COMPO!#REF!)),"")</f>
        <v/>
      </c>
      <c r="R442" s="68" t="str">
        <f t="shared" si="60"/>
        <v/>
      </c>
      <c r="S442" s="61" t="str">
        <f t="shared" si="61"/>
        <v/>
      </c>
      <c r="T442" s="62" t="str">
        <f>IF(D442&lt;&gt;"",IF(SUMPRODUCT(--($E442=STK_DIV!$A$2:$A$5),--(NXT_COMPO!$Q442=STK_DIV!$E$2:$E$5),ROW(STK_DIV!$D$2:$D$5))=0,"",INDEX(STK_DIV!$D$1:$D$5,SUMPRODUCT(--($E442=STK_DIV!$A$2:$A$5),--(NXT_COMPO!$Q442=STK_DIV!$E$2:$E$5),ROW(STK_DIV!$D$2:$D$5)))),"")</f>
        <v/>
      </c>
      <c r="U442" s="54" t="str">
        <f>IF($D442&lt;&gt;"",VLOOKUP($P442,IDX_REF!$2:$1048576,4,0),"")</f>
        <v/>
      </c>
    </row>
    <row r="443" spans="4:21" x14ac:dyDescent="0.2">
      <c r="D443" s="52" t="str">
        <f t="shared" si="56"/>
        <v/>
      </c>
      <c r="E443" s="5" t="str">
        <f t="shared" si="57"/>
        <v/>
      </c>
      <c r="F443" s="5" t="str">
        <f>IF(ROW(F443)-ROW($E$1)&lt;=$B$1-$B$2,INDEX(IDX_COMPO!B:B,ROW(IDX_COMPO!#REF!)),IF(ROW(E443)-ROW($E$1)&lt;=$B$4,VLOOKUP(E443,STK_REF!$A$2:$J$1048576,2,0),""))</f>
        <v/>
      </c>
      <c r="J443" s="62" t="str">
        <f>IF($D443&lt;=$B$1-$B$2,IF(INDEX($AA$2:$AA$1048576,MATCH($D443,$AB$2:$AB$1048576,0))="MODIFY",INDEX(IDX_CA!$G$1:$G$1041,SUMPRODUCT(--($E443=IDX_CA!$A$2:$A$1041),--(NXT_COMPO!$P443=IDX_CA!$B$2:$B$1041),--(NXT_COMPO!$Q443=IDX_CA!$C$2:$C$1041),ROW(IDX_CA!$G$2:$G$1041))),INDEX(IDX_COMPOSITION!$F$1:$F$441,SUMPRODUCT(--($E443=IDX_COMPOSITION!$A$2:$A$441),--(NXT_COMPO!$P443=IDX_COMPOSITION!$R$2:$R$441),--(NXT_COMPO!$B$5=IDX_COMPOSITION!$L$2:$L$441),ROW(IDX_COMPOSITION!$F$2:$F$441)))),IF($D443&lt;=$B$4,INDEX(IDX_CA!$G$1:$G$1041,SUMPRODUCT(--($E443=IDX_CA!$A$2:$A$1041),--(NXT_COMPO!$P443=IDX_CA!$B$2:$B$1041),--(NXT_COMPO!$Q443=IDX_CA!$C$2:$C$1041),ROW(IDX_CA!$G$2:$G$1041))),""))</f>
        <v/>
      </c>
      <c r="K443" s="63" t="str">
        <f>IF($D443&lt;&gt;"",VLOOKUP($E443,STK_REF!$A$2:$J$1048576,7,0),"")</f>
        <v/>
      </c>
      <c r="L443" s="5" t="str">
        <f>IF($D443&lt;&gt;"",VLOOKUP($E443,STK_REF!$A$2:$J$1048576,8,0),"")</f>
        <v/>
      </c>
      <c r="M443" s="8" t="str">
        <f>IF($D443&lt;&gt;"",IF($K443=$U443,1,IF(ISNA(VLOOKUP($K443&amp;$U443,CUR_RATES!$A$2:$F$521,4,0)),"",VLOOKUP($K443&amp;$U443,CUR_RATES!$A$2:$F$521,4,0))),"")</f>
        <v/>
      </c>
      <c r="N443" s="61" t="str">
        <f t="shared" si="58"/>
        <v/>
      </c>
      <c r="O443" s="68" t="str">
        <f t="shared" si="59"/>
        <v/>
      </c>
      <c r="P443" s="24"/>
      <c r="Q443" s="2" t="str">
        <f>IF(ROW(Q443)-ROW($E$1)&lt;=$B$4,INDEX(IDX_COMPO!F:F,ROW(IDX_COMPO!#REF!)),"")</f>
        <v/>
      </c>
      <c r="R443" s="68" t="str">
        <f t="shared" si="60"/>
        <v/>
      </c>
      <c r="S443" s="61" t="str">
        <f t="shared" si="61"/>
        <v/>
      </c>
      <c r="T443" s="62" t="str">
        <f>IF(D443&lt;&gt;"",IF(SUMPRODUCT(--($E443=STK_DIV!$A$2:$A$5),--(NXT_COMPO!$Q443=STK_DIV!$E$2:$E$5),ROW(STK_DIV!$D$2:$D$5))=0,"",INDEX(STK_DIV!$D$1:$D$5,SUMPRODUCT(--($E443=STK_DIV!$A$2:$A$5),--(NXT_COMPO!$Q443=STK_DIV!$E$2:$E$5),ROW(STK_DIV!$D$2:$D$5)))),"")</f>
        <v/>
      </c>
      <c r="U443" s="54" t="str">
        <f>IF($D443&lt;&gt;"",VLOOKUP($P443,IDX_REF!$2:$1048576,4,0),"")</f>
        <v/>
      </c>
    </row>
    <row r="444" spans="4:21" x14ac:dyDescent="0.2">
      <c r="D444" s="52" t="str">
        <f t="shared" si="56"/>
        <v/>
      </c>
      <c r="E444" s="5" t="str">
        <f t="shared" si="57"/>
        <v/>
      </c>
      <c r="F444" s="5" t="str">
        <f>IF(ROW(F444)-ROW($E$1)&lt;=$B$1-$B$2,INDEX(IDX_COMPO!B:B,ROW(IDX_COMPO!#REF!)),IF(ROW(E444)-ROW($E$1)&lt;=$B$4,VLOOKUP(E444,STK_REF!$A$2:$J$1048576,2,0),""))</f>
        <v/>
      </c>
      <c r="J444" s="62" t="str">
        <f>IF($D444&lt;=$B$1-$B$2,IF(INDEX($AA$2:$AA$1048576,MATCH($D444,$AB$2:$AB$1048576,0))="MODIFY",INDEX(IDX_CA!$G$1:$G$1041,SUMPRODUCT(--($E444=IDX_CA!$A$2:$A$1041),--(NXT_COMPO!$P444=IDX_CA!$B$2:$B$1041),--(NXT_COMPO!$Q444=IDX_CA!$C$2:$C$1041),ROW(IDX_CA!$G$2:$G$1041))),INDEX(IDX_COMPOSITION!$F$1:$F$441,SUMPRODUCT(--($E444=IDX_COMPOSITION!$A$2:$A$441),--(NXT_COMPO!$P444=IDX_COMPOSITION!$R$2:$R$441),--(NXT_COMPO!$B$5=IDX_COMPOSITION!$L$2:$L$441),ROW(IDX_COMPOSITION!$F$2:$F$441)))),IF($D444&lt;=$B$4,INDEX(IDX_CA!$G$1:$G$1041,SUMPRODUCT(--($E444=IDX_CA!$A$2:$A$1041),--(NXT_COMPO!$P444=IDX_CA!$B$2:$B$1041),--(NXT_COMPO!$Q444=IDX_CA!$C$2:$C$1041),ROW(IDX_CA!$G$2:$G$1041))),""))</f>
        <v/>
      </c>
      <c r="K444" s="63" t="str">
        <f>IF($D444&lt;&gt;"",VLOOKUP($E444,STK_REF!$A$2:$J$1048576,7,0),"")</f>
        <v/>
      </c>
      <c r="L444" s="5" t="str">
        <f>IF($D444&lt;&gt;"",VLOOKUP($E444,STK_REF!$A$2:$J$1048576,8,0),"")</f>
        <v/>
      </c>
      <c r="M444" s="8" t="str">
        <f>IF($D444&lt;&gt;"",IF($K444=$U444,1,IF(ISNA(VLOOKUP($K444&amp;$U444,CUR_RATES!$A$2:$F$521,4,0)),"",VLOOKUP($K444&amp;$U444,CUR_RATES!$A$2:$F$521,4,0))),"")</f>
        <v/>
      </c>
      <c r="N444" s="61" t="str">
        <f t="shared" si="58"/>
        <v/>
      </c>
      <c r="O444" s="68" t="str">
        <f t="shared" si="59"/>
        <v/>
      </c>
      <c r="P444" s="24"/>
      <c r="Q444" s="2" t="str">
        <f>IF(ROW(Q444)-ROW($E$1)&lt;=$B$4,INDEX(IDX_COMPO!F:F,ROW(IDX_COMPO!#REF!)),"")</f>
        <v/>
      </c>
      <c r="R444" s="68" t="str">
        <f t="shared" si="60"/>
        <v/>
      </c>
      <c r="S444" s="61" t="str">
        <f t="shared" si="61"/>
        <v/>
      </c>
      <c r="T444" s="62" t="str">
        <f>IF(D444&lt;&gt;"",IF(SUMPRODUCT(--($E444=STK_DIV!$A$2:$A$5),--(NXT_COMPO!$Q444=STK_DIV!$E$2:$E$5),ROW(STK_DIV!$D$2:$D$5))=0,"",INDEX(STK_DIV!$D$1:$D$5,SUMPRODUCT(--($E444=STK_DIV!$A$2:$A$5),--(NXT_COMPO!$Q444=STK_DIV!$E$2:$E$5),ROW(STK_DIV!$D$2:$D$5)))),"")</f>
        <v/>
      </c>
      <c r="U444" s="54" t="str">
        <f>IF($D444&lt;&gt;"",VLOOKUP($P444,IDX_REF!$2:$1048576,4,0),"")</f>
        <v/>
      </c>
    </row>
    <row r="445" spans="4:21" x14ac:dyDescent="0.2">
      <c r="D445" s="52" t="str">
        <f t="shared" si="56"/>
        <v/>
      </c>
      <c r="E445" s="5" t="str">
        <f t="shared" si="57"/>
        <v/>
      </c>
      <c r="F445" s="5" t="str">
        <f>IF(ROW(F445)-ROW($E$1)&lt;=$B$1-$B$2,INDEX(IDX_COMPO!B:B,ROW(IDX_COMPO!#REF!)),IF(ROW(E445)-ROW($E$1)&lt;=$B$4,VLOOKUP(E445,STK_REF!$A$2:$J$1048576,2,0),""))</f>
        <v/>
      </c>
      <c r="J445" s="62" t="str">
        <f>IF($D445&lt;=$B$1-$B$2,IF(INDEX($AA$2:$AA$1048576,MATCH($D445,$AB$2:$AB$1048576,0))="MODIFY",INDEX(IDX_CA!$G$1:$G$1041,SUMPRODUCT(--($E445=IDX_CA!$A$2:$A$1041),--(NXT_COMPO!$P445=IDX_CA!$B$2:$B$1041),--(NXT_COMPO!$Q445=IDX_CA!$C$2:$C$1041),ROW(IDX_CA!$G$2:$G$1041))),INDEX(IDX_COMPOSITION!$F$1:$F$441,SUMPRODUCT(--($E445=IDX_COMPOSITION!$A$2:$A$441),--(NXT_COMPO!$P445=IDX_COMPOSITION!$R$2:$R$441),--(NXT_COMPO!$B$5=IDX_COMPOSITION!$L$2:$L$441),ROW(IDX_COMPOSITION!$F$2:$F$441)))),IF($D445&lt;=$B$4,INDEX(IDX_CA!$G$1:$G$1041,SUMPRODUCT(--($E445=IDX_CA!$A$2:$A$1041),--(NXT_COMPO!$P445=IDX_CA!$B$2:$B$1041),--(NXT_COMPO!$Q445=IDX_CA!$C$2:$C$1041),ROW(IDX_CA!$G$2:$G$1041))),""))</f>
        <v/>
      </c>
      <c r="K445" s="63" t="str">
        <f>IF($D445&lt;&gt;"",VLOOKUP($E445,STK_REF!$A$2:$J$1048576,7,0),"")</f>
        <v/>
      </c>
      <c r="L445" s="5" t="str">
        <f>IF($D445&lt;&gt;"",VLOOKUP($E445,STK_REF!$A$2:$J$1048576,8,0),"")</f>
        <v/>
      </c>
      <c r="M445" s="8" t="str">
        <f>IF($D445&lt;&gt;"",IF($K445=$U445,1,IF(ISNA(VLOOKUP($K445&amp;$U445,CUR_RATES!$A$2:$F$521,4,0)),"",VLOOKUP($K445&amp;$U445,CUR_RATES!$A$2:$F$521,4,0))),"")</f>
        <v/>
      </c>
      <c r="N445" s="61" t="str">
        <f t="shared" si="58"/>
        <v/>
      </c>
      <c r="O445" s="68" t="str">
        <f t="shared" si="59"/>
        <v/>
      </c>
      <c r="P445" s="24"/>
      <c r="Q445" s="2" t="str">
        <f>IF(ROW(Q445)-ROW($E$1)&lt;=$B$4,INDEX(IDX_COMPO!F:F,ROW(IDX_COMPO!#REF!)),"")</f>
        <v/>
      </c>
      <c r="R445" s="68" t="str">
        <f t="shared" si="60"/>
        <v/>
      </c>
      <c r="S445" s="61" t="str">
        <f t="shared" si="61"/>
        <v/>
      </c>
      <c r="T445" s="62" t="str">
        <f>IF(D445&lt;&gt;"",IF(SUMPRODUCT(--($E445=STK_DIV!$A$2:$A$5),--(NXT_COMPO!$Q445=STK_DIV!$E$2:$E$5),ROW(STK_DIV!$D$2:$D$5))=0,"",INDEX(STK_DIV!$D$1:$D$5,SUMPRODUCT(--($E445=STK_DIV!$A$2:$A$5),--(NXT_COMPO!$Q445=STK_DIV!$E$2:$E$5),ROW(STK_DIV!$D$2:$D$5)))),"")</f>
        <v/>
      </c>
      <c r="U445" s="54" t="str">
        <f>IF($D445&lt;&gt;"",VLOOKUP($P445,IDX_REF!$2:$1048576,4,0),"")</f>
        <v/>
      </c>
    </row>
    <row r="446" spans="4:21" x14ac:dyDescent="0.2">
      <c r="D446" s="52" t="str">
        <f t="shared" si="56"/>
        <v/>
      </c>
      <c r="E446" s="5" t="str">
        <f t="shared" si="57"/>
        <v/>
      </c>
      <c r="F446" s="5" t="str">
        <f>IF(ROW(F446)-ROW($E$1)&lt;=$B$1-$B$2,INDEX(IDX_COMPO!B:B,ROW(IDX_COMPO!#REF!)),IF(ROW(E446)-ROW($E$1)&lt;=$B$4,VLOOKUP(E446,STK_REF!$A$2:$J$1048576,2,0),""))</f>
        <v/>
      </c>
      <c r="J446" s="62" t="str">
        <f>IF($D446&lt;=$B$1-$B$2,IF(INDEX($AA$2:$AA$1048576,MATCH($D446,$AB$2:$AB$1048576,0))="MODIFY",INDEX(IDX_CA!$G$1:$G$1041,SUMPRODUCT(--($E446=IDX_CA!$A$2:$A$1041),--(NXT_COMPO!$P446=IDX_CA!$B$2:$B$1041),--(NXT_COMPO!$Q446=IDX_CA!$C$2:$C$1041),ROW(IDX_CA!$G$2:$G$1041))),INDEX(IDX_COMPOSITION!$F$1:$F$441,SUMPRODUCT(--($E446=IDX_COMPOSITION!$A$2:$A$441),--(NXT_COMPO!$P446=IDX_COMPOSITION!$R$2:$R$441),--(NXT_COMPO!$B$5=IDX_COMPOSITION!$L$2:$L$441),ROW(IDX_COMPOSITION!$F$2:$F$441)))),IF($D446&lt;=$B$4,INDEX(IDX_CA!$G$1:$G$1041,SUMPRODUCT(--($E446=IDX_CA!$A$2:$A$1041),--(NXT_COMPO!$P446=IDX_CA!$B$2:$B$1041),--(NXT_COMPO!$Q446=IDX_CA!$C$2:$C$1041),ROW(IDX_CA!$G$2:$G$1041))),""))</f>
        <v/>
      </c>
      <c r="K446" s="63" t="str">
        <f>IF($D446&lt;&gt;"",VLOOKUP($E446,STK_REF!$A$2:$J$1048576,7,0),"")</f>
        <v/>
      </c>
      <c r="L446" s="5" t="str">
        <f>IF($D446&lt;&gt;"",VLOOKUP($E446,STK_REF!$A$2:$J$1048576,8,0),"")</f>
        <v/>
      </c>
      <c r="M446" s="8" t="str">
        <f>IF($D446&lt;&gt;"",IF($K446=$U446,1,IF(ISNA(VLOOKUP($K446&amp;$U446,CUR_RATES!$A$2:$F$521,4,0)),"",VLOOKUP($K446&amp;$U446,CUR_RATES!$A$2:$F$521,4,0))),"")</f>
        <v/>
      </c>
      <c r="N446" s="61" t="str">
        <f t="shared" si="58"/>
        <v/>
      </c>
      <c r="O446" s="68" t="str">
        <f t="shared" si="59"/>
        <v/>
      </c>
      <c r="P446" s="24"/>
      <c r="Q446" s="2" t="str">
        <f>IF(ROW(Q446)-ROW($E$1)&lt;=$B$4,INDEX(IDX_COMPO!F:F,ROW(IDX_COMPO!#REF!)),"")</f>
        <v/>
      </c>
      <c r="R446" s="68" t="str">
        <f t="shared" si="60"/>
        <v/>
      </c>
      <c r="S446" s="61" t="str">
        <f t="shared" si="61"/>
        <v/>
      </c>
      <c r="T446" s="62" t="str">
        <f>IF(D446&lt;&gt;"",IF(SUMPRODUCT(--($E446=STK_DIV!$A$2:$A$5),--(NXT_COMPO!$Q446=STK_DIV!$E$2:$E$5),ROW(STK_DIV!$D$2:$D$5))=0,"",INDEX(STK_DIV!$D$1:$D$5,SUMPRODUCT(--($E446=STK_DIV!$A$2:$A$5),--(NXT_COMPO!$Q446=STK_DIV!$E$2:$E$5),ROW(STK_DIV!$D$2:$D$5)))),"")</f>
        <v/>
      </c>
      <c r="U446" s="54" t="str">
        <f>IF($D446&lt;&gt;"",VLOOKUP($P446,IDX_REF!$2:$1048576,4,0),"")</f>
        <v/>
      </c>
    </row>
    <row r="447" spans="4:21" x14ac:dyDescent="0.2">
      <c r="D447" s="52" t="str">
        <f t="shared" si="56"/>
        <v/>
      </c>
      <c r="E447" s="5" t="str">
        <f t="shared" si="57"/>
        <v/>
      </c>
      <c r="F447" s="5" t="str">
        <f>IF(ROW(F447)-ROW($E$1)&lt;=$B$1-$B$2,INDEX(IDX_COMPO!B:B,ROW(IDX_COMPO!#REF!)),IF(ROW(E447)-ROW($E$1)&lt;=$B$4,VLOOKUP(E447,STK_REF!$A$2:$J$1048576,2,0),""))</f>
        <v/>
      </c>
      <c r="J447" s="62" t="str">
        <f>IF($D447&lt;=$B$1-$B$2,IF(INDEX($AA$2:$AA$1048576,MATCH($D447,$AB$2:$AB$1048576,0))="MODIFY",INDEX(IDX_CA!$G$1:$G$1041,SUMPRODUCT(--($E447=IDX_CA!$A$2:$A$1041),--(NXT_COMPO!$P447=IDX_CA!$B$2:$B$1041),--(NXT_COMPO!$Q447=IDX_CA!$C$2:$C$1041),ROW(IDX_CA!$G$2:$G$1041))),INDEX(IDX_COMPOSITION!$F$1:$F$441,SUMPRODUCT(--($E447=IDX_COMPOSITION!$A$2:$A$441),--(NXT_COMPO!$P447=IDX_COMPOSITION!$R$2:$R$441),--(NXT_COMPO!$B$5=IDX_COMPOSITION!$L$2:$L$441),ROW(IDX_COMPOSITION!$F$2:$F$441)))),IF($D447&lt;=$B$4,INDEX(IDX_CA!$G$1:$G$1041,SUMPRODUCT(--($E447=IDX_CA!$A$2:$A$1041),--(NXT_COMPO!$P447=IDX_CA!$B$2:$B$1041),--(NXT_COMPO!$Q447=IDX_CA!$C$2:$C$1041),ROW(IDX_CA!$G$2:$G$1041))),""))</f>
        <v/>
      </c>
      <c r="K447" s="63" t="str">
        <f>IF($D447&lt;&gt;"",VLOOKUP($E447,STK_REF!$A$2:$J$1048576,7,0),"")</f>
        <v/>
      </c>
      <c r="L447" s="5" t="str">
        <f>IF($D447&lt;&gt;"",VLOOKUP($E447,STK_REF!$A$2:$J$1048576,8,0),"")</f>
        <v/>
      </c>
      <c r="M447" s="8" t="str">
        <f>IF($D447&lt;&gt;"",IF($K447=$U447,1,IF(ISNA(VLOOKUP($K447&amp;$U447,CUR_RATES!$A$2:$F$521,4,0)),"",VLOOKUP($K447&amp;$U447,CUR_RATES!$A$2:$F$521,4,0))),"")</f>
        <v/>
      </c>
      <c r="N447" s="61" t="str">
        <f t="shared" si="58"/>
        <v/>
      </c>
      <c r="O447" s="68" t="str">
        <f t="shared" si="59"/>
        <v/>
      </c>
      <c r="P447" s="24"/>
      <c r="Q447" s="2" t="str">
        <f>IF(ROW(Q447)-ROW($E$1)&lt;=$B$4,INDEX(IDX_COMPO!F:F,ROW(IDX_COMPO!#REF!)),"")</f>
        <v/>
      </c>
      <c r="R447" s="68" t="str">
        <f t="shared" si="60"/>
        <v/>
      </c>
      <c r="S447" s="61" t="str">
        <f t="shared" si="61"/>
        <v/>
      </c>
      <c r="T447" s="62" t="str">
        <f>IF(D447&lt;&gt;"",IF(SUMPRODUCT(--($E447=STK_DIV!$A$2:$A$5),--(NXT_COMPO!$Q447=STK_DIV!$E$2:$E$5),ROW(STK_DIV!$D$2:$D$5))=0,"",INDEX(STK_DIV!$D$1:$D$5,SUMPRODUCT(--($E447=STK_DIV!$A$2:$A$5),--(NXT_COMPO!$Q447=STK_DIV!$E$2:$E$5),ROW(STK_DIV!$D$2:$D$5)))),"")</f>
        <v/>
      </c>
      <c r="U447" s="54" t="str">
        <f>IF($D447&lt;&gt;"",VLOOKUP($P447,IDX_REF!$2:$1048576,4,0),"")</f>
        <v/>
      </c>
    </row>
    <row r="448" spans="4:21" x14ac:dyDescent="0.2">
      <c r="D448" s="52" t="str">
        <f t="shared" si="56"/>
        <v/>
      </c>
      <c r="E448" s="5" t="str">
        <f t="shared" si="57"/>
        <v/>
      </c>
      <c r="F448" s="5" t="str">
        <f>IF(ROW(F448)-ROW($E$1)&lt;=$B$1-$B$2,INDEX(IDX_COMPO!B:B,ROW(IDX_COMPO!#REF!)),IF(ROW(E448)-ROW($E$1)&lt;=$B$4,VLOOKUP(E448,STK_REF!$A$2:$J$1048576,2,0),""))</f>
        <v/>
      </c>
      <c r="J448" s="62" t="str">
        <f>IF($D448&lt;=$B$1-$B$2,IF(INDEX($AA$2:$AA$1048576,MATCH($D448,$AB$2:$AB$1048576,0))="MODIFY",INDEX(IDX_CA!$G$1:$G$1041,SUMPRODUCT(--($E448=IDX_CA!$A$2:$A$1041),--(NXT_COMPO!$P448=IDX_CA!$B$2:$B$1041),--(NXT_COMPO!$Q448=IDX_CA!$C$2:$C$1041),ROW(IDX_CA!$G$2:$G$1041))),INDEX(IDX_COMPOSITION!$F$1:$F$441,SUMPRODUCT(--($E448=IDX_COMPOSITION!$A$2:$A$441),--(NXT_COMPO!$P448=IDX_COMPOSITION!$R$2:$R$441),--(NXT_COMPO!$B$5=IDX_COMPOSITION!$L$2:$L$441),ROW(IDX_COMPOSITION!$F$2:$F$441)))),IF($D448&lt;=$B$4,INDEX(IDX_CA!$G$1:$G$1041,SUMPRODUCT(--($E448=IDX_CA!$A$2:$A$1041),--(NXT_COMPO!$P448=IDX_CA!$B$2:$B$1041),--(NXT_COMPO!$Q448=IDX_CA!$C$2:$C$1041),ROW(IDX_CA!$G$2:$G$1041))),""))</f>
        <v/>
      </c>
      <c r="K448" s="63" t="str">
        <f>IF($D448&lt;&gt;"",VLOOKUP($E448,STK_REF!$A$2:$J$1048576,7,0),"")</f>
        <v/>
      </c>
      <c r="L448" s="5" t="str">
        <f>IF($D448&lt;&gt;"",VLOOKUP($E448,STK_REF!$A$2:$J$1048576,8,0),"")</f>
        <v/>
      </c>
      <c r="M448" s="8" t="str">
        <f>IF($D448&lt;&gt;"",IF($K448=$U448,1,IF(ISNA(VLOOKUP($K448&amp;$U448,CUR_RATES!$A$2:$F$521,4,0)),"",VLOOKUP($K448&amp;$U448,CUR_RATES!$A$2:$F$521,4,0))),"")</f>
        <v/>
      </c>
      <c r="N448" s="61" t="str">
        <f t="shared" si="58"/>
        <v/>
      </c>
      <c r="O448" s="68" t="str">
        <f t="shared" si="59"/>
        <v/>
      </c>
      <c r="P448" s="24"/>
      <c r="Q448" s="2" t="str">
        <f>IF(ROW(Q448)-ROW($E$1)&lt;=$B$4,INDEX(IDX_COMPO!F:F,ROW(IDX_COMPO!#REF!)),"")</f>
        <v/>
      </c>
      <c r="R448" s="68" t="str">
        <f t="shared" si="60"/>
        <v/>
      </c>
      <c r="S448" s="61" t="str">
        <f t="shared" si="61"/>
        <v/>
      </c>
      <c r="T448" s="62" t="str">
        <f>IF(D448&lt;&gt;"",IF(SUMPRODUCT(--($E448=STK_DIV!$A$2:$A$5),--(NXT_COMPO!$Q448=STK_DIV!$E$2:$E$5),ROW(STK_DIV!$D$2:$D$5))=0,"",INDEX(STK_DIV!$D$1:$D$5,SUMPRODUCT(--($E448=STK_DIV!$A$2:$A$5),--(NXT_COMPO!$Q448=STK_DIV!$E$2:$E$5),ROW(STK_DIV!$D$2:$D$5)))),"")</f>
        <v/>
      </c>
      <c r="U448" s="54" t="str">
        <f>IF($D448&lt;&gt;"",VLOOKUP($P448,IDX_REF!$2:$1048576,4,0),"")</f>
        <v/>
      </c>
    </row>
    <row r="449" spans="4:21" x14ac:dyDescent="0.2">
      <c r="D449" s="52" t="str">
        <f t="shared" si="56"/>
        <v/>
      </c>
      <c r="E449" s="5" t="str">
        <f t="shared" si="57"/>
        <v/>
      </c>
      <c r="F449" s="5" t="str">
        <f>IF(ROW(F449)-ROW($E$1)&lt;=$B$1-$B$2,INDEX(IDX_COMPO!B:B,ROW(IDX_COMPO!#REF!)),IF(ROW(E449)-ROW($E$1)&lt;=$B$4,VLOOKUP(E449,STK_REF!$A$2:$J$1048576,2,0),""))</f>
        <v/>
      </c>
      <c r="J449" s="62" t="str">
        <f>IF($D449&lt;=$B$1-$B$2,IF(INDEX($AA$2:$AA$1048576,MATCH($D449,$AB$2:$AB$1048576,0))="MODIFY",INDEX(IDX_CA!$G$1:$G$1041,SUMPRODUCT(--($E449=IDX_CA!$A$2:$A$1041),--(NXT_COMPO!$P449=IDX_CA!$B$2:$B$1041),--(NXT_COMPO!$Q449=IDX_CA!$C$2:$C$1041),ROW(IDX_CA!$G$2:$G$1041))),INDEX(IDX_COMPOSITION!$F$1:$F$441,SUMPRODUCT(--($E449=IDX_COMPOSITION!$A$2:$A$441),--(NXT_COMPO!$P449=IDX_COMPOSITION!$R$2:$R$441),--(NXT_COMPO!$B$5=IDX_COMPOSITION!$L$2:$L$441),ROW(IDX_COMPOSITION!$F$2:$F$441)))),IF($D449&lt;=$B$4,INDEX(IDX_CA!$G$1:$G$1041,SUMPRODUCT(--($E449=IDX_CA!$A$2:$A$1041),--(NXT_COMPO!$P449=IDX_CA!$B$2:$B$1041),--(NXT_COMPO!$Q449=IDX_CA!$C$2:$C$1041),ROW(IDX_CA!$G$2:$G$1041))),""))</f>
        <v/>
      </c>
      <c r="K449" s="63" t="str">
        <f>IF($D449&lt;&gt;"",VLOOKUP($E449,STK_REF!$A$2:$J$1048576,7,0),"")</f>
        <v/>
      </c>
      <c r="L449" s="5" t="str">
        <f>IF($D449&lt;&gt;"",VLOOKUP($E449,STK_REF!$A$2:$J$1048576,8,0),"")</f>
        <v/>
      </c>
      <c r="M449" s="8" t="str">
        <f>IF($D449&lt;&gt;"",IF($K449=$U449,1,IF(ISNA(VLOOKUP($K449&amp;$U449,CUR_RATES!$A$2:$F$521,4,0)),"",VLOOKUP($K449&amp;$U449,CUR_RATES!$A$2:$F$521,4,0))),"")</f>
        <v/>
      </c>
      <c r="N449" s="61" t="str">
        <f t="shared" si="58"/>
        <v/>
      </c>
      <c r="O449" s="68" t="str">
        <f t="shared" si="59"/>
        <v/>
      </c>
      <c r="P449" s="24"/>
      <c r="Q449" s="2" t="str">
        <f>IF(ROW(Q449)-ROW($E$1)&lt;=$B$4,INDEX(IDX_COMPO!F:F,ROW(IDX_COMPO!#REF!)),"")</f>
        <v/>
      </c>
      <c r="R449" s="68" t="str">
        <f t="shared" si="60"/>
        <v/>
      </c>
      <c r="S449" s="61" t="str">
        <f t="shared" si="61"/>
        <v/>
      </c>
      <c r="T449" s="62" t="str">
        <f>IF(D449&lt;&gt;"",IF(SUMPRODUCT(--($E449=STK_DIV!$A$2:$A$5),--(NXT_COMPO!$Q449=STK_DIV!$E$2:$E$5),ROW(STK_DIV!$D$2:$D$5))=0,"",INDEX(STK_DIV!$D$1:$D$5,SUMPRODUCT(--($E449=STK_DIV!$A$2:$A$5),--(NXT_COMPO!$Q449=STK_DIV!$E$2:$E$5),ROW(STK_DIV!$D$2:$D$5)))),"")</f>
        <v/>
      </c>
      <c r="U449" s="54" t="str">
        <f>IF($D449&lt;&gt;"",VLOOKUP($P449,IDX_REF!$2:$1048576,4,0),"")</f>
        <v/>
      </c>
    </row>
    <row r="450" spans="4:21" x14ac:dyDescent="0.2">
      <c r="D450" s="52" t="str">
        <f t="shared" ref="D450:D513" si="62">IF(ROW(D450)-ROW($D$1)&lt;=$B$4,ROW(D450)-ROW($D$1),"")</f>
        <v/>
      </c>
      <c r="E450" s="5" t="str">
        <f t="shared" si="57"/>
        <v/>
      </c>
      <c r="F450" s="5" t="str">
        <f>IF(ROW(F450)-ROW($E$1)&lt;=$B$1-$B$2,INDEX(IDX_COMPO!B:B,ROW(IDX_COMPO!#REF!)),IF(ROW(E450)-ROW($E$1)&lt;=$B$4,VLOOKUP(E450,STK_REF!$A$2:$J$1048576,2,0),""))</f>
        <v/>
      </c>
      <c r="J450" s="62" t="str">
        <f>IF($D450&lt;=$B$1-$B$2,IF(INDEX($AA$2:$AA$1048576,MATCH($D450,$AB$2:$AB$1048576,0))="MODIFY",INDEX(IDX_CA!$G$1:$G$1041,SUMPRODUCT(--($E450=IDX_CA!$A$2:$A$1041),--(NXT_COMPO!$P450=IDX_CA!$B$2:$B$1041),--(NXT_COMPO!$Q450=IDX_CA!$C$2:$C$1041),ROW(IDX_CA!$G$2:$G$1041))),INDEX(IDX_COMPOSITION!$F$1:$F$441,SUMPRODUCT(--($E450=IDX_COMPOSITION!$A$2:$A$441),--(NXT_COMPO!$P450=IDX_COMPOSITION!$R$2:$R$441),--(NXT_COMPO!$B$5=IDX_COMPOSITION!$L$2:$L$441),ROW(IDX_COMPOSITION!$F$2:$F$441)))),IF($D450&lt;=$B$4,INDEX(IDX_CA!$G$1:$G$1041,SUMPRODUCT(--($E450=IDX_CA!$A$2:$A$1041),--(NXT_COMPO!$P450=IDX_CA!$B$2:$B$1041),--(NXT_COMPO!$Q450=IDX_CA!$C$2:$C$1041),ROW(IDX_CA!$G$2:$G$1041))),""))</f>
        <v/>
      </c>
      <c r="K450" s="63" t="str">
        <f>IF($D450&lt;&gt;"",VLOOKUP($E450,STK_REF!$A$2:$J$1048576,7,0),"")</f>
        <v/>
      </c>
      <c r="L450" s="5" t="str">
        <f>IF($D450&lt;&gt;"",VLOOKUP($E450,STK_REF!$A$2:$J$1048576,8,0),"")</f>
        <v/>
      </c>
      <c r="M450" s="8" t="str">
        <f>IF($D450&lt;&gt;"",IF($K450=$U450,1,IF(ISNA(VLOOKUP($K450&amp;$U450,CUR_RATES!$A$2:$F$521,4,0)),"",VLOOKUP($K450&amp;$U450,CUR_RATES!$A$2:$F$521,4,0))),"")</f>
        <v/>
      </c>
      <c r="N450" s="61" t="str">
        <f t="shared" si="58"/>
        <v/>
      </c>
      <c r="O450" s="68" t="str">
        <f t="shared" si="59"/>
        <v/>
      </c>
      <c r="P450" s="24"/>
      <c r="Q450" s="2" t="str">
        <f>IF(ROW(Q450)-ROW($E$1)&lt;=$B$4,INDEX(IDX_COMPO!F:F,ROW(IDX_COMPO!#REF!)),"")</f>
        <v/>
      </c>
      <c r="R450" s="68" t="str">
        <f t="shared" si="60"/>
        <v/>
      </c>
      <c r="S450" s="61" t="str">
        <f t="shared" si="61"/>
        <v/>
      </c>
      <c r="T450" s="62" t="str">
        <f>IF(D450&lt;&gt;"",IF(SUMPRODUCT(--($E450=STK_DIV!$A$2:$A$5),--(NXT_COMPO!$Q450=STK_DIV!$E$2:$E$5),ROW(STK_DIV!$D$2:$D$5))=0,"",INDEX(STK_DIV!$D$1:$D$5,SUMPRODUCT(--($E450=STK_DIV!$A$2:$A$5),--(NXT_COMPO!$Q450=STK_DIV!$E$2:$E$5),ROW(STK_DIV!$D$2:$D$5)))),"")</f>
        <v/>
      </c>
      <c r="U450" s="54" t="str">
        <f>IF($D450&lt;&gt;"",VLOOKUP($P450,IDX_REF!$2:$1048576,4,0),"")</f>
        <v/>
      </c>
    </row>
    <row r="451" spans="4:21" x14ac:dyDescent="0.2">
      <c r="D451" s="52" t="str">
        <f t="shared" si="62"/>
        <v/>
      </c>
      <c r="E451" s="5" t="str">
        <f t="shared" ref="E451:E514" si="63">IF(D451&lt;=$B$1-$B$2,INDEX($X$2:$X$1048576,MATCH(D451,$AB$2:$AB$1048576,0)),IF(D451&lt;=$B$4,INDEX($AE$2:$AE$1048576,MATCH(D451-$B$1+$B$2,$AI$2:$AI$1048576,0)),""))</f>
        <v/>
      </c>
      <c r="F451" s="5" t="str">
        <f>IF(ROW(F451)-ROW($E$1)&lt;=$B$1-$B$2,INDEX(IDX_COMPO!B:B,ROW(IDX_COMPO!#REF!)),IF(ROW(E451)-ROW($E$1)&lt;=$B$4,VLOOKUP(E451,STK_REF!$A$2:$J$1048576,2,0),""))</f>
        <v/>
      </c>
      <c r="J451" s="62" t="str">
        <f>IF($D451&lt;=$B$1-$B$2,IF(INDEX($AA$2:$AA$1048576,MATCH($D451,$AB$2:$AB$1048576,0))="MODIFY",INDEX(IDX_CA!$G$1:$G$1041,SUMPRODUCT(--($E451=IDX_CA!$A$2:$A$1041),--(NXT_COMPO!$P451=IDX_CA!$B$2:$B$1041),--(NXT_COMPO!$Q451=IDX_CA!$C$2:$C$1041),ROW(IDX_CA!$G$2:$G$1041))),INDEX(IDX_COMPOSITION!$F$1:$F$441,SUMPRODUCT(--($E451=IDX_COMPOSITION!$A$2:$A$441),--(NXT_COMPO!$P451=IDX_COMPOSITION!$R$2:$R$441),--(NXT_COMPO!$B$5=IDX_COMPOSITION!$L$2:$L$441),ROW(IDX_COMPOSITION!$F$2:$F$441)))),IF($D451&lt;=$B$4,INDEX(IDX_CA!$G$1:$G$1041,SUMPRODUCT(--($E451=IDX_CA!$A$2:$A$1041),--(NXT_COMPO!$P451=IDX_CA!$B$2:$B$1041),--(NXT_COMPO!$Q451=IDX_CA!$C$2:$C$1041),ROW(IDX_CA!$G$2:$G$1041))),""))</f>
        <v/>
      </c>
      <c r="K451" s="63" t="str">
        <f>IF($D451&lt;&gt;"",VLOOKUP($E451,STK_REF!$A$2:$J$1048576,7,0),"")</f>
        <v/>
      </c>
      <c r="L451" s="5" t="str">
        <f>IF($D451&lt;&gt;"",VLOOKUP($E451,STK_REF!$A$2:$J$1048576,8,0),"")</f>
        <v/>
      </c>
      <c r="M451" s="8" t="str">
        <f>IF($D451&lt;&gt;"",IF($K451=$U451,1,IF(ISNA(VLOOKUP($K451&amp;$U451,CUR_RATES!$A$2:$F$521,4,0)),"",VLOOKUP($K451&amp;$U451,CUR_RATES!$A$2:$F$521,4,0))),"")</f>
        <v/>
      </c>
      <c r="N451" s="61" t="str">
        <f t="shared" ref="N451:N514" si="64">IF($D451&lt;&gt;"",$J451*$M451,"")</f>
        <v/>
      </c>
      <c r="O451" s="68" t="str">
        <f t="shared" ref="O451:O514" si="65">IF($D451&lt;&gt;"",$G451*($H451/100)*($I451/100)*$N451*(1/$L451),"")</f>
        <v/>
      </c>
      <c r="P451" s="24"/>
      <c r="Q451" s="2" t="str">
        <f>IF(ROW(Q451)-ROW($E$1)&lt;=$B$4,INDEX(IDX_COMPO!F:F,ROW(IDX_COMPO!#REF!)),"")</f>
        <v/>
      </c>
      <c r="R451" s="68" t="str">
        <f t="shared" ref="R451:R514" si="66">IF(AND($D451&lt;&gt;"",$T451&lt;&gt;""),$G451*($H451/100)*($I451/100)*$S451*(1/$L451),"")</f>
        <v/>
      </c>
      <c r="S451" s="61" t="str">
        <f t="shared" ref="S451:S514" si="67">IF($T451&lt;&gt;"",$T451*$M451,"")</f>
        <v/>
      </c>
      <c r="T451" s="62" t="str">
        <f>IF(D451&lt;&gt;"",IF(SUMPRODUCT(--($E451=STK_DIV!$A$2:$A$5),--(NXT_COMPO!$Q451=STK_DIV!$E$2:$E$5),ROW(STK_DIV!$D$2:$D$5))=0,"",INDEX(STK_DIV!$D$1:$D$5,SUMPRODUCT(--($E451=STK_DIV!$A$2:$A$5),--(NXT_COMPO!$Q451=STK_DIV!$E$2:$E$5),ROW(STK_DIV!$D$2:$D$5)))),"")</f>
        <v/>
      </c>
      <c r="U451" s="54" t="str">
        <f>IF($D451&lt;&gt;"",VLOOKUP($P451,IDX_REF!$2:$1048576,4,0),"")</f>
        <v/>
      </c>
    </row>
    <row r="452" spans="4:21" x14ac:dyDescent="0.2">
      <c r="D452" s="52" t="str">
        <f t="shared" si="62"/>
        <v/>
      </c>
      <c r="E452" s="5" t="str">
        <f t="shared" si="63"/>
        <v/>
      </c>
      <c r="F452" s="5" t="str">
        <f>IF(ROW(F452)-ROW($E$1)&lt;=$B$1-$B$2,INDEX(IDX_COMPO!B:B,ROW(IDX_COMPO!#REF!)),IF(ROW(E452)-ROW($E$1)&lt;=$B$4,VLOOKUP(E452,STK_REF!$A$2:$J$1048576,2,0),""))</f>
        <v/>
      </c>
      <c r="J452" s="62" t="str">
        <f>IF($D452&lt;=$B$1-$B$2,IF(INDEX($AA$2:$AA$1048576,MATCH($D452,$AB$2:$AB$1048576,0))="MODIFY",INDEX(IDX_CA!$G$1:$G$1041,SUMPRODUCT(--($E452=IDX_CA!$A$2:$A$1041),--(NXT_COMPO!$P452=IDX_CA!$B$2:$B$1041),--(NXT_COMPO!$Q452=IDX_CA!$C$2:$C$1041),ROW(IDX_CA!$G$2:$G$1041))),INDEX(IDX_COMPOSITION!$F$1:$F$441,SUMPRODUCT(--($E452=IDX_COMPOSITION!$A$2:$A$441),--(NXT_COMPO!$P452=IDX_COMPOSITION!$R$2:$R$441),--(NXT_COMPO!$B$5=IDX_COMPOSITION!$L$2:$L$441),ROW(IDX_COMPOSITION!$F$2:$F$441)))),IF($D452&lt;=$B$4,INDEX(IDX_CA!$G$1:$G$1041,SUMPRODUCT(--($E452=IDX_CA!$A$2:$A$1041),--(NXT_COMPO!$P452=IDX_CA!$B$2:$B$1041),--(NXT_COMPO!$Q452=IDX_CA!$C$2:$C$1041),ROW(IDX_CA!$G$2:$G$1041))),""))</f>
        <v/>
      </c>
      <c r="K452" s="63" t="str">
        <f>IF($D452&lt;&gt;"",VLOOKUP($E452,STK_REF!$A$2:$J$1048576,7,0),"")</f>
        <v/>
      </c>
      <c r="L452" s="5" t="str">
        <f>IF($D452&lt;&gt;"",VLOOKUP($E452,STK_REF!$A$2:$J$1048576,8,0),"")</f>
        <v/>
      </c>
      <c r="M452" s="8" t="str">
        <f>IF($D452&lt;&gt;"",IF($K452=$U452,1,IF(ISNA(VLOOKUP($K452&amp;$U452,CUR_RATES!$A$2:$F$521,4,0)),"",VLOOKUP($K452&amp;$U452,CUR_RATES!$A$2:$F$521,4,0))),"")</f>
        <v/>
      </c>
      <c r="N452" s="61" t="str">
        <f t="shared" si="64"/>
        <v/>
      </c>
      <c r="O452" s="68" t="str">
        <f t="shared" si="65"/>
        <v/>
      </c>
      <c r="P452" s="24"/>
      <c r="Q452" s="2" t="str">
        <f>IF(ROW(Q452)-ROW($E$1)&lt;=$B$4,INDEX(IDX_COMPO!F:F,ROW(IDX_COMPO!#REF!)),"")</f>
        <v/>
      </c>
      <c r="R452" s="68" t="str">
        <f t="shared" si="66"/>
        <v/>
      </c>
      <c r="S452" s="61" t="str">
        <f t="shared" si="67"/>
        <v/>
      </c>
      <c r="T452" s="62" t="str">
        <f>IF(D452&lt;&gt;"",IF(SUMPRODUCT(--($E452=STK_DIV!$A$2:$A$5),--(NXT_COMPO!$Q452=STK_DIV!$E$2:$E$5),ROW(STK_DIV!$D$2:$D$5))=0,"",INDEX(STK_DIV!$D$1:$D$5,SUMPRODUCT(--($E452=STK_DIV!$A$2:$A$5),--(NXT_COMPO!$Q452=STK_DIV!$E$2:$E$5),ROW(STK_DIV!$D$2:$D$5)))),"")</f>
        <v/>
      </c>
      <c r="U452" s="54" t="str">
        <f>IF($D452&lt;&gt;"",VLOOKUP($P452,IDX_REF!$2:$1048576,4,0),"")</f>
        <v/>
      </c>
    </row>
    <row r="453" spans="4:21" x14ac:dyDescent="0.2">
      <c r="D453" s="52" t="str">
        <f t="shared" si="62"/>
        <v/>
      </c>
      <c r="E453" s="5" t="str">
        <f t="shared" si="63"/>
        <v/>
      </c>
      <c r="F453" s="5" t="str">
        <f>IF(ROW(F453)-ROW($E$1)&lt;=$B$1-$B$2,INDEX(IDX_COMPO!B:B,ROW(IDX_COMPO!#REF!)),IF(ROW(E453)-ROW($E$1)&lt;=$B$4,VLOOKUP(E453,STK_REF!$A$2:$J$1048576,2,0),""))</f>
        <v/>
      </c>
      <c r="J453" s="62" t="str">
        <f>IF($D453&lt;=$B$1-$B$2,IF(INDEX($AA$2:$AA$1048576,MATCH($D453,$AB$2:$AB$1048576,0))="MODIFY",INDEX(IDX_CA!$G$1:$G$1041,SUMPRODUCT(--($E453=IDX_CA!$A$2:$A$1041),--(NXT_COMPO!$P453=IDX_CA!$B$2:$B$1041),--(NXT_COMPO!$Q453=IDX_CA!$C$2:$C$1041),ROW(IDX_CA!$G$2:$G$1041))),INDEX(IDX_COMPOSITION!$F$1:$F$441,SUMPRODUCT(--($E453=IDX_COMPOSITION!$A$2:$A$441),--(NXT_COMPO!$P453=IDX_COMPOSITION!$R$2:$R$441),--(NXT_COMPO!$B$5=IDX_COMPOSITION!$L$2:$L$441),ROW(IDX_COMPOSITION!$F$2:$F$441)))),IF($D453&lt;=$B$4,INDEX(IDX_CA!$G$1:$G$1041,SUMPRODUCT(--($E453=IDX_CA!$A$2:$A$1041),--(NXT_COMPO!$P453=IDX_CA!$B$2:$B$1041),--(NXT_COMPO!$Q453=IDX_CA!$C$2:$C$1041),ROW(IDX_CA!$G$2:$G$1041))),""))</f>
        <v/>
      </c>
      <c r="K453" s="63" t="str">
        <f>IF($D453&lt;&gt;"",VLOOKUP($E453,STK_REF!$A$2:$J$1048576,7,0),"")</f>
        <v/>
      </c>
      <c r="L453" s="5" t="str">
        <f>IF($D453&lt;&gt;"",VLOOKUP($E453,STK_REF!$A$2:$J$1048576,8,0),"")</f>
        <v/>
      </c>
      <c r="M453" s="8" t="str">
        <f>IF($D453&lt;&gt;"",IF($K453=$U453,1,IF(ISNA(VLOOKUP($K453&amp;$U453,CUR_RATES!$A$2:$F$521,4,0)),"",VLOOKUP($K453&amp;$U453,CUR_RATES!$A$2:$F$521,4,0))),"")</f>
        <v/>
      </c>
      <c r="N453" s="61" t="str">
        <f t="shared" si="64"/>
        <v/>
      </c>
      <c r="O453" s="68" t="str">
        <f t="shared" si="65"/>
        <v/>
      </c>
      <c r="P453" s="24"/>
      <c r="Q453" s="2" t="str">
        <f>IF(ROW(Q453)-ROW($E$1)&lt;=$B$4,INDEX(IDX_COMPO!F:F,ROW(IDX_COMPO!#REF!)),"")</f>
        <v/>
      </c>
      <c r="R453" s="68" t="str">
        <f t="shared" si="66"/>
        <v/>
      </c>
      <c r="S453" s="61" t="str">
        <f t="shared" si="67"/>
        <v/>
      </c>
      <c r="T453" s="62" t="str">
        <f>IF(D453&lt;&gt;"",IF(SUMPRODUCT(--($E453=STK_DIV!$A$2:$A$5),--(NXT_COMPO!$Q453=STK_DIV!$E$2:$E$5),ROW(STK_DIV!$D$2:$D$5))=0,"",INDEX(STK_DIV!$D$1:$D$5,SUMPRODUCT(--($E453=STK_DIV!$A$2:$A$5),--(NXT_COMPO!$Q453=STK_DIV!$E$2:$E$5),ROW(STK_DIV!$D$2:$D$5)))),"")</f>
        <v/>
      </c>
      <c r="U453" s="54" t="str">
        <f>IF($D453&lt;&gt;"",VLOOKUP($P453,IDX_REF!$2:$1048576,4,0),"")</f>
        <v/>
      </c>
    </row>
    <row r="454" spans="4:21" x14ac:dyDescent="0.2">
      <c r="D454" s="52" t="str">
        <f t="shared" si="62"/>
        <v/>
      </c>
      <c r="E454" s="5" t="str">
        <f t="shared" si="63"/>
        <v/>
      </c>
      <c r="F454" s="5" t="str">
        <f>IF(ROW(F454)-ROW($E$1)&lt;=$B$1-$B$2,INDEX(IDX_COMPO!B:B,ROW(IDX_COMPO!#REF!)),IF(ROW(E454)-ROW($E$1)&lt;=$B$4,VLOOKUP(E454,STK_REF!$A$2:$J$1048576,2,0),""))</f>
        <v/>
      </c>
      <c r="J454" s="62" t="str">
        <f>IF($D454&lt;=$B$1-$B$2,IF(INDEX($AA$2:$AA$1048576,MATCH($D454,$AB$2:$AB$1048576,0))="MODIFY",INDEX(IDX_CA!$G$1:$G$1041,SUMPRODUCT(--($E454=IDX_CA!$A$2:$A$1041),--(NXT_COMPO!$P454=IDX_CA!$B$2:$B$1041),--(NXT_COMPO!$Q454=IDX_CA!$C$2:$C$1041),ROW(IDX_CA!$G$2:$G$1041))),INDEX(IDX_COMPOSITION!$F$1:$F$441,SUMPRODUCT(--($E454=IDX_COMPOSITION!$A$2:$A$441),--(NXT_COMPO!$P454=IDX_COMPOSITION!$R$2:$R$441),--(NXT_COMPO!$B$5=IDX_COMPOSITION!$L$2:$L$441),ROW(IDX_COMPOSITION!$F$2:$F$441)))),IF($D454&lt;=$B$4,INDEX(IDX_CA!$G$1:$G$1041,SUMPRODUCT(--($E454=IDX_CA!$A$2:$A$1041),--(NXT_COMPO!$P454=IDX_CA!$B$2:$B$1041),--(NXT_COMPO!$Q454=IDX_CA!$C$2:$C$1041),ROW(IDX_CA!$G$2:$G$1041))),""))</f>
        <v/>
      </c>
      <c r="K454" s="63" t="str">
        <f>IF($D454&lt;&gt;"",VLOOKUP($E454,STK_REF!$A$2:$J$1048576,7,0),"")</f>
        <v/>
      </c>
      <c r="L454" s="5" t="str">
        <f>IF($D454&lt;&gt;"",VLOOKUP($E454,STK_REF!$A$2:$J$1048576,8,0),"")</f>
        <v/>
      </c>
      <c r="M454" s="8" t="str">
        <f>IF($D454&lt;&gt;"",IF($K454=$U454,1,IF(ISNA(VLOOKUP($K454&amp;$U454,CUR_RATES!$A$2:$F$521,4,0)),"",VLOOKUP($K454&amp;$U454,CUR_RATES!$A$2:$F$521,4,0))),"")</f>
        <v/>
      </c>
      <c r="N454" s="61" t="str">
        <f t="shared" si="64"/>
        <v/>
      </c>
      <c r="O454" s="68" t="str">
        <f t="shared" si="65"/>
        <v/>
      </c>
      <c r="P454" s="24"/>
      <c r="Q454" s="2" t="str">
        <f>IF(ROW(Q454)-ROW($E$1)&lt;=$B$4,INDEX(IDX_COMPO!F:F,ROW(IDX_COMPO!#REF!)),"")</f>
        <v/>
      </c>
      <c r="R454" s="68" t="str">
        <f t="shared" si="66"/>
        <v/>
      </c>
      <c r="S454" s="61" t="str">
        <f t="shared" si="67"/>
        <v/>
      </c>
      <c r="T454" s="62" t="str">
        <f>IF(D454&lt;&gt;"",IF(SUMPRODUCT(--($E454=STK_DIV!$A$2:$A$5),--(NXT_COMPO!$Q454=STK_DIV!$E$2:$E$5),ROW(STK_DIV!$D$2:$D$5))=0,"",INDEX(STK_DIV!$D$1:$D$5,SUMPRODUCT(--($E454=STK_DIV!$A$2:$A$5),--(NXT_COMPO!$Q454=STK_DIV!$E$2:$E$5),ROW(STK_DIV!$D$2:$D$5)))),"")</f>
        <v/>
      </c>
      <c r="U454" s="54" t="str">
        <f>IF($D454&lt;&gt;"",VLOOKUP($P454,IDX_REF!$2:$1048576,4,0),"")</f>
        <v/>
      </c>
    </row>
    <row r="455" spans="4:21" x14ac:dyDescent="0.2">
      <c r="D455" s="52" t="str">
        <f t="shared" si="62"/>
        <v/>
      </c>
      <c r="E455" s="5" t="str">
        <f t="shared" si="63"/>
        <v/>
      </c>
      <c r="F455" s="5" t="str">
        <f>IF(ROW(F455)-ROW($E$1)&lt;=$B$1-$B$2,INDEX(IDX_COMPO!B:B,ROW(IDX_COMPO!#REF!)),IF(ROW(E455)-ROW($E$1)&lt;=$B$4,VLOOKUP(E455,STK_REF!$A$2:$J$1048576,2,0),""))</f>
        <v/>
      </c>
      <c r="J455" s="62" t="str">
        <f>IF($D455&lt;=$B$1-$B$2,IF(INDEX($AA$2:$AA$1048576,MATCH($D455,$AB$2:$AB$1048576,0))="MODIFY",INDEX(IDX_CA!$G$1:$G$1041,SUMPRODUCT(--($E455=IDX_CA!$A$2:$A$1041),--(NXT_COMPO!$P455=IDX_CA!$B$2:$B$1041),--(NXT_COMPO!$Q455=IDX_CA!$C$2:$C$1041),ROW(IDX_CA!$G$2:$G$1041))),INDEX(IDX_COMPOSITION!$F$1:$F$441,SUMPRODUCT(--($E455=IDX_COMPOSITION!$A$2:$A$441),--(NXT_COMPO!$P455=IDX_COMPOSITION!$R$2:$R$441),--(NXT_COMPO!$B$5=IDX_COMPOSITION!$L$2:$L$441),ROW(IDX_COMPOSITION!$F$2:$F$441)))),IF($D455&lt;=$B$4,INDEX(IDX_CA!$G$1:$G$1041,SUMPRODUCT(--($E455=IDX_CA!$A$2:$A$1041),--(NXT_COMPO!$P455=IDX_CA!$B$2:$B$1041),--(NXT_COMPO!$Q455=IDX_CA!$C$2:$C$1041),ROW(IDX_CA!$G$2:$G$1041))),""))</f>
        <v/>
      </c>
      <c r="K455" s="63" t="str">
        <f>IF($D455&lt;&gt;"",VLOOKUP($E455,STK_REF!$A$2:$J$1048576,7,0),"")</f>
        <v/>
      </c>
      <c r="L455" s="5" t="str">
        <f>IF($D455&lt;&gt;"",VLOOKUP($E455,STK_REF!$A$2:$J$1048576,8,0),"")</f>
        <v/>
      </c>
      <c r="M455" s="8" t="str">
        <f>IF($D455&lt;&gt;"",IF($K455=$U455,1,IF(ISNA(VLOOKUP($K455&amp;$U455,CUR_RATES!$A$2:$F$521,4,0)),"",VLOOKUP($K455&amp;$U455,CUR_RATES!$A$2:$F$521,4,0))),"")</f>
        <v/>
      </c>
      <c r="N455" s="61" t="str">
        <f t="shared" si="64"/>
        <v/>
      </c>
      <c r="O455" s="68" t="str">
        <f t="shared" si="65"/>
        <v/>
      </c>
      <c r="P455" s="24"/>
      <c r="Q455" s="2" t="str">
        <f>IF(ROW(Q455)-ROW($E$1)&lt;=$B$4,INDEX(IDX_COMPO!F:F,ROW(IDX_COMPO!#REF!)),"")</f>
        <v/>
      </c>
      <c r="R455" s="68" t="str">
        <f t="shared" si="66"/>
        <v/>
      </c>
      <c r="S455" s="61" t="str">
        <f t="shared" si="67"/>
        <v/>
      </c>
      <c r="T455" s="62" t="str">
        <f>IF(D455&lt;&gt;"",IF(SUMPRODUCT(--($E455=STK_DIV!$A$2:$A$5),--(NXT_COMPO!$Q455=STK_DIV!$E$2:$E$5),ROW(STK_DIV!$D$2:$D$5))=0,"",INDEX(STK_DIV!$D$1:$D$5,SUMPRODUCT(--($E455=STK_DIV!$A$2:$A$5),--(NXT_COMPO!$Q455=STK_DIV!$E$2:$E$5),ROW(STK_DIV!$D$2:$D$5)))),"")</f>
        <v/>
      </c>
      <c r="U455" s="54" t="str">
        <f>IF($D455&lt;&gt;"",VLOOKUP($P455,IDX_REF!$2:$1048576,4,0),"")</f>
        <v/>
      </c>
    </row>
    <row r="456" spans="4:21" x14ac:dyDescent="0.2">
      <c r="D456" s="52" t="str">
        <f t="shared" si="62"/>
        <v/>
      </c>
      <c r="E456" s="5" t="str">
        <f t="shared" si="63"/>
        <v/>
      </c>
      <c r="F456" s="5" t="str">
        <f>IF(ROW(F456)-ROW($E$1)&lt;=$B$1-$B$2,INDEX(IDX_COMPO!B:B,ROW(IDX_COMPO!#REF!)),IF(ROW(E456)-ROW($E$1)&lt;=$B$4,VLOOKUP(E456,STK_REF!$A$2:$J$1048576,2,0),""))</f>
        <v/>
      </c>
      <c r="J456" s="62" t="str">
        <f>IF($D456&lt;=$B$1-$B$2,IF(INDEX($AA$2:$AA$1048576,MATCH($D456,$AB$2:$AB$1048576,0))="MODIFY",INDEX(IDX_CA!$G$1:$G$1041,SUMPRODUCT(--($E456=IDX_CA!$A$2:$A$1041),--(NXT_COMPO!$P456=IDX_CA!$B$2:$B$1041),--(NXT_COMPO!$Q456=IDX_CA!$C$2:$C$1041),ROW(IDX_CA!$G$2:$G$1041))),INDEX(IDX_COMPOSITION!$F$1:$F$441,SUMPRODUCT(--($E456=IDX_COMPOSITION!$A$2:$A$441),--(NXT_COMPO!$P456=IDX_COMPOSITION!$R$2:$R$441),--(NXT_COMPO!$B$5=IDX_COMPOSITION!$L$2:$L$441),ROW(IDX_COMPOSITION!$F$2:$F$441)))),IF($D456&lt;=$B$4,INDEX(IDX_CA!$G$1:$G$1041,SUMPRODUCT(--($E456=IDX_CA!$A$2:$A$1041),--(NXT_COMPO!$P456=IDX_CA!$B$2:$B$1041),--(NXT_COMPO!$Q456=IDX_CA!$C$2:$C$1041),ROW(IDX_CA!$G$2:$G$1041))),""))</f>
        <v/>
      </c>
      <c r="K456" s="63" t="str">
        <f>IF($D456&lt;&gt;"",VLOOKUP($E456,STK_REF!$A$2:$J$1048576,7,0),"")</f>
        <v/>
      </c>
      <c r="L456" s="5" t="str">
        <f>IF($D456&lt;&gt;"",VLOOKUP($E456,STK_REF!$A$2:$J$1048576,8,0),"")</f>
        <v/>
      </c>
      <c r="M456" s="8" t="str">
        <f>IF($D456&lt;&gt;"",IF($K456=$U456,1,IF(ISNA(VLOOKUP($K456&amp;$U456,CUR_RATES!$A$2:$F$521,4,0)),"",VLOOKUP($K456&amp;$U456,CUR_RATES!$A$2:$F$521,4,0))),"")</f>
        <v/>
      </c>
      <c r="N456" s="61" t="str">
        <f t="shared" si="64"/>
        <v/>
      </c>
      <c r="O456" s="68" t="str">
        <f t="shared" si="65"/>
        <v/>
      </c>
      <c r="P456" s="24"/>
      <c r="Q456" s="2" t="str">
        <f>IF(ROW(Q456)-ROW($E$1)&lt;=$B$4,INDEX(IDX_COMPO!F:F,ROW(IDX_COMPO!#REF!)),"")</f>
        <v/>
      </c>
      <c r="R456" s="68" t="str">
        <f t="shared" si="66"/>
        <v/>
      </c>
      <c r="S456" s="61" t="str">
        <f t="shared" si="67"/>
        <v/>
      </c>
      <c r="T456" s="62" t="str">
        <f>IF(D456&lt;&gt;"",IF(SUMPRODUCT(--($E456=STK_DIV!$A$2:$A$5),--(NXT_COMPO!$Q456=STK_DIV!$E$2:$E$5),ROW(STK_DIV!$D$2:$D$5))=0,"",INDEX(STK_DIV!$D$1:$D$5,SUMPRODUCT(--($E456=STK_DIV!$A$2:$A$5),--(NXT_COMPO!$Q456=STK_DIV!$E$2:$E$5),ROW(STK_DIV!$D$2:$D$5)))),"")</f>
        <v/>
      </c>
      <c r="U456" s="54" t="str">
        <f>IF($D456&lt;&gt;"",VLOOKUP($P456,IDX_REF!$2:$1048576,4,0),"")</f>
        <v/>
      </c>
    </row>
    <row r="457" spans="4:21" x14ac:dyDescent="0.2">
      <c r="D457" s="52" t="str">
        <f t="shared" si="62"/>
        <v/>
      </c>
      <c r="E457" s="5" t="str">
        <f t="shared" si="63"/>
        <v/>
      </c>
      <c r="F457" s="5" t="str">
        <f>IF(ROW(F457)-ROW($E$1)&lt;=$B$1-$B$2,INDEX(IDX_COMPO!B:B,ROW(IDX_COMPO!#REF!)),IF(ROW(E457)-ROW($E$1)&lt;=$B$4,VLOOKUP(E457,STK_REF!$A$2:$J$1048576,2,0),""))</f>
        <v/>
      </c>
      <c r="J457" s="62" t="str">
        <f>IF($D457&lt;=$B$1-$B$2,IF(INDEX($AA$2:$AA$1048576,MATCH($D457,$AB$2:$AB$1048576,0))="MODIFY",INDEX(IDX_CA!$G$1:$G$1041,SUMPRODUCT(--($E457=IDX_CA!$A$2:$A$1041),--(NXT_COMPO!$P457=IDX_CA!$B$2:$B$1041),--(NXT_COMPO!$Q457=IDX_CA!$C$2:$C$1041),ROW(IDX_CA!$G$2:$G$1041))),INDEX(IDX_COMPOSITION!$F$1:$F$441,SUMPRODUCT(--($E457=IDX_COMPOSITION!$A$2:$A$441),--(NXT_COMPO!$P457=IDX_COMPOSITION!$R$2:$R$441),--(NXT_COMPO!$B$5=IDX_COMPOSITION!$L$2:$L$441),ROW(IDX_COMPOSITION!$F$2:$F$441)))),IF($D457&lt;=$B$4,INDEX(IDX_CA!$G$1:$G$1041,SUMPRODUCT(--($E457=IDX_CA!$A$2:$A$1041),--(NXT_COMPO!$P457=IDX_CA!$B$2:$B$1041),--(NXT_COMPO!$Q457=IDX_CA!$C$2:$C$1041),ROW(IDX_CA!$G$2:$G$1041))),""))</f>
        <v/>
      </c>
      <c r="K457" s="63" t="str">
        <f>IF($D457&lt;&gt;"",VLOOKUP($E457,STK_REF!$A$2:$J$1048576,7,0),"")</f>
        <v/>
      </c>
      <c r="L457" s="5" t="str">
        <f>IF($D457&lt;&gt;"",VLOOKUP($E457,STK_REF!$A$2:$J$1048576,8,0),"")</f>
        <v/>
      </c>
      <c r="M457" s="8" t="str">
        <f>IF($D457&lt;&gt;"",IF($K457=$U457,1,IF(ISNA(VLOOKUP($K457&amp;$U457,CUR_RATES!$A$2:$F$521,4,0)),"",VLOOKUP($K457&amp;$U457,CUR_RATES!$A$2:$F$521,4,0))),"")</f>
        <v/>
      </c>
      <c r="N457" s="61" t="str">
        <f t="shared" si="64"/>
        <v/>
      </c>
      <c r="O457" s="68" t="str">
        <f t="shared" si="65"/>
        <v/>
      </c>
      <c r="P457" s="24"/>
      <c r="Q457" s="2" t="str">
        <f>IF(ROW(Q457)-ROW($E$1)&lt;=$B$4,INDEX(IDX_COMPO!F:F,ROW(IDX_COMPO!#REF!)),"")</f>
        <v/>
      </c>
      <c r="R457" s="68" t="str">
        <f t="shared" si="66"/>
        <v/>
      </c>
      <c r="S457" s="61" t="str">
        <f t="shared" si="67"/>
        <v/>
      </c>
      <c r="T457" s="62" t="str">
        <f>IF(D457&lt;&gt;"",IF(SUMPRODUCT(--($E457=STK_DIV!$A$2:$A$5),--(NXT_COMPO!$Q457=STK_DIV!$E$2:$E$5),ROW(STK_DIV!$D$2:$D$5))=0,"",INDEX(STK_DIV!$D$1:$D$5,SUMPRODUCT(--($E457=STK_DIV!$A$2:$A$5),--(NXT_COMPO!$Q457=STK_DIV!$E$2:$E$5),ROW(STK_DIV!$D$2:$D$5)))),"")</f>
        <v/>
      </c>
      <c r="U457" s="54" t="str">
        <f>IF($D457&lt;&gt;"",VLOOKUP($P457,IDX_REF!$2:$1048576,4,0),"")</f>
        <v/>
      </c>
    </row>
    <row r="458" spans="4:21" x14ac:dyDescent="0.2">
      <c r="D458" s="52" t="str">
        <f t="shared" si="62"/>
        <v/>
      </c>
      <c r="E458" s="5" t="str">
        <f t="shared" si="63"/>
        <v/>
      </c>
      <c r="F458" s="5" t="str">
        <f>IF(ROW(F458)-ROW($E$1)&lt;=$B$1-$B$2,INDEX(IDX_COMPO!B:B,ROW(IDX_COMPO!#REF!)),IF(ROW(E458)-ROW($E$1)&lt;=$B$4,VLOOKUP(E458,STK_REF!$A$2:$J$1048576,2,0),""))</f>
        <v/>
      </c>
      <c r="J458" s="62" t="str">
        <f>IF($D458&lt;=$B$1-$B$2,IF(INDEX($AA$2:$AA$1048576,MATCH($D458,$AB$2:$AB$1048576,0))="MODIFY",INDEX(IDX_CA!$G$1:$G$1041,SUMPRODUCT(--($E458=IDX_CA!$A$2:$A$1041),--(NXT_COMPO!$P458=IDX_CA!$B$2:$B$1041),--(NXT_COMPO!$Q458=IDX_CA!$C$2:$C$1041),ROW(IDX_CA!$G$2:$G$1041))),INDEX(IDX_COMPOSITION!$F$1:$F$441,SUMPRODUCT(--($E458=IDX_COMPOSITION!$A$2:$A$441),--(NXT_COMPO!$P458=IDX_COMPOSITION!$R$2:$R$441),--(NXT_COMPO!$B$5=IDX_COMPOSITION!$L$2:$L$441),ROW(IDX_COMPOSITION!$F$2:$F$441)))),IF($D458&lt;=$B$4,INDEX(IDX_CA!$G$1:$G$1041,SUMPRODUCT(--($E458=IDX_CA!$A$2:$A$1041),--(NXT_COMPO!$P458=IDX_CA!$B$2:$B$1041),--(NXT_COMPO!$Q458=IDX_CA!$C$2:$C$1041),ROW(IDX_CA!$G$2:$G$1041))),""))</f>
        <v/>
      </c>
      <c r="K458" s="63" t="str">
        <f>IF($D458&lt;&gt;"",VLOOKUP($E458,STK_REF!$A$2:$J$1048576,7,0),"")</f>
        <v/>
      </c>
      <c r="L458" s="5" t="str">
        <f>IF($D458&lt;&gt;"",VLOOKUP($E458,STK_REF!$A$2:$J$1048576,8,0),"")</f>
        <v/>
      </c>
      <c r="M458" s="8" t="str">
        <f>IF($D458&lt;&gt;"",IF($K458=$U458,1,IF(ISNA(VLOOKUP($K458&amp;$U458,CUR_RATES!$A$2:$F$521,4,0)),"",VLOOKUP($K458&amp;$U458,CUR_RATES!$A$2:$F$521,4,0))),"")</f>
        <v/>
      </c>
      <c r="N458" s="61" t="str">
        <f t="shared" si="64"/>
        <v/>
      </c>
      <c r="O458" s="68" t="str">
        <f t="shared" si="65"/>
        <v/>
      </c>
      <c r="P458" s="24"/>
      <c r="Q458" s="2" t="str">
        <f>IF(ROW(Q458)-ROW($E$1)&lt;=$B$4,INDEX(IDX_COMPO!F:F,ROW(IDX_COMPO!#REF!)),"")</f>
        <v/>
      </c>
      <c r="R458" s="68" t="str">
        <f t="shared" si="66"/>
        <v/>
      </c>
      <c r="S458" s="61" t="str">
        <f t="shared" si="67"/>
        <v/>
      </c>
      <c r="T458" s="62" t="str">
        <f>IF(D458&lt;&gt;"",IF(SUMPRODUCT(--($E458=STK_DIV!$A$2:$A$5),--(NXT_COMPO!$Q458=STK_DIV!$E$2:$E$5),ROW(STK_DIV!$D$2:$D$5))=0,"",INDEX(STK_DIV!$D$1:$D$5,SUMPRODUCT(--($E458=STK_DIV!$A$2:$A$5),--(NXT_COMPO!$Q458=STK_DIV!$E$2:$E$5),ROW(STK_DIV!$D$2:$D$5)))),"")</f>
        <v/>
      </c>
      <c r="U458" s="54" t="str">
        <f>IF($D458&lt;&gt;"",VLOOKUP($P458,IDX_REF!$2:$1048576,4,0),"")</f>
        <v/>
      </c>
    </row>
    <row r="459" spans="4:21" x14ac:dyDescent="0.2">
      <c r="D459" s="52" t="str">
        <f t="shared" si="62"/>
        <v/>
      </c>
      <c r="E459" s="5" t="str">
        <f t="shared" si="63"/>
        <v/>
      </c>
      <c r="F459" s="5" t="str">
        <f>IF(ROW(F459)-ROW($E$1)&lt;=$B$1-$B$2,INDEX(IDX_COMPO!B:B,ROW(IDX_COMPO!#REF!)),IF(ROW(E459)-ROW($E$1)&lt;=$B$4,VLOOKUP(E459,STK_REF!$A$2:$J$1048576,2,0),""))</f>
        <v/>
      </c>
      <c r="J459" s="62" t="str">
        <f>IF($D459&lt;=$B$1-$B$2,IF(INDEX($AA$2:$AA$1048576,MATCH($D459,$AB$2:$AB$1048576,0))="MODIFY",INDEX(IDX_CA!$G$1:$G$1041,SUMPRODUCT(--($E459=IDX_CA!$A$2:$A$1041),--(NXT_COMPO!$P459=IDX_CA!$B$2:$B$1041),--(NXT_COMPO!$Q459=IDX_CA!$C$2:$C$1041),ROW(IDX_CA!$G$2:$G$1041))),INDEX(IDX_COMPOSITION!$F$1:$F$441,SUMPRODUCT(--($E459=IDX_COMPOSITION!$A$2:$A$441),--(NXT_COMPO!$P459=IDX_COMPOSITION!$R$2:$R$441),--(NXT_COMPO!$B$5=IDX_COMPOSITION!$L$2:$L$441),ROW(IDX_COMPOSITION!$F$2:$F$441)))),IF($D459&lt;=$B$4,INDEX(IDX_CA!$G$1:$G$1041,SUMPRODUCT(--($E459=IDX_CA!$A$2:$A$1041),--(NXT_COMPO!$P459=IDX_CA!$B$2:$B$1041),--(NXT_COMPO!$Q459=IDX_CA!$C$2:$C$1041),ROW(IDX_CA!$G$2:$G$1041))),""))</f>
        <v/>
      </c>
      <c r="K459" s="63" t="str">
        <f>IF($D459&lt;&gt;"",VLOOKUP($E459,STK_REF!$A$2:$J$1048576,7,0),"")</f>
        <v/>
      </c>
      <c r="L459" s="5" t="str">
        <f>IF($D459&lt;&gt;"",VLOOKUP($E459,STK_REF!$A$2:$J$1048576,8,0),"")</f>
        <v/>
      </c>
      <c r="M459" s="8" t="str">
        <f>IF($D459&lt;&gt;"",IF($K459=$U459,1,IF(ISNA(VLOOKUP($K459&amp;$U459,CUR_RATES!$A$2:$F$521,4,0)),"",VLOOKUP($K459&amp;$U459,CUR_RATES!$A$2:$F$521,4,0))),"")</f>
        <v/>
      </c>
      <c r="N459" s="61" t="str">
        <f t="shared" si="64"/>
        <v/>
      </c>
      <c r="O459" s="68" t="str">
        <f t="shared" si="65"/>
        <v/>
      </c>
      <c r="P459" s="24"/>
      <c r="Q459" s="2" t="str">
        <f>IF(ROW(Q459)-ROW($E$1)&lt;=$B$4,INDEX(IDX_COMPO!F:F,ROW(IDX_COMPO!#REF!)),"")</f>
        <v/>
      </c>
      <c r="R459" s="68" t="str">
        <f t="shared" si="66"/>
        <v/>
      </c>
      <c r="S459" s="61" t="str">
        <f t="shared" si="67"/>
        <v/>
      </c>
      <c r="T459" s="62" t="str">
        <f>IF(D459&lt;&gt;"",IF(SUMPRODUCT(--($E459=STK_DIV!$A$2:$A$5),--(NXT_COMPO!$Q459=STK_DIV!$E$2:$E$5),ROW(STK_DIV!$D$2:$D$5))=0,"",INDEX(STK_DIV!$D$1:$D$5,SUMPRODUCT(--($E459=STK_DIV!$A$2:$A$5),--(NXT_COMPO!$Q459=STK_DIV!$E$2:$E$5),ROW(STK_DIV!$D$2:$D$5)))),"")</f>
        <v/>
      </c>
      <c r="U459" s="54" t="str">
        <f>IF($D459&lt;&gt;"",VLOOKUP($P459,IDX_REF!$2:$1048576,4,0),"")</f>
        <v/>
      </c>
    </row>
    <row r="460" spans="4:21" x14ac:dyDescent="0.2">
      <c r="D460" s="52" t="str">
        <f t="shared" si="62"/>
        <v/>
      </c>
      <c r="E460" s="5" t="str">
        <f t="shared" si="63"/>
        <v/>
      </c>
      <c r="F460" s="5" t="str">
        <f>IF(ROW(F460)-ROW($E$1)&lt;=$B$1-$B$2,INDEX(IDX_COMPO!B:B,ROW(IDX_COMPO!#REF!)),IF(ROW(E460)-ROW($E$1)&lt;=$B$4,VLOOKUP(E460,STK_REF!$A$2:$J$1048576,2,0),""))</f>
        <v/>
      </c>
      <c r="J460" s="62" t="str">
        <f>IF($D460&lt;=$B$1-$B$2,IF(INDEX($AA$2:$AA$1048576,MATCH($D460,$AB$2:$AB$1048576,0))="MODIFY",INDEX(IDX_CA!$G$1:$G$1041,SUMPRODUCT(--($E460=IDX_CA!$A$2:$A$1041),--(NXT_COMPO!$P460=IDX_CA!$B$2:$B$1041),--(NXT_COMPO!$Q460=IDX_CA!$C$2:$C$1041),ROW(IDX_CA!$G$2:$G$1041))),INDEX(IDX_COMPOSITION!$F$1:$F$441,SUMPRODUCT(--($E460=IDX_COMPOSITION!$A$2:$A$441),--(NXT_COMPO!$P460=IDX_COMPOSITION!$R$2:$R$441),--(NXT_COMPO!$B$5=IDX_COMPOSITION!$L$2:$L$441),ROW(IDX_COMPOSITION!$F$2:$F$441)))),IF($D460&lt;=$B$4,INDEX(IDX_CA!$G$1:$G$1041,SUMPRODUCT(--($E460=IDX_CA!$A$2:$A$1041),--(NXT_COMPO!$P460=IDX_CA!$B$2:$B$1041),--(NXT_COMPO!$Q460=IDX_CA!$C$2:$C$1041),ROW(IDX_CA!$G$2:$G$1041))),""))</f>
        <v/>
      </c>
      <c r="K460" s="63" t="str">
        <f>IF($D460&lt;&gt;"",VLOOKUP($E460,STK_REF!$A$2:$J$1048576,7,0),"")</f>
        <v/>
      </c>
      <c r="L460" s="5" t="str">
        <f>IF($D460&lt;&gt;"",VLOOKUP($E460,STK_REF!$A$2:$J$1048576,8,0),"")</f>
        <v/>
      </c>
      <c r="M460" s="8" t="str">
        <f>IF($D460&lt;&gt;"",IF($K460=$U460,1,IF(ISNA(VLOOKUP($K460&amp;$U460,CUR_RATES!$A$2:$F$521,4,0)),"",VLOOKUP($K460&amp;$U460,CUR_RATES!$A$2:$F$521,4,0))),"")</f>
        <v/>
      </c>
      <c r="N460" s="61" t="str">
        <f t="shared" si="64"/>
        <v/>
      </c>
      <c r="O460" s="68" t="str">
        <f t="shared" si="65"/>
        <v/>
      </c>
      <c r="P460" s="24"/>
      <c r="Q460" s="2" t="str">
        <f>IF(ROW(Q460)-ROW($E$1)&lt;=$B$4,INDEX(IDX_COMPO!F:F,ROW(IDX_COMPO!#REF!)),"")</f>
        <v/>
      </c>
      <c r="R460" s="68" t="str">
        <f t="shared" si="66"/>
        <v/>
      </c>
      <c r="S460" s="61" t="str">
        <f t="shared" si="67"/>
        <v/>
      </c>
      <c r="T460" s="62" t="str">
        <f>IF(D460&lt;&gt;"",IF(SUMPRODUCT(--($E460=STK_DIV!$A$2:$A$5),--(NXT_COMPO!$Q460=STK_DIV!$E$2:$E$5),ROW(STK_DIV!$D$2:$D$5))=0,"",INDEX(STK_DIV!$D$1:$D$5,SUMPRODUCT(--($E460=STK_DIV!$A$2:$A$5),--(NXT_COMPO!$Q460=STK_DIV!$E$2:$E$5),ROW(STK_DIV!$D$2:$D$5)))),"")</f>
        <v/>
      </c>
      <c r="U460" s="54" t="str">
        <f>IF($D460&lt;&gt;"",VLOOKUP($P460,IDX_REF!$2:$1048576,4,0),"")</f>
        <v/>
      </c>
    </row>
    <row r="461" spans="4:21" x14ac:dyDescent="0.2">
      <c r="D461" s="52" t="str">
        <f t="shared" si="62"/>
        <v/>
      </c>
      <c r="E461" s="5" t="str">
        <f t="shared" si="63"/>
        <v/>
      </c>
      <c r="F461" s="5" t="str">
        <f>IF(ROW(F461)-ROW($E$1)&lt;=$B$1-$B$2,INDEX(IDX_COMPO!B:B,ROW(IDX_COMPO!#REF!)),IF(ROW(E461)-ROW($E$1)&lt;=$B$4,VLOOKUP(E461,STK_REF!$A$2:$J$1048576,2,0),""))</f>
        <v/>
      </c>
      <c r="J461" s="62" t="str">
        <f>IF($D461&lt;=$B$1-$B$2,IF(INDEX($AA$2:$AA$1048576,MATCH($D461,$AB$2:$AB$1048576,0))="MODIFY",INDEX(IDX_CA!$G$1:$G$1041,SUMPRODUCT(--($E461=IDX_CA!$A$2:$A$1041),--(NXT_COMPO!$P461=IDX_CA!$B$2:$B$1041),--(NXT_COMPO!$Q461=IDX_CA!$C$2:$C$1041),ROW(IDX_CA!$G$2:$G$1041))),INDEX(IDX_COMPOSITION!$F$1:$F$441,SUMPRODUCT(--($E461=IDX_COMPOSITION!$A$2:$A$441),--(NXT_COMPO!$P461=IDX_COMPOSITION!$R$2:$R$441),--(NXT_COMPO!$B$5=IDX_COMPOSITION!$L$2:$L$441),ROW(IDX_COMPOSITION!$F$2:$F$441)))),IF($D461&lt;=$B$4,INDEX(IDX_CA!$G$1:$G$1041,SUMPRODUCT(--($E461=IDX_CA!$A$2:$A$1041),--(NXT_COMPO!$P461=IDX_CA!$B$2:$B$1041),--(NXT_COMPO!$Q461=IDX_CA!$C$2:$C$1041),ROW(IDX_CA!$G$2:$G$1041))),""))</f>
        <v/>
      </c>
      <c r="K461" s="63" t="str">
        <f>IF($D461&lt;&gt;"",VLOOKUP($E461,STK_REF!$A$2:$J$1048576,7,0),"")</f>
        <v/>
      </c>
      <c r="L461" s="5" t="str">
        <f>IF($D461&lt;&gt;"",VLOOKUP($E461,STK_REF!$A$2:$J$1048576,8,0),"")</f>
        <v/>
      </c>
      <c r="M461" s="8" t="str">
        <f>IF($D461&lt;&gt;"",IF($K461=$U461,1,IF(ISNA(VLOOKUP($K461&amp;$U461,CUR_RATES!$A$2:$F$521,4,0)),"",VLOOKUP($K461&amp;$U461,CUR_RATES!$A$2:$F$521,4,0))),"")</f>
        <v/>
      </c>
      <c r="N461" s="61" t="str">
        <f t="shared" si="64"/>
        <v/>
      </c>
      <c r="O461" s="68" t="str">
        <f t="shared" si="65"/>
        <v/>
      </c>
      <c r="P461" s="24"/>
      <c r="Q461" s="2" t="str">
        <f>IF(ROW(Q461)-ROW($E$1)&lt;=$B$4,INDEX(IDX_COMPO!F:F,ROW(IDX_COMPO!#REF!)),"")</f>
        <v/>
      </c>
      <c r="R461" s="68" t="str">
        <f t="shared" si="66"/>
        <v/>
      </c>
      <c r="S461" s="61" t="str">
        <f t="shared" si="67"/>
        <v/>
      </c>
      <c r="T461" s="62" t="str">
        <f>IF(D461&lt;&gt;"",IF(SUMPRODUCT(--($E461=STK_DIV!$A$2:$A$5),--(NXT_COMPO!$Q461=STK_DIV!$E$2:$E$5),ROW(STK_DIV!$D$2:$D$5))=0,"",INDEX(STK_DIV!$D$1:$D$5,SUMPRODUCT(--($E461=STK_DIV!$A$2:$A$5),--(NXT_COMPO!$Q461=STK_DIV!$E$2:$E$5),ROW(STK_DIV!$D$2:$D$5)))),"")</f>
        <v/>
      </c>
      <c r="U461" s="54" t="str">
        <f>IF($D461&lt;&gt;"",VLOOKUP($P461,IDX_REF!$2:$1048576,4,0),"")</f>
        <v/>
      </c>
    </row>
    <row r="462" spans="4:21" x14ac:dyDescent="0.2">
      <c r="D462" s="52" t="str">
        <f t="shared" si="62"/>
        <v/>
      </c>
      <c r="E462" s="5" t="str">
        <f t="shared" si="63"/>
        <v/>
      </c>
      <c r="F462" s="5" t="str">
        <f>IF(ROW(F462)-ROW($E$1)&lt;=$B$1-$B$2,INDEX(IDX_COMPO!B:B,ROW(IDX_COMPO!#REF!)),IF(ROW(E462)-ROW($E$1)&lt;=$B$4,VLOOKUP(E462,STK_REF!$A$2:$J$1048576,2,0),""))</f>
        <v/>
      </c>
      <c r="J462" s="62" t="str">
        <f>IF($D462&lt;=$B$1-$B$2,IF(INDEX($AA$2:$AA$1048576,MATCH($D462,$AB$2:$AB$1048576,0))="MODIFY",INDEX(IDX_CA!$G$1:$G$1041,SUMPRODUCT(--($E462=IDX_CA!$A$2:$A$1041),--(NXT_COMPO!$P462=IDX_CA!$B$2:$B$1041),--(NXT_COMPO!$Q462=IDX_CA!$C$2:$C$1041),ROW(IDX_CA!$G$2:$G$1041))),INDEX(IDX_COMPOSITION!$F$1:$F$441,SUMPRODUCT(--($E462=IDX_COMPOSITION!$A$2:$A$441),--(NXT_COMPO!$P462=IDX_COMPOSITION!$R$2:$R$441),--(NXT_COMPO!$B$5=IDX_COMPOSITION!$L$2:$L$441),ROW(IDX_COMPOSITION!$F$2:$F$441)))),IF($D462&lt;=$B$4,INDEX(IDX_CA!$G$1:$G$1041,SUMPRODUCT(--($E462=IDX_CA!$A$2:$A$1041),--(NXT_COMPO!$P462=IDX_CA!$B$2:$B$1041),--(NXT_COMPO!$Q462=IDX_CA!$C$2:$C$1041),ROW(IDX_CA!$G$2:$G$1041))),""))</f>
        <v/>
      </c>
      <c r="K462" s="63" t="str">
        <f>IF($D462&lt;&gt;"",VLOOKUP($E462,STK_REF!$A$2:$J$1048576,7,0),"")</f>
        <v/>
      </c>
      <c r="L462" s="5" t="str">
        <f>IF($D462&lt;&gt;"",VLOOKUP($E462,STK_REF!$A$2:$J$1048576,8,0),"")</f>
        <v/>
      </c>
      <c r="M462" s="8" t="str">
        <f>IF($D462&lt;&gt;"",IF($K462=$U462,1,IF(ISNA(VLOOKUP($K462&amp;$U462,CUR_RATES!$A$2:$F$521,4,0)),"",VLOOKUP($K462&amp;$U462,CUR_RATES!$A$2:$F$521,4,0))),"")</f>
        <v/>
      </c>
      <c r="N462" s="61" t="str">
        <f t="shared" si="64"/>
        <v/>
      </c>
      <c r="O462" s="68" t="str">
        <f t="shared" si="65"/>
        <v/>
      </c>
      <c r="P462" s="24"/>
      <c r="Q462" s="2" t="str">
        <f>IF(ROW(Q462)-ROW($E$1)&lt;=$B$4,INDEX(IDX_COMPO!F:F,ROW(IDX_COMPO!#REF!)),"")</f>
        <v/>
      </c>
      <c r="R462" s="68" t="str">
        <f t="shared" si="66"/>
        <v/>
      </c>
      <c r="S462" s="61" t="str">
        <f t="shared" si="67"/>
        <v/>
      </c>
      <c r="T462" s="62" t="str">
        <f>IF(D462&lt;&gt;"",IF(SUMPRODUCT(--($E462=STK_DIV!$A$2:$A$5),--(NXT_COMPO!$Q462=STK_DIV!$E$2:$E$5),ROW(STK_DIV!$D$2:$D$5))=0,"",INDEX(STK_DIV!$D$1:$D$5,SUMPRODUCT(--($E462=STK_DIV!$A$2:$A$5),--(NXT_COMPO!$Q462=STK_DIV!$E$2:$E$5),ROW(STK_DIV!$D$2:$D$5)))),"")</f>
        <v/>
      </c>
      <c r="U462" s="54" t="str">
        <f>IF($D462&lt;&gt;"",VLOOKUP($P462,IDX_REF!$2:$1048576,4,0),"")</f>
        <v/>
      </c>
    </row>
    <row r="463" spans="4:21" x14ac:dyDescent="0.2">
      <c r="D463" s="52" t="str">
        <f t="shared" si="62"/>
        <v/>
      </c>
      <c r="E463" s="5" t="str">
        <f t="shared" si="63"/>
        <v/>
      </c>
      <c r="F463" s="5" t="str">
        <f>IF(ROW(F463)-ROW($E$1)&lt;=$B$1-$B$2,INDEX(IDX_COMPO!B:B,ROW(IDX_COMPO!#REF!)),IF(ROW(E463)-ROW($E$1)&lt;=$B$4,VLOOKUP(E463,STK_REF!$A$2:$J$1048576,2,0),""))</f>
        <v/>
      </c>
      <c r="J463" s="62" t="str">
        <f>IF($D463&lt;=$B$1-$B$2,IF(INDEX($AA$2:$AA$1048576,MATCH($D463,$AB$2:$AB$1048576,0))="MODIFY",INDEX(IDX_CA!$G$1:$G$1041,SUMPRODUCT(--($E463=IDX_CA!$A$2:$A$1041),--(NXT_COMPO!$P463=IDX_CA!$B$2:$B$1041),--(NXT_COMPO!$Q463=IDX_CA!$C$2:$C$1041),ROW(IDX_CA!$G$2:$G$1041))),INDEX(IDX_COMPOSITION!$F$1:$F$441,SUMPRODUCT(--($E463=IDX_COMPOSITION!$A$2:$A$441),--(NXT_COMPO!$P463=IDX_COMPOSITION!$R$2:$R$441),--(NXT_COMPO!$B$5=IDX_COMPOSITION!$L$2:$L$441),ROW(IDX_COMPOSITION!$F$2:$F$441)))),IF($D463&lt;=$B$4,INDEX(IDX_CA!$G$1:$G$1041,SUMPRODUCT(--($E463=IDX_CA!$A$2:$A$1041),--(NXT_COMPO!$P463=IDX_CA!$B$2:$B$1041),--(NXT_COMPO!$Q463=IDX_CA!$C$2:$C$1041),ROW(IDX_CA!$G$2:$G$1041))),""))</f>
        <v/>
      </c>
      <c r="K463" s="63" t="str">
        <f>IF($D463&lt;&gt;"",VLOOKUP($E463,STK_REF!$A$2:$J$1048576,7,0),"")</f>
        <v/>
      </c>
      <c r="L463" s="5" t="str">
        <f>IF($D463&lt;&gt;"",VLOOKUP($E463,STK_REF!$A$2:$J$1048576,8,0),"")</f>
        <v/>
      </c>
      <c r="M463" s="8" t="str">
        <f>IF($D463&lt;&gt;"",IF($K463=$U463,1,IF(ISNA(VLOOKUP($K463&amp;$U463,CUR_RATES!$A$2:$F$521,4,0)),"",VLOOKUP($K463&amp;$U463,CUR_RATES!$A$2:$F$521,4,0))),"")</f>
        <v/>
      </c>
      <c r="N463" s="61" t="str">
        <f t="shared" si="64"/>
        <v/>
      </c>
      <c r="O463" s="68" t="str">
        <f t="shared" si="65"/>
        <v/>
      </c>
      <c r="P463" s="24"/>
      <c r="Q463" s="2" t="str">
        <f>IF(ROW(Q463)-ROW($E$1)&lt;=$B$4,INDEX(IDX_COMPO!F:F,ROW(IDX_COMPO!#REF!)),"")</f>
        <v/>
      </c>
      <c r="R463" s="68" t="str">
        <f t="shared" si="66"/>
        <v/>
      </c>
      <c r="S463" s="61" t="str">
        <f t="shared" si="67"/>
        <v/>
      </c>
      <c r="T463" s="62" t="str">
        <f>IF(D463&lt;&gt;"",IF(SUMPRODUCT(--($E463=STK_DIV!$A$2:$A$5),--(NXT_COMPO!$Q463=STK_DIV!$E$2:$E$5),ROW(STK_DIV!$D$2:$D$5))=0,"",INDEX(STK_DIV!$D$1:$D$5,SUMPRODUCT(--($E463=STK_DIV!$A$2:$A$5),--(NXT_COMPO!$Q463=STK_DIV!$E$2:$E$5),ROW(STK_DIV!$D$2:$D$5)))),"")</f>
        <v/>
      </c>
      <c r="U463" s="54" t="str">
        <f>IF($D463&lt;&gt;"",VLOOKUP($P463,IDX_REF!$2:$1048576,4,0),"")</f>
        <v/>
      </c>
    </row>
    <row r="464" spans="4:21" x14ac:dyDescent="0.2">
      <c r="D464" s="52" t="str">
        <f t="shared" si="62"/>
        <v/>
      </c>
      <c r="E464" s="5" t="str">
        <f t="shared" si="63"/>
        <v/>
      </c>
      <c r="F464" s="5" t="str">
        <f>IF(ROW(F464)-ROW($E$1)&lt;=$B$1-$B$2,INDEX(IDX_COMPO!B:B,ROW(IDX_COMPO!#REF!)),IF(ROW(E464)-ROW($E$1)&lt;=$B$4,VLOOKUP(E464,STK_REF!$A$2:$J$1048576,2,0),""))</f>
        <v/>
      </c>
      <c r="J464" s="62" t="str">
        <f>IF($D464&lt;=$B$1-$B$2,IF(INDEX($AA$2:$AA$1048576,MATCH($D464,$AB$2:$AB$1048576,0))="MODIFY",INDEX(IDX_CA!$G$1:$G$1041,SUMPRODUCT(--($E464=IDX_CA!$A$2:$A$1041),--(NXT_COMPO!$P464=IDX_CA!$B$2:$B$1041),--(NXT_COMPO!$Q464=IDX_CA!$C$2:$C$1041),ROW(IDX_CA!$G$2:$G$1041))),INDEX(IDX_COMPOSITION!$F$1:$F$441,SUMPRODUCT(--($E464=IDX_COMPOSITION!$A$2:$A$441),--(NXT_COMPO!$P464=IDX_COMPOSITION!$R$2:$R$441),--(NXT_COMPO!$B$5=IDX_COMPOSITION!$L$2:$L$441),ROW(IDX_COMPOSITION!$F$2:$F$441)))),IF($D464&lt;=$B$4,INDEX(IDX_CA!$G$1:$G$1041,SUMPRODUCT(--($E464=IDX_CA!$A$2:$A$1041),--(NXT_COMPO!$P464=IDX_CA!$B$2:$B$1041),--(NXT_COMPO!$Q464=IDX_CA!$C$2:$C$1041),ROW(IDX_CA!$G$2:$G$1041))),""))</f>
        <v/>
      </c>
      <c r="K464" s="63" t="str">
        <f>IF($D464&lt;&gt;"",VLOOKUP($E464,STK_REF!$A$2:$J$1048576,7,0),"")</f>
        <v/>
      </c>
      <c r="L464" s="5" t="str">
        <f>IF($D464&lt;&gt;"",VLOOKUP($E464,STK_REF!$A$2:$J$1048576,8,0),"")</f>
        <v/>
      </c>
      <c r="M464" s="8" t="str">
        <f>IF($D464&lt;&gt;"",IF($K464=$U464,1,IF(ISNA(VLOOKUP($K464&amp;$U464,CUR_RATES!$A$2:$F$521,4,0)),"",VLOOKUP($K464&amp;$U464,CUR_RATES!$A$2:$F$521,4,0))),"")</f>
        <v/>
      </c>
      <c r="N464" s="61" t="str">
        <f t="shared" si="64"/>
        <v/>
      </c>
      <c r="O464" s="68" t="str">
        <f t="shared" si="65"/>
        <v/>
      </c>
      <c r="P464" s="24"/>
      <c r="Q464" s="2" t="str">
        <f>IF(ROW(Q464)-ROW($E$1)&lt;=$B$4,INDEX(IDX_COMPO!F:F,ROW(IDX_COMPO!#REF!)),"")</f>
        <v/>
      </c>
      <c r="R464" s="68" t="str">
        <f t="shared" si="66"/>
        <v/>
      </c>
      <c r="S464" s="61" t="str">
        <f t="shared" si="67"/>
        <v/>
      </c>
      <c r="T464" s="62" t="str">
        <f>IF(D464&lt;&gt;"",IF(SUMPRODUCT(--($E464=STK_DIV!$A$2:$A$5),--(NXT_COMPO!$Q464=STK_DIV!$E$2:$E$5),ROW(STK_DIV!$D$2:$D$5))=0,"",INDEX(STK_DIV!$D$1:$D$5,SUMPRODUCT(--($E464=STK_DIV!$A$2:$A$5),--(NXT_COMPO!$Q464=STK_DIV!$E$2:$E$5),ROW(STK_DIV!$D$2:$D$5)))),"")</f>
        <v/>
      </c>
      <c r="U464" s="54" t="str">
        <f>IF($D464&lt;&gt;"",VLOOKUP($P464,IDX_REF!$2:$1048576,4,0),"")</f>
        <v/>
      </c>
    </row>
    <row r="465" spans="4:21" x14ac:dyDescent="0.2">
      <c r="D465" s="52" t="str">
        <f t="shared" si="62"/>
        <v/>
      </c>
      <c r="E465" s="5" t="str">
        <f t="shared" si="63"/>
        <v/>
      </c>
      <c r="F465" s="5" t="str">
        <f>IF(ROW(F465)-ROW($E$1)&lt;=$B$1-$B$2,INDEX(IDX_COMPO!B:B,ROW(IDX_COMPO!#REF!)),IF(ROW(E465)-ROW($E$1)&lt;=$B$4,VLOOKUP(E465,STK_REF!$A$2:$J$1048576,2,0),""))</f>
        <v/>
      </c>
      <c r="J465" s="62" t="str">
        <f>IF($D465&lt;=$B$1-$B$2,IF(INDEX($AA$2:$AA$1048576,MATCH($D465,$AB$2:$AB$1048576,0))="MODIFY",INDEX(IDX_CA!$G$1:$G$1041,SUMPRODUCT(--($E465=IDX_CA!$A$2:$A$1041),--(NXT_COMPO!$P465=IDX_CA!$B$2:$B$1041),--(NXT_COMPO!$Q465=IDX_CA!$C$2:$C$1041),ROW(IDX_CA!$G$2:$G$1041))),INDEX(IDX_COMPOSITION!$F$1:$F$441,SUMPRODUCT(--($E465=IDX_COMPOSITION!$A$2:$A$441),--(NXT_COMPO!$P465=IDX_COMPOSITION!$R$2:$R$441),--(NXT_COMPO!$B$5=IDX_COMPOSITION!$L$2:$L$441),ROW(IDX_COMPOSITION!$F$2:$F$441)))),IF($D465&lt;=$B$4,INDEX(IDX_CA!$G$1:$G$1041,SUMPRODUCT(--($E465=IDX_CA!$A$2:$A$1041),--(NXT_COMPO!$P465=IDX_CA!$B$2:$B$1041),--(NXT_COMPO!$Q465=IDX_CA!$C$2:$C$1041),ROW(IDX_CA!$G$2:$G$1041))),""))</f>
        <v/>
      </c>
      <c r="K465" s="63" t="str">
        <f>IF($D465&lt;&gt;"",VLOOKUP($E465,STK_REF!$A$2:$J$1048576,7,0),"")</f>
        <v/>
      </c>
      <c r="L465" s="5" t="str">
        <f>IF($D465&lt;&gt;"",VLOOKUP($E465,STK_REF!$A$2:$J$1048576,8,0),"")</f>
        <v/>
      </c>
      <c r="M465" s="8" t="str">
        <f>IF($D465&lt;&gt;"",IF($K465=$U465,1,IF(ISNA(VLOOKUP($K465&amp;$U465,CUR_RATES!$A$2:$F$521,4,0)),"",VLOOKUP($K465&amp;$U465,CUR_RATES!$A$2:$F$521,4,0))),"")</f>
        <v/>
      </c>
      <c r="N465" s="61" t="str">
        <f t="shared" si="64"/>
        <v/>
      </c>
      <c r="O465" s="68" t="str">
        <f t="shared" si="65"/>
        <v/>
      </c>
      <c r="P465" s="24"/>
      <c r="Q465" s="2" t="str">
        <f>IF(ROW(Q465)-ROW($E$1)&lt;=$B$4,INDEX(IDX_COMPO!F:F,ROW(IDX_COMPO!#REF!)),"")</f>
        <v/>
      </c>
      <c r="R465" s="68" t="str">
        <f t="shared" si="66"/>
        <v/>
      </c>
      <c r="S465" s="61" t="str">
        <f t="shared" si="67"/>
        <v/>
      </c>
      <c r="T465" s="62" t="str">
        <f>IF(D465&lt;&gt;"",IF(SUMPRODUCT(--($E465=STK_DIV!$A$2:$A$5),--(NXT_COMPO!$Q465=STK_DIV!$E$2:$E$5),ROW(STK_DIV!$D$2:$D$5))=0,"",INDEX(STK_DIV!$D$1:$D$5,SUMPRODUCT(--($E465=STK_DIV!$A$2:$A$5),--(NXT_COMPO!$Q465=STK_DIV!$E$2:$E$5),ROW(STK_DIV!$D$2:$D$5)))),"")</f>
        <v/>
      </c>
      <c r="U465" s="54" t="str">
        <f>IF($D465&lt;&gt;"",VLOOKUP($P465,IDX_REF!$2:$1048576,4,0),"")</f>
        <v/>
      </c>
    </row>
    <row r="466" spans="4:21" x14ac:dyDescent="0.2">
      <c r="D466" s="52" t="str">
        <f t="shared" si="62"/>
        <v/>
      </c>
      <c r="E466" s="5" t="str">
        <f t="shared" si="63"/>
        <v/>
      </c>
      <c r="F466" s="5" t="str">
        <f>IF(ROW(F466)-ROW($E$1)&lt;=$B$1-$B$2,INDEX(IDX_COMPO!B:B,ROW(IDX_COMPO!#REF!)),IF(ROW(E466)-ROW($E$1)&lt;=$B$4,VLOOKUP(E466,STK_REF!$A$2:$J$1048576,2,0),""))</f>
        <v/>
      </c>
      <c r="J466" s="62" t="str">
        <f>IF($D466&lt;=$B$1-$B$2,IF(INDEX($AA$2:$AA$1048576,MATCH($D466,$AB$2:$AB$1048576,0))="MODIFY",INDEX(IDX_CA!$G$1:$G$1041,SUMPRODUCT(--($E466=IDX_CA!$A$2:$A$1041),--(NXT_COMPO!$P466=IDX_CA!$B$2:$B$1041),--(NXT_COMPO!$Q466=IDX_CA!$C$2:$C$1041),ROW(IDX_CA!$G$2:$G$1041))),INDEX(IDX_COMPOSITION!$F$1:$F$441,SUMPRODUCT(--($E466=IDX_COMPOSITION!$A$2:$A$441),--(NXT_COMPO!$P466=IDX_COMPOSITION!$R$2:$R$441),--(NXT_COMPO!$B$5=IDX_COMPOSITION!$L$2:$L$441),ROW(IDX_COMPOSITION!$F$2:$F$441)))),IF($D466&lt;=$B$4,INDEX(IDX_CA!$G$1:$G$1041,SUMPRODUCT(--($E466=IDX_CA!$A$2:$A$1041),--(NXT_COMPO!$P466=IDX_CA!$B$2:$B$1041),--(NXT_COMPO!$Q466=IDX_CA!$C$2:$C$1041),ROW(IDX_CA!$G$2:$G$1041))),""))</f>
        <v/>
      </c>
      <c r="K466" s="63" t="str">
        <f>IF($D466&lt;&gt;"",VLOOKUP($E466,STK_REF!$A$2:$J$1048576,7,0),"")</f>
        <v/>
      </c>
      <c r="L466" s="5" t="str">
        <f>IF($D466&lt;&gt;"",VLOOKUP($E466,STK_REF!$A$2:$J$1048576,8,0),"")</f>
        <v/>
      </c>
      <c r="M466" s="8" t="str">
        <f>IF($D466&lt;&gt;"",IF($K466=$U466,1,IF(ISNA(VLOOKUP($K466&amp;$U466,CUR_RATES!$A$2:$F$521,4,0)),"",VLOOKUP($K466&amp;$U466,CUR_RATES!$A$2:$F$521,4,0))),"")</f>
        <v/>
      </c>
      <c r="N466" s="61" t="str">
        <f t="shared" si="64"/>
        <v/>
      </c>
      <c r="O466" s="68" t="str">
        <f t="shared" si="65"/>
        <v/>
      </c>
      <c r="P466" s="24"/>
      <c r="Q466" s="2" t="str">
        <f>IF(ROW(Q466)-ROW($E$1)&lt;=$B$4,INDEX(IDX_COMPO!F:F,ROW(IDX_COMPO!#REF!)),"")</f>
        <v/>
      </c>
      <c r="R466" s="68" t="str">
        <f t="shared" si="66"/>
        <v/>
      </c>
      <c r="S466" s="61" t="str">
        <f t="shared" si="67"/>
        <v/>
      </c>
      <c r="T466" s="62" t="str">
        <f>IF(D466&lt;&gt;"",IF(SUMPRODUCT(--($E466=STK_DIV!$A$2:$A$5),--(NXT_COMPO!$Q466=STK_DIV!$E$2:$E$5),ROW(STK_DIV!$D$2:$D$5))=0,"",INDEX(STK_DIV!$D$1:$D$5,SUMPRODUCT(--($E466=STK_DIV!$A$2:$A$5),--(NXT_COMPO!$Q466=STK_DIV!$E$2:$E$5),ROW(STK_DIV!$D$2:$D$5)))),"")</f>
        <v/>
      </c>
      <c r="U466" s="54" t="str">
        <f>IF($D466&lt;&gt;"",VLOOKUP($P466,IDX_REF!$2:$1048576,4,0),"")</f>
        <v/>
      </c>
    </row>
    <row r="467" spans="4:21" x14ac:dyDescent="0.2">
      <c r="D467" s="52" t="str">
        <f t="shared" si="62"/>
        <v/>
      </c>
      <c r="E467" s="5" t="str">
        <f t="shared" si="63"/>
        <v/>
      </c>
      <c r="F467" s="5" t="str">
        <f>IF(ROW(F467)-ROW($E$1)&lt;=$B$1-$B$2,INDEX(IDX_COMPO!B:B,ROW(IDX_COMPO!#REF!)),IF(ROW(E467)-ROW($E$1)&lt;=$B$4,VLOOKUP(E467,STK_REF!$A$2:$J$1048576,2,0),""))</f>
        <v/>
      </c>
      <c r="J467" s="62" t="str">
        <f>IF($D467&lt;=$B$1-$B$2,IF(INDEX($AA$2:$AA$1048576,MATCH($D467,$AB$2:$AB$1048576,0))="MODIFY",INDEX(IDX_CA!$G$1:$G$1041,SUMPRODUCT(--($E467=IDX_CA!$A$2:$A$1041),--(NXT_COMPO!$P467=IDX_CA!$B$2:$B$1041),--(NXT_COMPO!$Q467=IDX_CA!$C$2:$C$1041),ROW(IDX_CA!$G$2:$G$1041))),INDEX(IDX_COMPOSITION!$F$1:$F$441,SUMPRODUCT(--($E467=IDX_COMPOSITION!$A$2:$A$441),--(NXT_COMPO!$P467=IDX_COMPOSITION!$R$2:$R$441),--(NXT_COMPO!$B$5=IDX_COMPOSITION!$L$2:$L$441),ROW(IDX_COMPOSITION!$F$2:$F$441)))),IF($D467&lt;=$B$4,INDEX(IDX_CA!$G$1:$G$1041,SUMPRODUCT(--($E467=IDX_CA!$A$2:$A$1041),--(NXT_COMPO!$P467=IDX_CA!$B$2:$B$1041),--(NXT_COMPO!$Q467=IDX_CA!$C$2:$C$1041),ROW(IDX_CA!$G$2:$G$1041))),""))</f>
        <v/>
      </c>
      <c r="K467" s="63" t="str">
        <f>IF($D467&lt;&gt;"",VLOOKUP($E467,STK_REF!$A$2:$J$1048576,7,0),"")</f>
        <v/>
      </c>
      <c r="L467" s="5" t="str">
        <f>IF($D467&lt;&gt;"",VLOOKUP($E467,STK_REF!$A$2:$J$1048576,8,0),"")</f>
        <v/>
      </c>
      <c r="M467" s="8" t="str">
        <f>IF($D467&lt;&gt;"",IF($K467=$U467,1,IF(ISNA(VLOOKUP($K467&amp;$U467,CUR_RATES!$A$2:$F$521,4,0)),"",VLOOKUP($K467&amp;$U467,CUR_RATES!$A$2:$F$521,4,0))),"")</f>
        <v/>
      </c>
      <c r="N467" s="61" t="str">
        <f t="shared" si="64"/>
        <v/>
      </c>
      <c r="O467" s="68" t="str">
        <f t="shared" si="65"/>
        <v/>
      </c>
      <c r="P467" s="24"/>
      <c r="Q467" s="2" t="str">
        <f>IF(ROW(Q467)-ROW($E$1)&lt;=$B$4,INDEX(IDX_COMPO!F:F,ROW(IDX_COMPO!#REF!)),"")</f>
        <v/>
      </c>
      <c r="R467" s="68" t="str">
        <f t="shared" si="66"/>
        <v/>
      </c>
      <c r="S467" s="61" t="str">
        <f t="shared" si="67"/>
        <v/>
      </c>
      <c r="T467" s="62" t="str">
        <f>IF(D467&lt;&gt;"",IF(SUMPRODUCT(--($E467=STK_DIV!$A$2:$A$5),--(NXT_COMPO!$Q467=STK_DIV!$E$2:$E$5),ROW(STK_DIV!$D$2:$D$5))=0,"",INDEX(STK_DIV!$D$1:$D$5,SUMPRODUCT(--($E467=STK_DIV!$A$2:$A$5),--(NXT_COMPO!$Q467=STK_DIV!$E$2:$E$5),ROW(STK_DIV!$D$2:$D$5)))),"")</f>
        <v/>
      </c>
      <c r="U467" s="54" t="str">
        <f>IF($D467&lt;&gt;"",VLOOKUP($P467,IDX_REF!$2:$1048576,4,0),"")</f>
        <v/>
      </c>
    </row>
    <row r="468" spans="4:21" x14ac:dyDescent="0.2">
      <c r="D468" s="52" t="str">
        <f t="shared" si="62"/>
        <v/>
      </c>
      <c r="E468" s="5" t="str">
        <f t="shared" si="63"/>
        <v/>
      </c>
      <c r="F468" s="5" t="str">
        <f>IF(ROW(F468)-ROW($E$1)&lt;=$B$1-$B$2,INDEX(IDX_COMPO!B:B,ROW(IDX_COMPO!#REF!)),IF(ROW(E468)-ROW($E$1)&lt;=$B$4,VLOOKUP(E468,STK_REF!$A$2:$J$1048576,2,0),""))</f>
        <v/>
      </c>
      <c r="J468" s="62" t="str">
        <f>IF($D468&lt;=$B$1-$B$2,IF(INDEX($AA$2:$AA$1048576,MATCH($D468,$AB$2:$AB$1048576,0))="MODIFY",INDEX(IDX_CA!$G$1:$G$1041,SUMPRODUCT(--($E468=IDX_CA!$A$2:$A$1041),--(NXT_COMPO!$P468=IDX_CA!$B$2:$B$1041),--(NXT_COMPO!$Q468=IDX_CA!$C$2:$C$1041),ROW(IDX_CA!$G$2:$G$1041))),INDEX(IDX_COMPOSITION!$F$1:$F$441,SUMPRODUCT(--($E468=IDX_COMPOSITION!$A$2:$A$441),--(NXT_COMPO!$P468=IDX_COMPOSITION!$R$2:$R$441),--(NXT_COMPO!$B$5=IDX_COMPOSITION!$L$2:$L$441),ROW(IDX_COMPOSITION!$F$2:$F$441)))),IF($D468&lt;=$B$4,INDEX(IDX_CA!$G$1:$G$1041,SUMPRODUCT(--($E468=IDX_CA!$A$2:$A$1041),--(NXT_COMPO!$P468=IDX_CA!$B$2:$B$1041),--(NXT_COMPO!$Q468=IDX_CA!$C$2:$C$1041),ROW(IDX_CA!$G$2:$G$1041))),""))</f>
        <v/>
      </c>
      <c r="K468" s="63" t="str">
        <f>IF($D468&lt;&gt;"",VLOOKUP($E468,STK_REF!$A$2:$J$1048576,7,0),"")</f>
        <v/>
      </c>
      <c r="L468" s="5" t="str">
        <f>IF($D468&lt;&gt;"",VLOOKUP($E468,STK_REF!$A$2:$J$1048576,8,0),"")</f>
        <v/>
      </c>
      <c r="M468" s="8" t="str">
        <f>IF($D468&lt;&gt;"",IF($K468=$U468,1,IF(ISNA(VLOOKUP($K468&amp;$U468,CUR_RATES!$A$2:$F$521,4,0)),"",VLOOKUP($K468&amp;$U468,CUR_RATES!$A$2:$F$521,4,0))),"")</f>
        <v/>
      </c>
      <c r="N468" s="61" t="str">
        <f t="shared" si="64"/>
        <v/>
      </c>
      <c r="O468" s="68" t="str">
        <f t="shared" si="65"/>
        <v/>
      </c>
      <c r="P468" s="24"/>
      <c r="Q468" s="2" t="str">
        <f>IF(ROW(Q468)-ROW($E$1)&lt;=$B$4,INDEX(IDX_COMPO!F:F,ROW(IDX_COMPO!#REF!)),"")</f>
        <v/>
      </c>
      <c r="R468" s="68" t="str">
        <f t="shared" si="66"/>
        <v/>
      </c>
      <c r="S468" s="61" t="str">
        <f t="shared" si="67"/>
        <v/>
      </c>
      <c r="T468" s="62" t="str">
        <f>IF(D468&lt;&gt;"",IF(SUMPRODUCT(--($E468=STK_DIV!$A$2:$A$5),--(NXT_COMPO!$Q468=STK_DIV!$E$2:$E$5),ROW(STK_DIV!$D$2:$D$5))=0,"",INDEX(STK_DIV!$D$1:$D$5,SUMPRODUCT(--($E468=STK_DIV!$A$2:$A$5),--(NXT_COMPO!$Q468=STK_DIV!$E$2:$E$5),ROW(STK_DIV!$D$2:$D$5)))),"")</f>
        <v/>
      </c>
      <c r="U468" s="54" t="str">
        <f>IF($D468&lt;&gt;"",VLOOKUP($P468,IDX_REF!$2:$1048576,4,0),"")</f>
        <v/>
      </c>
    </row>
    <row r="469" spans="4:21" x14ac:dyDescent="0.2">
      <c r="D469" s="52" t="str">
        <f t="shared" si="62"/>
        <v/>
      </c>
      <c r="E469" s="5" t="str">
        <f t="shared" si="63"/>
        <v/>
      </c>
      <c r="F469" s="5" t="str">
        <f>IF(ROW(F469)-ROW($E$1)&lt;=$B$1-$B$2,INDEX(IDX_COMPO!B:B,ROW(IDX_COMPO!#REF!)),IF(ROW(E469)-ROW($E$1)&lt;=$B$4,VLOOKUP(E469,STK_REF!$A$2:$J$1048576,2,0),""))</f>
        <v/>
      </c>
      <c r="J469" s="62" t="str">
        <f>IF($D469&lt;=$B$1-$B$2,IF(INDEX($AA$2:$AA$1048576,MATCH($D469,$AB$2:$AB$1048576,0))="MODIFY",INDEX(IDX_CA!$G$1:$G$1041,SUMPRODUCT(--($E469=IDX_CA!$A$2:$A$1041),--(NXT_COMPO!$P469=IDX_CA!$B$2:$B$1041),--(NXT_COMPO!$Q469=IDX_CA!$C$2:$C$1041),ROW(IDX_CA!$G$2:$G$1041))),INDEX(IDX_COMPOSITION!$F$1:$F$441,SUMPRODUCT(--($E469=IDX_COMPOSITION!$A$2:$A$441),--(NXT_COMPO!$P469=IDX_COMPOSITION!$R$2:$R$441),--(NXT_COMPO!$B$5=IDX_COMPOSITION!$L$2:$L$441),ROW(IDX_COMPOSITION!$F$2:$F$441)))),IF($D469&lt;=$B$4,INDEX(IDX_CA!$G$1:$G$1041,SUMPRODUCT(--($E469=IDX_CA!$A$2:$A$1041),--(NXT_COMPO!$P469=IDX_CA!$B$2:$B$1041),--(NXT_COMPO!$Q469=IDX_CA!$C$2:$C$1041),ROW(IDX_CA!$G$2:$G$1041))),""))</f>
        <v/>
      </c>
      <c r="K469" s="63" t="str">
        <f>IF($D469&lt;&gt;"",VLOOKUP($E469,STK_REF!$A$2:$J$1048576,7,0),"")</f>
        <v/>
      </c>
      <c r="L469" s="5" t="str">
        <f>IF($D469&lt;&gt;"",VLOOKUP($E469,STK_REF!$A$2:$J$1048576,8,0),"")</f>
        <v/>
      </c>
      <c r="M469" s="8" t="str">
        <f>IF($D469&lt;&gt;"",IF($K469=$U469,1,IF(ISNA(VLOOKUP($K469&amp;$U469,CUR_RATES!$A$2:$F$521,4,0)),"",VLOOKUP($K469&amp;$U469,CUR_RATES!$A$2:$F$521,4,0))),"")</f>
        <v/>
      </c>
      <c r="N469" s="61" t="str">
        <f t="shared" si="64"/>
        <v/>
      </c>
      <c r="O469" s="68" t="str">
        <f t="shared" si="65"/>
        <v/>
      </c>
      <c r="P469" s="24"/>
      <c r="Q469" s="2" t="str">
        <f>IF(ROW(Q469)-ROW($E$1)&lt;=$B$4,INDEX(IDX_COMPO!F:F,ROW(IDX_COMPO!#REF!)),"")</f>
        <v/>
      </c>
      <c r="R469" s="68" t="str">
        <f t="shared" si="66"/>
        <v/>
      </c>
      <c r="S469" s="61" t="str">
        <f t="shared" si="67"/>
        <v/>
      </c>
      <c r="T469" s="62" t="str">
        <f>IF(D469&lt;&gt;"",IF(SUMPRODUCT(--($E469=STK_DIV!$A$2:$A$5),--(NXT_COMPO!$Q469=STK_DIV!$E$2:$E$5),ROW(STK_DIV!$D$2:$D$5))=0,"",INDEX(STK_DIV!$D$1:$D$5,SUMPRODUCT(--($E469=STK_DIV!$A$2:$A$5),--(NXT_COMPO!$Q469=STK_DIV!$E$2:$E$5),ROW(STK_DIV!$D$2:$D$5)))),"")</f>
        <v/>
      </c>
      <c r="U469" s="54" t="str">
        <f>IF($D469&lt;&gt;"",VLOOKUP($P469,IDX_REF!$2:$1048576,4,0),"")</f>
        <v/>
      </c>
    </row>
    <row r="470" spans="4:21" x14ac:dyDescent="0.2">
      <c r="D470" s="52" t="str">
        <f t="shared" si="62"/>
        <v/>
      </c>
      <c r="E470" s="5" t="str">
        <f t="shared" si="63"/>
        <v/>
      </c>
      <c r="F470" s="5" t="str">
        <f>IF(ROW(F470)-ROW($E$1)&lt;=$B$1-$B$2,INDEX(IDX_COMPO!B:B,ROW(IDX_COMPO!#REF!)),IF(ROW(E470)-ROW($E$1)&lt;=$B$4,VLOOKUP(E470,STK_REF!$A$2:$J$1048576,2,0),""))</f>
        <v/>
      </c>
      <c r="J470" s="62" t="str">
        <f>IF($D470&lt;=$B$1-$B$2,IF(INDEX($AA$2:$AA$1048576,MATCH($D470,$AB$2:$AB$1048576,0))="MODIFY",INDEX(IDX_CA!$G$1:$G$1041,SUMPRODUCT(--($E470=IDX_CA!$A$2:$A$1041),--(NXT_COMPO!$P470=IDX_CA!$B$2:$B$1041),--(NXT_COMPO!$Q470=IDX_CA!$C$2:$C$1041),ROW(IDX_CA!$G$2:$G$1041))),INDEX(IDX_COMPOSITION!$F$1:$F$441,SUMPRODUCT(--($E470=IDX_COMPOSITION!$A$2:$A$441),--(NXT_COMPO!$P470=IDX_COMPOSITION!$R$2:$R$441),--(NXT_COMPO!$B$5=IDX_COMPOSITION!$L$2:$L$441),ROW(IDX_COMPOSITION!$F$2:$F$441)))),IF($D470&lt;=$B$4,INDEX(IDX_CA!$G$1:$G$1041,SUMPRODUCT(--($E470=IDX_CA!$A$2:$A$1041),--(NXT_COMPO!$P470=IDX_CA!$B$2:$B$1041),--(NXT_COMPO!$Q470=IDX_CA!$C$2:$C$1041),ROW(IDX_CA!$G$2:$G$1041))),""))</f>
        <v/>
      </c>
      <c r="K470" s="63" t="str">
        <f>IF($D470&lt;&gt;"",VLOOKUP($E470,STK_REF!$A$2:$J$1048576,7,0),"")</f>
        <v/>
      </c>
      <c r="L470" s="5" t="str">
        <f>IF($D470&lt;&gt;"",VLOOKUP($E470,STK_REF!$A$2:$J$1048576,8,0),"")</f>
        <v/>
      </c>
      <c r="M470" s="8" t="str">
        <f>IF($D470&lt;&gt;"",IF($K470=$U470,1,IF(ISNA(VLOOKUP($K470&amp;$U470,CUR_RATES!$A$2:$F$521,4,0)),"",VLOOKUP($K470&amp;$U470,CUR_RATES!$A$2:$F$521,4,0))),"")</f>
        <v/>
      </c>
      <c r="N470" s="61" t="str">
        <f t="shared" si="64"/>
        <v/>
      </c>
      <c r="O470" s="68" t="str">
        <f t="shared" si="65"/>
        <v/>
      </c>
      <c r="P470" s="24"/>
      <c r="Q470" s="2" t="str">
        <f>IF(ROW(Q470)-ROW($E$1)&lt;=$B$4,INDEX(IDX_COMPO!F:F,ROW(IDX_COMPO!#REF!)),"")</f>
        <v/>
      </c>
      <c r="R470" s="68" t="str">
        <f t="shared" si="66"/>
        <v/>
      </c>
      <c r="S470" s="61" t="str">
        <f t="shared" si="67"/>
        <v/>
      </c>
      <c r="T470" s="62" t="str">
        <f>IF(D470&lt;&gt;"",IF(SUMPRODUCT(--($E470=STK_DIV!$A$2:$A$5),--(NXT_COMPO!$Q470=STK_DIV!$E$2:$E$5),ROW(STK_DIV!$D$2:$D$5))=0,"",INDEX(STK_DIV!$D$1:$D$5,SUMPRODUCT(--($E470=STK_DIV!$A$2:$A$5),--(NXT_COMPO!$Q470=STK_DIV!$E$2:$E$5),ROW(STK_DIV!$D$2:$D$5)))),"")</f>
        <v/>
      </c>
      <c r="U470" s="54" t="str">
        <f>IF($D470&lt;&gt;"",VLOOKUP($P470,IDX_REF!$2:$1048576,4,0),"")</f>
        <v/>
      </c>
    </row>
    <row r="471" spans="4:21" x14ac:dyDescent="0.2">
      <c r="D471" s="52" t="str">
        <f t="shared" si="62"/>
        <v/>
      </c>
      <c r="E471" s="5" t="str">
        <f t="shared" si="63"/>
        <v/>
      </c>
      <c r="F471" s="5" t="str">
        <f>IF(ROW(F471)-ROW($E$1)&lt;=$B$1-$B$2,INDEX(IDX_COMPO!B:B,ROW(IDX_COMPO!#REF!)),IF(ROW(E471)-ROW($E$1)&lt;=$B$4,VLOOKUP(E471,STK_REF!$A$2:$J$1048576,2,0),""))</f>
        <v/>
      </c>
      <c r="J471" s="62" t="str">
        <f>IF($D471&lt;=$B$1-$B$2,IF(INDEX($AA$2:$AA$1048576,MATCH($D471,$AB$2:$AB$1048576,0))="MODIFY",INDEX(IDX_CA!$G$1:$G$1041,SUMPRODUCT(--($E471=IDX_CA!$A$2:$A$1041),--(NXT_COMPO!$P471=IDX_CA!$B$2:$B$1041),--(NXT_COMPO!$Q471=IDX_CA!$C$2:$C$1041),ROW(IDX_CA!$G$2:$G$1041))),INDEX(IDX_COMPOSITION!$F$1:$F$441,SUMPRODUCT(--($E471=IDX_COMPOSITION!$A$2:$A$441),--(NXT_COMPO!$P471=IDX_COMPOSITION!$R$2:$R$441),--(NXT_COMPO!$B$5=IDX_COMPOSITION!$L$2:$L$441),ROW(IDX_COMPOSITION!$F$2:$F$441)))),IF($D471&lt;=$B$4,INDEX(IDX_CA!$G$1:$G$1041,SUMPRODUCT(--($E471=IDX_CA!$A$2:$A$1041),--(NXT_COMPO!$P471=IDX_CA!$B$2:$B$1041),--(NXT_COMPO!$Q471=IDX_CA!$C$2:$C$1041),ROW(IDX_CA!$G$2:$G$1041))),""))</f>
        <v/>
      </c>
      <c r="K471" s="63" t="str">
        <f>IF($D471&lt;&gt;"",VLOOKUP($E471,STK_REF!$A$2:$J$1048576,7,0),"")</f>
        <v/>
      </c>
      <c r="L471" s="5" t="str">
        <f>IF($D471&lt;&gt;"",VLOOKUP($E471,STK_REF!$A$2:$J$1048576,8,0),"")</f>
        <v/>
      </c>
      <c r="M471" s="8" t="str">
        <f>IF($D471&lt;&gt;"",IF($K471=$U471,1,IF(ISNA(VLOOKUP($K471&amp;$U471,CUR_RATES!$A$2:$F$521,4,0)),"",VLOOKUP($K471&amp;$U471,CUR_RATES!$A$2:$F$521,4,0))),"")</f>
        <v/>
      </c>
      <c r="N471" s="61" t="str">
        <f t="shared" si="64"/>
        <v/>
      </c>
      <c r="O471" s="68" t="str">
        <f t="shared" si="65"/>
        <v/>
      </c>
      <c r="P471" s="24"/>
      <c r="Q471" s="2" t="str">
        <f>IF(ROW(Q471)-ROW($E$1)&lt;=$B$4,INDEX(IDX_COMPO!F:F,ROW(IDX_COMPO!#REF!)),"")</f>
        <v/>
      </c>
      <c r="R471" s="68" t="str">
        <f t="shared" si="66"/>
        <v/>
      </c>
      <c r="S471" s="61" t="str">
        <f t="shared" si="67"/>
        <v/>
      </c>
      <c r="T471" s="62" t="str">
        <f>IF(D471&lt;&gt;"",IF(SUMPRODUCT(--($E471=STK_DIV!$A$2:$A$5),--(NXT_COMPO!$Q471=STK_DIV!$E$2:$E$5),ROW(STK_DIV!$D$2:$D$5))=0,"",INDEX(STK_DIV!$D$1:$D$5,SUMPRODUCT(--($E471=STK_DIV!$A$2:$A$5),--(NXT_COMPO!$Q471=STK_DIV!$E$2:$E$5),ROW(STK_DIV!$D$2:$D$5)))),"")</f>
        <v/>
      </c>
      <c r="U471" s="54" t="str">
        <f>IF($D471&lt;&gt;"",VLOOKUP($P471,IDX_REF!$2:$1048576,4,0),"")</f>
        <v/>
      </c>
    </row>
    <row r="472" spans="4:21" x14ac:dyDescent="0.2">
      <c r="D472" s="52" t="str">
        <f t="shared" si="62"/>
        <v/>
      </c>
      <c r="E472" s="5" t="str">
        <f t="shared" si="63"/>
        <v/>
      </c>
      <c r="F472" s="5" t="str">
        <f>IF(ROW(F472)-ROW($E$1)&lt;=$B$1-$B$2,INDEX(IDX_COMPO!B:B,ROW(IDX_COMPO!#REF!)),IF(ROW(E472)-ROW($E$1)&lt;=$B$4,VLOOKUP(E472,STK_REF!$A$2:$J$1048576,2,0),""))</f>
        <v/>
      </c>
      <c r="J472" s="62" t="str">
        <f>IF($D472&lt;=$B$1-$B$2,IF(INDEX($AA$2:$AA$1048576,MATCH($D472,$AB$2:$AB$1048576,0))="MODIFY",INDEX(IDX_CA!$G$1:$G$1041,SUMPRODUCT(--($E472=IDX_CA!$A$2:$A$1041),--(NXT_COMPO!$P472=IDX_CA!$B$2:$B$1041),--(NXT_COMPO!$Q472=IDX_CA!$C$2:$C$1041),ROW(IDX_CA!$G$2:$G$1041))),INDEX(IDX_COMPOSITION!$F$1:$F$441,SUMPRODUCT(--($E472=IDX_COMPOSITION!$A$2:$A$441),--(NXT_COMPO!$P472=IDX_COMPOSITION!$R$2:$R$441),--(NXT_COMPO!$B$5=IDX_COMPOSITION!$L$2:$L$441),ROW(IDX_COMPOSITION!$F$2:$F$441)))),IF($D472&lt;=$B$4,INDEX(IDX_CA!$G$1:$G$1041,SUMPRODUCT(--($E472=IDX_CA!$A$2:$A$1041),--(NXT_COMPO!$P472=IDX_CA!$B$2:$B$1041),--(NXT_COMPO!$Q472=IDX_CA!$C$2:$C$1041),ROW(IDX_CA!$G$2:$G$1041))),""))</f>
        <v/>
      </c>
      <c r="K472" s="63" t="str">
        <f>IF($D472&lt;&gt;"",VLOOKUP($E472,STK_REF!$A$2:$J$1048576,7,0),"")</f>
        <v/>
      </c>
      <c r="L472" s="5" t="str">
        <f>IF($D472&lt;&gt;"",VLOOKUP($E472,STK_REF!$A$2:$J$1048576,8,0),"")</f>
        <v/>
      </c>
      <c r="M472" s="8" t="str">
        <f>IF($D472&lt;&gt;"",IF($K472=$U472,1,IF(ISNA(VLOOKUP($K472&amp;$U472,CUR_RATES!$A$2:$F$521,4,0)),"",VLOOKUP($K472&amp;$U472,CUR_RATES!$A$2:$F$521,4,0))),"")</f>
        <v/>
      </c>
      <c r="N472" s="61" t="str">
        <f t="shared" si="64"/>
        <v/>
      </c>
      <c r="O472" s="68" t="str">
        <f t="shared" si="65"/>
        <v/>
      </c>
      <c r="P472" s="24"/>
      <c r="Q472" s="2" t="str">
        <f>IF(ROW(Q472)-ROW($E$1)&lt;=$B$4,INDEX(IDX_COMPO!F:F,ROW(IDX_COMPO!#REF!)),"")</f>
        <v/>
      </c>
      <c r="R472" s="68" t="str">
        <f t="shared" si="66"/>
        <v/>
      </c>
      <c r="S472" s="61" t="str">
        <f t="shared" si="67"/>
        <v/>
      </c>
      <c r="T472" s="62" t="str">
        <f>IF(D472&lt;&gt;"",IF(SUMPRODUCT(--($E472=STK_DIV!$A$2:$A$5),--(NXT_COMPO!$Q472=STK_DIV!$E$2:$E$5),ROW(STK_DIV!$D$2:$D$5))=0,"",INDEX(STK_DIV!$D$1:$D$5,SUMPRODUCT(--($E472=STK_DIV!$A$2:$A$5),--(NXT_COMPO!$Q472=STK_DIV!$E$2:$E$5),ROW(STK_DIV!$D$2:$D$5)))),"")</f>
        <v/>
      </c>
      <c r="U472" s="54" t="str">
        <f>IF($D472&lt;&gt;"",VLOOKUP($P472,IDX_REF!$2:$1048576,4,0),"")</f>
        <v/>
      </c>
    </row>
    <row r="473" spans="4:21" x14ac:dyDescent="0.2">
      <c r="D473" s="52" t="str">
        <f t="shared" si="62"/>
        <v/>
      </c>
      <c r="E473" s="5" t="str">
        <f t="shared" si="63"/>
        <v/>
      </c>
      <c r="F473" s="5" t="str">
        <f>IF(ROW(F473)-ROW($E$1)&lt;=$B$1-$B$2,INDEX(IDX_COMPO!B:B,ROW(IDX_COMPO!#REF!)),IF(ROW(E473)-ROW($E$1)&lt;=$B$4,VLOOKUP(E473,STK_REF!$A$2:$J$1048576,2,0),""))</f>
        <v/>
      </c>
      <c r="J473" s="62" t="str">
        <f>IF($D473&lt;=$B$1-$B$2,IF(INDEX($AA$2:$AA$1048576,MATCH($D473,$AB$2:$AB$1048576,0))="MODIFY",INDEX(IDX_CA!$G$1:$G$1041,SUMPRODUCT(--($E473=IDX_CA!$A$2:$A$1041),--(NXT_COMPO!$P473=IDX_CA!$B$2:$B$1041),--(NXT_COMPO!$Q473=IDX_CA!$C$2:$C$1041),ROW(IDX_CA!$G$2:$G$1041))),INDEX(IDX_COMPOSITION!$F$1:$F$441,SUMPRODUCT(--($E473=IDX_COMPOSITION!$A$2:$A$441),--(NXT_COMPO!$P473=IDX_COMPOSITION!$R$2:$R$441),--(NXT_COMPO!$B$5=IDX_COMPOSITION!$L$2:$L$441),ROW(IDX_COMPOSITION!$F$2:$F$441)))),IF($D473&lt;=$B$4,INDEX(IDX_CA!$G$1:$G$1041,SUMPRODUCT(--($E473=IDX_CA!$A$2:$A$1041),--(NXT_COMPO!$P473=IDX_CA!$B$2:$B$1041),--(NXT_COMPO!$Q473=IDX_CA!$C$2:$C$1041),ROW(IDX_CA!$G$2:$G$1041))),""))</f>
        <v/>
      </c>
      <c r="K473" s="63" t="str">
        <f>IF($D473&lt;&gt;"",VLOOKUP($E473,STK_REF!$A$2:$J$1048576,7,0),"")</f>
        <v/>
      </c>
      <c r="L473" s="5" t="str">
        <f>IF($D473&lt;&gt;"",VLOOKUP($E473,STK_REF!$A$2:$J$1048576,8,0),"")</f>
        <v/>
      </c>
      <c r="M473" s="8" t="str">
        <f>IF($D473&lt;&gt;"",IF($K473=$U473,1,IF(ISNA(VLOOKUP($K473&amp;$U473,CUR_RATES!$A$2:$F$521,4,0)),"",VLOOKUP($K473&amp;$U473,CUR_RATES!$A$2:$F$521,4,0))),"")</f>
        <v/>
      </c>
      <c r="N473" s="61" t="str">
        <f t="shared" si="64"/>
        <v/>
      </c>
      <c r="O473" s="68" t="str">
        <f t="shared" si="65"/>
        <v/>
      </c>
      <c r="P473" s="24"/>
      <c r="Q473" s="2" t="str">
        <f>IF(ROW(Q473)-ROW($E$1)&lt;=$B$4,INDEX(IDX_COMPO!F:F,ROW(IDX_COMPO!#REF!)),"")</f>
        <v/>
      </c>
      <c r="R473" s="68" t="str">
        <f t="shared" si="66"/>
        <v/>
      </c>
      <c r="S473" s="61" t="str">
        <f t="shared" si="67"/>
        <v/>
      </c>
      <c r="T473" s="62" t="str">
        <f>IF(D473&lt;&gt;"",IF(SUMPRODUCT(--($E473=STK_DIV!$A$2:$A$5),--(NXT_COMPO!$Q473=STK_DIV!$E$2:$E$5),ROW(STK_DIV!$D$2:$D$5))=0,"",INDEX(STK_DIV!$D$1:$D$5,SUMPRODUCT(--($E473=STK_DIV!$A$2:$A$5),--(NXT_COMPO!$Q473=STK_DIV!$E$2:$E$5),ROW(STK_DIV!$D$2:$D$5)))),"")</f>
        <v/>
      </c>
      <c r="U473" s="54" t="str">
        <f>IF($D473&lt;&gt;"",VLOOKUP($P473,IDX_REF!$2:$1048576,4,0),"")</f>
        <v/>
      </c>
    </row>
    <row r="474" spans="4:21" x14ac:dyDescent="0.2">
      <c r="D474" s="52" t="str">
        <f t="shared" si="62"/>
        <v/>
      </c>
      <c r="E474" s="5" t="str">
        <f t="shared" si="63"/>
        <v/>
      </c>
      <c r="F474" s="5" t="str">
        <f>IF(ROW(F474)-ROW($E$1)&lt;=$B$1-$B$2,INDEX(IDX_COMPO!B:B,ROW(IDX_COMPO!#REF!)),IF(ROW(E474)-ROW($E$1)&lt;=$B$4,VLOOKUP(E474,STK_REF!$A$2:$J$1048576,2,0),""))</f>
        <v/>
      </c>
      <c r="J474" s="62" t="str">
        <f>IF($D474&lt;=$B$1-$B$2,IF(INDEX($AA$2:$AA$1048576,MATCH($D474,$AB$2:$AB$1048576,0))="MODIFY",INDEX(IDX_CA!$G$1:$G$1041,SUMPRODUCT(--($E474=IDX_CA!$A$2:$A$1041),--(NXT_COMPO!$P474=IDX_CA!$B$2:$B$1041),--(NXT_COMPO!$Q474=IDX_CA!$C$2:$C$1041),ROW(IDX_CA!$G$2:$G$1041))),INDEX(IDX_COMPOSITION!$F$1:$F$441,SUMPRODUCT(--($E474=IDX_COMPOSITION!$A$2:$A$441),--(NXT_COMPO!$P474=IDX_COMPOSITION!$R$2:$R$441),--(NXT_COMPO!$B$5=IDX_COMPOSITION!$L$2:$L$441),ROW(IDX_COMPOSITION!$F$2:$F$441)))),IF($D474&lt;=$B$4,INDEX(IDX_CA!$G$1:$G$1041,SUMPRODUCT(--($E474=IDX_CA!$A$2:$A$1041),--(NXT_COMPO!$P474=IDX_CA!$B$2:$B$1041),--(NXT_COMPO!$Q474=IDX_CA!$C$2:$C$1041),ROW(IDX_CA!$G$2:$G$1041))),""))</f>
        <v/>
      </c>
      <c r="K474" s="63" t="str">
        <f>IF($D474&lt;&gt;"",VLOOKUP($E474,STK_REF!$A$2:$J$1048576,7,0),"")</f>
        <v/>
      </c>
      <c r="L474" s="5" t="str">
        <f>IF($D474&lt;&gt;"",VLOOKUP($E474,STK_REF!$A$2:$J$1048576,8,0),"")</f>
        <v/>
      </c>
      <c r="M474" s="8" t="str">
        <f>IF($D474&lt;&gt;"",IF($K474=$U474,1,IF(ISNA(VLOOKUP($K474&amp;$U474,CUR_RATES!$A$2:$F$521,4,0)),"",VLOOKUP($K474&amp;$U474,CUR_RATES!$A$2:$F$521,4,0))),"")</f>
        <v/>
      </c>
      <c r="N474" s="61" t="str">
        <f t="shared" si="64"/>
        <v/>
      </c>
      <c r="O474" s="68" t="str">
        <f t="shared" si="65"/>
        <v/>
      </c>
      <c r="P474" s="24"/>
      <c r="Q474" s="2" t="str">
        <f>IF(ROW(Q474)-ROW($E$1)&lt;=$B$4,INDEX(IDX_COMPO!F:F,ROW(IDX_COMPO!#REF!)),"")</f>
        <v/>
      </c>
      <c r="R474" s="68" t="str">
        <f t="shared" si="66"/>
        <v/>
      </c>
      <c r="S474" s="61" t="str">
        <f t="shared" si="67"/>
        <v/>
      </c>
      <c r="T474" s="62" t="str">
        <f>IF(D474&lt;&gt;"",IF(SUMPRODUCT(--($E474=STK_DIV!$A$2:$A$5),--(NXT_COMPO!$Q474=STK_DIV!$E$2:$E$5),ROW(STK_DIV!$D$2:$D$5))=0,"",INDEX(STK_DIV!$D$1:$D$5,SUMPRODUCT(--($E474=STK_DIV!$A$2:$A$5),--(NXT_COMPO!$Q474=STK_DIV!$E$2:$E$5),ROW(STK_DIV!$D$2:$D$5)))),"")</f>
        <v/>
      </c>
      <c r="U474" s="54" t="str">
        <f>IF($D474&lt;&gt;"",VLOOKUP($P474,IDX_REF!$2:$1048576,4,0),"")</f>
        <v/>
      </c>
    </row>
    <row r="475" spans="4:21" x14ac:dyDescent="0.2">
      <c r="D475" s="52" t="str">
        <f t="shared" si="62"/>
        <v/>
      </c>
      <c r="E475" s="5" t="str">
        <f t="shared" si="63"/>
        <v/>
      </c>
      <c r="F475" s="5" t="str">
        <f>IF(ROW(F475)-ROW($E$1)&lt;=$B$1-$B$2,INDEX(IDX_COMPO!B:B,ROW(IDX_COMPO!#REF!)),IF(ROW(E475)-ROW($E$1)&lt;=$B$4,VLOOKUP(E475,STK_REF!$A$2:$J$1048576,2,0),""))</f>
        <v/>
      </c>
      <c r="J475" s="62" t="str">
        <f>IF($D475&lt;=$B$1-$B$2,IF(INDEX($AA$2:$AA$1048576,MATCH($D475,$AB$2:$AB$1048576,0))="MODIFY",INDEX(IDX_CA!$G$1:$G$1041,SUMPRODUCT(--($E475=IDX_CA!$A$2:$A$1041),--(NXT_COMPO!$P475=IDX_CA!$B$2:$B$1041),--(NXT_COMPO!$Q475=IDX_CA!$C$2:$C$1041),ROW(IDX_CA!$G$2:$G$1041))),INDEX(IDX_COMPOSITION!$F$1:$F$441,SUMPRODUCT(--($E475=IDX_COMPOSITION!$A$2:$A$441),--(NXT_COMPO!$P475=IDX_COMPOSITION!$R$2:$R$441),--(NXT_COMPO!$B$5=IDX_COMPOSITION!$L$2:$L$441),ROW(IDX_COMPOSITION!$F$2:$F$441)))),IF($D475&lt;=$B$4,INDEX(IDX_CA!$G$1:$G$1041,SUMPRODUCT(--($E475=IDX_CA!$A$2:$A$1041),--(NXT_COMPO!$P475=IDX_CA!$B$2:$B$1041),--(NXT_COMPO!$Q475=IDX_CA!$C$2:$C$1041),ROW(IDX_CA!$G$2:$G$1041))),""))</f>
        <v/>
      </c>
      <c r="K475" s="63" t="str">
        <f>IF($D475&lt;&gt;"",VLOOKUP($E475,STK_REF!$A$2:$J$1048576,7,0),"")</f>
        <v/>
      </c>
      <c r="L475" s="5" t="str">
        <f>IF($D475&lt;&gt;"",VLOOKUP($E475,STK_REF!$A$2:$J$1048576,8,0),"")</f>
        <v/>
      </c>
      <c r="M475" s="8" t="str">
        <f>IF($D475&lt;&gt;"",IF($K475=$U475,1,IF(ISNA(VLOOKUP($K475&amp;$U475,CUR_RATES!$A$2:$F$521,4,0)),"",VLOOKUP($K475&amp;$U475,CUR_RATES!$A$2:$F$521,4,0))),"")</f>
        <v/>
      </c>
      <c r="N475" s="61" t="str">
        <f t="shared" si="64"/>
        <v/>
      </c>
      <c r="O475" s="68" t="str">
        <f t="shared" si="65"/>
        <v/>
      </c>
      <c r="P475" s="24"/>
      <c r="Q475" s="2" t="str">
        <f>IF(ROW(Q475)-ROW($E$1)&lt;=$B$4,INDEX(IDX_COMPO!F:F,ROW(IDX_COMPO!#REF!)),"")</f>
        <v/>
      </c>
      <c r="R475" s="68" t="str">
        <f t="shared" si="66"/>
        <v/>
      </c>
      <c r="S475" s="61" t="str">
        <f t="shared" si="67"/>
        <v/>
      </c>
      <c r="T475" s="62" t="str">
        <f>IF(D475&lt;&gt;"",IF(SUMPRODUCT(--($E475=STK_DIV!$A$2:$A$5),--(NXT_COMPO!$Q475=STK_DIV!$E$2:$E$5),ROW(STK_DIV!$D$2:$D$5))=0,"",INDEX(STK_DIV!$D$1:$D$5,SUMPRODUCT(--($E475=STK_DIV!$A$2:$A$5),--(NXT_COMPO!$Q475=STK_DIV!$E$2:$E$5),ROW(STK_DIV!$D$2:$D$5)))),"")</f>
        <v/>
      </c>
      <c r="U475" s="54" t="str">
        <f>IF($D475&lt;&gt;"",VLOOKUP($P475,IDX_REF!$2:$1048576,4,0),"")</f>
        <v/>
      </c>
    </row>
    <row r="476" spans="4:21" x14ac:dyDescent="0.2">
      <c r="D476" s="52" t="str">
        <f t="shared" si="62"/>
        <v/>
      </c>
      <c r="E476" s="5" t="str">
        <f t="shared" si="63"/>
        <v/>
      </c>
      <c r="F476" s="5" t="str">
        <f>IF(ROW(F476)-ROW($E$1)&lt;=$B$1-$B$2,INDEX(IDX_COMPO!B:B,ROW(IDX_COMPO!#REF!)),IF(ROW(E476)-ROW($E$1)&lt;=$B$4,VLOOKUP(E476,STK_REF!$A$2:$J$1048576,2,0),""))</f>
        <v/>
      </c>
      <c r="J476" s="62" t="str">
        <f>IF($D476&lt;=$B$1-$B$2,IF(INDEX($AA$2:$AA$1048576,MATCH($D476,$AB$2:$AB$1048576,0))="MODIFY",INDEX(IDX_CA!$G$1:$G$1041,SUMPRODUCT(--($E476=IDX_CA!$A$2:$A$1041),--(NXT_COMPO!$P476=IDX_CA!$B$2:$B$1041),--(NXT_COMPO!$Q476=IDX_CA!$C$2:$C$1041),ROW(IDX_CA!$G$2:$G$1041))),INDEX(IDX_COMPOSITION!$F$1:$F$441,SUMPRODUCT(--($E476=IDX_COMPOSITION!$A$2:$A$441),--(NXT_COMPO!$P476=IDX_COMPOSITION!$R$2:$R$441),--(NXT_COMPO!$B$5=IDX_COMPOSITION!$L$2:$L$441),ROW(IDX_COMPOSITION!$F$2:$F$441)))),IF($D476&lt;=$B$4,INDEX(IDX_CA!$G$1:$G$1041,SUMPRODUCT(--($E476=IDX_CA!$A$2:$A$1041),--(NXT_COMPO!$P476=IDX_CA!$B$2:$B$1041),--(NXT_COMPO!$Q476=IDX_CA!$C$2:$C$1041),ROW(IDX_CA!$G$2:$G$1041))),""))</f>
        <v/>
      </c>
      <c r="K476" s="63" t="str">
        <f>IF($D476&lt;&gt;"",VLOOKUP($E476,STK_REF!$A$2:$J$1048576,7,0),"")</f>
        <v/>
      </c>
      <c r="L476" s="5" t="str">
        <f>IF($D476&lt;&gt;"",VLOOKUP($E476,STK_REF!$A$2:$J$1048576,8,0),"")</f>
        <v/>
      </c>
      <c r="M476" s="8" t="str">
        <f>IF($D476&lt;&gt;"",IF($K476=$U476,1,IF(ISNA(VLOOKUP($K476&amp;$U476,CUR_RATES!$A$2:$F$521,4,0)),"",VLOOKUP($K476&amp;$U476,CUR_RATES!$A$2:$F$521,4,0))),"")</f>
        <v/>
      </c>
      <c r="N476" s="61" t="str">
        <f t="shared" si="64"/>
        <v/>
      </c>
      <c r="O476" s="68" t="str">
        <f t="shared" si="65"/>
        <v/>
      </c>
      <c r="P476" s="24"/>
      <c r="Q476" s="2" t="str">
        <f>IF(ROW(Q476)-ROW($E$1)&lt;=$B$4,INDEX(IDX_COMPO!F:F,ROW(IDX_COMPO!#REF!)),"")</f>
        <v/>
      </c>
      <c r="R476" s="68" t="str">
        <f t="shared" si="66"/>
        <v/>
      </c>
      <c r="S476" s="61" t="str">
        <f t="shared" si="67"/>
        <v/>
      </c>
      <c r="T476" s="62" t="str">
        <f>IF(D476&lt;&gt;"",IF(SUMPRODUCT(--($E476=STK_DIV!$A$2:$A$5),--(NXT_COMPO!$Q476=STK_DIV!$E$2:$E$5),ROW(STK_DIV!$D$2:$D$5))=0,"",INDEX(STK_DIV!$D$1:$D$5,SUMPRODUCT(--($E476=STK_DIV!$A$2:$A$5),--(NXT_COMPO!$Q476=STK_DIV!$E$2:$E$5),ROW(STK_DIV!$D$2:$D$5)))),"")</f>
        <v/>
      </c>
      <c r="U476" s="54" t="str">
        <f>IF($D476&lt;&gt;"",VLOOKUP($P476,IDX_REF!$2:$1048576,4,0),"")</f>
        <v/>
      </c>
    </row>
    <row r="477" spans="4:21" x14ac:dyDescent="0.2">
      <c r="D477" s="52" t="str">
        <f t="shared" si="62"/>
        <v/>
      </c>
      <c r="E477" s="5" t="str">
        <f t="shared" si="63"/>
        <v/>
      </c>
      <c r="F477" s="5" t="str">
        <f>IF(ROW(F477)-ROW($E$1)&lt;=$B$1-$B$2,INDEX(IDX_COMPO!B:B,ROW(IDX_COMPO!#REF!)),IF(ROW(E477)-ROW($E$1)&lt;=$B$4,VLOOKUP(E477,STK_REF!$A$2:$J$1048576,2,0),""))</f>
        <v/>
      </c>
      <c r="J477" s="62" t="str">
        <f>IF($D477&lt;=$B$1-$B$2,IF(INDEX($AA$2:$AA$1048576,MATCH($D477,$AB$2:$AB$1048576,0))="MODIFY",INDEX(IDX_CA!$G$1:$G$1041,SUMPRODUCT(--($E477=IDX_CA!$A$2:$A$1041),--(NXT_COMPO!$P477=IDX_CA!$B$2:$B$1041),--(NXT_COMPO!$Q477=IDX_CA!$C$2:$C$1041),ROW(IDX_CA!$G$2:$G$1041))),INDEX(IDX_COMPOSITION!$F$1:$F$441,SUMPRODUCT(--($E477=IDX_COMPOSITION!$A$2:$A$441),--(NXT_COMPO!$P477=IDX_COMPOSITION!$R$2:$R$441),--(NXT_COMPO!$B$5=IDX_COMPOSITION!$L$2:$L$441),ROW(IDX_COMPOSITION!$F$2:$F$441)))),IF($D477&lt;=$B$4,INDEX(IDX_CA!$G$1:$G$1041,SUMPRODUCT(--($E477=IDX_CA!$A$2:$A$1041),--(NXT_COMPO!$P477=IDX_CA!$B$2:$B$1041),--(NXT_COMPO!$Q477=IDX_CA!$C$2:$C$1041),ROW(IDX_CA!$G$2:$G$1041))),""))</f>
        <v/>
      </c>
      <c r="K477" s="63" t="str">
        <f>IF($D477&lt;&gt;"",VLOOKUP($E477,STK_REF!$A$2:$J$1048576,7,0),"")</f>
        <v/>
      </c>
      <c r="L477" s="5" t="str">
        <f>IF($D477&lt;&gt;"",VLOOKUP($E477,STK_REF!$A$2:$J$1048576,8,0),"")</f>
        <v/>
      </c>
      <c r="M477" s="8" t="str">
        <f>IF($D477&lt;&gt;"",IF($K477=$U477,1,IF(ISNA(VLOOKUP($K477&amp;$U477,CUR_RATES!$A$2:$F$521,4,0)),"",VLOOKUP($K477&amp;$U477,CUR_RATES!$A$2:$F$521,4,0))),"")</f>
        <v/>
      </c>
      <c r="N477" s="61" t="str">
        <f t="shared" si="64"/>
        <v/>
      </c>
      <c r="O477" s="68" t="str">
        <f t="shared" si="65"/>
        <v/>
      </c>
      <c r="P477" s="24"/>
      <c r="Q477" s="2" t="str">
        <f>IF(ROW(Q477)-ROW($E$1)&lt;=$B$4,INDEX(IDX_COMPO!F:F,ROW(IDX_COMPO!#REF!)),"")</f>
        <v/>
      </c>
      <c r="R477" s="68" t="str">
        <f t="shared" si="66"/>
        <v/>
      </c>
      <c r="S477" s="61" t="str">
        <f t="shared" si="67"/>
        <v/>
      </c>
      <c r="T477" s="62" t="str">
        <f>IF(D477&lt;&gt;"",IF(SUMPRODUCT(--($E477=STK_DIV!$A$2:$A$5),--(NXT_COMPO!$Q477=STK_DIV!$E$2:$E$5),ROW(STK_DIV!$D$2:$D$5))=0,"",INDEX(STK_DIV!$D$1:$D$5,SUMPRODUCT(--($E477=STK_DIV!$A$2:$A$5),--(NXT_COMPO!$Q477=STK_DIV!$E$2:$E$5),ROW(STK_DIV!$D$2:$D$5)))),"")</f>
        <v/>
      </c>
      <c r="U477" s="54" t="str">
        <f>IF($D477&lt;&gt;"",VLOOKUP($P477,IDX_REF!$2:$1048576,4,0),"")</f>
        <v/>
      </c>
    </row>
    <row r="478" spans="4:21" x14ac:dyDescent="0.2">
      <c r="D478" s="52" t="str">
        <f t="shared" si="62"/>
        <v/>
      </c>
      <c r="E478" s="5" t="str">
        <f t="shared" si="63"/>
        <v/>
      </c>
      <c r="F478" s="5" t="str">
        <f>IF(ROW(F478)-ROW($E$1)&lt;=$B$1-$B$2,INDEX(IDX_COMPO!B:B,ROW(IDX_COMPO!#REF!)),IF(ROW(E478)-ROW($E$1)&lt;=$B$4,VLOOKUP(E478,STK_REF!$A$2:$J$1048576,2,0),""))</f>
        <v/>
      </c>
      <c r="J478" s="62" t="str">
        <f>IF($D478&lt;=$B$1-$B$2,IF(INDEX($AA$2:$AA$1048576,MATCH($D478,$AB$2:$AB$1048576,0))="MODIFY",INDEX(IDX_CA!$G$1:$G$1041,SUMPRODUCT(--($E478=IDX_CA!$A$2:$A$1041),--(NXT_COMPO!$P478=IDX_CA!$B$2:$B$1041),--(NXT_COMPO!$Q478=IDX_CA!$C$2:$C$1041),ROW(IDX_CA!$G$2:$G$1041))),INDEX(IDX_COMPOSITION!$F$1:$F$441,SUMPRODUCT(--($E478=IDX_COMPOSITION!$A$2:$A$441),--(NXT_COMPO!$P478=IDX_COMPOSITION!$R$2:$R$441),--(NXT_COMPO!$B$5=IDX_COMPOSITION!$L$2:$L$441),ROW(IDX_COMPOSITION!$F$2:$F$441)))),IF($D478&lt;=$B$4,INDEX(IDX_CA!$G$1:$G$1041,SUMPRODUCT(--($E478=IDX_CA!$A$2:$A$1041),--(NXT_COMPO!$P478=IDX_CA!$B$2:$B$1041),--(NXT_COMPO!$Q478=IDX_CA!$C$2:$C$1041),ROW(IDX_CA!$G$2:$G$1041))),""))</f>
        <v/>
      </c>
      <c r="K478" s="63" t="str">
        <f>IF($D478&lt;&gt;"",VLOOKUP($E478,STK_REF!$A$2:$J$1048576,7,0),"")</f>
        <v/>
      </c>
      <c r="L478" s="5" t="str">
        <f>IF($D478&lt;&gt;"",VLOOKUP($E478,STK_REF!$A$2:$J$1048576,8,0),"")</f>
        <v/>
      </c>
      <c r="M478" s="8" t="str">
        <f>IF($D478&lt;&gt;"",IF($K478=$U478,1,IF(ISNA(VLOOKUP($K478&amp;$U478,CUR_RATES!$A$2:$F$521,4,0)),"",VLOOKUP($K478&amp;$U478,CUR_RATES!$A$2:$F$521,4,0))),"")</f>
        <v/>
      </c>
      <c r="N478" s="61" t="str">
        <f t="shared" si="64"/>
        <v/>
      </c>
      <c r="O478" s="68" t="str">
        <f t="shared" si="65"/>
        <v/>
      </c>
      <c r="P478" s="24"/>
      <c r="Q478" s="2" t="str">
        <f>IF(ROW(Q478)-ROW($E$1)&lt;=$B$4,INDEX(IDX_COMPO!F:F,ROW(IDX_COMPO!#REF!)),"")</f>
        <v/>
      </c>
      <c r="R478" s="68" t="str">
        <f t="shared" si="66"/>
        <v/>
      </c>
      <c r="S478" s="61" t="str">
        <f t="shared" si="67"/>
        <v/>
      </c>
      <c r="T478" s="62" t="str">
        <f>IF(D478&lt;&gt;"",IF(SUMPRODUCT(--($E478=STK_DIV!$A$2:$A$5),--(NXT_COMPO!$Q478=STK_DIV!$E$2:$E$5),ROW(STK_DIV!$D$2:$D$5))=0,"",INDEX(STK_DIV!$D$1:$D$5,SUMPRODUCT(--($E478=STK_DIV!$A$2:$A$5),--(NXT_COMPO!$Q478=STK_DIV!$E$2:$E$5),ROW(STK_DIV!$D$2:$D$5)))),"")</f>
        <v/>
      </c>
      <c r="U478" s="54" t="str">
        <f>IF($D478&lt;&gt;"",VLOOKUP($P478,IDX_REF!$2:$1048576,4,0),"")</f>
        <v/>
      </c>
    </row>
    <row r="479" spans="4:21" x14ac:dyDescent="0.2">
      <c r="D479" s="52" t="str">
        <f t="shared" si="62"/>
        <v/>
      </c>
      <c r="E479" s="5" t="str">
        <f t="shared" si="63"/>
        <v/>
      </c>
      <c r="F479" s="5" t="str">
        <f>IF(ROW(F479)-ROW($E$1)&lt;=$B$1-$B$2,INDEX(IDX_COMPO!B:B,ROW(IDX_COMPO!#REF!)),IF(ROW(E479)-ROW($E$1)&lt;=$B$4,VLOOKUP(E479,STK_REF!$A$2:$J$1048576,2,0),""))</f>
        <v/>
      </c>
      <c r="J479" s="62" t="str">
        <f>IF($D479&lt;=$B$1-$B$2,IF(INDEX($AA$2:$AA$1048576,MATCH($D479,$AB$2:$AB$1048576,0))="MODIFY",INDEX(IDX_CA!$G$1:$G$1041,SUMPRODUCT(--($E479=IDX_CA!$A$2:$A$1041),--(NXT_COMPO!$P479=IDX_CA!$B$2:$B$1041),--(NXT_COMPO!$Q479=IDX_CA!$C$2:$C$1041),ROW(IDX_CA!$G$2:$G$1041))),INDEX(IDX_COMPOSITION!$F$1:$F$441,SUMPRODUCT(--($E479=IDX_COMPOSITION!$A$2:$A$441),--(NXT_COMPO!$P479=IDX_COMPOSITION!$R$2:$R$441),--(NXT_COMPO!$B$5=IDX_COMPOSITION!$L$2:$L$441),ROW(IDX_COMPOSITION!$F$2:$F$441)))),IF($D479&lt;=$B$4,INDEX(IDX_CA!$G$1:$G$1041,SUMPRODUCT(--($E479=IDX_CA!$A$2:$A$1041),--(NXT_COMPO!$P479=IDX_CA!$B$2:$B$1041),--(NXT_COMPO!$Q479=IDX_CA!$C$2:$C$1041),ROW(IDX_CA!$G$2:$G$1041))),""))</f>
        <v/>
      </c>
      <c r="K479" s="63" t="str">
        <f>IF($D479&lt;&gt;"",VLOOKUP($E479,STK_REF!$A$2:$J$1048576,7,0),"")</f>
        <v/>
      </c>
      <c r="L479" s="5" t="str">
        <f>IF($D479&lt;&gt;"",VLOOKUP($E479,STK_REF!$A$2:$J$1048576,8,0),"")</f>
        <v/>
      </c>
      <c r="M479" s="8" t="str">
        <f>IF($D479&lt;&gt;"",IF($K479=$U479,1,IF(ISNA(VLOOKUP($K479&amp;$U479,CUR_RATES!$A$2:$F$521,4,0)),"",VLOOKUP($K479&amp;$U479,CUR_RATES!$A$2:$F$521,4,0))),"")</f>
        <v/>
      </c>
      <c r="N479" s="61" t="str">
        <f t="shared" si="64"/>
        <v/>
      </c>
      <c r="O479" s="68" t="str">
        <f t="shared" si="65"/>
        <v/>
      </c>
      <c r="P479" s="24"/>
      <c r="Q479" s="2" t="str">
        <f>IF(ROW(Q479)-ROW($E$1)&lt;=$B$4,INDEX(IDX_COMPO!F:F,ROW(IDX_COMPO!#REF!)),"")</f>
        <v/>
      </c>
      <c r="R479" s="68" t="str">
        <f t="shared" si="66"/>
        <v/>
      </c>
      <c r="S479" s="61" t="str">
        <f t="shared" si="67"/>
        <v/>
      </c>
      <c r="T479" s="62" t="str">
        <f>IF(D479&lt;&gt;"",IF(SUMPRODUCT(--($E479=STK_DIV!$A$2:$A$5),--(NXT_COMPO!$Q479=STK_DIV!$E$2:$E$5),ROW(STK_DIV!$D$2:$D$5))=0,"",INDEX(STK_DIV!$D$1:$D$5,SUMPRODUCT(--($E479=STK_DIV!$A$2:$A$5),--(NXT_COMPO!$Q479=STK_DIV!$E$2:$E$5),ROW(STK_DIV!$D$2:$D$5)))),"")</f>
        <v/>
      </c>
      <c r="U479" s="54" t="str">
        <f>IF($D479&lt;&gt;"",VLOOKUP($P479,IDX_REF!$2:$1048576,4,0),"")</f>
        <v/>
      </c>
    </row>
    <row r="480" spans="4:21" x14ac:dyDescent="0.2">
      <c r="D480" s="52" t="str">
        <f t="shared" si="62"/>
        <v/>
      </c>
      <c r="E480" s="5" t="str">
        <f t="shared" si="63"/>
        <v/>
      </c>
      <c r="F480" s="5" t="str">
        <f>IF(ROW(F480)-ROW($E$1)&lt;=$B$1-$B$2,INDEX(IDX_COMPO!B:B,ROW(IDX_COMPO!#REF!)),IF(ROW(E480)-ROW($E$1)&lt;=$B$4,VLOOKUP(E480,STK_REF!$A$2:$J$1048576,2,0),""))</f>
        <v/>
      </c>
      <c r="J480" s="62" t="str">
        <f>IF($D480&lt;=$B$1-$B$2,IF(INDEX($AA$2:$AA$1048576,MATCH($D480,$AB$2:$AB$1048576,0))="MODIFY",INDEX(IDX_CA!$G$1:$G$1041,SUMPRODUCT(--($E480=IDX_CA!$A$2:$A$1041),--(NXT_COMPO!$P480=IDX_CA!$B$2:$B$1041),--(NXT_COMPO!$Q480=IDX_CA!$C$2:$C$1041),ROW(IDX_CA!$G$2:$G$1041))),INDEX(IDX_COMPOSITION!$F$1:$F$441,SUMPRODUCT(--($E480=IDX_COMPOSITION!$A$2:$A$441),--(NXT_COMPO!$P480=IDX_COMPOSITION!$R$2:$R$441),--(NXT_COMPO!$B$5=IDX_COMPOSITION!$L$2:$L$441),ROW(IDX_COMPOSITION!$F$2:$F$441)))),IF($D480&lt;=$B$4,INDEX(IDX_CA!$G$1:$G$1041,SUMPRODUCT(--($E480=IDX_CA!$A$2:$A$1041),--(NXT_COMPO!$P480=IDX_CA!$B$2:$B$1041),--(NXT_COMPO!$Q480=IDX_CA!$C$2:$C$1041),ROW(IDX_CA!$G$2:$G$1041))),""))</f>
        <v/>
      </c>
      <c r="K480" s="63" t="str">
        <f>IF($D480&lt;&gt;"",VLOOKUP($E480,STK_REF!$A$2:$J$1048576,7,0),"")</f>
        <v/>
      </c>
      <c r="L480" s="5" t="str">
        <f>IF($D480&lt;&gt;"",VLOOKUP($E480,STK_REF!$A$2:$J$1048576,8,0),"")</f>
        <v/>
      </c>
      <c r="M480" s="8" t="str">
        <f>IF($D480&lt;&gt;"",IF($K480=$U480,1,IF(ISNA(VLOOKUP($K480&amp;$U480,CUR_RATES!$A$2:$F$521,4,0)),"",VLOOKUP($K480&amp;$U480,CUR_RATES!$A$2:$F$521,4,0))),"")</f>
        <v/>
      </c>
      <c r="N480" s="61" t="str">
        <f t="shared" si="64"/>
        <v/>
      </c>
      <c r="O480" s="68" t="str">
        <f t="shared" si="65"/>
        <v/>
      </c>
      <c r="P480" s="24"/>
      <c r="Q480" s="2" t="str">
        <f>IF(ROW(Q480)-ROW($E$1)&lt;=$B$4,INDEX(IDX_COMPO!F:F,ROW(IDX_COMPO!#REF!)),"")</f>
        <v/>
      </c>
      <c r="R480" s="68" t="str">
        <f t="shared" si="66"/>
        <v/>
      </c>
      <c r="S480" s="61" t="str">
        <f t="shared" si="67"/>
        <v/>
      </c>
      <c r="T480" s="62" t="str">
        <f>IF(D480&lt;&gt;"",IF(SUMPRODUCT(--($E480=STK_DIV!$A$2:$A$5),--(NXT_COMPO!$Q480=STK_DIV!$E$2:$E$5),ROW(STK_DIV!$D$2:$D$5))=0,"",INDEX(STK_DIV!$D$1:$D$5,SUMPRODUCT(--($E480=STK_DIV!$A$2:$A$5),--(NXT_COMPO!$Q480=STK_DIV!$E$2:$E$5),ROW(STK_DIV!$D$2:$D$5)))),"")</f>
        <v/>
      </c>
      <c r="U480" s="54" t="str">
        <f>IF($D480&lt;&gt;"",VLOOKUP($P480,IDX_REF!$2:$1048576,4,0),"")</f>
        <v/>
      </c>
    </row>
    <row r="481" spans="4:21" x14ac:dyDescent="0.2">
      <c r="D481" s="52" t="str">
        <f t="shared" si="62"/>
        <v/>
      </c>
      <c r="E481" s="5" t="str">
        <f t="shared" si="63"/>
        <v/>
      </c>
      <c r="F481" s="5" t="str">
        <f>IF(ROW(F481)-ROW($E$1)&lt;=$B$1-$B$2,INDEX(IDX_COMPO!B:B,ROW(IDX_COMPO!#REF!)),IF(ROW(E481)-ROW($E$1)&lt;=$B$4,VLOOKUP(E481,STK_REF!$A$2:$J$1048576,2,0),""))</f>
        <v/>
      </c>
      <c r="J481" s="62" t="str">
        <f>IF($D481&lt;=$B$1-$B$2,IF(INDEX($AA$2:$AA$1048576,MATCH($D481,$AB$2:$AB$1048576,0))="MODIFY",INDEX(IDX_CA!$G$1:$G$1041,SUMPRODUCT(--($E481=IDX_CA!$A$2:$A$1041),--(NXT_COMPO!$P481=IDX_CA!$B$2:$B$1041),--(NXT_COMPO!$Q481=IDX_CA!$C$2:$C$1041),ROW(IDX_CA!$G$2:$G$1041))),INDEX(IDX_COMPOSITION!$F$1:$F$441,SUMPRODUCT(--($E481=IDX_COMPOSITION!$A$2:$A$441),--(NXT_COMPO!$P481=IDX_COMPOSITION!$R$2:$R$441),--(NXT_COMPO!$B$5=IDX_COMPOSITION!$L$2:$L$441),ROW(IDX_COMPOSITION!$F$2:$F$441)))),IF($D481&lt;=$B$4,INDEX(IDX_CA!$G$1:$G$1041,SUMPRODUCT(--($E481=IDX_CA!$A$2:$A$1041),--(NXT_COMPO!$P481=IDX_CA!$B$2:$B$1041),--(NXT_COMPO!$Q481=IDX_CA!$C$2:$C$1041),ROW(IDX_CA!$G$2:$G$1041))),""))</f>
        <v/>
      </c>
      <c r="K481" s="63" t="str">
        <f>IF($D481&lt;&gt;"",VLOOKUP($E481,STK_REF!$A$2:$J$1048576,7,0),"")</f>
        <v/>
      </c>
      <c r="L481" s="5" t="str">
        <f>IF($D481&lt;&gt;"",VLOOKUP($E481,STK_REF!$A$2:$J$1048576,8,0),"")</f>
        <v/>
      </c>
      <c r="M481" s="8" t="str">
        <f>IF($D481&lt;&gt;"",IF($K481=$U481,1,IF(ISNA(VLOOKUP($K481&amp;$U481,CUR_RATES!$A$2:$F$521,4,0)),"",VLOOKUP($K481&amp;$U481,CUR_RATES!$A$2:$F$521,4,0))),"")</f>
        <v/>
      </c>
      <c r="N481" s="61" t="str">
        <f t="shared" si="64"/>
        <v/>
      </c>
      <c r="O481" s="68" t="str">
        <f t="shared" si="65"/>
        <v/>
      </c>
      <c r="P481" s="24"/>
      <c r="Q481" s="2" t="str">
        <f>IF(ROW(Q481)-ROW($E$1)&lt;=$B$4,INDEX(IDX_COMPO!F:F,ROW(IDX_COMPO!#REF!)),"")</f>
        <v/>
      </c>
      <c r="R481" s="68" t="str">
        <f t="shared" si="66"/>
        <v/>
      </c>
      <c r="S481" s="61" t="str">
        <f t="shared" si="67"/>
        <v/>
      </c>
      <c r="T481" s="62" t="str">
        <f>IF(D481&lt;&gt;"",IF(SUMPRODUCT(--($E481=STK_DIV!$A$2:$A$5),--(NXT_COMPO!$Q481=STK_DIV!$E$2:$E$5),ROW(STK_DIV!$D$2:$D$5))=0,"",INDEX(STK_DIV!$D$1:$D$5,SUMPRODUCT(--($E481=STK_DIV!$A$2:$A$5),--(NXT_COMPO!$Q481=STK_DIV!$E$2:$E$5),ROW(STK_DIV!$D$2:$D$5)))),"")</f>
        <v/>
      </c>
      <c r="U481" s="54" t="str">
        <f>IF($D481&lt;&gt;"",VLOOKUP($P481,IDX_REF!$2:$1048576,4,0),"")</f>
        <v/>
      </c>
    </row>
    <row r="482" spans="4:21" x14ac:dyDescent="0.2">
      <c r="D482" s="52" t="str">
        <f t="shared" si="62"/>
        <v/>
      </c>
      <c r="E482" s="5" t="str">
        <f t="shared" si="63"/>
        <v/>
      </c>
      <c r="F482" s="5" t="str">
        <f>IF(ROW(F482)-ROW($E$1)&lt;=$B$1-$B$2,INDEX(IDX_COMPO!B:B,ROW(IDX_COMPO!#REF!)),IF(ROW(E482)-ROW($E$1)&lt;=$B$4,VLOOKUP(E482,STK_REF!$A$2:$J$1048576,2,0),""))</f>
        <v/>
      </c>
      <c r="J482" s="62" t="str">
        <f>IF($D482&lt;=$B$1-$B$2,IF(INDEX($AA$2:$AA$1048576,MATCH($D482,$AB$2:$AB$1048576,0))="MODIFY",INDEX(IDX_CA!$G$1:$G$1041,SUMPRODUCT(--($E482=IDX_CA!$A$2:$A$1041),--(NXT_COMPO!$P482=IDX_CA!$B$2:$B$1041),--(NXT_COMPO!$Q482=IDX_CA!$C$2:$C$1041),ROW(IDX_CA!$G$2:$G$1041))),INDEX(IDX_COMPOSITION!$F$1:$F$441,SUMPRODUCT(--($E482=IDX_COMPOSITION!$A$2:$A$441),--(NXT_COMPO!$P482=IDX_COMPOSITION!$R$2:$R$441),--(NXT_COMPO!$B$5=IDX_COMPOSITION!$L$2:$L$441),ROW(IDX_COMPOSITION!$F$2:$F$441)))),IF($D482&lt;=$B$4,INDEX(IDX_CA!$G$1:$G$1041,SUMPRODUCT(--($E482=IDX_CA!$A$2:$A$1041),--(NXT_COMPO!$P482=IDX_CA!$B$2:$B$1041),--(NXT_COMPO!$Q482=IDX_CA!$C$2:$C$1041),ROW(IDX_CA!$G$2:$G$1041))),""))</f>
        <v/>
      </c>
      <c r="K482" s="63" t="str">
        <f>IF($D482&lt;&gt;"",VLOOKUP($E482,STK_REF!$A$2:$J$1048576,7,0),"")</f>
        <v/>
      </c>
      <c r="L482" s="5" t="str">
        <f>IF($D482&lt;&gt;"",VLOOKUP($E482,STK_REF!$A$2:$J$1048576,8,0),"")</f>
        <v/>
      </c>
      <c r="M482" s="8" t="str">
        <f>IF($D482&lt;&gt;"",IF($K482=$U482,1,IF(ISNA(VLOOKUP($K482&amp;$U482,CUR_RATES!$A$2:$F$521,4,0)),"",VLOOKUP($K482&amp;$U482,CUR_RATES!$A$2:$F$521,4,0))),"")</f>
        <v/>
      </c>
      <c r="N482" s="61" t="str">
        <f t="shared" si="64"/>
        <v/>
      </c>
      <c r="O482" s="68" t="str">
        <f t="shared" si="65"/>
        <v/>
      </c>
      <c r="P482" s="24"/>
      <c r="Q482" s="2" t="str">
        <f>IF(ROW(Q482)-ROW($E$1)&lt;=$B$4,INDEX(IDX_COMPO!F:F,ROW(IDX_COMPO!#REF!)),"")</f>
        <v/>
      </c>
      <c r="R482" s="68" t="str">
        <f t="shared" si="66"/>
        <v/>
      </c>
      <c r="S482" s="61" t="str">
        <f t="shared" si="67"/>
        <v/>
      </c>
      <c r="T482" s="62" t="str">
        <f>IF(D482&lt;&gt;"",IF(SUMPRODUCT(--($E482=STK_DIV!$A$2:$A$5),--(NXT_COMPO!$Q482=STK_DIV!$E$2:$E$5),ROW(STK_DIV!$D$2:$D$5))=0,"",INDEX(STK_DIV!$D$1:$D$5,SUMPRODUCT(--($E482=STK_DIV!$A$2:$A$5),--(NXT_COMPO!$Q482=STK_DIV!$E$2:$E$5),ROW(STK_DIV!$D$2:$D$5)))),"")</f>
        <v/>
      </c>
      <c r="U482" s="54" t="str">
        <f>IF($D482&lt;&gt;"",VLOOKUP($P482,IDX_REF!$2:$1048576,4,0),"")</f>
        <v/>
      </c>
    </row>
    <row r="483" spans="4:21" x14ac:dyDescent="0.2">
      <c r="D483" s="52" t="str">
        <f t="shared" si="62"/>
        <v/>
      </c>
      <c r="E483" s="5" t="str">
        <f t="shared" si="63"/>
        <v/>
      </c>
      <c r="F483" s="5" t="str">
        <f>IF(ROW(F483)-ROW($E$1)&lt;=$B$1-$B$2,INDEX(IDX_COMPO!B:B,ROW(IDX_COMPO!#REF!)),IF(ROW(E483)-ROW($E$1)&lt;=$B$4,VLOOKUP(E483,STK_REF!$A$2:$J$1048576,2,0),""))</f>
        <v/>
      </c>
      <c r="J483" s="62" t="str">
        <f>IF($D483&lt;=$B$1-$B$2,IF(INDEX($AA$2:$AA$1048576,MATCH($D483,$AB$2:$AB$1048576,0))="MODIFY",INDEX(IDX_CA!$G$1:$G$1041,SUMPRODUCT(--($E483=IDX_CA!$A$2:$A$1041),--(NXT_COMPO!$P483=IDX_CA!$B$2:$B$1041),--(NXT_COMPO!$Q483=IDX_CA!$C$2:$C$1041),ROW(IDX_CA!$G$2:$G$1041))),INDEX(IDX_COMPOSITION!$F$1:$F$441,SUMPRODUCT(--($E483=IDX_COMPOSITION!$A$2:$A$441),--(NXT_COMPO!$P483=IDX_COMPOSITION!$R$2:$R$441),--(NXT_COMPO!$B$5=IDX_COMPOSITION!$L$2:$L$441),ROW(IDX_COMPOSITION!$F$2:$F$441)))),IF($D483&lt;=$B$4,INDEX(IDX_CA!$G$1:$G$1041,SUMPRODUCT(--($E483=IDX_CA!$A$2:$A$1041),--(NXT_COMPO!$P483=IDX_CA!$B$2:$B$1041),--(NXT_COMPO!$Q483=IDX_CA!$C$2:$C$1041),ROW(IDX_CA!$G$2:$G$1041))),""))</f>
        <v/>
      </c>
      <c r="K483" s="63" t="str">
        <f>IF($D483&lt;&gt;"",VLOOKUP($E483,STK_REF!$A$2:$J$1048576,7,0),"")</f>
        <v/>
      </c>
      <c r="L483" s="5" t="str">
        <f>IF($D483&lt;&gt;"",VLOOKUP($E483,STK_REF!$A$2:$J$1048576,8,0),"")</f>
        <v/>
      </c>
      <c r="M483" s="8" t="str">
        <f>IF($D483&lt;&gt;"",IF($K483=$U483,1,IF(ISNA(VLOOKUP($K483&amp;$U483,CUR_RATES!$A$2:$F$521,4,0)),"",VLOOKUP($K483&amp;$U483,CUR_RATES!$A$2:$F$521,4,0))),"")</f>
        <v/>
      </c>
      <c r="N483" s="61" t="str">
        <f t="shared" si="64"/>
        <v/>
      </c>
      <c r="O483" s="68" t="str">
        <f t="shared" si="65"/>
        <v/>
      </c>
      <c r="P483" s="24"/>
      <c r="Q483" s="2" t="str">
        <f>IF(ROW(Q483)-ROW($E$1)&lt;=$B$4,INDEX(IDX_COMPO!F:F,ROW(IDX_COMPO!#REF!)),"")</f>
        <v/>
      </c>
      <c r="R483" s="68" t="str">
        <f t="shared" si="66"/>
        <v/>
      </c>
      <c r="S483" s="61" t="str">
        <f t="shared" si="67"/>
        <v/>
      </c>
      <c r="T483" s="62" t="str">
        <f>IF(D483&lt;&gt;"",IF(SUMPRODUCT(--($E483=STK_DIV!$A$2:$A$5),--(NXT_COMPO!$Q483=STK_DIV!$E$2:$E$5),ROW(STK_DIV!$D$2:$D$5))=0,"",INDEX(STK_DIV!$D$1:$D$5,SUMPRODUCT(--($E483=STK_DIV!$A$2:$A$5),--(NXT_COMPO!$Q483=STK_DIV!$E$2:$E$5),ROW(STK_DIV!$D$2:$D$5)))),"")</f>
        <v/>
      </c>
      <c r="U483" s="54" t="str">
        <f>IF($D483&lt;&gt;"",VLOOKUP($P483,IDX_REF!$2:$1048576,4,0),"")</f>
        <v/>
      </c>
    </row>
    <row r="484" spans="4:21" x14ac:dyDescent="0.2">
      <c r="D484" s="52" t="str">
        <f t="shared" si="62"/>
        <v/>
      </c>
      <c r="E484" s="5" t="str">
        <f t="shared" si="63"/>
        <v/>
      </c>
      <c r="F484" s="5" t="str">
        <f>IF(ROW(F484)-ROW($E$1)&lt;=$B$1-$B$2,INDEX(IDX_COMPO!B:B,ROW(IDX_COMPO!#REF!)),IF(ROW(E484)-ROW($E$1)&lt;=$B$4,VLOOKUP(E484,STK_REF!$A$2:$J$1048576,2,0),""))</f>
        <v/>
      </c>
      <c r="J484" s="62" t="str">
        <f>IF($D484&lt;=$B$1-$B$2,IF(INDEX($AA$2:$AA$1048576,MATCH($D484,$AB$2:$AB$1048576,0))="MODIFY",INDEX(IDX_CA!$G$1:$G$1041,SUMPRODUCT(--($E484=IDX_CA!$A$2:$A$1041),--(NXT_COMPO!$P484=IDX_CA!$B$2:$B$1041),--(NXT_COMPO!$Q484=IDX_CA!$C$2:$C$1041),ROW(IDX_CA!$G$2:$G$1041))),INDEX(IDX_COMPOSITION!$F$1:$F$441,SUMPRODUCT(--($E484=IDX_COMPOSITION!$A$2:$A$441),--(NXT_COMPO!$P484=IDX_COMPOSITION!$R$2:$R$441),--(NXT_COMPO!$B$5=IDX_COMPOSITION!$L$2:$L$441),ROW(IDX_COMPOSITION!$F$2:$F$441)))),IF($D484&lt;=$B$4,INDEX(IDX_CA!$G$1:$G$1041,SUMPRODUCT(--($E484=IDX_CA!$A$2:$A$1041),--(NXT_COMPO!$P484=IDX_CA!$B$2:$B$1041),--(NXT_COMPO!$Q484=IDX_CA!$C$2:$C$1041),ROW(IDX_CA!$G$2:$G$1041))),""))</f>
        <v/>
      </c>
      <c r="K484" s="63" t="str">
        <f>IF($D484&lt;&gt;"",VLOOKUP($E484,STK_REF!$A$2:$J$1048576,7,0),"")</f>
        <v/>
      </c>
      <c r="L484" s="5" t="str">
        <f>IF($D484&lt;&gt;"",VLOOKUP($E484,STK_REF!$A$2:$J$1048576,8,0),"")</f>
        <v/>
      </c>
      <c r="M484" s="8" t="str">
        <f>IF($D484&lt;&gt;"",IF($K484=$U484,1,IF(ISNA(VLOOKUP($K484&amp;$U484,CUR_RATES!$A$2:$F$521,4,0)),"",VLOOKUP($K484&amp;$U484,CUR_RATES!$A$2:$F$521,4,0))),"")</f>
        <v/>
      </c>
      <c r="N484" s="61" t="str">
        <f t="shared" si="64"/>
        <v/>
      </c>
      <c r="O484" s="68" t="str">
        <f t="shared" si="65"/>
        <v/>
      </c>
      <c r="P484" s="24"/>
      <c r="Q484" s="2" t="str">
        <f>IF(ROW(Q484)-ROW($E$1)&lt;=$B$4,INDEX(IDX_COMPO!F:F,ROW(IDX_COMPO!#REF!)),"")</f>
        <v/>
      </c>
      <c r="R484" s="68" t="str">
        <f t="shared" si="66"/>
        <v/>
      </c>
      <c r="S484" s="61" t="str">
        <f t="shared" si="67"/>
        <v/>
      </c>
      <c r="T484" s="62" t="str">
        <f>IF(D484&lt;&gt;"",IF(SUMPRODUCT(--($E484=STK_DIV!$A$2:$A$5),--(NXT_COMPO!$Q484=STK_DIV!$E$2:$E$5),ROW(STK_DIV!$D$2:$D$5))=0,"",INDEX(STK_DIV!$D$1:$D$5,SUMPRODUCT(--($E484=STK_DIV!$A$2:$A$5),--(NXT_COMPO!$Q484=STK_DIV!$E$2:$E$5),ROW(STK_DIV!$D$2:$D$5)))),"")</f>
        <v/>
      </c>
      <c r="U484" s="54" t="str">
        <f>IF($D484&lt;&gt;"",VLOOKUP($P484,IDX_REF!$2:$1048576,4,0),"")</f>
        <v/>
      </c>
    </row>
    <row r="485" spans="4:21" x14ac:dyDescent="0.2">
      <c r="D485" s="52" t="str">
        <f t="shared" si="62"/>
        <v/>
      </c>
      <c r="E485" s="5" t="str">
        <f t="shared" si="63"/>
        <v/>
      </c>
      <c r="F485" s="5" t="str">
        <f>IF(ROW(F485)-ROW($E$1)&lt;=$B$1-$B$2,INDEX(IDX_COMPO!B:B,ROW(IDX_COMPO!#REF!)),IF(ROW(E485)-ROW($E$1)&lt;=$B$4,VLOOKUP(E485,STK_REF!$A$2:$J$1048576,2,0),""))</f>
        <v/>
      </c>
      <c r="J485" s="62" t="str">
        <f>IF($D485&lt;=$B$1-$B$2,IF(INDEX($AA$2:$AA$1048576,MATCH($D485,$AB$2:$AB$1048576,0))="MODIFY",INDEX(IDX_CA!$G$1:$G$1041,SUMPRODUCT(--($E485=IDX_CA!$A$2:$A$1041),--(NXT_COMPO!$P485=IDX_CA!$B$2:$B$1041),--(NXT_COMPO!$Q485=IDX_CA!$C$2:$C$1041),ROW(IDX_CA!$G$2:$G$1041))),INDEX(IDX_COMPOSITION!$F$1:$F$441,SUMPRODUCT(--($E485=IDX_COMPOSITION!$A$2:$A$441),--(NXT_COMPO!$P485=IDX_COMPOSITION!$R$2:$R$441),--(NXT_COMPO!$B$5=IDX_COMPOSITION!$L$2:$L$441),ROW(IDX_COMPOSITION!$F$2:$F$441)))),IF($D485&lt;=$B$4,INDEX(IDX_CA!$G$1:$G$1041,SUMPRODUCT(--($E485=IDX_CA!$A$2:$A$1041),--(NXT_COMPO!$P485=IDX_CA!$B$2:$B$1041),--(NXT_COMPO!$Q485=IDX_CA!$C$2:$C$1041),ROW(IDX_CA!$G$2:$G$1041))),""))</f>
        <v/>
      </c>
      <c r="K485" s="63" t="str">
        <f>IF($D485&lt;&gt;"",VLOOKUP($E485,STK_REF!$A$2:$J$1048576,7,0),"")</f>
        <v/>
      </c>
      <c r="L485" s="5" t="str">
        <f>IF($D485&lt;&gt;"",VLOOKUP($E485,STK_REF!$A$2:$J$1048576,8,0),"")</f>
        <v/>
      </c>
      <c r="M485" s="8" t="str">
        <f>IF($D485&lt;&gt;"",IF($K485=$U485,1,IF(ISNA(VLOOKUP($K485&amp;$U485,CUR_RATES!$A$2:$F$521,4,0)),"",VLOOKUP($K485&amp;$U485,CUR_RATES!$A$2:$F$521,4,0))),"")</f>
        <v/>
      </c>
      <c r="N485" s="61" t="str">
        <f t="shared" si="64"/>
        <v/>
      </c>
      <c r="O485" s="68" t="str">
        <f t="shared" si="65"/>
        <v/>
      </c>
      <c r="P485" s="24"/>
      <c r="Q485" s="2" t="str">
        <f>IF(ROW(Q485)-ROW($E$1)&lt;=$B$4,INDEX(IDX_COMPO!F:F,ROW(IDX_COMPO!#REF!)),"")</f>
        <v/>
      </c>
      <c r="R485" s="68" t="str">
        <f t="shared" si="66"/>
        <v/>
      </c>
      <c r="S485" s="61" t="str">
        <f t="shared" si="67"/>
        <v/>
      </c>
      <c r="T485" s="62" t="str">
        <f>IF(D485&lt;&gt;"",IF(SUMPRODUCT(--($E485=STK_DIV!$A$2:$A$5),--(NXT_COMPO!$Q485=STK_DIV!$E$2:$E$5),ROW(STK_DIV!$D$2:$D$5))=0,"",INDEX(STK_DIV!$D$1:$D$5,SUMPRODUCT(--($E485=STK_DIV!$A$2:$A$5),--(NXT_COMPO!$Q485=STK_DIV!$E$2:$E$5),ROW(STK_DIV!$D$2:$D$5)))),"")</f>
        <v/>
      </c>
      <c r="U485" s="54" t="str">
        <f>IF($D485&lt;&gt;"",VLOOKUP($P485,IDX_REF!$2:$1048576,4,0),"")</f>
        <v/>
      </c>
    </row>
    <row r="486" spans="4:21" x14ac:dyDescent="0.2">
      <c r="D486" s="52" t="str">
        <f t="shared" si="62"/>
        <v/>
      </c>
      <c r="E486" s="5" t="str">
        <f t="shared" si="63"/>
        <v/>
      </c>
      <c r="F486" s="5" t="str">
        <f>IF(ROW(F486)-ROW($E$1)&lt;=$B$1-$B$2,INDEX(IDX_COMPO!B:B,ROW(IDX_COMPO!#REF!)),IF(ROW(E486)-ROW($E$1)&lt;=$B$4,VLOOKUP(E486,STK_REF!$A$2:$J$1048576,2,0),""))</f>
        <v/>
      </c>
      <c r="J486" s="62" t="str">
        <f>IF($D486&lt;=$B$1-$B$2,IF(INDEX($AA$2:$AA$1048576,MATCH($D486,$AB$2:$AB$1048576,0))="MODIFY",INDEX(IDX_CA!$G$1:$G$1041,SUMPRODUCT(--($E486=IDX_CA!$A$2:$A$1041),--(NXT_COMPO!$P486=IDX_CA!$B$2:$B$1041),--(NXT_COMPO!$Q486=IDX_CA!$C$2:$C$1041),ROW(IDX_CA!$G$2:$G$1041))),INDEX(IDX_COMPOSITION!$F$1:$F$441,SUMPRODUCT(--($E486=IDX_COMPOSITION!$A$2:$A$441),--(NXT_COMPO!$P486=IDX_COMPOSITION!$R$2:$R$441),--(NXT_COMPO!$B$5=IDX_COMPOSITION!$L$2:$L$441),ROW(IDX_COMPOSITION!$F$2:$F$441)))),IF($D486&lt;=$B$4,INDEX(IDX_CA!$G$1:$G$1041,SUMPRODUCT(--($E486=IDX_CA!$A$2:$A$1041),--(NXT_COMPO!$P486=IDX_CA!$B$2:$B$1041),--(NXT_COMPO!$Q486=IDX_CA!$C$2:$C$1041),ROW(IDX_CA!$G$2:$G$1041))),""))</f>
        <v/>
      </c>
      <c r="K486" s="63" t="str">
        <f>IF($D486&lt;&gt;"",VLOOKUP($E486,STK_REF!$A$2:$J$1048576,7,0),"")</f>
        <v/>
      </c>
      <c r="L486" s="5" t="str">
        <f>IF($D486&lt;&gt;"",VLOOKUP($E486,STK_REF!$A$2:$J$1048576,8,0),"")</f>
        <v/>
      </c>
      <c r="M486" s="8" t="str">
        <f>IF($D486&lt;&gt;"",IF($K486=$U486,1,IF(ISNA(VLOOKUP($K486&amp;$U486,CUR_RATES!$A$2:$F$521,4,0)),"",VLOOKUP($K486&amp;$U486,CUR_RATES!$A$2:$F$521,4,0))),"")</f>
        <v/>
      </c>
      <c r="N486" s="61" t="str">
        <f t="shared" si="64"/>
        <v/>
      </c>
      <c r="O486" s="68" t="str">
        <f t="shared" si="65"/>
        <v/>
      </c>
      <c r="P486" s="24"/>
      <c r="Q486" s="2" t="str">
        <f>IF(ROW(Q486)-ROW($E$1)&lt;=$B$4,INDEX(IDX_COMPO!F:F,ROW(IDX_COMPO!#REF!)),"")</f>
        <v/>
      </c>
      <c r="R486" s="68" t="str">
        <f t="shared" si="66"/>
        <v/>
      </c>
      <c r="S486" s="61" t="str">
        <f t="shared" si="67"/>
        <v/>
      </c>
      <c r="T486" s="62" t="str">
        <f>IF(D486&lt;&gt;"",IF(SUMPRODUCT(--($E486=STK_DIV!$A$2:$A$5),--(NXT_COMPO!$Q486=STK_DIV!$E$2:$E$5),ROW(STK_DIV!$D$2:$D$5))=0,"",INDEX(STK_DIV!$D$1:$D$5,SUMPRODUCT(--($E486=STK_DIV!$A$2:$A$5),--(NXT_COMPO!$Q486=STK_DIV!$E$2:$E$5),ROW(STK_DIV!$D$2:$D$5)))),"")</f>
        <v/>
      </c>
      <c r="U486" s="54" t="str">
        <f>IF($D486&lt;&gt;"",VLOOKUP($P486,IDX_REF!$2:$1048576,4,0),"")</f>
        <v/>
      </c>
    </row>
    <row r="487" spans="4:21" x14ac:dyDescent="0.2">
      <c r="D487" s="52" t="str">
        <f t="shared" si="62"/>
        <v/>
      </c>
      <c r="E487" s="5" t="str">
        <f t="shared" si="63"/>
        <v/>
      </c>
      <c r="F487" s="5" t="str">
        <f>IF(ROW(F487)-ROW($E$1)&lt;=$B$1-$B$2,INDEX(IDX_COMPO!B:B,ROW(IDX_COMPO!#REF!)),IF(ROW(E487)-ROW($E$1)&lt;=$B$4,VLOOKUP(E487,STK_REF!$A$2:$J$1048576,2,0),""))</f>
        <v/>
      </c>
      <c r="J487" s="62" t="str">
        <f>IF($D487&lt;=$B$1-$B$2,IF(INDEX($AA$2:$AA$1048576,MATCH($D487,$AB$2:$AB$1048576,0))="MODIFY",INDEX(IDX_CA!$G$1:$G$1041,SUMPRODUCT(--($E487=IDX_CA!$A$2:$A$1041),--(NXT_COMPO!$P487=IDX_CA!$B$2:$B$1041),--(NXT_COMPO!$Q487=IDX_CA!$C$2:$C$1041),ROW(IDX_CA!$G$2:$G$1041))),INDEX(IDX_COMPOSITION!$F$1:$F$441,SUMPRODUCT(--($E487=IDX_COMPOSITION!$A$2:$A$441),--(NXT_COMPO!$P487=IDX_COMPOSITION!$R$2:$R$441),--(NXT_COMPO!$B$5=IDX_COMPOSITION!$L$2:$L$441),ROW(IDX_COMPOSITION!$F$2:$F$441)))),IF($D487&lt;=$B$4,INDEX(IDX_CA!$G$1:$G$1041,SUMPRODUCT(--($E487=IDX_CA!$A$2:$A$1041),--(NXT_COMPO!$P487=IDX_CA!$B$2:$B$1041),--(NXT_COMPO!$Q487=IDX_CA!$C$2:$C$1041),ROW(IDX_CA!$G$2:$G$1041))),""))</f>
        <v/>
      </c>
      <c r="K487" s="63" t="str">
        <f>IF($D487&lt;&gt;"",VLOOKUP($E487,STK_REF!$A$2:$J$1048576,7,0),"")</f>
        <v/>
      </c>
      <c r="L487" s="5" t="str">
        <f>IF($D487&lt;&gt;"",VLOOKUP($E487,STK_REF!$A$2:$J$1048576,8,0),"")</f>
        <v/>
      </c>
      <c r="M487" s="8" t="str">
        <f>IF($D487&lt;&gt;"",IF($K487=$U487,1,IF(ISNA(VLOOKUP($K487&amp;$U487,CUR_RATES!$A$2:$F$521,4,0)),"",VLOOKUP($K487&amp;$U487,CUR_RATES!$A$2:$F$521,4,0))),"")</f>
        <v/>
      </c>
      <c r="N487" s="61" t="str">
        <f t="shared" si="64"/>
        <v/>
      </c>
      <c r="O487" s="68" t="str">
        <f t="shared" si="65"/>
        <v/>
      </c>
      <c r="P487" s="24"/>
      <c r="Q487" s="2" t="str">
        <f>IF(ROW(Q487)-ROW($E$1)&lt;=$B$4,INDEX(IDX_COMPO!F:F,ROW(IDX_COMPO!#REF!)),"")</f>
        <v/>
      </c>
      <c r="R487" s="68" t="str">
        <f t="shared" si="66"/>
        <v/>
      </c>
      <c r="S487" s="61" t="str">
        <f t="shared" si="67"/>
        <v/>
      </c>
      <c r="T487" s="62" t="str">
        <f>IF(D487&lt;&gt;"",IF(SUMPRODUCT(--($E487=STK_DIV!$A$2:$A$5),--(NXT_COMPO!$Q487=STK_DIV!$E$2:$E$5),ROW(STK_DIV!$D$2:$D$5))=0,"",INDEX(STK_DIV!$D$1:$D$5,SUMPRODUCT(--($E487=STK_DIV!$A$2:$A$5),--(NXT_COMPO!$Q487=STK_DIV!$E$2:$E$5),ROW(STK_DIV!$D$2:$D$5)))),"")</f>
        <v/>
      </c>
      <c r="U487" s="54" t="str">
        <f>IF($D487&lt;&gt;"",VLOOKUP($P487,IDX_REF!$2:$1048576,4,0),"")</f>
        <v/>
      </c>
    </row>
    <row r="488" spans="4:21" x14ac:dyDescent="0.2">
      <c r="D488" s="52" t="str">
        <f t="shared" si="62"/>
        <v/>
      </c>
      <c r="E488" s="5" t="str">
        <f t="shared" si="63"/>
        <v/>
      </c>
      <c r="F488" s="5" t="str">
        <f>IF(ROW(F488)-ROW($E$1)&lt;=$B$1-$B$2,INDEX(IDX_COMPO!B:B,ROW(IDX_COMPO!#REF!)),IF(ROW(E488)-ROW($E$1)&lt;=$B$4,VLOOKUP(E488,STK_REF!$A$2:$J$1048576,2,0),""))</f>
        <v/>
      </c>
      <c r="J488" s="62" t="str">
        <f>IF($D488&lt;=$B$1-$B$2,IF(INDEX($AA$2:$AA$1048576,MATCH($D488,$AB$2:$AB$1048576,0))="MODIFY",INDEX(IDX_CA!$G$1:$G$1041,SUMPRODUCT(--($E488=IDX_CA!$A$2:$A$1041),--(NXT_COMPO!$P488=IDX_CA!$B$2:$B$1041),--(NXT_COMPO!$Q488=IDX_CA!$C$2:$C$1041),ROW(IDX_CA!$G$2:$G$1041))),INDEX(IDX_COMPOSITION!$F$1:$F$441,SUMPRODUCT(--($E488=IDX_COMPOSITION!$A$2:$A$441),--(NXT_COMPO!$P488=IDX_COMPOSITION!$R$2:$R$441),--(NXT_COMPO!$B$5=IDX_COMPOSITION!$L$2:$L$441),ROW(IDX_COMPOSITION!$F$2:$F$441)))),IF($D488&lt;=$B$4,INDEX(IDX_CA!$G$1:$G$1041,SUMPRODUCT(--($E488=IDX_CA!$A$2:$A$1041),--(NXT_COMPO!$P488=IDX_CA!$B$2:$B$1041),--(NXT_COMPO!$Q488=IDX_CA!$C$2:$C$1041),ROW(IDX_CA!$G$2:$G$1041))),""))</f>
        <v/>
      </c>
      <c r="K488" s="63" t="str">
        <f>IF($D488&lt;&gt;"",VLOOKUP($E488,STK_REF!$A$2:$J$1048576,7,0),"")</f>
        <v/>
      </c>
      <c r="L488" s="5" t="str">
        <f>IF($D488&lt;&gt;"",VLOOKUP($E488,STK_REF!$A$2:$J$1048576,8,0),"")</f>
        <v/>
      </c>
      <c r="M488" s="8" t="str">
        <f>IF($D488&lt;&gt;"",IF($K488=$U488,1,IF(ISNA(VLOOKUP($K488&amp;$U488,CUR_RATES!$A$2:$F$521,4,0)),"",VLOOKUP($K488&amp;$U488,CUR_RATES!$A$2:$F$521,4,0))),"")</f>
        <v/>
      </c>
      <c r="N488" s="61" t="str">
        <f t="shared" si="64"/>
        <v/>
      </c>
      <c r="O488" s="68" t="str">
        <f t="shared" si="65"/>
        <v/>
      </c>
      <c r="P488" s="24"/>
      <c r="Q488" s="2" t="str">
        <f>IF(ROW(Q488)-ROW($E$1)&lt;=$B$4,INDEX(IDX_COMPO!F:F,ROW(IDX_COMPO!#REF!)),"")</f>
        <v/>
      </c>
      <c r="R488" s="68" t="str">
        <f t="shared" si="66"/>
        <v/>
      </c>
      <c r="S488" s="61" t="str">
        <f t="shared" si="67"/>
        <v/>
      </c>
      <c r="T488" s="62" t="str">
        <f>IF(D488&lt;&gt;"",IF(SUMPRODUCT(--($E488=STK_DIV!$A$2:$A$5),--(NXT_COMPO!$Q488=STK_DIV!$E$2:$E$5),ROW(STK_DIV!$D$2:$D$5))=0,"",INDEX(STK_DIV!$D$1:$D$5,SUMPRODUCT(--($E488=STK_DIV!$A$2:$A$5),--(NXT_COMPO!$Q488=STK_DIV!$E$2:$E$5),ROW(STK_DIV!$D$2:$D$5)))),"")</f>
        <v/>
      </c>
      <c r="U488" s="54" t="str">
        <f>IF($D488&lt;&gt;"",VLOOKUP($P488,IDX_REF!$2:$1048576,4,0),"")</f>
        <v/>
      </c>
    </row>
    <row r="489" spans="4:21" x14ac:dyDescent="0.2">
      <c r="D489" s="52" t="str">
        <f t="shared" si="62"/>
        <v/>
      </c>
      <c r="E489" s="5" t="str">
        <f t="shared" si="63"/>
        <v/>
      </c>
      <c r="F489" s="5" t="str">
        <f>IF(ROW(F489)-ROW($E$1)&lt;=$B$1-$B$2,INDEX(IDX_COMPO!B:B,ROW(IDX_COMPO!#REF!)),IF(ROW(E489)-ROW($E$1)&lt;=$B$4,VLOOKUP(E489,STK_REF!$A$2:$J$1048576,2,0),""))</f>
        <v/>
      </c>
      <c r="J489" s="62" t="str">
        <f>IF($D489&lt;=$B$1-$B$2,IF(INDEX($AA$2:$AA$1048576,MATCH($D489,$AB$2:$AB$1048576,0))="MODIFY",INDEX(IDX_CA!$G$1:$G$1041,SUMPRODUCT(--($E489=IDX_CA!$A$2:$A$1041),--(NXT_COMPO!$P489=IDX_CA!$B$2:$B$1041),--(NXT_COMPO!$Q489=IDX_CA!$C$2:$C$1041),ROW(IDX_CA!$G$2:$G$1041))),INDEX(IDX_COMPOSITION!$F$1:$F$441,SUMPRODUCT(--($E489=IDX_COMPOSITION!$A$2:$A$441),--(NXT_COMPO!$P489=IDX_COMPOSITION!$R$2:$R$441),--(NXT_COMPO!$B$5=IDX_COMPOSITION!$L$2:$L$441),ROW(IDX_COMPOSITION!$F$2:$F$441)))),IF($D489&lt;=$B$4,INDEX(IDX_CA!$G$1:$G$1041,SUMPRODUCT(--($E489=IDX_CA!$A$2:$A$1041),--(NXT_COMPO!$P489=IDX_CA!$B$2:$B$1041),--(NXT_COMPO!$Q489=IDX_CA!$C$2:$C$1041),ROW(IDX_CA!$G$2:$G$1041))),""))</f>
        <v/>
      </c>
      <c r="K489" s="63" t="str">
        <f>IF($D489&lt;&gt;"",VLOOKUP($E489,STK_REF!$A$2:$J$1048576,7,0),"")</f>
        <v/>
      </c>
      <c r="L489" s="5" t="str">
        <f>IF($D489&lt;&gt;"",VLOOKUP($E489,STK_REF!$A$2:$J$1048576,8,0),"")</f>
        <v/>
      </c>
      <c r="M489" s="8" t="str">
        <f>IF($D489&lt;&gt;"",IF($K489=$U489,1,IF(ISNA(VLOOKUP($K489&amp;$U489,CUR_RATES!$A$2:$F$521,4,0)),"",VLOOKUP($K489&amp;$U489,CUR_RATES!$A$2:$F$521,4,0))),"")</f>
        <v/>
      </c>
      <c r="N489" s="61" t="str">
        <f t="shared" si="64"/>
        <v/>
      </c>
      <c r="O489" s="68" t="str">
        <f t="shared" si="65"/>
        <v/>
      </c>
      <c r="P489" s="24"/>
      <c r="Q489" s="2" t="str">
        <f>IF(ROW(Q489)-ROW($E$1)&lt;=$B$4,INDEX(IDX_COMPO!F:F,ROW(IDX_COMPO!#REF!)),"")</f>
        <v/>
      </c>
      <c r="R489" s="68" t="str">
        <f t="shared" si="66"/>
        <v/>
      </c>
      <c r="S489" s="61" t="str">
        <f t="shared" si="67"/>
        <v/>
      </c>
      <c r="T489" s="62" t="str">
        <f>IF(D489&lt;&gt;"",IF(SUMPRODUCT(--($E489=STK_DIV!$A$2:$A$5),--(NXT_COMPO!$Q489=STK_DIV!$E$2:$E$5),ROW(STK_DIV!$D$2:$D$5))=0,"",INDEX(STK_DIV!$D$1:$D$5,SUMPRODUCT(--($E489=STK_DIV!$A$2:$A$5),--(NXT_COMPO!$Q489=STK_DIV!$E$2:$E$5),ROW(STK_DIV!$D$2:$D$5)))),"")</f>
        <v/>
      </c>
      <c r="U489" s="54" t="str">
        <f>IF($D489&lt;&gt;"",VLOOKUP($P489,IDX_REF!$2:$1048576,4,0),"")</f>
        <v/>
      </c>
    </row>
    <row r="490" spans="4:21" x14ac:dyDescent="0.2">
      <c r="D490" s="52" t="str">
        <f t="shared" si="62"/>
        <v/>
      </c>
      <c r="E490" s="5" t="str">
        <f t="shared" si="63"/>
        <v/>
      </c>
      <c r="F490" s="5" t="str">
        <f>IF(ROW(F490)-ROW($E$1)&lt;=$B$1-$B$2,INDEX(IDX_COMPO!B:B,ROW(IDX_COMPO!#REF!)),IF(ROW(E490)-ROW($E$1)&lt;=$B$4,VLOOKUP(E490,STK_REF!$A$2:$J$1048576,2,0),""))</f>
        <v/>
      </c>
      <c r="J490" s="62" t="str">
        <f>IF($D490&lt;=$B$1-$B$2,IF(INDEX($AA$2:$AA$1048576,MATCH($D490,$AB$2:$AB$1048576,0))="MODIFY",INDEX(IDX_CA!$G$1:$G$1041,SUMPRODUCT(--($E490=IDX_CA!$A$2:$A$1041),--(NXT_COMPO!$P490=IDX_CA!$B$2:$B$1041),--(NXT_COMPO!$Q490=IDX_CA!$C$2:$C$1041),ROW(IDX_CA!$G$2:$G$1041))),INDEX(IDX_COMPOSITION!$F$1:$F$441,SUMPRODUCT(--($E490=IDX_COMPOSITION!$A$2:$A$441),--(NXT_COMPO!$P490=IDX_COMPOSITION!$R$2:$R$441),--(NXT_COMPO!$B$5=IDX_COMPOSITION!$L$2:$L$441),ROW(IDX_COMPOSITION!$F$2:$F$441)))),IF($D490&lt;=$B$4,INDEX(IDX_CA!$G$1:$G$1041,SUMPRODUCT(--($E490=IDX_CA!$A$2:$A$1041),--(NXT_COMPO!$P490=IDX_CA!$B$2:$B$1041),--(NXT_COMPO!$Q490=IDX_CA!$C$2:$C$1041),ROW(IDX_CA!$G$2:$G$1041))),""))</f>
        <v/>
      </c>
      <c r="K490" s="63" t="str">
        <f>IF($D490&lt;&gt;"",VLOOKUP($E490,STK_REF!$A$2:$J$1048576,7,0),"")</f>
        <v/>
      </c>
      <c r="L490" s="5" t="str">
        <f>IF($D490&lt;&gt;"",VLOOKUP($E490,STK_REF!$A$2:$J$1048576,8,0),"")</f>
        <v/>
      </c>
      <c r="M490" s="8" t="str">
        <f>IF($D490&lt;&gt;"",IF($K490=$U490,1,IF(ISNA(VLOOKUP($K490&amp;$U490,CUR_RATES!$A$2:$F$521,4,0)),"",VLOOKUP($K490&amp;$U490,CUR_RATES!$A$2:$F$521,4,0))),"")</f>
        <v/>
      </c>
      <c r="N490" s="61" t="str">
        <f t="shared" si="64"/>
        <v/>
      </c>
      <c r="O490" s="68" t="str">
        <f t="shared" si="65"/>
        <v/>
      </c>
      <c r="P490" s="24"/>
      <c r="Q490" s="2" t="str">
        <f>IF(ROW(Q490)-ROW($E$1)&lt;=$B$4,INDEX(IDX_COMPO!F:F,ROW(IDX_COMPO!#REF!)),"")</f>
        <v/>
      </c>
      <c r="R490" s="68" t="str">
        <f t="shared" si="66"/>
        <v/>
      </c>
      <c r="S490" s="61" t="str">
        <f t="shared" si="67"/>
        <v/>
      </c>
      <c r="T490" s="62" t="str">
        <f>IF(D490&lt;&gt;"",IF(SUMPRODUCT(--($E490=STK_DIV!$A$2:$A$5),--(NXT_COMPO!$Q490=STK_DIV!$E$2:$E$5),ROW(STK_DIV!$D$2:$D$5))=0,"",INDEX(STK_DIV!$D$1:$D$5,SUMPRODUCT(--($E490=STK_DIV!$A$2:$A$5),--(NXT_COMPO!$Q490=STK_DIV!$E$2:$E$5),ROW(STK_DIV!$D$2:$D$5)))),"")</f>
        <v/>
      </c>
      <c r="U490" s="54" t="str">
        <f>IF($D490&lt;&gt;"",VLOOKUP($P490,IDX_REF!$2:$1048576,4,0),"")</f>
        <v/>
      </c>
    </row>
    <row r="491" spans="4:21" x14ac:dyDescent="0.2">
      <c r="D491" s="52" t="str">
        <f t="shared" si="62"/>
        <v/>
      </c>
      <c r="E491" s="5" t="str">
        <f t="shared" si="63"/>
        <v/>
      </c>
      <c r="F491" s="5" t="str">
        <f>IF(ROW(F491)-ROW($E$1)&lt;=$B$1-$B$2,INDEX(IDX_COMPO!B:B,ROW(IDX_COMPO!#REF!)),IF(ROW(E491)-ROW($E$1)&lt;=$B$4,VLOOKUP(E491,STK_REF!$A$2:$J$1048576,2,0),""))</f>
        <v/>
      </c>
      <c r="J491" s="62" t="str">
        <f>IF($D491&lt;=$B$1-$B$2,IF(INDEX($AA$2:$AA$1048576,MATCH($D491,$AB$2:$AB$1048576,0))="MODIFY",INDEX(IDX_CA!$G$1:$G$1041,SUMPRODUCT(--($E491=IDX_CA!$A$2:$A$1041),--(NXT_COMPO!$P491=IDX_CA!$B$2:$B$1041),--(NXT_COMPO!$Q491=IDX_CA!$C$2:$C$1041),ROW(IDX_CA!$G$2:$G$1041))),INDEX(IDX_COMPOSITION!$F$1:$F$441,SUMPRODUCT(--($E491=IDX_COMPOSITION!$A$2:$A$441),--(NXT_COMPO!$P491=IDX_COMPOSITION!$R$2:$R$441),--(NXT_COMPO!$B$5=IDX_COMPOSITION!$L$2:$L$441),ROW(IDX_COMPOSITION!$F$2:$F$441)))),IF($D491&lt;=$B$4,INDEX(IDX_CA!$G$1:$G$1041,SUMPRODUCT(--($E491=IDX_CA!$A$2:$A$1041),--(NXT_COMPO!$P491=IDX_CA!$B$2:$B$1041),--(NXT_COMPO!$Q491=IDX_CA!$C$2:$C$1041),ROW(IDX_CA!$G$2:$G$1041))),""))</f>
        <v/>
      </c>
      <c r="K491" s="63" t="str">
        <f>IF($D491&lt;&gt;"",VLOOKUP($E491,STK_REF!$A$2:$J$1048576,7,0),"")</f>
        <v/>
      </c>
      <c r="L491" s="5" t="str">
        <f>IF($D491&lt;&gt;"",VLOOKUP($E491,STK_REF!$A$2:$J$1048576,8,0),"")</f>
        <v/>
      </c>
      <c r="M491" s="8" t="str">
        <f>IF($D491&lt;&gt;"",IF($K491=$U491,1,IF(ISNA(VLOOKUP($K491&amp;$U491,CUR_RATES!$A$2:$F$521,4,0)),"",VLOOKUP($K491&amp;$U491,CUR_RATES!$A$2:$F$521,4,0))),"")</f>
        <v/>
      </c>
      <c r="N491" s="61" t="str">
        <f t="shared" si="64"/>
        <v/>
      </c>
      <c r="O491" s="68" t="str">
        <f t="shared" si="65"/>
        <v/>
      </c>
      <c r="P491" s="24"/>
      <c r="Q491" s="2" t="str">
        <f>IF(ROW(Q491)-ROW($E$1)&lt;=$B$4,INDEX(IDX_COMPO!F:F,ROW(IDX_COMPO!#REF!)),"")</f>
        <v/>
      </c>
      <c r="R491" s="68" t="str">
        <f t="shared" si="66"/>
        <v/>
      </c>
      <c r="S491" s="61" t="str">
        <f t="shared" si="67"/>
        <v/>
      </c>
      <c r="T491" s="62" t="str">
        <f>IF(D491&lt;&gt;"",IF(SUMPRODUCT(--($E491=STK_DIV!$A$2:$A$5),--(NXT_COMPO!$Q491=STK_DIV!$E$2:$E$5),ROW(STK_DIV!$D$2:$D$5))=0,"",INDEX(STK_DIV!$D$1:$D$5,SUMPRODUCT(--($E491=STK_DIV!$A$2:$A$5),--(NXT_COMPO!$Q491=STK_DIV!$E$2:$E$5),ROW(STK_DIV!$D$2:$D$5)))),"")</f>
        <v/>
      </c>
      <c r="U491" s="54" t="str">
        <f>IF($D491&lt;&gt;"",VLOOKUP($P491,IDX_REF!$2:$1048576,4,0),"")</f>
        <v/>
      </c>
    </row>
    <row r="492" spans="4:21" x14ac:dyDescent="0.2">
      <c r="D492" s="52" t="str">
        <f t="shared" si="62"/>
        <v/>
      </c>
      <c r="E492" s="5" t="str">
        <f t="shared" si="63"/>
        <v/>
      </c>
      <c r="F492" s="5" t="str">
        <f>IF(ROW(F492)-ROW($E$1)&lt;=$B$1-$B$2,INDEX(IDX_COMPO!B:B,ROW(IDX_COMPO!#REF!)),IF(ROW(E492)-ROW($E$1)&lt;=$B$4,VLOOKUP(E492,STK_REF!$A$2:$J$1048576,2,0),""))</f>
        <v/>
      </c>
      <c r="J492" s="62" t="str">
        <f>IF($D492&lt;=$B$1-$B$2,IF(INDEX($AA$2:$AA$1048576,MATCH($D492,$AB$2:$AB$1048576,0))="MODIFY",INDEX(IDX_CA!$G$1:$G$1041,SUMPRODUCT(--($E492=IDX_CA!$A$2:$A$1041),--(NXT_COMPO!$P492=IDX_CA!$B$2:$B$1041),--(NXT_COMPO!$Q492=IDX_CA!$C$2:$C$1041),ROW(IDX_CA!$G$2:$G$1041))),INDEX(IDX_COMPOSITION!$F$1:$F$441,SUMPRODUCT(--($E492=IDX_COMPOSITION!$A$2:$A$441),--(NXT_COMPO!$P492=IDX_COMPOSITION!$R$2:$R$441),--(NXT_COMPO!$B$5=IDX_COMPOSITION!$L$2:$L$441),ROW(IDX_COMPOSITION!$F$2:$F$441)))),IF($D492&lt;=$B$4,INDEX(IDX_CA!$G$1:$G$1041,SUMPRODUCT(--($E492=IDX_CA!$A$2:$A$1041),--(NXT_COMPO!$P492=IDX_CA!$B$2:$B$1041),--(NXT_COMPO!$Q492=IDX_CA!$C$2:$C$1041),ROW(IDX_CA!$G$2:$G$1041))),""))</f>
        <v/>
      </c>
      <c r="K492" s="63" t="str">
        <f>IF($D492&lt;&gt;"",VLOOKUP($E492,STK_REF!$A$2:$J$1048576,7,0),"")</f>
        <v/>
      </c>
      <c r="L492" s="5" t="str">
        <f>IF($D492&lt;&gt;"",VLOOKUP($E492,STK_REF!$A$2:$J$1048576,8,0),"")</f>
        <v/>
      </c>
      <c r="M492" s="8" t="str">
        <f>IF($D492&lt;&gt;"",IF($K492=$U492,1,IF(ISNA(VLOOKUP($K492&amp;$U492,CUR_RATES!$A$2:$F$521,4,0)),"",VLOOKUP($K492&amp;$U492,CUR_RATES!$A$2:$F$521,4,0))),"")</f>
        <v/>
      </c>
      <c r="N492" s="61" t="str">
        <f t="shared" si="64"/>
        <v/>
      </c>
      <c r="O492" s="68" t="str">
        <f t="shared" si="65"/>
        <v/>
      </c>
      <c r="P492" s="24"/>
      <c r="Q492" s="2" t="str">
        <f>IF(ROW(Q492)-ROW($E$1)&lt;=$B$4,INDEX(IDX_COMPO!F:F,ROW(IDX_COMPO!#REF!)),"")</f>
        <v/>
      </c>
      <c r="R492" s="68" t="str">
        <f t="shared" si="66"/>
        <v/>
      </c>
      <c r="S492" s="61" t="str">
        <f t="shared" si="67"/>
        <v/>
      </c>
      <c r="T492" s="62" t="str">
        <f>IF(D492&lt;&gt;"",IF(SUMPRODUCT(--($E492=STK_DIV!$A$2:$A$5),--(NXT_COMPO!$Q492=STK_DIV!$E$2:$E$5),ROW(STK_DIV!$D$2:$D$5))=0,"",INDEX(STK_DIV!$D$1:$D$5,SUMPRODUCT(--($E492=STK_DIV!$A$2:$A$5),--(NXT_COMPO!$Q492=STK_DIV!$E$2:$E$5),ROW(STK_DIV!$D$2:$D$5)))),"")</f>
        <v/>
      </c>
      <c r="U492" s="54" t="str">
        <f>IF($D492&lt;&gt;"",VLOOKUP($P492,IDX_REF!$2:$1048576,4,0),"")</f>
        <v/>
      </c>
    </row>
    <row r="493" spans="4:21" x14ac:dyDescent="0.2">
      <c r="D493" s="52" t="str">
        <f t="shared" si="62"/>
        <v/>
      </c>
      <c r="E493" s="5" t="str">
        <f t="shared" si="63"/>
        <v/>
      </c>
      <c r="F493" s="5" t="str">
        <f>IF(ROW(F493)-ROW($E$1)&lt;=$B$1-$B$2,INDEX(IDX_COMPO!B:B,ROW(IDX_COMPO!#REF!)),IF(ROW(E493)-ROW($E$1)&lt;=$B$4,VLOOKUP(E493,STK_REF!$A$2:$J$1048576,2,0),""))</f>
        <v/>
      </c>
      <c r="J493" s="62" t="str">
        <f>IF($D493&lt;=$B$1-$B$2,IF(INDEX($AA$2:$AA$1048576,MATCH($D493,$AB$2:$AB$1048576,0))="MODIFY",INDEX(IDX_CA!$G$1:$G$1041,SUMPRODUCT(--($E493=IDX_CA!$A$2:$A$1041),--(NXT_COMPO!$P493=IDX_CA!$B$2:$B$1041),--(NXT_COMPO!$Q493=IDX_CA!$C$2:$C$1041),ROW(IDX_CA!$G$2:$G$1041))),INDEX(IDX_COMPOSITION!$F$1:$F$441,SUMPRODUCT(--($E493=IDX_COMPOSITION!$A$2:$A$441),--(NXT_COMPO!$P493=IDX_COMPOSITION!$R$2:$R$441),--(NXT_COMPO!$B$5=IDX_COMPOSITION!$L$2:$L$441),ROW(IDX_COMPOSITION!$F$2:$F$441)))),IF($D493&lt;=$B$4,INDEX(IDX_CA!$G$1:$G$1041,SUMPRODUCT(--($E493=IDX_CA!$A$2:$A$1041),--(NXT_COMPO!$P493=IDX_CA!$B$2:$B$1041),--(NXT_COMPO!$Q493=IDX_CA!$C$2:$C$1041),ROW(IDX_CA!$G$2:$G$1041))),""))</f>
        <v/>
      </c>
      <c r="K493" s="63" t="str">
        <f>IF($D493&lt;&gt;"",VLOOKUP($E493,STK_REF!$A$2:$J$1048576,7,0),"")</f>
        <v/>
      </c>
      <c r="L493" s="5" t="str">
        <f>IF($D493&lt;&gt;"",VLOOKUP($E493,STK_REF!$A$2:$J$1048576,8,0),"")</f>
        <v/>
      </c>
      <c r="M493" s="8" t="str">
        <f>IF($D493&lt;&gt;"",IF($K493=$U493,1,IF(ISNA(VLOOKUP($K493&amp;$U493,CUR_RATES!$A$2:$F$521,4,0)),"",VLOOKUP($K493&amp;$U493,CUR_RATES!$A$2:$F$521,4,0))),"")</f>
        <v/>
      </c>
      <c r="N493" s="61" t="str">
        <f t="shared" si="64"/>
        <v/>
      </c>
      <c r="O493" s="68" t="str">
        <f t="shared" si="65"/>
        <v/>
      </c>
      <c r="P493" s="24"/>
      <c r="Q493" s="2" t="str">
        <f>IF(ROW(Q493)-ROW($E$1)&lt;=$B$4,INDEX(IDX_COMPO!F:F,ROW(IDX_COMPO!#REF!)),"")</f>
        <v/>
      </c>
      <c r="R493" s="68" t="str">
        <f t="shared" si="66"/>
        <v/>
      </c>
      <c r="S493" s="61" t="str">
        <f t="shared" si="67"/>
        <v/>
      </c>
      <c r="T493" s="62" t="str">
        <f>IF(D493&lt;&gt;"",IF(SUMPRODUCT(--($E493=STK_DIV!$A$2:$A$5),--(NXT_COMPO!$Q493=STK_DIV!$E$2:$E$5),ROW(STK_DIV!$D$2:$D$5))=0,"",INDEX(STK_DIV!$D$1:$D$5,SUMPRODUCT(--($E493=STK_DIV!$A$2:$A$5),--(NXT_COMPO!$Q493=STK_DIV!$E$2:$E$5),ROW(STK_DIV!$D$2:$D$5)))),"")</f>
        <v/>
      </c>
      <c r="U493" s="54" t="str">
        <f>IF($D493&lt;&gt;"",VLOOKUP($P493,IDX_REF!$2:$1048576,4,0),"")</f>
        <v/>
      </c>
    </row>
    <row r="494" spans="4:21" x14ac:dyDescent="0.2">
      <c r="D494" s="52" t="str">
        <f t="shared" si="62"/>
        <v/>
      </c>
      <c r="E494" s="5" t="str">
        <f t="shared" si="63"/>
        <v/>
      </c>
      <c r="F494" s="5" t="str">
        <f>IF(ROW(F494)-ROW($E$1)&lt;=$B$1-$B$2,INDEX(IDX_COMPO!B:B,ROW(IDX_COMPO!#REF!)),IF(ROW(E494)-ROW($E$1)&lt;=$B$4,VLOOKUP(E494,STK_REF!$A$2:$J$1048576,2,0),""))</f>
        <v/>
      </c>
      <c r="J494" s="62" t="str">
        <f>IF($D494&lt;=$B$1-$B$2,IF(INDEX($AA$2:$AA$1048576,MATCH($D494,$AB$2:$AB$1048576,0))="MODIFY",INDEX(IDX_CA!$G$1:$G$1041,SUMPRODUCT(--($E494=IDX_CA!$A$2:$A$1041),--(NXT_COMPO!$P494=IDX_CA!$B$2:$B$1041),--(NXT_COMPO!$Q494=IDX_CA!$C$2:$C$1041),ROW(IDX_CA!$G$2:$G$1041))),INDEX(IDX_COMPOSITION!$F$1:$F$441,SUMPRODUCT(--($E494=IDX_COMPOSITION!$A$2:$A$441),--(NXT_COMPO!$P494=IDX_COMPOSITION!$R$2:$R$441),--(NXT_COMPO!$B$5=IDX_COMPOSITION!$L$2:$L$441),ROW(IDX_COMPOSITION!$F$2:$F$441)))),IF($D494&lt;=$B$4,INDEX(IDX_CA!$G$1:$G$1041,SUMPRODUCT(--($E494=IDX_CA!$A$2:$A$1041),--(NXT_COMPO!$P494=IDX_CA!$B$2:$B$1041),--(NXT_COMPO!$Q494=IDX_CA!$C$2:$C$1041),ROW(IDX_CA!$G$2:$G$1041))),""))</f>
        <v/>
      </c>
      <c r="K494" s="63" t="str">
        <f>IF($D494&lt;&gt;"",VLOOKUP($E494,STK_REF!$A$2:$J$1048576,7,0),"")</f>
        <v/>
      </c>
      <c r="L494" s="5" t="str">
        <f>IF($D494&lt;&gt;"",VLOOKUP($E494,STK_REF!$A$2:$J$1048576,8,0),"")</f>
        <v/>
      </c>
      <c r="M494" s="8" t="str">
        <f>IF($D494&lt;&gt;"",IF($K494=$U494,1,IF(ISNA(VLOOKUP($K494&amp;$U494,CUR_RATES!$A$2:$F$521,4,0)),"",VLOOKUP($K494&amp;$U494,CUR_RATES!$A$2:$F$521,4,0))),"")</f>
        <v/>
      </c>
      <c r="N494" s="61" t="str">
        <f t="shared" si="64"/>
        <v/>
      </c>
      <c r="O494" s="68" t="str">
        <f t="shared" si="65"/>
        <v/>
      </c>
      <c r="P494" s="24"/>
      <c r="Q494" s="2" t="str">
        <f>IF(ROW(Q494)-ROW($E$1)&lt;=$B$4,INDEX(IDX_COMPO!F:F,ROW(IDX_COMPO!#REF!)),"")</f>
        <v/>
      </c>
      <c r="R494" s="68" t="str">
        <f t="shared" si="66"/>
        <v/>
      </c>
      <c r="S494" s="61" t="str">
        <f t="shared" si="67"/>
        <v/>
      </c>
      <c r="T494" s="62" t="str">
        <f>IF(D494&lt;&gt;"",IF(SUMPRODUCT(--($E494=STK_DIV!$A$2:$A$5),--(NXT_COMPO!$Q494=STK_DIV!$E$2:$E$5),ROW(STK_DIV!$D$2:$D$5))=0,"",INDEX(STK_DIV!$D$1:$D$5,SUMPRODUCT(--($E494=STK_DIV!$A$2:$A$5),--(NXT_COMPO!$Q494=STK_DIV!$E$2:$E$5),ROW(STK_DIV!$D$2:$D$5)))),"")</f>
        <v/>
      </c>
      <c r="U494" s="54" t="str">
        <f>IF($D494&lt;&gt;"",VLOOKUP($P494,IDX_REF!$2:$1048576,4,0),"")</f>
        <v/>
      </c>
    </row>
    <row r="495" spans="4:21" x14ac:dyDescent="0.2">
      <c r="D495" s="52" t="str">
        <f t="shared" si="62"/>
        <v/>
      </c>
      <c r="E495" s="5" t="str">
        <f t="shared" si="63"/>
        <v/>
      </c>
      <c r="F495" s="5" t="str">
        <f>IF(ROW(F495)-ROW($E$1)&lt;=$B$1-$B$2,INDEX(IDX_COMPO!B:B,ROW(IDX_COMPO!#REF!)),IF(ROW(E495)-ROW($E$1)&lt;=$B$4,VLOOKUP(E495,STK_REF!$A$2:$J$1048576,2,0),""))</f>
        <v/>
      </c>
      <c r="J495" s="62" t="str">
        <f>IF($D495&lt;=$B$1-$B$2,IF(INDEX($AA$2:$AA$1048576,MATCH($D495,$AB$2:$AB$1048576,0))="MODIFY",INDEX(IDX_CA!$G$1:$G$1041,SUMPRODUCT(--($E495=IDX_CA!$A$2:$A$1041),--(NXT_COMPO!$P495=IDX_CA!$B$2:$B$1041),--(NXT_COMPO!$Q495=IDX_CA!$C$2:$C$1041),ROW(IDX_CA!$G$2:$G$1041))),INDEX(IDX_COMPOSITION!$F$1:$F$441,SUMPRODUCT(--($E495=IDX_COMPOSITION!$A$2:$A$441),--(NXT_COMPO!$P495=IDX_COMPOSITION!$R$2:$R$441),--(NXT_COMPO!$B$5=IDX_COMPOSITION!$L$2:$L$441),ROW(IDX_COMPOSITION!$F$2:$F$441)))),IF($D495&lt;=$B$4,INDEX(IDX_CA!$G$1:$G$1041,SUMPRODUCT(--($E495=IDX_CA!$A$2:$A$1041),--(NXT_COMPO!$P495=IDX_CA!$B$2:$B$1041),--(NXT_COMPO!$Q495=IDX_CA!$C$2:$C$1041),ROW(IDX_CA!$G$2:$G$1041))),""))</f>
        <v/>
      </c>
      <c r="K495" s="63" t="str">
        <f>IF($D495&lt;&gt;"",VLOOKUP($E495,STK_REF!$A$2:$J$1048576,7,0),"")</f>
        <v/>
      </c>
      <c r="L495" s="5" t="str">
        <f>IF($D495&lt;&gt;"",VLOOKUP($E495,STK_REF!$A$2:$J$1048576,8,0),"")</f>
        <v/>
      </c>
      <c r="M495" s="8" t="str">
        <f>IF($D495&lt;&gt;"",IF($K495=$U495,1,IF(ISNA(VLOOKUP($K495&amp;$U495,CUR_RATES!$A$2:$F$521,4,0)),"",VLOOKUP($K495&amp;$U495,CUR_RATES!$A$2:$F$521,4,0))),"")</f>
        <v/>
      </c>
      <c r="N495" s="61" t="str">
        <f t="shared" si="64"/>
        <v/>
      </c>
      <c r="O495" s="68" t="str">
        <f t="shared" si="65"/>
        <v/>
      </c>
      <c r="P495" s="24"/>
      <c r="Q495" s="2" t="str">
        <f>IF(ROW(Q495)-ROW($E$1)&lt;=$B$4,INDEX(IDX_COMPO!F:F,ROW(IDX_COMPO!#REF!)),"")</f>
        <v/>
      </c>
      <c r="R495" s="68" t="str">
        <f t="shared" si="66"/>
        <v/>
      </c>
      <c r="S495" s="61" t="str">
        <f t="shared" si="67"/>
        <v/>
      </c>
      <c r="T495" s="62" t="str">
        <f>IF(D495&lt;&gt;"",IF(SUMPRODUCT(--($E495=STK_DIV!$A$2:$A$5),--(NXT_COMPO!$Q495=STK_DIV!$E$2:$E$5),ROW(STK_DIV!$D$2:$D$5))=0,"",INDEX(STK_DIV!$D$1:$D$5,SUMPRODUCT(--($E495=STK_DIV!$A$2:$A$5),--(NXT_COMPO!$Q495=STK_DIV!$E$2:$E$5),ROW(STK_DIV!$D$2:$D$5)))),"")</f>
        <v/>
      </c>
      <c r="U495" s="54" t="str">
        <f>IF($D495&lt;&gt;"",VLOOKUP($P495,IDX_REF!$2:$1048576,4,0),"")</f>
        <v/>
      </c>
    </row>
    <row r="496" spans="4:21" x14ac:dyDescent="0.2">
      <c r="D496" s="52" t="str">
        <f t="shared" si="62"/>
        <v/>
      </c>
      <c r="E496" s="5" t="str">
        <f t="shared" si="63"/>
        <v/>
      </c>
      <c r="F496" s="5" t="str">
        <f>IF(ROW(F496)-ROW($E$1)&lt;=$B$1-$B$2,INDEX(IDX_COMPO!B:B,ROW(IDX_COMPO!#REF!)),IF(ROW(E496)-ROW($E$1)&lt;=$B$4,VLOOKUP(E496,STK_REF!$A$2:$J$1048576,2,0),""))</f>
        <v/>
      </c>
      <c r="J496" s="62" t="str">
        <f>IF($D496&lt;=$B$1-$B$2,IF(INDEX($AA$2:$AA$1048576,MATCH($D496,$AB$2:$AB$1048576,0))="MODIFY",INDEX(IDX_CA!$G$1:$G$1041,SUMPRODUCT(--($E496=IDX_CA!$A$2:$A$1041),--(NXT_COMPO!$P496=IDX_CA!$B$2:$B$1041),--(NXT_COMPO!$Q496=IDX_CA!$C$2:$C$1041),ROW(IDX_CA!$G$2:$G$1041))),INDEX(IDX_COMPOSITION!$F$1:$F$441,SUMPRODUCT(--($E496=IDX_COMPOSITION!$A$2:$A$441),--(NXT_COMPO!$P496=IDX_COMPOSITION!$R$2:$R$441),--(NXT_COMPO!$B$5=IDX_COMPOSITION!$L$2:$L$441),ROW(IDX_COMPOSITION!$F$2:$F$441)))),IF($D496&lt;=$B$4,INDEX(IDX_CA!$G$1:$G$1041,SUMPRODUCT(--($E496=IDX_CA!$A$2:$A$1041),--(NXT_COMPO!$P496=IDX_CA!$B$2:$B$1041),--(NXT_COMPO!$Q496=IDX_CA!$C$2:$C$1041),ROW(IDX_CA!$G$2:$G$1041))),""))</f>
        <v/>
      </c>
      <c r="K496" s="63" t="str">
        <f>IF($D496&lt;&gt;"",VLOOKUP($E496,STK_REF!$A$2:$J$1048576,7,0),"")</f>
        <v/>
      </c>
      <c r="L496" s="5" t="str">
        <f>IF($D496&lt;&gt;"",VLOOKUP($E496,STK_REF!$A$2:$J$1048576,8,0),"")</f>
        <v/>
      </c>
      <c r="M496" s="8" t="str">
        <f>IF($D496&lt;&gt;"",IF($K496=$U496,1,IF(ISNA(VLOOKUP($K496&amp;$U496,CUR_RATES!$A$2:$F$521,4,0)),"",VLOOKUP($K496&amp;$U496,CUR_RATES!$A$2:$F$521,4,0))),"")</f>
        <v/>
      </c>
      <c r="N496" s="61" t="str">
        <f t="shared" si="64"/>
        <v/>
      </c>
      <c r="O496" s="68" t="str">
        <f t="shared" si="65"/>
        <v/>
      </c>
      <c r="P496" s="24"/>
      <c r="Q496" s="2" t="str">
        <f>IF(ROW(Q496)-ROW($E$1)&lt;=$B$4,INDEX(IDX_COMPO!F:F,ROW(IDX_COMPO!#REF!)),"")</f>
        <v/>
      </c>
      <c r="R496" s="68" t="str">
        <f t="shared" si="66"/>
        <v/>
      </c>
      <c r="S496" s="61" t="str">
        <f t="shared" si="67"/>
        <v/>
      </c>
      <c r="T496" s="62" t="str">
        <f>IF(D496&lt;&gt;"",IF(SUMPRODUCT(--($E496=STK_DIV!$A$2:$A$5),--(NXT_COMPO!$Q496=STK_DIV!$E$2:$E$5),ROW(STK_DIV!$D$2:$D$5))=0,"",INDEX(STK_DIV!$D$1:$D$5,SUMPRODUCT(--($E496=STK_DIV!$A$2:$A$5),--(NXT_COMPO!$Q496=STK_DIV!$E$2:$E$5),ROW(STK_DIV!$D$2:$D$5)))),"")</f>
        <v/>
      </c>
      <c r="U496" s="54" t="str">
        <f>IF($D496&lt;&gt;"",VLOOKUP($P496,IDX_REF!$2:$1048576,4,0),"")</f>
        <v/>
      </c>
    </row>
    <row r="497" spans="4:21" x14ac:dyDescent="0.2">
      <c r="D497" s="52" t="str">
        <f t="shared" si="62"/>
        <v/>
      </c>
      <c r="E497" s="5" t="str">
        <f t="shared" si="63"/>
        <v/>
      </c>
      <c r="F497" s="5" t="str">
        <f>IF(ROW(F497)-ROW($E$1)&lt;=$B$1-$B$2,INDEX(IDX_COMPO!B:B,ROW(IDX_COMPO!#REF!)),IF(ROW(E497)-ROW($E$1)&lt;=$B$4,VLOOKUP(E497,STK_REF!$A$2:$J$1048576,2,0),""))</f>
        <v/>
      </c>
      <c r="J497" s="62" t="str">
        <f>IF($D497&lt;=$B$1-$B$2,IF(INDEX($AA$2:$AA$1048576,MATCH($D497,$AB$2:$AB$1048576,0))="MODIFY",INDEX(IDX_CA!$G$1:$G$1041,SUMPRODUCT(--($E497=IDX_CA!$A$2:$A$1041),--(NXT_COMPO!$P497=IDX_CA!$B$2:$B$1041),--(NXT_COMPO!$Q497=IDX_CA!$C$2:$C$1041),ROW(IDX_CA!$G$2:$G$1041))),INDEX(IDX_COMPOSITION!$F$1:$F$441,SUMPRODUCT(--($E497=IDX_COMPOSITION!$A$2:$A$441),--(NXT_COMPO!$P497=IDX_COMPOSITION!$R$2:$R$441),--(NXT_COMPO!$B$5=IDX_COMPOSITION!$L$2:$L$441),ROW(IDX_COMPOSITION!$F$2:$F$441)))),IF($D497&lt;=$B$4,INDEX(IDX_CA!$G$1:$G$1041,SUMPRODUCT(--($E497=IDX_CA!$A$2:$A$1041),--(NXT_COMPO!$P497=IDX_CA!$B$2:$B$1041),--(NXT_COMPO!$Q497=IDX_CA!$C$2:$C$1041),ROW(IDX_CA!$G$2:$G$1041))),""))</f>
        <v/>
      </c>
      <c r="K497" s="63" t="str">
        <f>IF($D497&lt;&gt;"",VLOOKUP($E497,STK_REF!$A$2:$J$1048576,7,0),"")</f>
        <v/>
      </c>
      <c r="L497" s="5" t="str">
        <f>IF($D497&lt;&gt;"",VLOOKUP($E497,STK_REF!$A$2:$J$1048576,8,0),"")</f>
        <v/>
      </c>
      <c r="M497" s="8" t="str">
        <f>IF($D497&lt;&gt;"",IF($K497=$U497,1,IF(ISNA(VLOOKUP($K497&amp;$U497,CUR_RATES!$A$2:$F$521,4,0)),"",VLOOKUP($K497&amp;$U497,CUR_RATES!$A$2:$F$521,4,0))),"")</f>
        <v/>
      </c>
      <c r="N497" s="61" t="str">
        <f t="shared" si="64"/>
        <v/>
      </c>
      <c r="O497" s="68" t="str">
        <f t="shared" si="65"/>
        <v/>
      </c>
      <c r="P497" s="24"/>
      <c r="Q497" s="2" t="str">
        <f>IF(ROW(Q497)-ROW($E$1)&lt;=$B$4,INDEX(IDX_COMPO!F:F,ROW(IDX_COMPO!#REF!)),"")</f>
        <v/>
      </c>
      <c r="R497" s="68" t="str">
        <f t="shared" si="66"/>
        <v/>
      </c>
      <c r="S497" s="61" t="str">
        <f t="shared" si="67"/>
        <v/>
      </c>
      <c r="T497" s="62" t="str">
        <f>IF(D497&lt;&gt;"",IF(SUMPRODUCT(--($E497=STK_DIV!$A$2:$A$5),--(NXT_COMPO!$Q497=STK_DIV!$E$2:$E$5),ROW(STK_DIV!$D$2:$D$5))=0,"",INDEX(STK_DIV!$D$1:$D$5,SUMPRODUCT(--($E497=STK_DIV!$A$2:$A$5),--(NXT_COMPO!$Q497=STK_DIV!$E$2:$E$5),ROW(STK_DIV!$D$2:$D$5)))),"")</f>
        <v/>
      </c>
      <c r="U497" s="54" t="str">
        <f>IF($D497&lt;&gt;"",VLOOKUP($P497,IDX_REF!$2:$1048576,4,0),"")</f>
        <v/>
      </c>
    </row>
    <row r="498" spans="4:21" x14ac:dyDescent="0.2">
      <c r="D498" s="52" t="str">
        <f t="shared" si="62"/>
        <v/>
      </c>
      <c r="E498" s="5" t="str">
        <f t="shared" si="63"/>
        <v/>
      </c>
      <c r="F498" s="5" t="str">
        <f>IF(ROW(F498)-ROW($E$1)&lt;=$B$1-$B$2,INDEX(IDX_COMPO!B:B,ROW(IDX_COMPO!#REF!)),IF(ROW(E498)-ROW($E$1)&lt;=$B$4,VLOOKUP(E498,STK_REF!$A$2:$J$1048576,2,0),""))</f>
        <v/>
      </c>
      <c r="J498" s="62" t="str">
        <f>IF($D498&lt;=$B$1-$B$2,IF(INDEX($AA$2:$AA$1048576,MATCH($D498,$AB$2:$AB$1048576,0))="MODIFY",INDEX(IDX_CA!$G$1:$G$1041,SUMPRODUCT(--($E498=IDX_CA!$A$2:$A$1041),--(NXT_COMPO!$P498=IDX_CA!$B$2:$B$1041),--(NXT_COMPO!$Q498=IDX_CA!$C$2:$C$1041),ROW(IDX_CA!$G$2:$G$1041))),INDEX(IDX_COMPOSITION!$F$1:$F$441,SUMPRODUCT(--($E498=IDX_COMPOSITION!$A$2:$A$441),--(NXT_COMPO!$P498=IDX_COMPOSITION!$R$2:$R$441),--(NXT_COMPO!$B$5=IDX_COMPOSITION!$L$2:$L$441),ROW(IDX_COMPOSITION!$F$2:$F$441)))),IF($D498&lt;=$B$4,INDEX(IDX_CA!$G$1:$G$1041,SUMPRODUCT(--($E498=IDX_CA!$A$2:$A$1041),--(NXT_COMPO!$P498=IDX_CA!$B$2:$B$1041),--(NXT_COMPO!$Q498=IDX_CA!$C$2:$C$1041),ROW(IDX_CA!$G$2:$G$1041))),""))</f>
        <v/>
      </c>
      <c r="K498" s="63" t="str">
        <f>IF($D498&lt;&gt;"",VLOOKUP($E498,STK_REF!$A$2:$J$1048576,7,0),"")</f>
        <v/>
      </c>
      <c r="L498" s="5" t="str">
        <f>IF($D498&lt;&gt;"",VLOOKUP($E498,STK_REF!$A$2:$J$1048576,8,0),"")</f>
        <v/>
      </c>
      <c r="M498" s="8" t="str">
        <f>IF($D498&lt;&gt;"",IF($K498=$U498,1,IF(ISNA(VLOOKUP($K498&amp;$U498,CUR_RATES!$A$2:$F$521,4,0)),"",VLOOKUP($K498&amp;$U498,CUR_RATES!$A$2:$F$521,4,0))),"")</f>
        <v/>
      </c>
      <c r="N498" s="61" t="str">
        <f t="shared" si="64"/>
        <v/>
      </c>
      <c r="O498" s="68" t="str">
        <f t="shared" si="65"/>
        <v/>
      </c>
      <c r="P498" s="24"/>
      <c r="Q498" s="2" t="str">
        <f>IF(ROW(Q498)-ROW($E$1)&lt;=$B$4,INDEX(IDX_COMPO!F:F,ROW(IDX_COMPO!#REF!)),"")</f>
        <v/>
      </c>
      <c r="R498" s="68" t="str">
        <f t="shared" si="66"/>
        <v/>
      </c>
      <c r="S498" s="61" t="str">
        <f t="shared" si="67"/>
        <v/>
      </c>
      <c r="T498" s="62" t="str">
        <f>IF(D498&lt;&gt;"",IF(SUMPRODUCT(--($E498=STK_DIV!$A$2:$A$5),--(NXT_COMPO!$Q498=STK_DIV!$E$2:$E$5),ROW(STK_DIV!$D$2:$D$5))=0,"",INDEX(STK_DIV!$D$1:$D$5,SUMPRODUCT(--($E498=STK_DIV!$A$2:$A$5),--(NXT_COMPO!$Q498=STK_DIV!$E$2:$E$5),ROW(STK_DIV!$D$2:$D$5)))),"")</f>
        <v/>
      </c>
      <c r="U498" s="54" t="str">
        <f>IF($D498&lt;&gt;"",VLOOKUP($P498,IDX_REF!$2:$1048576,4,0),"")</f>
        <v/>
      </c>
    </row>
    <row r="499" spans="4:21" x14ac:dyDescent="0.2">
      <c r="D499" s="52" t="str">
        <f t="shared" si="62"/>
        <v/>
      </c>
      <c r="E499" s="5" t="str">
        <f t="shared" si="63"/>
        <v/>
      </c>
      <c r="F499" s="5" t="str">
        <f>IF(ROW(F499)-ROW($E$1)&lt;=$B$1-$B$2,INDEX(IDX_COMPO!B:B,ROW(IDX_COMPO!#REF!)),IF(ROW(E499)-ROW($E$1)&lt;=$B$4,VLOOKUP(E499,STK_REF!$A$2:$J$1048576,2,0),""))</f>
        <v/>
      </c>
      <c r="J499" s="62" t="str">
        <f>IF($D499&lt;=$B$1-$B$2,IF(INDEX($AA$2:$AA$1048576,MATCH($D499,$AB$2:$AB$1048576,0))="MODIFY",INDEX(IDX_CA!$G$1:$G$1041,SUMPRODUCT(--($E499=IDX_CA!$A$2:$A$1041),--(NXT_COMPO!$P499=IDX_CA!$B$2:$B$1041),--(NXT_COMPO!$Q499=IDX_CA!$C$2:$C$1041),ROW(IDX_CA!$G$2:$G$1041))),INDEX(IDX_COMPOSITION!$F$1:$F$441,SUMPRODUCT(--($E499=IDX_COMPOSITION!$A$2:$A$441),--(NXT_COMPO!$P499=IDX_COMPOSITION!$R$2:$R$441),--(NXT_COMPO!$B$5=IDX_COMPOSITION!$L$2:$L$441),ROW(IDX_COMPOSITION!$F$2:$F$441)))),IF($D499&lt;=$B$4,INDEX(IDX_CA!$G$1:$G$1041,SUMPRODUCT(--($E499=IDX_CA!$A$2:$A$1041),--(NXT_COMPO!$P499=IDX_CA!$B$2:$B$1041),--(NXT_COMPO!$Q499=IDX_CA!$C$2:$C$1041),ROW(IDX_CA!$G$2:$G$1041))),""))</f>
        <v/>
      </c>
      <c r="K499" s="63" t="str">
        <f>IF($D499&lt;&gt;"",VLOOKUP($E499,STK_REF!$A$2:$J$1048576,7,0),"")</f>
        <v/>
      </c>
      <c r="L499" s="5" t="str">
        <f>IF($D499&lt;&gt;"",VLOOKUP($E499,STK_REF!$A$2:$J$1048576,8,0),"")</f>
        <v/>
      </c>
      <c r="M499" s="8" t="str">
        <f>IF($D499&lt;&gt;"",IF($K499=$U499,1,IF(ISNA(VLOOKUP($K499&amp;$U499,CUR_RATES!$A$2:$F$521,4,0)),"",VLOOKUP($K499&amp;$U499,CUR_RATES!$A$2:$F$521,4,0))),"")</f>
        <v/>
      </c>
      <c r="N499" s="61" t="str">
        <f t="shared" si="64"/>
        <v/>
      </c>
      <c r="O499" s="68" t="str">
        <f t="shared" si="65"/>
        <v/>
      </c>
      <c r="P499" s="24"/>
      <c r="Q499" s="2" t="str">
        <f>IF(ROW(Q499)-ROW($E$1)&lt;=$B$4,INDEX(IDX_COMPO!F:F,ROW(IDX_COMPO!#REF!)),"")</f>
        <v/>
      </c>
      <c r="R499" s="68" t="str">
        <f t="shared" si="66"/>
        <v/>
      </c>
      <c r="S499" s="61" t="str">
        <f t="shared" si="67"/>
        <v/>
      </c>
      <c r="T499" s="62" t="str">
        <f>IF(D499&lt;&gt;"",IF(SUMPRODUCT(--($E499=STK_DIV!$A$2:$A$5),--(NXT_COMPO!$Q499=STK_DIV!$E$2:$E$5),ROW(STK_DIV!$D$2:$D$5))=0,"",INDEX(STK_DIV!$D$1:$D$5,SUMPRODUCT(--($E499=STK_DIV!$A$2:$A$5),--(NXT_COMPO!$Q499=STK_DIV!$E$2:$E$5),ROW(STK_DIV!$D$2:$D$5)))),"")</f>
        <v/>
      </c>
      <c r="U499" s="54" t="str">
        <f>IF($D499&lt;&gt;"",VLOOKUP($P499,IDX_REF!$2:$1048576,4,0),"")</f>
        <v/>
      </c>
    </row>
    <row r="500" spans="4:21" x14ac:dyDescent="0.2">
      <c r="D500" s="52" t="str">
        <f t="shared" si="62"/>
        <v/>
      </c>
      <c r="E500" s="5" t="str">
        <f t="shared" si="63"/>
        <v/>
      </c>
      <c r="F500" s="5" t="str">
        <f>IF(ROW(F500)-ROW($E$1)&lt;=$B$1-$B$2,INDEX(IDX_COMPO!B:B,ROW(IDX_COMPO!#REF!)),IF(ROW(E500)-ROW($E$1)&lt;=$B$4,VLOOKUP(E500,STK_REF!$A$2:$J$1048576,2,0),""))</f>
        <v/>
      </c>
      <c r="J500" s="62" t="str">
        <f>IF($D500&lt;=$B$1-$B$2,IF(INDEX($AA$2:$AA$1048576,MATCH($D500,$AB$2:$AB$1048576,0))="MODIFY",INDEX(IDX_CA!$G$1:$G$1041,SUMPRODUCT(--($E500=IDX_CA!$A$2:$A$1041),--(NXT_COMPO!$P500=IDX_CA!$B$2:$B$1041),--(NXT_COMPO!$Q500=IDX_CA!$C$2:$C$1041),ROW(IDX_CA!$G$2:$G$1041))),INDEX(IDX_COMPOSITION!$F$1:$F$441,SUMPRODUCT(--($E500=IDX_COMPOSITION!$A$2:$A$441),--(NXT_COMPO!$P500=IDX_COMPOSITION!$R$2:$R$441),--(NXT_COMPO!$B$5=IDX_COMPOSITION!$L$2:$L$441),ROW(IDX_COMPOSITION!$F$2:$F$441)))),IF($D500&lt;=$B$4,INDEX(IDX_CA!$G$1:$G$1041,SUMPRODUCT(--($E500=IDX_CA!$A$2:$A$1041),--(NXT_COMPO!$P500=IDX_CA!$B$2:$B$1041),--(NXT_COMPO!$Q500=IDX_CA!$C$2:$C$1041),ROW(IDX_CA!$G$2:$G$1041))),""))</f>
        <v/>
      </c>
      <c r="K500" s="63" t="str">
        <f>IF($D500&lt;&gt;"",VLOOKUP($E500,STK_REF!$A$2:$J$1048576,7,0),"")</f>
        <v/>
      </c>
      <c r="L500" s="5" t="str">
        <f>IF($D500&lt;&gt;"",VLOOKUP($E500,STK_REF!$A$2:$J$1048576,8,0),"")</f>
        <v/>
      </c>
      <c r="M500" s="8" t="str">
        <f>IF($D500&lt;&gt;"",IF($K500=$U500,1,IF(ISNA(VLOOKUP($K500&amp;$U500,CUR_RATES!$A$2:$F$521,4,0)),"",VLOOKUP($K500&amp;$U500,CUR_RATES!$A$2:$F$521,4,0))),"")</f>
        <v/>
      </c>
      <c r="N500" s="61" t="str">
        <f t="shared" si="64"/>
        <v/>
      </c>
      <c r="O500" s="68" t="str">
        <f t="shared" si="65"/>
        <v/>
      </c>
      <c r="P500" s="24"/>
      <c r="Q500" s="2" t="str">
        <f>IF(ROW(Q500)-ROW($E$1)&lt;=$B$4,INDEX(IDX_COMPO!F:F,ROW(IDX_COMPO!#REF!)),"")</f>
        <v/>
      </c>
      <c r="R500" s="68" t="str">
        <f t="shared" si="66"/>
        <v/>
      </c>
      <c r="S500" s="61" t="str">
        <f t="shared" si="67"/>
        <v/>
      </c>
      <c r="T500" s="62" t="str">
        <f>IF(D500&lt;&gt;"",IF(SUMPRODUCT(--($E500=STK_DIV!$A$2:$A$5),--(NXT_COMPO!$Q500=STK_DIV!$E$2:$E$5),ROW(STK_DIV!$D$2:$D$5))=0,"",INDEX(STK_DIV!$D$1:$D$5,SUMPRODUCT(--($E500=STK_DIV!$A$2:$A$5),--(NXT_COMPO!$Q500=STK_DIV!$E$2:$E$5),ROW(STK_DIV!$D$2:$D$5)))),"")</f>
        <v/>
      </c>
      <c r="U500" s="54" t="str">
        <f>IF($D500&lt;&gt;"",VLOOKUP($P500,IDX_REF!$2:$1048576,4,0),"")</f>
        <v/>
      </c>
    </row>
    <row r="501" spans="4:21" x14ac:dyDescent="0.2">
      <c r="D501" s="52" t="str">
        <f t="shared" si="62"/>
        <v/>
      </c>
      <c r="E501" s="5" t="str">
        <f t="shared" si="63"/>
        <v/>
      </c>
      <c r="F501" s="5" t="str">
        <f>IF(ROW(F501)-ROW($E$1)&lt;=$B$1-$B$2,INDEX(IDX_COMPO!B:B,ROW(IDX_COMPO!#REF!)),IF(ROW(E501)-ROW($E$1)&lt;=$B$4,VLOOKUP(E501,STK_REF!$A$2:$J$1048576,2,0),""))</f>
        <v/>
      </c>
      <c r="J501" s="62" t="str">
        <f>IF($D501&lt;=$B$1-$B$2,IF(INDEX($AA$2:$AA$1048576,MATCH($D501,$AB$2:$AB$1048576,0))="MODIFY",INDEX(IDX_CA!$G$1:$G$1041,SUMPRODUCT(--($E501=IDX_CA!$A$2:$A$1041),--(NXT_COMPO!$P501=IDX_CA!$B$2:$B$1041),--(NXT_COMPO!$Q501=IDX_CA!$C$2:$C$1041),ROW(IDX_CA!$G$2:$G$1041))),INDEX(IDX_COMPOSITION!$F$1:$F$441,SUMPRODUCT(--($E501=IDX_COMPOSITION!$A$2:$A$441),--(NXT_COMPO!$P501=IDX_COMPOSITION!$R$2:$R$441),--(NXT_COMPO!$B$5=IDX_COMPOSITION!$L$2:$L$441),ROW(IDX_COMPOSITION!$F$2:$F$441)))),IF($D501&lt;=$B$4,INDEX(IDX_CA!$G$1:$G$1041,SUMPRODUCT(--($E501=IDX_CA!$A$2:$A$1041),--(NXT_COMPO!$P501=IDX_CA!$B$2:$B$1041),--(NXT_COMPO!$Q501=IDX_CA!$C$2:$C$1041),ROW(IDX_CA!$G$2:$G$1041))),""))</f>
        <v/>
      </c>
      <c r="K501" s="63" t="str">
        <f>IF($D501&lt;&gt;"",VLOOKUP($E501,STK_REF!$A$2:$J$1048576,7,0),"")</f>
        <v/>
      </c>
      <c r="L501" s="5" t="str">
        <f>IF($D501&lt;&gt;"",VLOOKUP($E501,STK_REF!$A$2:$J$1048576,8,0),"")</f>
        <v/>
      </c>
      <c r="M501" s="8" t="str">
        <f>IF($D501&lt;&gt;"",IF($K501=$U501,1,IF(ISNA(VLOOKUP($K501&amp;$U501,CUR_RATES!$A$2:$F$521,4,0)),"",VLOOKUP($K501&amp;$U501,CUR_RATES!$A$2:$F$521,4,0))),"")</f>
        <v/>
      </c>
      <c r="N501" s="61" t="str">
        <f t="shared" si="64"/>
        <v/>
      </c>
      <c r="O501" s="68" t="str">
        <f t="shared" si="65"/>
        <v/>
      </c>
      <c r="P501" s="24"/>
      <c r="Q501" s="2" t="str">
        <f>IF(ROW(Q501)-ROW($E$1)&lt;=$B$4,INDEX(IDX_COMPO!F:F,ROW(IDX_COMPO!#REF!)),"")</f>
        <v/>
      </c>
      <c r="R501" s="68" t="str">
        <f t="shared" si="66"/>
        <v/>
      </c>
      <c r="S501" s="61" t="str">
        <f t="shared" si="67"/>
        <v/>
      </c>
      <c r="T501" s="62" t="str">
        <f>IF(D501&lt;&gt;"",IF(SUMPRODUCT(--($E501=STK_DIV!$A$2:$A$5),--(NXT_COMPO!$Q501=STK_DIV!$E$2:$E$5),ROW(STK_DIV!$D$2:$D$5))=0,"",INDEX(STK_DIV!$D$1:$D$5,SUMPRODUCT(--($E501=STK_DIV!$A$2:$A$5),--(NXT_COMPO!$Q501=STK_DIV!$E$2:$E$5),ROW(STK_DIV!$D$2:$D$5)))),"")</f>
        <v/>
      </c>
      <c r="U501" s="54" t="str">
        <f>IF($D501&lt;&gt;"",VLOOKUP($P501,IDX_REF!$2:$1048576,4,0),"")</f>
        <v/>
      </c>
    </row>
    <row r="502" spans="4:21" x14ac:dyDescent="0.2">
      <c r="D502" s="52" t="str">
        <f t="shared" si="62"/>
        <v/>
      </c>
      <c r="E502" s="5" t="str">
        <f t="shared" si="63"/>
        <v/>
      </c>
      <c r="F502" s="5" t="str">
        <f>IF(ROW(F502)-ROW($E$1)&lt;=$B$1-$B$2,INDEX(IDX_COMPO!B:B,ROW(IDX_COMPO!#REF!)),IF(ROW(E502)-ROW($E$1)&lt;=$B$4,VLOOKUP(E502,STK_REF!$A$2:$J$1048576,2,0),""))</f>
        <v/>
      </c>
      <c r="J502" s="62" t="str">
        <f>IF($D502&lt;=$B$1-$B$2,IF(INDEX($AA$2:$AA$1048576,MATCH($D502,$AB$2:$AB$1048576,0))="MODIFY",INDEX(IDX_CA!$G$1:$G$1041,SUMPRODUCT(--($E502=IDX_CA!$A$2:$A$1041),--(NXT_COMPO!$P502=IDX_CA!$B$2:$B$1041),--(NXT_COMPO!$Q502=IDX_CA!$C$2:$C$1041),ROW(IDX_CA!$G$2:$G$1041))),INDEX(IDX_COMPOSITION!$F$1:$F$441,SUMPRODUCT(--($E502=IDX_COMPOSITION!$A$2:$A$441),--(NXT_COMPO!$P502=IDX_COMPOSITION!$R$2:$R$441),--(NXT_COMPO!$B$5=IDX_COMPOSITION!$L$2:$L$441),ROW(IDX_COMPOSITION!$F$2:$F$441)))),IF($D502&lt;=$B$4,INDEX(IDX_CA!$G$1:$G$1041,SUMPRODUCT(--($E502=IDX_CA!$A$2:$A$1041),--(NXT_COMPO!$P502=IDX_CA!$B$2:$B$1041),--(NXT_COMPO!$Q502=IDX_CA!$C$2:$C$1041),ROW(IDX_CA!$G$2:$G$1041))),""))</f>
        <v/>
      </c>
      <c r="K502" s="63" t="str">
        <f>IF($D502&lt;&gt;"",VLOOKUP($E502,STK_REF!$A$2:$J$1048576,7,0),"")</f>
        <v/>
      </c>
      <c r="L502" s="5" t="str">
        <f>IF($D502&lt;&gt;"",VLOOKUP($E502,STK_REF!$A$2:$J$1048576,8,0),"")</f>
        <v/>
      </c>
      <c r="M502" s="8" t="str">
        <f>IF($D502&lt;&gt;"",IF($K502=$U502,1,IF(ISNA(VLOOKUP($K502&amp;$U502,CUR_RATES!$A$2:$F$521,4,0)),"",VLOOKUP($K502&amp;$U502,CUR_RATES!$A$2:$F$521,4,0))),"")</f>
        <v/>
      </c>
      <c r="N502" s="61" t="str">
        <f t="shared" si="64"/>
        <v/>
      </c>
      <c r="O502" s="68" t="str">
        <f t="shared" si="65"/>
        <v/>
      </c>
      <c r="P502" s="24"/>
      <c r="Q502" s="2" t="str">
        <f>IF(ROW(Q502)-ROW($E$1)&lt;=$B$4,INDEX(IDX_COMPO!F:F,ROW(IDX_COMPO!#REF!)),"")</f>
        <v/>
      </c>
      <c r="R502" s="68" t="str">
        <f t="shared" si="66"/>
        <v/>
      </c>
      <c r="S502" s="61" t="str">
        <f t="shared" si="67"/>
        <v/>
      </c>
      <c r="T502" s="62" t="str">
        <f>IF(D502&lt;&gt;"",IF(SUMPRODUCT(--($E502=STK_DIV!$A$2:$A$5),--(NXT_COMPO!$Q502=STK_DIV!$E$2:$E$5),ROW(STK_DIV!$D$2:$D$5))=0,"",INDEX(STK_DIV!$D$1:$D$5,SUMPRODUCT(--($E502=STK_DIV!$A$2:$A$5),--(NXT_COMPO!$Q502=STK_DIV!$E$2:$E$5),ROW(STK_DIV!$D$2:$D$5)))),"")</f>
        <v/>
      </c>
      <c r="U502" s="54" t="str">
        <f>IF($D502&lt;&gt;"",VLOOKUP($P502,IDX_REF!$2:$1048576,4,0),"")</f>
        <v/>
      </c>
    </row>
    <row r="503" spans="4:21" x14ac:dyDescent="0.2">
      <c r="D503" s="52" t="str">
        <f t="shared" si="62"/>
        <v/>
      </c>
      <c r="E503" s="5" t="str">
        <f t="shared" si="63"/>
        <v/>
      </c>
      <c r="F503" s="5" t="str">
        <f>IF(ROW(F503)-ROW($E$1)&lt;=$B$1-$B$2,INDEX(IDX_COMPO!B:B,ROW(IDX_COMPO!#REF!)),IF(ROW(E503)-ROW($E$1)&lt;=$B$4,VLOOKUP(E503,STK_REF!$A$2:$J$1048576,2,0),""))</f>
        <v/>
      </c>
      <c r="J503" s="62" t="str">
        <f>IF($D503&lt;=$B$1-$B$2,IF(INDEX($AA$2:$AA$1048576,MATCH($D503,$AB$2:$AB$1048576,0))="MODIFY",INDEX(IDX_CA!$G$1:$G$1041,SUMPRODUCT(--($E503=IDX_CA!$A$2:$A$1041),--(NXT_COMPO!$P503=IDX_CA!$B$2:$B$1041),--(NXT_COMPO!$Q503=IDX_CA!$C$2:$C$1041),ROW(IDX_CA!$G$2:$G$1041))),INDEX(IDX_COMPOSITION!$F$1:$F$441,SUMPRODUCT(--($E503=IDX_COMPOSITION!$A$2:$A$441),--(NXT_COMPO!$P503=IDX_COMPOSITION!$R$2:$R$441),--(NXT_COMPO!$B$5=IDX_COMPOSITION!$L$2:$L$441),ROW(IDX_COMPOSITION!$F$2:$F$441)))),IF($D503&lt;=$B$4,INDEX(IDX_CA!$G$1:$G$1041,SUMPRODUCT(--($E503=IDX_CA!$A$2:$A$1041),--(NXT_COMPO!$P503=IDX_CA!$B$2:$B$1041),--(NXT_COMPO!$Q503=IDX_CA!$C$2:$C$1041),ROW(IDX_CA!$G$2:$G$1041))),""))</f>
        <v/>
      </c>
      <c r="K503" s="63" t="str">
        <f>IF($D503&lt;&gt;"",VLOOKUP($E503,STK_REF!$A$2:$J$1048576,7,0),"")</f>
        <v/>
      </c>
      <c r="L503" s="5" t="str">
        <f>IF($D503&lt;&gt;"",VLOOKUP($E503,STK_REF!$A$2:$J$1048576,8,0),"")</f>
        <v/>
      </c>
      <c r="M503" s="8" t="str">
        <f>IF($D503&lt;&gt;"",IF($K503=$U503,1,IF(ISNA(VLOOKUP($K503&amp;$U503,CUR_RATES!$A$2:$F$521,4,0)),"",VLOOKUP($K503&amp;$U503,CUR_RATES!$A$2:$F$521,4,0))),"")</f>
        <v/>
      </c>
      <c r="N503" s="61" t="str">
        <f t="shared" si="64"/>
        <v/>
      </c>
      <c r="O503" s="68" t="str">
        <f t="shared" si="65"/>
        <v/>
      </c>
      <c r="P503" s="24"/>
      <c r="Q503" s="2" t="str">
        <f>IF(ROW(Q503)-ROW($E$1)&lt;=$B$4,INDEX(IDX_COMPO!F:F,ROW(IDX_COMPO!#REF!)),"")</f>
        <v/>
      </c>
      <c r="R503" s="68" t="str">
        <f t="shared" si="66"/>
        <v/>
      </c>
      <c r="S503" s="61" t="str">
        <f t="shared" si="67"/>
        <v/>
      </c>
      <c r="T503" s="62" t="str">
        <f>IF(D503&lt;&gt;"",IF(SUMPRODUCT(--($E503=STK_DIV!$A$2:$A$5),--(NXT_COMPO!$Q503=STK_DIV!$E$2:$E$5),ROW(STK_DIV!$D$2:$D$5))=0,"",INDEX(STK_DIV!$D$1:$D$5,SUMPRODUCT(--($E503=STK_DIV!$A$2:$A$5),--(NXT_COMPO!$Q503=STK_DIV!$E$2:$E$5),ROW(STK_DIV!$D$2:$D$5)))),"")</f>
        <v/>
      </c>
      <c r="U503" s="54" t="str">
        <f>IF($D503&lt;&gt;"",VLOOKUP($P503,IDX_REF!$2:$1048576,4,0),"")</f>
        <v/>
      </c>
    </row>
    <row r="504" spans="4:21" x14ac:dyDescent="0.2">
      <c r="D504" s="52" t="str">
        <f t="shared" si="62"/>
        <v/>
      </c>
      <c r="E504" s="5" t="str">
        <f t="shared" si="63"/>
        <v/>
      </c>
      <c r="F504" s="5" t="str">
        <f>IF(ROW(F504)-ROW($E$1)&lt;=$B$1-$B$2,INDEX(IDX_COMPO!B:B,ROW(IDX_COMPO!#REF!)),IF(ROW(E504)-ROW($E$1)&lt;=$B$4,VLOOKUP(E504,STK_REF!$A$2:$J$1048576,2,0),""))</f>
        <v/>
      </c>
      <c r="J504" s="62" t="str">
        <f>IF($D504&lt;=$B$1-$B$2,IF(INDEX($AA$2:$AA$1048576,MATCH($D504,$AB$2:$AB$1048576,0))="MODIFY",INDEX(IDX_CA!$G$1:$G$1041,SUMPRODUCT(--($E504=IDX_CA!$A$2:$A$1041),--(NXT_COMPO!$P504=IDX_CA!$B$2:$B$1041),--(NXT_COMPO!$Q504=IDX_CA!$C$2:$C$1041),ROW(IDX_CA!$G$2:$G$1041))),INDEX(IDX_COMPOSITION!$F$1:$F$441,SUMPRODUCT(--($E504=IDX_COMPOSITION!$A$2:$A$441),--(NXT_COMPO!$P504=IDX_COMPOSITION!$R$2:$R$441),--(NXT_COMPO!$B$5=IDX_COMPOSITION!$L$2:$L$441),ROW(IDX_COMPOSITION!$F$2:$F$441)))),IF($D504&lt;=$B$4,INDEX(IDX_CA!$G$1:$G$1041,SUMPRODUCT(--($E504=IDX_CA!$A$2:$A$1041),--(NXT_COMPO!$P504=IDX_CA!$B$2:$B$1041),--(NXT_COMPO!$Q504=IDX_CA!$C$2:$C$1041),ROW(IDX_CA!$G$2:$G$1041))),""))</f>
        <v/>
      </c>
      <c r="K504" s="63" t="str">
        <f>IF($D504&lt;&gt;"",VLOOKUP($E504,STK_REF!$A$2:$J$1048576,7,0),"")</f>
        <v/>
      </c>
      <c r="L504" s="5" t="str">
        <f>IF($D504&lt;&gt;"",VLOOKUP($E504,STK_REF!$A$2:$J$1048576,8,0),"")</f>
        <v/>
      </c>
      <c r="M504" s="8" t="str">
        <f>IF($D504&lt;&gt;"",IF($K504=$U504,1,IF(ISNA(VLOOKUP($K504&amp;$U504,CUR_RATES!$A$2:$F$521,4,0)),"",VLOOKUP($K504&amp;$U504,CUR_RATES!$A$2:$F$521,4,0))),"")</f>
        <v/>
      </c>
      <c r="N504" s="61" t="str">
        <f t="shared" si="64"/>
        <v/>
      </c>
      <c r="O504" s="68" t="str">
        <f t="shared" si="65"/>
        <v/>
      </c>
      <c r="P504" s="24"/>
      <c r="Q504" s="2" t="str">
        <f>IF(ROW(Q504)-ROW($E$1)&lt;=$B$4,INDEX(IDX_COMPO!F:F,ROW(IDX_COMPO!#REF!)),"")</f>
        <v/>
      </c>
      <c r="R504" s="68" t="str">
        <f t="shared" si="66"/>
        <v/>
      </c>
      <c r="S504" s="61" t="str">
        <f t="shared" si="67"/>
        <v/>
      </c>
      <c r="T504" s="62" t="str">
        <f>IF(D504&lt;&gt;"",IF(SUMPRODUCT(--($E504=STK_DIV!$A$2:$A$5),--(NXT_COMPO!$Q504=STK_DIV!$E$2:$E$5),ROW(STK_DIV!$D$2:$D$5))=0,"",INDEX(STK_DIV!$D$1:$D$5,SUMPRODUCT(--($E504=STK_DIV!$A$2:$A$5),--(NXT_COMPO!$Q504=STK_DIV!$E$2:$E$5),ROW(STK_DIV!$D$2:$D$5)))),"")</f>
        <v/>
      </c>
      <c r="U504" s="54" t="str">
        <f>IF($D504&lt;&gt;"",VLOOKUP($P504,IDX_REF!$2:$1048576,4,0),"")</f>
        <v/>
      </c>
    </row>
    <row r="505" spans="4:21" x14ac:dyDescent="0.2">
      <c r="D505" s="52" t="str">
        <f t="shared" si="62"/>
        <v/>
      </c>
      <c r="E505" s="5" t="str">
        <f t="shared" si="63"/>
        <v/>
      </c>
      <c r="F505" s="5" t="str">
        <f>IF(ROW(F505)-ROW($E$1)&lt;=$B$1-$B$2,INDEX(IDX_COMPO!B:B,ROW(IDX_COMPO!#REF!)),IF(ROW(E505)-ROW($E$1)&lt;=$B$4,VLOOKUP(E505,STK_REF!$A$2:$J$1048576,2,0),""))</f>
        <v/>
      </c>
      <c r="J505" s="62" t="str">
        <f>IF($D505&lt;=$B$1-$B$2,IF(INDEX($AA$2:$AA$1048576,MATCH($D505,$AB$2:$AB$1048576,0))="MODIFY",INDEX(IDX_CA!$G$1:$G$1041,SUMPRODUCT(--($E505=IDX_CA!$A$2:$A$1041),--(NXT_COMPO!$P505=IDX_CA!$B$2:$B$1041),--(NXT_COMPO!$Q505=IDX_CA!$C$2:$C$1041),ROW(IDX_CA!$G$2:$G$1041))),INDEX(IDX_COMPOSITION!$F$1:$F$441,SUMPRODUCT(--($E505=IDX_COMPOSITION!$A$2:$A$441),--(NXT_COMPO!$P505=IDX_COMPOSITION!$R$2:$R$441),--(NXT_COMPO!$B$5=IDX_COMPOSITION!$L$2:$L$441),ROW(IDX_COMPOSITION!$F$2:$F$441)))),IF($D505&lt;=$B$4,INDEX(IDX_CA!$G$1:$G$1041,SUMPRODUCT(--($E505=IDX_CA!$A$2:$A$1041),--(NXT_COMPO!$P505=IDX_CA!$B$2:$B$1041),--(NXT_COMPO!$Q505=IDX_CA!$C$2:$C$1041),ROW(IDX_CA!$G$2:$G$1041))),""))</f>
        <v/>
      </c>
      <c r="K505" s="63" t="str">
        <f>IF($D505&lt;&gt;"",VLOOKUP($E505,STK_REF!$A$2:$J$1048576,7,0),"")</f>
        <v/>
      </c>
      <c r="L505" s="5" t="str">
        <f>IF($D505&lt;&gt;"",VLOOKUP($E505,STK_REF!$A$2:$J$1048576,8,0),"")</f>
        <v/>
      </c>
      <c r="M505" s="8" t="str">
        <f>IF($D505&lt;&gt;"",IF($K505=$U505,1,IF(ISNA(VLOOKUP($K505&amp;$U505,CUR_RATES!$A$2:$F$521,4,0)),"",VLOOKUP($K505&amp;$U505,CUR_RATES!$A$2:$F$521,4,0))),"")</f>
        <v/>
      </c>
      <c r="N505" s="61" t="str">
        <f t="shared" si="64"/>
        <v/>
      </c>
      <c r="O505" s="68" t="str">
        <f t="shared" si="65"/>
        <v/>
      </c>
      <c r="P505" s="24"/>
      <c r="Q505" s="2" t="str">
        <f>IF(ROW(Q505)-ROW($E$1)&lt;=$B$4,INDEX(IDX_COMPO!F:F,ROW(IDX_COMPO!#REF!)),"")</f>
        <v/>
      </c>
      <c r="R505" s="68" t="str">
        <f t="shared" si="66"/>
        <v/>
      </c>
      <c r="S505" s="61" t="str">
        <f t="shared" si="67"/>
        <v/>
      </c>
      <c r="T505" s="62" t="str">
        <f>IF(D505&lt;&gt;"",IF(SUMPRODUCT(--($E505=STK_DIV!$A$2:$A$5),--(NXT_COMPO!$Q505=STK_DIV!$E$2:$E$5),ROW(STK_DIV!$D$2:$D$5))=0,"",INDEX(STK_DIV!$D$1:$D$5,SUMPRODUCT(--($E505=STK_DIV!$A$2:$A$5),--(NXT_COMPO!$Q505=STK_DIV!$E$2:$E$5),ROW(STK_DIV!$D$2:$D$5)))),"")</f>
        <v/>
      </c>
      <c r="U505" s="54" t="str">
        <f>IF($D505&lt;&gt;"",VLOOKUP($P505,IDX_REF!$2:$1048576,4,0),"")</f>
        <v/>
      </c>
    </row>
    <row r="506" spans="4:21" x14ac:dyDescent="0.2">
      <c r="D506" s="52" t="str">
        <f t="shared" si="62"/>
        <v/>
      </c>
      <c r="E506" s="5" t="str">
        <f t="shared" si="63"/>
        <v/>
      </c>
      <c r="F506" s="5" t="str">
        <f>IF(ROW(F506)-ROW($E$1)&lt;=$B$1-$B$2,INDEX(IDX_COMPO!B:B,ROW(IDX_COMPO!#REF!)),IF(ROW(E506)-ROW($E$1)&lt;=$B$4,VLOOKUP(E506,STK_REF!$A$2:$J$1048576,2,0),""))</f>
        <v/>
      </c>
      <c r="J506" s="62" t="str">
        <f>IF($D506&lt;=$B$1-$B$2,IF(INDEX($AA$2:$AA$1048576,MATCH($D506,$AB$2:$AB$1048576,0))="MODIFY",INDEX(IDX_CA!$G$1:$G$1041,SUMPRODUCT(--($E506=IDX_CA!$A$2:$A$1041),--(NXT_COMPO!$P506=IDX_CA!$B$2:$B$1041),--(NXT_COMPO!$Q506=IDX_CA!$C$2:$C$1041),ROW(IDX_CA!$G$2:$G$1041))),INDEX(IDX_COMPOSITION!$F$1:$F$441,SUMPRODUCT(--($E506=IDX_COMPOSITION!$A$2:$A$441),--(NXT_COMPO!$P506=IDX_COMPOSITION!$R$2:$R$441),--(NXT_COMPO!$B$5=IDX_COMPOSITION!$L$2:$L$441),ROW(IDX_COMPOSITION!$F$2:$F$441)))),IF($D506&lt;=$B$4,INDEX(IDX_CA!$G$1:$G$1041,SUMPRODUCT(--($E506=IDX_CA!$A$2:$A$1041),--(NXT_COMPO!$P506=IDX_CA!$B$2:$B$1041),--(NXT_COMPO!$Q506=IDX_CA!$C$2:$C$1041),ROW(IDX_CA!$G$2:$G$1041))),""))</f>
        <v/>
      </c>
      <c r="K506" s="63" t="str">
        <f>IF($D506&lt;&gt;"",VLOOKUP($E506,STK_REF!$A$2:$J$1048576,7,0),"")</f>
        <v/>
      </c>
      <c r="L506" s="5" t="str">
        <f>IF($D506&lt;&gt;"",VLOOKUP($E506,STK_REF!$A$2:$J$1048576,8,0),"")</f>
        <v/>
      </c>
      <c r="M506" s="8" t="str">
        <f>IF($D506&lt;&gt;"",IF($K506=$U506,1,IF(ISNA(VLOOKUP($K506&amp;$U506,CUR_RATES!$A$2:$F$521,4,0)),"",VLOOKUP($K506&amp;$U506,CUR_RATES!$A$2:$F$521,4,0))),"")</f>
        <v/>
      </c>
      <c r="N506" s="61" t="str">
        <f t="shared" si="64"/>
        <v/>
      </c>
      <c r="O506" s="68" t="str">
        <f t="shared" si="65"/>
        <v/>
      </c>
      <c r="P506" s="24"/>
      <c r="Q506" s="2" t="str">
        <f>IF(ROW(Q506)-ROW($E$1)&lt;=$B$4,INDEX(IDX_COMPO!F:F,ROW(IDX_COMPO!#REF!)),"")</f>
        <v/>
      </c>
      <c r="R506" s="68" t="str">
        <f t="shared" si="66"/>
        <v/>
      </c>
      <c r="S506" s="61" t="str">
        <f t="shared" si="67"/>
        <v/>
      </c>
      <c r="T506" s="62" t="str">
        <f>IF(D506&lt;&gt;"",IF(SUMPRODUCT(--($E506=STK_DIV!$A$2:$A$5),--(NXT_COMPO!$Q506=STK_DIV!$E$2:$E$5),ROW(STK_DIV!$D$2:$D$5))=0,"",INDEX(STK_DIV!$D$1:$D$5,SUMPRODUCT(--($E506=STK_DIV!$A$2:$A$5),--(NXT_COMPO!$Q506=STK_DIV!$E$2:$E$5),ROW(STK_DIV!$D$2:$D$5)))),"")</f>
        <v/>
      </c>
      <c r="U506" s="54" t="str">
        <f>IF($D506&lt;&gt;"",VLOOKUP($P506,IDX_REF!$2:$1048576,4,0),"")</f>
        <v/>
      </c>
    </row>
    <row r="507" spans="4:21" x14ac:dyDescent="0.2">
      <c r="D507" s="52" t="str">
        <f t="shared" si="62"/>
        <v/>
      </c>
      <c r="E507" s="5" t="str">
        <f t="shared" si="63"/>
        <v/>
      </c>
      <c r="F507" s="5" t="str">
        <f>IF(ROW(F507)-ROW($E$1)&lt;=$B$1-$B$2,INDEX(IDX_COMPO!B:B,ROW(IDX_COMPO!#REF!)),IF(ROW(E507)-ROW($E$1)&lt;=$B$4,VLOOKUP(E507,STK_REF!$A$2:$J$1048576,2,0),""))</f>
        <v/>
      </c>
      <c r="J507" s="62" t="str">
        <f>IF($D507&lt;=$B$1-$B$2,IF(INDEX($AA$2:$AA$1048576,MATCH($D507,$AB$2:$AB$1048576,0))="MODIFY",INDEX(IDX_CA!$G$1:$G$1041,SUMPRODUCT(--($E507=IDX_CA!$A$2:$A$1041),--(NXT_COMPO!$P507=IDX_CA!$B$2:$B$1041),--(NXT_COMPO!$Q507=IDX_CA!$C$2:$C$1041),ROW(IDX_CA!$G$2:$G$1041))),INDEX(IDX_COMPOSITION!$F$1:$F$441,SUMPRODUCT(--($E507=IDX_COMPOSITION!$A$2:$A$441),--(NXT_COMPO!$P507=IDX_COMPOSITION!$R$2:$R$441),--(NXT_COMPO!$B$5=IDX_COMPOSITION!$L$2:$L$441),ROW(IDX_COMPOSITION!$F$2:$F$441)))),IF($D507&lt;=$B$4,INDEX(IDX_CA!$G$1:$G$1041,SUMPRODUCT(--($E507=IDX_CA!$A$2:$A$1041),--(NXT_COMPO!$P507=IDX_CA!$B$2:$B$1041),--(NXT_COMPO!$Q507=IDX_CA!$C$2:$C$1041),ROW(IDX_CA!$G$2:$G$1041))),""))</f>
        <v/>
      </c>
      <c r="K507" s="63" t="str">
        <f>IF($D507&lt;&gt;"",VLOOKUP($E507,STK_REF!$A$2:$J$1048576,7,0),"")</f>
        <v/>
      </c>
      <c r="L507" s="5" t="str">
        <f>IF($D507&lt;&gt;"",VLOOKUP($E507,STK_REF!$A$2:$J$1048576,8,0),"")</f>
        <v/>
      </c>
      <c r="M507" s="8" t="str">
        <f>IF($D507&lt;&gt;"",IF($K507=$U507,1,IF(ISNA(VLOOKUP($K507&amp;$U507,CUR_RATES!$A$2:$F$521,4,0)),"",VLOOKUP($K507&amp;$U507,CUR_RATES!$A$2:$F$521,4,0))),"")</f>
        <v/>
      </c>
      <c r="N507" s="61" t="str">
        <f t="shared" si="64"/>
        <v/>
      </c>
      <c r="O507" s="68" t="str">
        <f t="shared" si="65"/>
        <v/>
      </c>
      <c r="P507" s="24"/>
      <c r="Q507" s="2" t="str">
        <f>IF(ROW(Q507)-ROW($E$1)&lt;=$B$4,INDEX(IDX_COMPO!F:F,ROW(IDX_COMPO!#REF!)),"")</f>
        <v/>
      </c>
      <c r="R507" s="68" t="str">
        <f t="shared" si="66"/>
        <v/>
      </c>
      <c r="S507" s="61" t="str">
        <f t="shared" si="67"/>
        <v/>
      </c>
      <c r="T507" s="62" t="str">
        <f>IF(D507&lt;&gt;"",IF(SUMPRODUCT(--($E507=STK_DIV!$A$2:$A$5),--(NXT_COMPO!$Q507=STK_DIV!$E$2:$E$5),ROW(STK_DIV!$D$2:$D$5))=0,"",INDEX(STK_DIV!$D$1:$D$5,SUMPRODUCT(--($E507=STK_DIV!$A$2:$A$5),--(NXT_COMPO!$Q507=STK_DIV!$E$2:$E$5),ROW(STK_DIV!$D$2:$D$5)))),"")</f>
        <v/>
      </c>
      <c r="U507" s="54" t="str">
        <f>IF($D507&lt;&gt;"",VLOOKUP($P507,IDX_REF!$2:$1048576,4,0),"")</f>
        <v/>
      </c>
    </row>
    <row r="508" spans="4:21" x14ac:dyDescent="0.2">
      <c r="D508" s="52" t="str">
        <f t="shared" si="62"/>
        <v/>
      </c>
      <c r="E508" s="5" t="str">
        <f t="shared" si="63"/>
        <v/>
      </c>
      <c r="F508" s="5" t="str">
        <f>IF(ROW(F508)-ROW($E$1)&lt;=$B$1-$B$2,INDEX(IDX_COMPO!B:B,ROW(IDX_COMPO!#REF!)),IF(ROW(E508)-ROW($E$1)&lt;=$B$4,VLOOKUP(E508,STK_REF!$A$2:$J$1048576,2,0),""))</f>
        <v/>
      </c>
      <c r="J508" s="62" t="str">
        <f>IF($D508&lt;=$B$1-$B$2,IF(INDEX($AA$2:$AA$1048576,MATCH($D508,$AB$2:$AB$1048576,0))="MODIFY",INDEX(IDX_CA!$G$1:$G$1041,SUMPRODUCT(--($E508=IDX_CA!$A$2:$A$1041),--(NXT_COMPO!$P508=IDX_CA!$B$2:$B$1041),--(NXT_COMPO!$Q508=IDX_CA!$C$2:$C$1041),ROW(IDX_CA!$G$2:$G$1041))),INDEX(IDX_COMPOSITION!$F$1:$F$441,SUMPRODUCT(--($E508=IDX_COMPOSITION!$A$2:$A$441),--(NXT_COMPO!$P508=IDX_COMPOSITION!$R$2:$R$441),--(NXT_COMPO!$B$5=IDX_COMPOSITION!$L$2:$L$441),ROW(IDX_COMPOSITION!$F$2:$F$441)))),IF($D508&lt;=$B$4,INDEX(IDX_CA!$G$1:$G$1041,SUMPRODUCT(--($E508=IDX_CA!$A$2:$A$1041),--(NXT_COMPO!$P508=IDX_CA!$B$2:$B$1041),--(NXT_COMPO!$Q508=IDX_CA!$C$2:$C$1041),ROW(IDX_CA!$G$2:$G$1041))),""))</f>
        <v/>
      </c>
      <c r="K508" s="63" t="str">
        <f>IF($D508&lt;&gt;"",VLOOKUP($E508,STK_REF!$A$2:$J$1048576,7,0),"")</f>
        <v/>
      </c>
      <c r="L508" s="5" t="str">
        <f>IF($D508&lt;&gt;"",VLOOKUP($E508,STK_REF!$A$2:$J$1048576,8,0),"")</f>
        <v/>
      </c>
      <c r="M508" s="8" t="str">
        <f>IF($D508&lt;&gt;"",IF($K508=$U508,1,IF(ISNA(VLOOKUP($K508&amp;$U508,CUR_RATES!$A$2:$F$521,4,0)),"",VLOOKUP($K508&amp;$U508,CUR_RATES!$A$2:$F$521,4,0))),"")</f>
        <v/>
      </c>
      <c r="N508" s="61" t="str">
        <f t="shared" si="64"/>
        <v/>
      </c>
      <c r="O508" s="68" t="str">
        <f t="shared" si="65"/>
        <v/>
      </c>
      <c r="P508" s="24"/>
      <c r="Q508" s="2" t="str">
        <f>IF(ROW(Q508)-ROW($E$1)&lt;=$B$4,INDEX(IDX_COMPO!F:F,ROW(IDX_COMPO!#REF!)),"")</f>
        <v/>
      </c>
      <c r="R508" s="68" t="str">
        <f t="shared" si="66"/>
        <v/>
      </c>
      <c r="S508" s="61" t="str">
        <f t="shared" si="67"/>
        <v/>
      </c>
      <c r="T508" s="62" t="str">
        <f>IF(D508&lt;&gt;"",IF(SUMPRODUCT(--($E508=STK_DIV!$A$2:$A$5),--(NXT_COMPO!$Q508=STK_DIV!$E$2:$E$5),ROW(STK_DIV!$D$2:$D$5))=0,"",INDEX(STK_DIV!$D$1:$D$5,SUMPRODUCT(--($E508=STK_DIV!$A$2:$A$5),--(NXT_COMPO!$Q508=STK_DIV!$E$2:$E$5),ROW(STK_DIV!$D$2:$D$5)))),"")</f>
        <v/>
      </c>
      <c r="U508" s="54" t="str">
        <f>IF($D508&lt;&gt;"",VLOOKUP($P508,IDX_REF!$2:$1048576,4,0),"")</f>
        <v/>
      </c>
    </row>
    <row r="509" spans="4:21" x14ac:dyDescent="0.2">
      <c r="D509" s="52" t="str">
        <f t="shared" si="62"/>
        <v/>
      </c>
      <c r="E509" s="5" t="str">
        <f t="shared" si="63"/>
        <v/>
      </c>
      <c r="F509" s="5" t="str">
        <f>IF(ROW(F509)-ROW($E$1)&lt;=$B$1-$B$2,INDEX(IDX_COMPO!B:B,ROW(IDX_COMPO!#REF!)),IF(ROW(E509)-ROW($E$1)&lt;=$B$4,VLOOKUP(E509,STK_REF!$A$2:$J$1048576,2,0),""))</f>
        <v/>
      </c>
      <c r="J509" s="62" t="str">
        <f>IF($D509&lt;=$B$1-$B$2,IF(INDEX($AA$2:$AA$1048576,MATCH($D509,$AB$2:$AB$1048576,0))="MODIFY",INDEX(IDX_CA!$G$1:$G$1041,SUMPRODUCT(--($E509=IDX_CA!$A$2:$A$1041),--(NXT_COMPO!$P509=IDX_CA!$B$2:$B$1041),--(NXT_COMPO!$Q509=IDX_CA!$C$2:$C$1041),ROW(IDX_CA!$G$2:$G$1041))),INDEX(IDX_COMPOSITION!$F$1:$F$441,SUMPRODUCT(--($E509=IDX_COMPOSITION!$A$2:$A$441),--(NXT_COMPO!$P509=IDX_COMPOSITION!$R$2:$R$441),--(NXT_COMPO!$B$5=IDX_COMPOSITION!$L$2:$L$441),ROW(IDX_COMPOSITION!$F$2:$F$441)))),IF($D509&lt;=$B$4,INDEX(IDX_CA!$G$1:$G$1041,SUMPRODUCT(--($E509=IDX_CA!$A$2:$A$1041),--(NXT_COMPO!$P509=IDX_CA!$B$2:$B$1041),--(NXT_COMPO!$Q509=IDX_CA!$C$2:$C$1041),ROW(IDX_CA!$G$2:$G$1041))),""))</f>
        <v/>
      </c>
      <c r="K509" s="63" t="str">
        <f>IF($D509&lt;&gt;"",VLOOKUP($E509,STK_REF!$A$2:$J$1048576,7,0),"")</f>
        <v/>
      </c>
      <c r="L509" s="5" t="str">
        <f>IF($D509&lt;&gt;"",VLOOKUP($E509,STK_REF!$A$2:$J$1048576,8,0),"")</f>
        <v/>
      </c>
      <c r="M509" s="8" t="str">
        <f>IF($D509&lt;&gt;"",IF($K509=$U509,1,IF(ISNA(VLOOKUP($K509&amp;$U509,CUR_RATES!$A$2:$F$521,4,0)),"",VLOOKUP($K509&amp;$U509,CUR_RATES!$A$2:$F$521,4,0))),"")</f>
        <v/>
      </c>
      <c r="N509" s="61" t="str">
        <f t="shared" si="64"/>
        <v/>
      </c>
      <c r="O509" s="68" t="str">
        <f t="shared" si="65"/>
        <v/>
      </c>
      <c r="P509" s="24"/>
      <c r="Q509" s="2" t="str">
        <f>IF(ROW(Q509)-ROW($E$1)&lt;=$B$4,INDEX(IDX_COMPO!F:F,ROW(IDX_COMPO!#REF!)),"")</f>
        <v/>
      </c>
      <c r="R509" s="68" t="str">
        <f t="shared" si="66"/>
        <v/>
      </c>
      <c r="S509" s="61" t="str">
        <f t="shared" si="67"/>
        <v/>
      </c>
      <c r="T509" s="62" t="str">
        <f>IF(D509&lt;&gt;"",IF(SUMPRODUCT(--($E509=STK_DIV!$A$2:$A$5),--(NXT_COMPO!$Q509=STK_DIV!$E$2:$E$5),ROW(STK_DIV!$D$2:$D$5))=0,"",INDEX(STK_DIV!$D$1:$D$5,SUMPRODUCT(--($E509=STK_DIV!$A$2:$A$5),--(NXT_COMPO!$Q509=STK_DIV!$E$2:$E$5),ROW(STK_DIV!$D$2:$D$5)))),"")</f>
        <v/>
      </c>
      <c r="U509" s="54" t="str">
        <f>IF($D509&lt;&gt;"",VLOOKUP($P509,IDX_REF!$2:$1048576,4,0),"")</f>
        <v/>
      </c>
    </row>
    <row r="510" spans="4:21" x14ac:dyDescent="0.2">
      <c r="D510" s="52" t="str">
        <f t="shared" si="62"/>
        <v/>
      </c>
      <c r="E510" s="5" t="str">
        <f t="shared" si="63"/>
        <v/>
      </c>
      <c r="F510" s="5" t="str">
        <f>IF(ROW(F510)-ROW($E$1)&lt;=$B$1-$B$2,INDEX(IDX_COMPO!B:B,ROW(IDX_COMPO!#REF!)),IF(ROW(E510)-ROW($E$1)&lt;=$B$4,VLOOKUP(E510,STK_REF!$A$2:$J$1048576,2,0),""))</f>
        <v/>
      </c>
      <c r="J510" s="62" t="str">
        <f>IF($D510&lt;=$B$1-$B$2,IF(INDEX($AA$2:$AA$1048576,MATCH($D510,$AB$2:$AB$1048576,0))="MODIFY",INDEX(IDX_CA!$G$1:$G$1041,SUMPRODUCT(--($E510=IDX_CA!$A$2:$A$1041),--(NXT_COMPO!$P510=IDX_CA!$B$2:$B$1041),--(NXT_COMPO!$Q510=IDX_CA!$C$2:$C$1041),ROW(IDX_CA!$G$2:$G$1041))),INDEX(IDX_COMPOSITION!$F$1:$F$441,SUMPRODUCT(--($E510=IDX_COMPOSITION!$A$2:$A$441),--(NXT_COMPO!$P510=IDX_COMPOSITION!$R$2:$R$441),--(NXT_COMPO!$B$5=IDX_COMPOSITION!$L$2:$L$441),ROW(IDX_COMPOSITION!$F$2:$F$441)))),IF($D510&lt;=$B$4,INDEX(IDX_CA!$G$1:$G$1041,SUMPRODUCT(--($E510=IDX_CA!$A$2:$A$1041),--(NXT_COMPO!$P510=IDX_CA!$B$2:$B$1041),--(NXT_COMPO!$Q510=IDX_CA!$C$2:$C$1041),ROW(IDX_CA!$G$2:$G$1041))),""))</f>
        <v/>
      </c>
      <c r="K510" s="63" t="str">
        <f>IF($D510&lt;&gt;"",VLOOKUP($E510,STK_REF!$A$2:$J$1048576,7,0),"")</f>
        <v/>
      </c>
      <c r="L510" s="5" t="str">
        <f>IF($D510&lt;&gt;"",VLOOKUP($E510,STK_REF!$A$2:$J$1048576,8,0),"")</f>
        <v/>
      </c>
      <c r="M510" s="8" t="str">
        <f>IF($D510&lt;&gt;"",IF($K510=$U510,1,IF(ISNA(VLOOKUP($K510&amp;$U510,CUR_RATES!$A$2:$F$521,4,0)),"",VLOOKUP($K510&amp;$U510,CUR_RATES!$A$2:$F$521,4,0))),"")</f>
        <v/>
      </c>
      <c r="N510" s="61" t="str">
        <f t="shared" si="64"/>
        <v/>
      </c>
      <c r="O510" s="68" t="str">
        <f t="shared" si="65"/>
        <v/>
      </c>
      <c r="P510" s="24"/>
      <c r="Q510" s="2" t="str">
        <f>IF(ROW(Q510)-ROW($E$1)&lt;=$B$4,INDEX(IDX_COMPO!F:F,ROW(IDX_COMPO!#REF!)),"")</f>
        <v/>
      </c>
      <c r="R510" s="68" t="str">
        <f t="shared" si="66"/>
        <v/>
      </c>
      <c r="S510" s="61" t="str">
        <f t="shared" si="67"/>
        <v/>
      </c>
      <c r="T510" s="62" t="str">
        <f>IF(D510&lt;&gt;"",IF(SUMPRODUCT(--($E510=STK_DIV!$A$2:$A$5),--(NXT_COMPO!$Q510=STK_DIV!$E$2:$E$5),ROW(STK_DIV!$D$2:$D$5))=0,"",INDEX(STK_DIV!$D$1:$D$5,SUMPRODUCT(--($E510=STK_DIV!$A$2:$A$5),--(NXT_COMPO!$Q510=STK_DIV!$E$2:$E$5),ROW(STK_DIV!$D$2:$D$5)))),"")</f>
        <v/>
      </c>
      <c r="U510" s="54" t="str">
        <f>IF($D510&lt;&gt;"",VLOOKUP($P510,IDX_REF!$2:$1048576,4,0),"")</f>
        <v/>
      </c>
    </row>
    <row r="511" spans="4:21" x14ac:dyDescent="0.2">
      <c r="D511" s="52" t="str">
        <f t="shared" si="62"/>
        <v/>
      </c>
      <c r="E511" s="5" t="str">
        <f t="shared" si="63"/>
        <v/>
      </c>
      <c r="F511" s="5" t="str">
        <f>IF(ROW(F511)-ROW($E$1)&lt;=$B$1-$B$2,INDEX(IDX_COMPO!B:B,ROW(IDX_COMPO!#REF!)),IF(ROW(E511)-ROW($E$1)&lt;=$B$4,VLOOKUP(E511,STK_REF!$A$2:$J$1048576,2,0),""))</f>
        <v/>
      </c>
      <c r="J511" s="62" t="str">
        <f>IF($D511&lt;=$B$1-$B$2,IF(INDEX($AA$2:$AA$1048576,MATCH($D511,$AB$2:$AB$1048576,0))="MODIFY",INDEX(IDX_CA!$G$1:$G$1041,SUMPRODUCT(--($E511=IDX_CA!$A$2:$A$1041),--(NXT_COMPO!$P511=IDX_CA!$B$2:$B$1041),--(NXT_COMPO!$Q511=IDX_CA!$C$2:$C$1041),ROW(IDX_CA!$G$2:$G$1041))),INDEX(IDX_COMPOSITION!$F$1:$F$441,SUMPRODUCT(--($E511=IDX_COMPOSITION!$A$2:$A$441),--(NXT_COMPO!$P511=IDX_COMPOSITION!$R$2:$R$441),--(NXT_COMPO!$B$5=IDX_COMPOSITION!$L$2:$L$441),ROW(IDX_COMPOSITION!$F$2:$F$441)))),IF($D511&lt;=$B$4,INDEX(IDX_CA!$G$1:$G$1041,SUMPRODUCT(--($E511=IDX_CA!$A$2:$A$1041),--(NXT_COMPO!$P511=IDX_CA!$B$2:$B$1041),--(NXT_COMPO!$Q511=IDX_CA!$C$2:$C$1041),ROW(IDX_CA!$G$2:$G$1041))),""))</f>
        <v/>
      </c>
      <c r="K511" s="63" t="str">
        <f>IF($D511&lt;&gt;"",VLOOKUP($E511,STK_REF!$A$2:$J$1048576,7,0),"")</f>
        <v/>
      </c>
      <c r="L511" s="5" t="str">
        <f>IF($D511&lt;&gt;"",VLOOKUP($E511,STK_REF!$A$2:$J$1048576,8,0),"")</f>
        <v/>
      </c>
      <c r="M511" s="8" t="str">
        <f>IF($D511&lt;&gt;"",IF($K511=$U511,1,IF(ISNA(VLOOKUP($K511&amp;$U511,CUR_RATES!$A$2:$F$521,4,0)),"",VLOOKUP($K511&amp;$U511,CUR_RATES!$A$2:$F$521,4,0))),"")</f>
        <v/>
      </c>
      <c r="N511" s="61" t="str">
        <f t="shared" si="64"/>
        <v/>
      </c>
      <c r="O511" s="68" t="str">
        <f t="shared" si="65"/>
        <v/>
      </c>
      <c r="P511" s="24"/>
      <c r="Q511" s="2" t="str">
        <f>IF(ROW(Q511)-ROW($E$1)&lt;=$B$4,INDEX(IDX_COMPO!F:F,ROW(IDX_COMPO!#REF!)),"")</f>
        <v/>
      </c>
      <c r="R511" s="68" t="str">
        <f t="shared" si="66"/>
        <v/>
      </c>
      <c r="S511" s="61" t="str">
        <f t="shared" si="67"/>
        <v/>
      </c>
      <c r="T511" s="62" t="str">
        <f>IF(D511&lt;&gt;"",IF(SUMPRODUCT(--($E511=STK_DIV!$A$2:$A$5),--(NXT_COMPO!$Q511=STK_DIV!$E$2:$E$5),ROW(STK_DIV!$D$2:$D$5))=0,"",INDEX(STK_DIV!$D$1:$D$5,SUMPRODUCT(--($E511=STK_DIV!$A$2:$A$5),--(NXT_COMPO!$Q511=STK_DIV!$E$2:$E$5),ROW(STK_DIV!$D$2:$D$5)))),"")</f>
        <v/>
      </c>
      <c r="U511" s="54" t="str">
        <f>IF($D511&lt;&gt;"",VLOOKUP($P511,IDX_REF!$2:$1048576,4,0),"")</f>
        <v/>
      </c>
    </row>
    <row r="512" spans="4:21" x14ac:dyDescent="0.2">
      <c r="D512" s="52" t="str">
        <f t="shared" si="62"/>
        <v/>
      </c>
      <c r="E512" s="5" t="str">
        <f t="shared" si="63"/>
        <v/>
      </c>
      <c r="F512" s="5" t="str">
        <f>IF(ROW(F512)-ROW($E$1)&lt;=$B$1-$B$2,INDEX(IDX_COMPO!B:B,ROW(IDX_COMPO!#REF!)),IF(ROW(E512)-ROW($E$1)&lt;=$B$4,VLOOKUP(E512,STK_REF!$A$2:$J$1048576,2,0),""))</f>
        <v/>
      </c>
      <c r="J512" s="62" t="str">
        <f>IF($D512&lt;=$B$1-$B$2,IF(INDEX($AA$2:$AA$1048576,MATCH($D512,$AB$2:$AB$1048576,0))="MODIFY",INDEX(IDX_CA!$G$1:$G$1041,SUMPRODUCT(--($E512=IDX_CA!$A$2:$A$1041),--(NXT_COMPO!$P512=IDX_CA!$B$2:$B$1041),--(NXT_COMPO!$Q512=IDX_CA!$C$2:$C$1041),ROW(IDX_CA!$G$2:$G$1041))),INDEX(IDX_COMPOSITION!$F$1:$F$441,SUMPRODUCT(--($E512=IDX_COMPOSITION!$A$2:$A$441),--(NXT_COMPO!$P512=IDX_COMPOSITION!$R$2:$R$441),--(NXT_COMPO!$B$5=IDX_COMPOSITION!$L$2:$L$441),ROW(IDX_COMPOSITION!$F$2:$F$441)))),IF($D512&lt;=$B$4,INDEX(IDX_CA!$G$1:$G$1041,SUMPRODUCT(--($E512=IDX_CA!$A$2:$A$1041),--(NXT_COMPO!$P512=IDX_CA!$B$2:$B$1041),--(NXT_COMPO!$Q512=IDX_CA!$C$2:$C$1041),ROW(IDX_CA!$G$2:$G$1041))),""))</f>
        <v/>
      </c>
      <c r="K512" s="63" t="str">
        <f>IF($D512&lt;&gt;"",VLOOKUP($E512,STK_REF!$A$2:$J$1048576,7,0),"")</f>
        <v/>
      </c>
      <c r="L512" s="5" t="str">
        <f>IF($D512&lt;&gt;"",VLOOKUP($E512,STK_REF!$A$2:$J$1048576,8,0),"")</f>
        <v/>
      </c>
      <c r="M512" s="8" t="str">
        <f>IF($D512&lt;&gt;"",IF($K512=$U512,1,IF(ISNA(VLOOKUP($K512&amp;$U512,CUR_RATES!$A$2:$F$521,4,0)),"",VLOOKUP($K512&amp;$U512,CUR_RATES!$A$2:$F$521,4,0))),"")</f>
        <v/>
      </c>
      <c r="N512" s="61" t="str">
        <f t="shared" si="64"/>
        <v/>
      </c>
      <c r="O512" s="68" t="str">
        <f t="shared" si="65"/>
        <v/>
      </c>
      <c r="P512" s="24"/>
      <c r="Q512" s="2" t="str">
        <f>IF(ROW(Q512)-ROW($E$1)&lt;=$B$4,INDEX(IDX_COMPO!F:F,ROW(IDX_COMPO!#REF!)),"")</f>
        <v/>
      </c>
      <c r="R512" s="68" t="str">
        <f t="shared" si="66"/>
        <v/>
      </c>
      <c r="S512" s="61" t="str">
        <f t="shared" si="67"/>
        <v/>
      </c>
      <c r="T512" s="62" t="str">
        <f>IF(D512&lt;&gt;"",IF(SUMPRODUCT(--($E512=STK_DIV!$A$2:$A$5),--(NXT_COMPO!$Q512=STK_DIV!$E$2:$E$5),ROW(STK_DIV!$D$2:$D$5))=0,"",INDEX(STK_DIV!$D$1:$D$5,SUMPRODUCT(--($E512=STK_DIV!$A$2:$A$5),--(NXT_COMPO!$Q512=STK_DIV!$E$2:$E$5),ROW(STK_DIV!$D$2:$D$5)))),"")</f>
        <v/>
      </c>
      <c r="U512" s="54" t="str">
        <f>IF($D512&lt;&gt;"",VLOOKUP($P512,IDX_REF!$2:$1048576,4,0),"")</f>
        <v/>
      </c>
    </row>
    <row r="513" spans="4:21" x14ac:dyDescent="0.2">
      <c r="D513" s="52" t="str">
        <f t="shared" si="62"/>
        <v/>
      </c>
      <c r="E513" s="5" t="str">
        <f t="shared" si="63"/>
        <v/>
      </c>
      <c r="F513" s="5" t="str">
        <f>IF(ROW(F513)-ROW($E$1)&lt;=$B$1-$B$2,INDEX(IDX_COMPO!B:B,ROW(IDX_COMPO!#REF!)),IF(ROW(E513)-ROW($E$1)&lt;=$B$4,VLOOKUP(E513,STK_REF!$A$2:$J$1048576,2,0),""))</f>
        <v/>
      </c>
      <c r="J513" s="62" t="str">
        <f>IF($D513&lt;=$B$1-$B$2,IF(INDEX($AA$2:$AA$1048576,MATCH($D513,$AB$2:$AB$1048576,0))="MODIFY",INDEX(IDX_CA!$G$1:$G$1041,SUMPRODUCT(--($E513=IDX_CA!$A$2:$A$1041),--(NXT_COMPO!$P513=IDX_CA!$B$2:$B$1041),--(NXT_COMPO!$Q513=IDX_CA!$C$2:$C$1041),ROW(IDX_CA!$G$2:$G$1041))),INDEX(IDX_COMPOSITION!$F$1:$F$441,SUMPRODUCT(--($E513=IDX_COMPOSITION!$A$2:$A$441),--(NXT_COMPO!$P513=IDX_COMPOSITION!$R$2:$R$441),--(NXT_COMPO!$B$5=IDX_COMPOSITION!$L$2:$L$441),ROW(IDX_COMPOSITION!$F$2:$F$441)))),IF($D513&lt;=$B$4,INDEX(IDX_CA!$G$1:$G$1041,SUMPRODUCT(--($E513=IDX_CA!$A$2:$A$1041),--(NXT_COMPO!$P513=IDX_CA!$B$2:$B$1041),--(NXT_COMPO!$Q513=IDX_CA!$C$2:$C$1041),ROW(IDX_CA!$G$2:$G$1041))),""))</f>
        <v/>
      </c>
      <c r="K513" s="63" t="str">
        <f>IF($D513&lt;&gt;"",VLOOKUP($E513,STK_REF!$A$2:$J$1048576,7,0),"")</f>
        <v/>
      </c>
      <c r="L513" s="5" t="str">
        <f>IF($D513&lt;&gt;"",VLOOKUP($E513,STK_REF!$A$2:$J$1048576,8,0),"")</f>
        <v/>
      </c>
      <c r="M513" s="8" t="str">
        <f>IF($D513&lt;&gt;"",IF($K513=$U513,1,IF(ISNA(VLOOKUP($K513&amp;$U513,CUR_RATES!$A$2:$F$521,4,0)),"",VLOOKUP($K513&amp;$U513,CUR_RATES!$A$2:$F$521,4,0))),"")</f>
        <v/>
      </c>
      <c r="N513" s="61" t="str">
        <f t="shared" si="64"/>
        <v/>
      </c>
      <c r="O513" s="68" t="str">
        <f t="shared" si="65"/>
        <v/>
      </c>
      <c r="P513" s="24"/>
      <c r="Q513" s="2" t="str">
        <f>IF(ROW(Q513)-ROW($E$1)&lt;=$B$4,INDEX(IDX_COMPO!F:F,ROW(IDX_COMPO!#REF!)),"")</f>
        <v/>
      </c>
      <c r="R513" s="68" t="str">
        <f t="shared" si="66"/>
        <v/>
      </c>
      <c r="S513" s="61" t="str">
        <f t="shared" si="67"/>
        <v/>
      </c>
      <c r="T513" s="62" t="str">
        <f>IF(D513&lt;&gt;"",IF(SUMPRODUCT(--($E513=STK_DIV!$A$2:$A$5),--(NXT_COMPO!$Q513=STK_DIV!$E$2:$E$5),ROW(STK_DIV!$D$2:$D$5))=0,"",INDEX(STK_DIV!$D$1:$D$5,SUMPRODUCT(--($E513=STK_DIV!$A$2:$A$5),--(NXT_COMPO!$Q513=STK_DIV!$E$2:$E$5),ROW(STK_DIV!$D$2:$D$5)))),"")</f>
        <v/>
      </c>
      <c r="U513" s="54" t="str">
        <f>IF($D513&lt;&gt;"",VLOOKUP($P513,IDX_REF!$2:$1048576,4,0),"")</f>
        <v/>
      </c>
    </row>
    <row r="514" spans="4:21" x14ac:dyDescent="0.2">
      <c r="D514" s="52" t="str">
        <f t="shared" ref="D514:D577" si="68">IF(ROW(D514)-ROW($D$1)&lt;=$B$4,ROW(D514)-ROW($D$1),"")</f>
        <v/>
      </c>
      <c r="E514" s="5" t="str">
        <f t="shared" si="63"/>
        <v/>
      </c>
      <c r="F514" s="5" t="str">
        <f>IF(ROW(F514)-ROW($E$1)&lt;=$B$1-$B$2,INDEX(IDX_COMPO!B:B,ROW(IDX_COMPO!#REF!)),IF(ROW(E514)-ROW($E$1)&lt;=$B$4,VLOOKUP(E514,STK_REF!$A$2:$J$1048576,2,0),""))</f>
        <v/>
      </c>
      <c r="J514" s="62" t="str">
        <f>IF($D514&lt;=$B$1-$B$2,IF(INDEX($AA$2:$AA$1048576,MATCH($D514,$AB$2:$AB$1048576,0))="MODIFY",INDEX(IDX_CA!$G$1:$G$1041,SUMPRODUCT(--($E514=IDX_CA!$A$2:$A$1041),--(NXT_COMPO!$P514=IDX_CA!$B$2:$B$1041),--(NXT_COMPO!$Q514=IDX_CA!$C$2:$C$1041),ROW(IDX_CA!$G$2:$G$1041))),INDEX(IDX_COMPOSITION!$F$1:$F$441,SUMPRODUCT(--($E514=IDX_COMPOSITION!$A$2:$A$441),--(NXT_COMPO!$P514=IDX_COMPOSITION!$R$2:$R$441),--(NXT_COMPO!$B$5=IDX_COMPOSITION!$L$2:$L$441),ROW(IDX_COMPOSITION!$F$2:$F$441)))),IF($D514&lt;=$B$4,INDEX(IDX_CA!$G$1:$G$1041,SUMPRODUCT(--($E514=IDX_CA!$A$2:$A$1041),--(NXT_COMPO!$P514=IDX_CA!$B$2:$B$1041),--(NXT_COMPO!$Q514=IDX_CA!$C$2:$C$1041),ROW(IDX_CA!$G$2:$G$1041))),""))</f>
        <v/>
      </c>
      <c r="K514" s="63" t="str">
        <f>IF($D514&lt;&gt;"",VLOOKUP($E514,STK_REF!$A$2:$J$1048576,7,0),"")</f>
        <v/>
      </c>
      <c r="L514" s="5" t="str">
        <f>IF($D514&lt;&gt;"",VLOOKUP($E514,STK_REF!$A$2:$J$1048576,8,0),"")</f>
        <v/>
      </c>
      <c r="M514" s="8" t="str">
        <f>IF($D514&lt;&gt;"",IF($K514=$U514,1,IF(ISNA(VLOOKUP($K514&amp;$U514,CUR_RATES!$A$2:$F$521,4,0)),"",VLOOKUP($K514&amp;$U514,CUR_RATES!$A$2:$F$521,4,0))),"")</f>
        <v/>
      </c>
      <c r="N514" s="61" t="str">
        <f t="shared" si="64"/>
        <v/>
      </c>
      <c r="O514" s="68" t="str">
        <f t="shared" si="65"/>
        <v/>
      </c>
      <c r="P514" s="24"/>
      <c r="Q514" s="2" t="str">
        <f>IF(ROW(Q514)-ROW($E$1)&lt;=$B$4,INDEX(IDX_COMPO!F:F,ROW(IDX_COMPO!#REF!)),"")</f>
        <v/>
      </c>
      <c r="R514" s="68" t="str">
        <f t="shared" si="66"/>
        <v/>
      </c>
      <c r="S514" s="61" t="str">
        <f t="shared" si="67"/>
        <v/>
      </c>
      <c r="T514" s="62" t="str">
        <f>IF(D514&lt;&gt;"",IF(SUMPRODUCT(--($E514=STK_DIV!$A$2:$A$5),--(NXT_COMPO!$Q514=STK_DIV!$E$2:$E$5),ROW(STK_DIV!$D$2:$D$5))=0,"",INDEX(STK_DIV!$D$1:$D$5,SUMPRODUCT(--($E514=STK_DIV!$A$2:$A$5),--(NXT_COMPO!$Q514=STK_DIV!$E$2:$E$5),ROW(STK_DIV!$D$2:$D$5)))),"")</f>
        <v/>
      </c>
      <c r="U514" s="54" t="str">
        <f>IF($D514&lt;&gt;"",VLOOKUP($P514,IDX_REF!$2:$1048576,4,0),"")</f>
        <v/>
      </c>
    </row>
    <row r="515" spans="4:21" x14ac:dyDescent="0.2">
      <c r="D515" s="52" t="str">
        <f t="shared" si="68"/>
        <v/>
      </c>
      <c r="E515" s="5" t="str">
        <f t="shared" ref="E515:E578" si="69">IF(D515&lt;=$B$1-$B$2,INDEX($X$2:$X$1048576,MATCH(D515,$AB$2:$AB$1048576,0)),IF(D515&lt;=$B$4,INDEX($AE$2:$AE$1048576,MATCH(D515-$B$1+$B$2,$AI$2:$AI$1048576,0)),""))</f>
        <v/>
      </c>
      <c r="F515" s="5" t="str">
        <f>IF(ROW(F515)-ROW($E$1)&lt;=$B$1-$B$2,INDEX(IDX_COMPO!B:B,ROW(IDX_COMPO!#REF!)),IF(ROW(E515)-ROW($E$1)&lt;=$B$4,VLOOKUP(E515,STK_REF!$A$2:$J$1048576,2,0),""))</f>
        <v/>
      </c>
      <c r="J515" s="62" t="str">
        <f>IF($D515&lt;=$B$1-$B$2,IF(INDEX($AA$2:$AA$1048576,MATCH($D515,$AB$2:$AB$1048576,0))="MODIFY",INDEX(IDX_CA!$G$1:$G$1041,SUMPRODUCT(--($E515=IDX_CA!$A$2:$A$1041),--(NXT_COMPO!$P515=IDX_CA!$B$2:$B$1041),--(NXT_COMPO!$Q515=IDX_CA!$C$2:$C$1041),ROW(IDX_CA!$G$2:$G$1041))),INDEX(IDX_COMPOSITION!$F$1:$F$441,SUMPRODUCT(--($E515=IDX_COMPOSITION!$A$2:$A$441),--(NXT_COMPO!$P515=IDX_COMPOSITION!$R$2:$R$441),--(NXT_COMPO!$B$5=IDX_COMPOSITION!$L$2:$L$441),ROW(IDX_COMPOSITION!$F$2:$F$441)))),IF($D515&lt;=$B$4,INDEX(IDX_CA!$G$1:$G$1041,SUMPRODUCT(--($E515=IDX_CA!$A$2:$A$1041),--(NXT_COMPO!$P515=IDX_CA!$B$2:$B$1041),--(NXT_COMPO!$Q515=IDX_CA!$C$2:$C$1041),ROW(IDX_CA!$G$2:$G$1041))),""))</f>
        <v/>
      </c>
      <c r="K515" s="63" t="str">
        <f>IF($D515&lt;&gt;"",VLOOKUP($E515,STK_REF!$A$2:$J$1048576,7,0),"")</f>
        <v/>
      </c>
      <c r="L515" s="5" t="str">
        <f>IF($D515&lt;&gt;"",VLOOKUP($E515,STK_REF!$A$2:$J$1048576,8,0),"")</f>
        <v/>
      </c>
      <c r="M515" s="8" t="str">
        <f>IF($D515&lt;&gt;"",IF($K515=$U515,1,IF(ISNA(VLOOKUP($K515&amp;$U515,CUR_RATES!$A$2:$F$521,4,0)),"",VLOOKUP($K515&amp;$U515,CUR_RATES!$A$2:$F$521,4,0))),"")</f>
        <v/>
      </c>
      <c r="N515" s="61" t="str">
        <f t="shared" ref="N515:N578" si="70">IF($D515&lt;&gt;"",$J515*$M515,"")</f>
        <v/>
      </c>
      <c r="O515" s="68" t="str">
        <f t="shared" ref="O515:O578" si="71">IF($D515&lt;&gt;"",$G515*($H515/100)*($I515/100)*$N515*(1/$L515),"")</f>
        <v/>
      </c>
      <c r="P515" s="24"/>
      <c r="Q515" s="2" t="str">
        <f>IF(ROW(Q515)-ROW($E$1)&lt;=$B$4,INDEX(IDX_COMPO!F:F,ROW(IDX_COMPO!#REF!)),"")</f>
        <v/>
      </c>
      <c r="R515" s="68" t="str">
        <f t="shared" ref="R515:R578" si="72">IF(AND($D515&lt;&gt;"",$T515&lt;&gt;""),$G515*($H515/100)*($I515/100)*$S515*(1/$L515),"")</f>
        <v/>
      </c>
      <c r="S515" s="61" t="str">
        <f t="shared" ref="S515:S578" si="73">IF($T515&lt;&gt;"",$T515*$M515,"")</f>
        <v/>
      </c>
      <c r="T515" s="62" t="str">
        <f>IF(D515&lt;&gt;"",IF(SUMPRODUCT(--($E515=STK_DIV!$A$2:$A$5),--(NXT_COMPO!$Q515=STK_DIV!$E$2:$E$5),ROW(STK_DIV!$D$2:$D$5))=0,"",INDEX(STK_DIV!$D$1:$D$5,SUMPRODUCT(--($E515=STK_DIV!$A$2:$A$5),--(NXT_COMPO!$Q515=STK_DIV!$E$2:$E$5),ROW(STK_DIV!$D$2:$D$5)))),"")</f>
        <v/>
      </c>
      <c r="U515" s="54" t="str">
        <f>IF($D515&lt;&gt;"",VLOOKUP($P515,IDX_REF!$2:$1048576,4,0),"")</f>
        <v/>
      </c>
    </row>
    <row r="516" spans="4:21" x14ac:dyDescent="0.2">
      <c r="D516" s="52" t="str">
        <f t="shared" si="68"/>
        <v/>
      </c>
      <c r="E516" s="5" t="str">
        <f t="shared" si="69"/>
        <v/>
      </c>
      <c r="F516" s="5" t="str">
        <f>IF(ROW(F516)-ROW($E$1)&lt;=$B$1-$B$2,INDEX(IDX_COMPO!B:B,ROW(IDX_COMPO!#REF!)),IF(ROW(E516)-ROW($E$1)&lt;=$B$4,VLOOKUP(E516,STK_REF!$A$2:$J$1048576,2,0),""))</f>
        <v/>
      </c>
      <c r="J516" s="62" t="str">
        <f>IF($D516&lt;=$B$1-$B$2,IF(INDEX($AA$2:$AA$1048576,MATCH($D516,$AB$2:$AB$1048576,0))="MODIFY",INDEX(IDX_CA!$G$1:$G$1041,SUMPRODUCT(--($E516=IDX_CA!$A$2:$A$1041),--(NXT_COMPO!$P516=IDX_CA!$B$2:$B$1041),--(NXT_COMPO!$Q516=IDX_CA!$C$2:$C$1041),ROW(IDX_CA!$G$2:$G$1041))),INDEX(IDX_COMPOSITION!$F$1:$F$441,SUMPRODUCT(--($E516=IDX_COMPOSITION!$A$2:$A$441),--(NXT_COMPO!$P516=IDX_COMPOSITION!$R$2:$R$441),--(NXT_COMPO!$B$5=IDX_COMPOSITION!$L$2:$L$441),ROW(IDX_COMPOSITION!$F$2:$F$441)))),IF($D516&lt;=$B$4,INDEX(IDX_CA!$G$1:$G$1041,SUMPRODUCT(--($E516=IDX_CA!$A$2:$A$1041),--(NXT_COMPO!$P516=IDX_CA!$B$2:$B$1041),--(NXT_COMPO!$Q516=IDX_CA!$C$2:$C$1041),ROW(IDX_CA!$G$2:$G$1041))),""))</f>
        <v/>
      </c>
      <c r="K516" s="63" t="str">
        <f>IF($D516&lt;&gt;"",VLOOKUP($E516,STK_REF!$A$2:$J$1048576,7,0),"")</f>
        <v/>
      </c>
      <c r="L516" s="5" t="str">
        <f>IF($D516&lt;&gt;"",VLOOKUP($E516,STK_REF!$A$2:$J$1048576,8,0),"")</f>
        <v/>
      </c>
      <c r="M516" s="8" t="str">
        <f>IF($D516&lt;&gt;"",IF($K516=$U516,1,IF(ISNA(VLOOKUP($K516&amp;$U516,CUR_RATES!$A$2:$F$521,4,0)),"",VLOOKUP($K516&amp;$U516,CUR_RATES!$A$2:$F$521,4,0))),"")</f>
        <v/>
      </c>
      <c r="N516" s="61" t="str">
        <f t="shared" si="70"/>
        <v/>
      </c>
      <c r="O516" s="68" t="str">
        <f t="shared" si="71"/>
        <v/>
      </c>
      <c r="P516" s="24"/>
      <c r="Q516" s="2" t="str">
        <f>IF(ROW(Q516)-ROW($E$1)&lt;=$B$4,INDEX(IDX_COMPO!F:F,ROW(IDX_COMPO!#REF!)),"")</f>
        <v/>
      </c>
      <c r="R516" s="68" t="str">
        <f t="shared" si="72"/>
        <v/>
      </c>
      <c r="S516" s="61" t="str">
        <f t="shared" si="73"/>
        <v/>
      </c>
      <c r="T516" s="62" t="str">
        <f>IF(D516&lt;&gt;"",IF(SUMPRODUCT(--($E516=STK_DIV!$A$2:$A$5),--(NXT_COMPO!$Q516=STK_DIV!$E$2:$E$5),ROW(STK_DIV!$D$2:$D$5))=0,"",INDEX(STK_DIV!$D$1:$D$5,SUMPRODUCT(--($E516=STK_DIV!$A$2:$A$5),--(NXT_COMPO!$Q516=STK_DIV!$E$2:$E$5),ROW(STK_DIV!$D$2:$D$5)))),"")</f>
        <v/>
      </c>
      <c r="U516" s="54" t="str">
        <f>IF($D516&lt;&gt;"",VLOOKUP($P516,IDX_REF!$2:$1048576,4,0),"")</f>
        <v/>
      </c>
    </row>
    <row r="517" spans="4:21" x14ac:dyDescent="0.2">
      <c r="D517" s="52" t="str">
        <f t="shared" si="68"/>
        <v/>
      </c>
      <c r="E517" s="5" t="str">
        <f t="shared" si="69"/>
        <v/>
      </c>
      <c r="F517" s="5" t="str">
        <f>IF(ROW(F517)-ROW($E$1)&lt;=$B$1-$B$2,INDEX(IDX_COMPO!B:B,ROW(IDX_COMPO!#REF!)),IF(ROW(E517)-ROW($E$1)&lt;=$B$4,VLOOKUP(E517,STK_REF!$A$2:$J$1048576,2,0),""))</f>
        <v/>
      </c>
      <c r="J517" s="62" t="str">
        <f>IF($D517&lt;=$B$1-$B$2,IF(INDEX($AA$2:$AA$1048576,MATCH($D517,$AB$2:$AB$1048576,0))="MODIFY",INDEX(IDX_CA!$G$1:$G$1041,SUMPRODUCT(--($E517=IDX_CA!$A$2:$A$1041),--(NXT_COMPO!$P517=IDX_CA!$B$2:$B$1041),--(NXT_COMPO!$Q517=IDX_CA!$C$2:$C$1041),ROW(IDX_CA!$G$2:$G$1041))),INDEX(IDX_COMPOSITION!$F$1:$F$441,SUMPRODUCT(--($E517=IDX_COMPOSITION!$A$2:$A$441),--(NXT_COMPO!$P517=IDX_COMPOSITION!$R$2:$R$441),--(NXT_COMPO!$B$5=IDX_COMPOSITION!$L$2:$L$441),ROW(IDX_COMPOSITION!$F$2:$F$441)))),IF($D517&lt;=$B$4,INDEX(IDX_CA!$G$1:$G$1041,SUMPRODUCT(--($E517=IDX_CA!$A$2:$A$1041),--(NXT_COMPO!$P517=IDX_CA!$B$2:$B$1041),--(NXT_COMPO!$Q517=IDX_CA!$C$2:$C$1041),ROW(IDX_CA!$G$2:$G$1041))),""))</f>
        <v/>
      </c>
      <c r="K517" s="63" t="str">
        <f>IF($D517&lt;&gt;"",VLOOKUP($E517,STK_REF!$A$2:$J$1048576,7,0),"")</f>
        <v/>
      </c>
      <c r="L517" s="5" t="str">
        <f>IF($D517&lt;&gt;"",VLOOKUP($E517,STK_REF!$A$2:$J$1048576,8,0),"")</f>
        <v/>
      </c>
      <c r="M517" s="8" t="str">
        <f>IF($D517&lt;&gt;"",IF($K517=$U517,1,IF(ISNA(VLOOKUP($K517&amp;$U517,CUR_RATES!$A$2:$F$521,4,0)),"",VLOOKUP($K517&amp;$U517,CUR_RATES!$A$2:$F$521,4,0))),"")</f>
        <v/>
      </c>
      <c r="N517" s="61" t="str">
        <f t="shared" si="70"/>
        <v/>
      </c>
      <c r="O517" s="68" t="str">
        <f t="shared" si="71"/>
        <v/>
      </c>
      <c r="P517" s="24"/>
      <c r="Q517" s="2" t="str">
        <f>IF(ROW(Q517)-ROW($E$1)&lt;=$B$4,INDEX(IDX_COMPO!F:F,ROW(IDX_COMPO!#REF!)),"")</f>
        <v/>
      </c>
      <c r="R517" s="68" t="str">
        <f t="shared" si="72"/>
        <v/>
      </c>
      <c r="S517" s="61" t="str">
        <f t="shared" si="73"/>
        <v/>
      </c>
      <c r="T517" s="62" t="str">
        <f>IF(D517&lt;&gt;"",IF(SUMPRODUCT(--($E517=STK_DIV!$A$2:$A$5),--(NXT_COMPO!$Q517=STK_DIV!$E$2:$E$5),ROW(STK_DIV!$D$2:$D$5))=0,"",INDEX(STK_DIV!$D$1:$D$5,SUMPRODUCT(--($E517=STK_DIV!$A$2:$A$5),--(NXT_COMPO!$Q517=STK_DIV!$E$2:$E$5),ROW(STK_DIV!$D$2:$D$5)))),"")</f>
        <v/>
      </c>
      <c r="U517" s="54" t="str">
        <f>IF($D517&lt;&gt;"",VLOOKUP($P517,IDX_REF!$2:$1048576,4,0),"")</f>
        <v/>
      </c>
    </row>
    <row r="518" spans="4:21" x14ac:dyDescent="0.2">
      <c r="D518" s="52" t="str">
        <f t="shared" si="68"/>
        <v/>
      </c>
      <c r="E518" s="5" t="str">
        <f t="shared" si="69"/>
        <v/>
      </c>
      <c r="F518" s="5" t="str">
        <f>IF(ROW(F518)-ROW($E$1)&lt;=$B$1-$B$2,INDEX(IDX_COMPO!B:B,ROW(IDX_COMPO!#REF!)),IF(ROW(E518)-ROW($E$1)&lt;=$B$4,VLOOKUP(E518,STK_REF!$A$2:$J$1048576,2,0),""))</f>
        <v/>
      </c>
      <c r="J518" s="62" t="str">
        <f>IF($D518&lt;=$B$1-$B$2,IF(INDEX($AA$2:$AA$1048576,MATCH($D518,$AB$2:$AB$1048576,0))="MODIFY",INDEX(IDX_CA!$G$1:$G$1041,SUMPRODUCT(--($E518=IDX_CA!$A$2:$A$1041),--(NXT_COMPO!$P518=IDX_CA!$B$2:$B$1041),--(NXT_COMPO!$Q518=IDX_CA!$C$2:$C$1041),ROW(IDX_CA!$G$2:$G$1041))),INDEX(IDX_COMPOSITION!$F$1:$F$441,SUMPRODUCT(--($E518=IDX_COMPOSITION!$A$2:$A$441),--(NXT_COMPO!$P518=IDX_COMPOSITION!$R$2:$R$441),--(NXT_COMPO!$B$5=IDX_COMPOSITION!$L$2:$L$441),ROW(IDX_COMPOSITION!$F$2:$F$441)))),IF($D518&lt;=$B$4,INDEX(IDX_CA!$G$1:$G$1041,SUMPRODUCT(--($E518=IDX_CA!$A$2:$A$1041),--(NXT_COMPO!$P518=IDX_CA!$B$2:$B$1041),--(NXT_COMPO!$Q518=IDX_CA!$C$2:$C$1041),ROW(IDX_CA!$G$2:$G$1041))),""))</f>
        <v/>
      </c>
      <c r="K518" s="63" t="str">
        <f>IF($D518&lt;&gt;"",VLOOKUP($E518,STK_REF!$A$2:$J$1048576,7,0),"")</f>
        <v/>
      </c>
      <c r="L518" s="5" t="str">
        <f>IF($D518&lt;&gt;"",VLOOKUP($E518,STK_REF!$A$2:$J$1048576,8,0),"")</f>
        <v/>
      </c>
      <c r="M518" s="8" t="str">
        <f>IF($D518&lt;&gt;"",IF($K518=$U518,1,IF(ISNA(VLOOKUP($K518&amp;$U518,CUR_RATES!$A$2:$F$521,4,0)),"",VLOOKUP($K518&amp;$U518,CUR_RATES!$A$2:$F$521,4,0))),"")</f>
        <v/>
      </c>
      <c r="N518" s="61" t="str">
        <f t="shared" si="70"/>
        <v/>
      </c>
      <c r="O518" s="68" t="str">
        <f t="shared" si="71"/>
        <v/>
      </c>
      <c r="P518" s="24"/>
      <c r="Q518" s="2" t="str">
        <f>IF(ROW(Q518)-ROW($E$1)&lt;=$B$4,INDEX(IDX_COMPO!F:F,ROW(IDX_COMPO!#REF!)),"")</f>
        <v/>
      </c>
      <c r="R518" s="68" t="str">
        <f t="shared" si="72"/>
        <v/>
      </c>
      <c r="S518" s="61" t="str">
        <f t="shared" si="73"/>
        <v/>
      </c>
      <c r="T518" s="62" t="str">
        <f>IF(D518&lt;&gt;"",IF(SUMPRODUCT(--($E518=STK_DIV!$A$2:$A$5),--(NXT_COMPO!$Q518=STK_DIV!$E$2:$E$5),ROW(STK_DIV!$D$2:$D$5))=0,"",INDEX(STK_DIV!$D$1:$D$5,SUMPRODUCT(--($E518=STK_DIV!$A$2:$A$5),--(NXT_COMPO!$Q518=STK_DIV!$E$2:$E$5),ROW(STK_DIV!$D$2:$D$5)))),"")</f>
        <v/>
      </c>
      <c r="U518" s="54" t="str">
        <f>IF($D518&lt;&gt;"",VLOOKUP($P518,IDX_REF!$2:$1048576,4,0),"")</f>
        <v/>
      </c>
    </row>
    <row r="519" spans="4:21" x14ac:dyDescent="0.2">
      <c r="D519" s="52" t="str">
        <f t="shared" si="68"/>
        <v/>
      </c>
      <c r="E519" s="5" t="str">
        <f t="shared" si="69"/>
        <v/>
      </c>
      <c r="F519" s="5" t="str">
        <f>IF(ROW(F519)-ROW($E$1)&lt;=$B$1-$B$2,INDEX(IDX_COMPO!B:B,ROW(IDX_COMPO!#REF!)),IF(ROW(E519)-ROW($E$1)&lt;=$B$4,VLOOKUP(E519,STK_REF!$A$2:$J$1048576,2,0),""))</f>
        <v/>
      </c>
      <c r="J519" s="62" t="str">
        <f>IF($D519&lt;=$B$1-$B$2,IF(INDEX($AA$2:$AA$1048576,MATCH($D519,$AB$2:$AB$1048576,0))="MODIFY",INDEX(IDX_CA!$G$1:$G$1041,SUMPRODUCT(--($E519=IDX_CA!$A$2:$A$1041),--(NXT_COMPO!$P519=IDX_CA!$B$2:$B$1041),--(NXT_COMPO!$Q519=IDX_CA!$C$2:$C$1041),ROW(IDX_CA!$G$2:$G$1041))),INDEX(IDX_COMPOSITION!$F$1:$F$441,SUMPRODUCT(--($E519=IDX_COMPOSITION!$A$2:$A$441),--(NXT_COMPO!$P519=IDX_COMPOSITION!$R$2:$R$441),--(NXT_COMPO!$B$5=IDX_COMPOSITION!$L$2:$L$441),ROW(IDX_COMPOSITION!$F$2:$F$441)))),IF($D519&lt;=$B$4,INDEX(IDX_CA!$G$1:$G$1041,SUMPRODUCT(--($E519=IDX_CA!$A$2:$A$1041),--(NXT_COMPO!$P519=IDX_CA!$B$2:$B$1041),--(NXT_COMPO!$Q519=IDX_CA!$C$2:$C$1041),ROW(IDX_CA!$G$2:$G$1041))),""))</f>
        <v/>
      </c>
      <c r="K519" s="63" t="str">
        <f>IF($D519&lt;&gt;"",VLOOKUP($E519,STK_REF!$A$2:$J$1048576,7,0),"")</f>
        <v/>
      </c>
      <c r="L519" s="5" t="str">
        <f>IF($D519&lt;&gt;"",VLOOKUP($E519,STK_REF!$A$2:$J$1048576,8,0),"")</f>
        <v/>
      </c>
      <c r="M519" s="8" t="str">
        <f>IF($D519&lt;&gt;"",IF($K519=$U519,1,IF(ISNA(VLOOKUP($K519&amp;$U519,CUR_RATES!$A$2:$F$521,4,0)),"",VLOOKUP($K519&amp;$U519,CUR_RATES!$A$2:$F$521,4,0))),"")</f>
        <v/>
      </c>
      <c r="N519" s="61" t="str">
        <f t="shared" si="70"/>
        <v/>
      </c>
      <c r="O519" s="68" t="str">
        <f t="shared" si="71"/>
        <v/>
      </c>
      <c r="P519" s="24"/>
      <c r="Q519" s="2" t="str">
        <f>IF(ROW(Q519)-ROW($E$1)&lt;=$B$4,INDEX(IDX_COMPO!F:F,ROW(IDX_COMPO!#REF!)),"")</f>
        <v/>
      </c>
      <c r="R519" s="68" t="str">
        <f t="shared" si="72"/>
        <v/>
      </c>
      <c r="S519" s="61" t="str">
        <f t="shared" si="73"/>
        <v/>
      </c>
      <c r="T519" s="62" t="str">
        <f>IF(D519&lt;&gt;"",IF(SUMPRODUCT(--($E519=STK_DIV!$A$2:$A$5),--(NXT_COMPO!$Q519=STK_DIV!$E$2:$E$5),ROW(STK_DIV!$D$2:$D$5))=0,"",INDEX(STK_DIV!$D$1:$D$5,SUMPRODUCT(--($E519=STK_DIV!$A$2:$A$5),--(NXT_COMPO!$Q519=STK_DIV!$E$2:$E$5),ROW(STK_DIV!$D$2:$D$5)))),"")</f>
        <v/>
      </c>
      <c r="U519" s="54" t="str">
        <f>IF($D519&lt;&gt;"",VLOOKUP($P519,IDX_REF!$2:$1048576,4,0),"")</f>
        <v/>
      </c>
    </row>
    <row r="520" spans="4:21" x14ac:dyDescent="0.2">
      <c r="D520" s="52" t="str">
        <f t="shared" si="68"/>
        <v/>
      </c>
      <c r="E520" s="5" t="str">
        <f t="shared" si="69"/>
        <v/>
      </c>
      <c r="F520" s="5" t="str">
        <f>IF(ROW(F520)-ROW($E$1)&lt;=$B$1-$B$2,INDEX(IDX_COMPO!B:B,ROW(IDX_COMPO!#REF!)),IF(ROW(E520)-ROW($E$1)&lt;=$B$4,VLOOKUP(E520,STK_REF!$A$2:$J$1048576,2,0),""))</f>
        <v/>
      </c>
      <c r="J520" s="62" t="str">
        <f>IF($D520&lt;=$B$1-$B$2,IF(INDEX($AA$2:$AA$1048576,MATCH($D520,$AB$2:$AB$1048576,0))="MODIFY",INDEX(IDX_CA!$G$1:$G$1041,SUMPRODUCT(--($E520=IDX_CA!$A$2:$A$1041),--(NXT_COMPO!$P520=IDX_CA!$B$2:$B$1041),--(NXT_COMPO!$Q520=IDX_CA!$C$2:$C$1041),ROW(IDX_CA!$G$2:$G$1041))),INDEX(IDX_COMPOSITION!$F$1:$F$441,SUMPRODUCT(--($E520=IDX_COMPOSITION!$A$2:$A$441),--(NXT_COMPO!$P520=IDX_COMPOSITION!$R$2:$R$441),--(NXT_COMPO!$B$5=IDX_COMPOSITION!$L$2:$L$441),ROW(IDX_COMPOSITION!$F$2:$F$441)))),IF($D520&lt;=$B$4,INDEX(IDX_CA!$G$1:$G$1041,SUMPRODUCT(--($E520=IDX_CA!$A$2:$A$1041),--(NXT_COMPO!$P520=IDX_CA!$B$2:$B$1041),--(NXT_COMPO!$Q520=IDX_CA!$C$2:$C$1041),ROW(IDX_CA!$G$2:$G$1041))),""))</f>
        <v/>
      </c>
      <c r="K520" s="63" t="str">
        <f>IF($D520&lt;&gt;"",VLOOKUP($E520,STK_REF!$A$2:$J$1048576,7,0),"")</f>
        <v/>
      </c>
      <c r="L520" s="5" t="str">
        <f>IF($D520&lt;&gt;"",VLOOKUP($E520,STK_REF!$A$2:$J$1048576,8,0),"")</f>
        <v/>
      </c>
      <c r="M520" s="8" t="str">
        <f>IF($D520&lt;&gt;"",IF($K520=$U520,1,IF(ISNA(VLOOKUP($K520&amp;$U520,CUR_RATES!$A$2:$F$521,4,0)),"",VLOOKUP($K520&amp;$U520,CUR_RATES!$A$2:$F$521,4,0))),"")</f>
        <v/>
      </c>
      <c r="N520" s="61" t="str">
        <f t="shared" si="70"/>
        <v/>
      </c>
      <c r="O520" s="68" t="str">
        <f t="shared" si="71"/>
        <v/>
      </c>
      <c r="P520" s="24"/>
      <c r="Q520" s="2" t="str">
        <f>IF(ROW(Q520)-ROW($E$1)&lt;=$B$4,INDEX(IDX_COMPO!F:F,ROW(IDX_COMPO!#REF!)),"")</f>
        <v/>
      </c>
      <c r="R520" s="68" t="str">
        <f t="shared" si="72"/>
        <v/>
      </c>
      <c r="S520" s="61" t="str">
        <f t="shared" si="73"/>
        <v/>
      </c>
      <c r="T520" s="62" t="str">
        <f>IF(D520&lt;&gt;"",IF(SUMPRODUCT(--($E520=STK_DIV!$A$2:$A$5),--(NXT_COMPO!$Q520=STK_DIV!$E$2:$E$5),ROW(STK_DIV!$D$2:$D$5))=0,"",INDEX(STK_DIV!$D$1:$D$5,SUMPRODUCT(--($E520=STK_DIV!$A$2:$A$5),--(NXT_COMPO!$Q520=STK_DIV!$E$2:$E$5),ROW(STK_DIV!$D$2:$D$5)))),"")</f>
        <v/>
      </c>
      <c r="U520" s="54" t="str">
        <f>IF($D520&lt;&gt;"",VLOOKUP($P520,IDX_REF!$2:$1048576,4,0),"")</f>
        <v/>
      </c>
    </row>
    <row r="521" spans="4:21" x14ac:dyDescent="0.2">
      <c r="D521" s="52" t="str">
        <f t="shared" si="68"/>
        <v/>
      </c>
      <c r="E521" s="5" t="str">
        <f t="shared" si="69"/>
        <v/>
      </c>
      <c r="F521" s="5" t="str">
        <f>IF(ROW(F521)-ROW($E$1)&lt;=$B$1-$B$2,INDEX(IDX_COMPO!B:B,ROW(IDX_COMPO!#REF!)),IF(ROW(E521)-ROW($E$1)&lt;=$B$4,VLOOKUP(E521,STK_REF!$A$2:$J$1048576,2,0),""))</f>
        <v/>
      </c>
      <c r="J521" s="62" t="str">
        <f>IF($D521&lt;=$B$1-$B$2,IF(INDEX($AA$2:$AA$1048576,MATCH($D521,$AB$2:$AB$1048576,0))="MODIFY",INDEX(IDX_CA!$G$1:$G$1041,SUMPRODUCT(--($E521=IDX_CA!$A$2:$A$1041),--(NXT_COMPO!$P521=IDX_CA!$B$2:$B$1041),--(NXT_COMPO!$Q521=IDX_CA!$C$2:$C$1041),ROW(IDX_CA!$G$2:$G$1041))),INDEX(IDX_COMPOSITION!$F$1:$F$441,SUMPRODUCT(--($E521=IDX_COMPOSITION!$A$2:$A$441),--(NXT_COMPO!$P521=IDX_COMPOSITION!$R$2:$R$441),--(NXT_COMPO!$B$5=IDX_COMPOSITION!$L$2:$L$441),ROW(IDX_COMPOSITION!$F$2:$F$441)))),IF($D521&lt;=$B$4,INDEX(IDX_CA!$G$1:$G$1041,SUMPRODUCT(--($E521=IDX_CA!$A$2:$A$1041),--(NXT_COMPO!$P521=IDX_CA!$B$2:$B$1041),--(NXT_COMPO!$Q521=IDX_CA!$C$2:$C$1041),ROW(IDX_CA!$G$2:$G$1041))),""))</f>
        <v/>
      </c>
      <c r="K521" s="63" t="str">
        <f>IF($D521&lt;&gt;"",VLOOKUP($E521,STK_REF!$A$2:$J$1048576,7,0),"")</f>
        <v/>
      </c>
      <c r="L521" s="5" t="str">
        <f>IF($D521&lt;&gt;"",VLOOKUP($E521,STK_REF!$A$2:$J$1048576,8,0),"")</f>
        <v/>
      </c>
      <c r="M521" s="8" t="str">
        <f>IF($D521&lt;&gt;"",IF($K521=$U521,1,IF(ISNA(VLOOKUP($K521&amp;$U521,CUR_RATES!$A$2:$F$521,4,0)),"",VLOOKUP($K521&amp;$U521,CUR_RATES!$A$2:$F$521,4,0))),"")</f>
        <v/>
      </c>
      <c r="N521" s="61" t="str">
        <f t="shared" si="70"/>
        <v/>
      </c>
      <c r="O521" s="68" t="str">
        <f t="shared" si="71"/>
        <v/>
      </c>
      <c r="P521" s="24"/>
      <c r="Q521" s="2" t="str">
        <f>IF(ROW(Q521)-ROW($E$1)&lt;=$B$4,INDEX(IDX_COMPO!F:F,ROW(IDX_COMPO!#REF!)),"")</f>
        <v/>
      </c>
      <c r="R521" s="68" t="str">
        <f t="shared" si="72"/>
        <v/>
      </c>
      <c r="S521" s="61" t="str">
        <f t="shared" si="73"/>
        <v/>
      </c>
      <c r="T521" s="62" t="str">
        <f>IF(D521&lt;&gt;"",IF(SUMPRODUCT(--($E521=STK_DIV!$A$2:$A$5),--(NXT_COMPO!$Q521=STK_DIV!$E$2:$E$5),ROW(STK_DIV!$D$2:$D$5))=0,"",INDEX(STK_DIV!$D$1:$D$5,SUMPRODUCT(--($E521=STK_DIV!$A$2:$A$5),--(NXT_COMPO!$Q521=STK_DIV!$E$2:$E$5),ROW(STK_DIV!$D$2:$D$5)))),"")</f>
        <v/>
      </c>
      <c r="U521" s="54" t="str">
        <f>IF($D521&lt;&gt;"",VLOOKUP($P521,IDX_REF!$2:$1048576,4,0),"")</f>
        <v/>
      </c>
    </row>
    <row r="522" spans="4:21" x14ac:dyDescent="0.2">
      <c r="D522" s="52" t="str">
        <f t="shared" si="68"/>
        <v/>
      </c>
      <c r="E522" s="5" t="str">
        <f t="shared" si="69"/>
        <v/>
      </c>
      <c r="F522" s="5" t="str">
        <f>IF(ROW(F522)-ROW($E$1)&lt;=$B$1-$B$2,INDEX(IDX_COMPO!B:B,ROW(IDX_COMPO!#REF!)),IF(ROW(E522)-ROW($E$1)&lt;=$B$4,VLOOKUP(E522,STK_REF!$A$2:$J$1048576,2,0),""))</f>
        <v/>
      </c>
      <c r="J522" s="62" t="str">
        <f>IF($D522&lt;=$B$1-$B$2,IF(INDEX($AA$2:$AA$1048576,MATCH($D522,$AB$2:$AB$1048576,0))="MODIFY",INDEX(IDX_CA!$G$1:$G$1041,SUMPRODUCT(--($E522=IDX_CA!$A$2:$A$1041),--(NXT_COMPO!$P522=IDX_CA!$B$2:$B$1041),--(NXT_COMPO!$Q522=IDX_CA!$C$2:$C$1041),ROW(IDX_CA!$G$2:$G$1041))),INDEX(IDX_COMPOSITION!$F$1:$F$441,SUMPRODUCT(--($E522=IDX_COMPOSITION!$A$2:$A$441),--(NXT_COMPO!$P522=IDX_COMPOSITION!$R$2:$R$441),--(NXT_COMPO!$B$5=IDX_COMPOSITION!$L$2:$L$441),ROW(IDX_COMPOSITION!$F$2:$F$441)))),IF($D522&lt;=$B$4,INDEX(IDX_CA!$G$1:$G$1041,SUMPRODUCT(--($E522=IDX_CA!$A$2:$A$1041),--(NXT_COMPO!$P522=IDX_CA!$B$2:$B$1041),--(NXT_COMPO!$Q522=IDX_CA!$C$2:$C$1041),ROW(IDX_CA!$G$2:$G$1041))),""))</f>
        <v/>
      </c>
      <c r="K522" s="63" t="str">
        <f>IF($D522&lt;&gt;"",VLOOKUP($E522,STK_REF!$A$2:$J$1048576,7,0),"")</f>
        <v/>
      </c>
      <c r="L522" s="5" t="str">
        <f>IF($D522&lt;&gt;"",VLOOKUP($E522,STK_REF!$A$2:$J$1048576,8,0),"")</f>
        <v/>
      </c>
      <c r="M522" s="8" t="str">
        <f>IF($D522&lt;&gt;"",IF($K522=$U522,1,IF(ISNA(VLOOKUP($K522&amp;$U522,CUR_RATES!$A$2:$F$521,4,0)),"",VLOOKUP($K522&amp;$U522,CUR_RATES!$A$2:$F$521,4,0))),"")</f>
        <v/>
      </c>
      <c r="N522" s="61" t="str">
        <f t="shared" si="70"/>
        <v/>
      </c>
      <c r="O522" s="68" t="str">
        <f t="shared" si="71"/>
        <v/>
      </c>
      <c r="P522" s="24"/>
      <c r="Q522" s="2" t="str">
        <f>IF(ROW(Q522)-ROW($E$1)&lt;=$B$4,INDEX(IDX_COMPO!F:F,ROW(IDX_COMPO!#REF!)),"")</f>
        <v/>
      </c>
      <c r="R522" s="68" t="str">
        <f t="shared" si="72"/>
        <v/>
      </c>
      <c r="S522" s="61" t="str">
        <f t="shared" si="73"/>
        <v/>
      </c>
      <c r="T522" s="62" t="str">
        <f>IF(D522&lt;&gt;"",IF(SUMPRODUCT(--($E522=STK_DIV!$A$2:$A$5),--(NXT_COMPO!$Q522=STK_DIV!$E$2:$E$5),ROW(STK_DIV!$D$2:$D$5))=0,"",INDEX(STK_DIV!$D$1:$D$5,SUMPRODUCT(--($E522=STK_DIV!$A$2:$A$5),--(NXT_COMPO!$Q522=STK_DIV!$E$2:$E$5),ROW(STK_DIV!$D$2:$D$5)))),"")</f>
        <v/>
      </c>
      <c r="U522" s="54" t="str">
        <f>IF($D522&lt;&gt;"",VLOOKUP($P522,IDX_REF!$2:$1048576,4,0),"")</f>
        <v/>
      </c>
    </row>
    <row r="523" spans="4:21" x14ac:dyDescent="0.2">
      <c r="D523" s="52" t="str">
        <f t="shared" si="68"/>
        <v/>
      </c>
      <c r="E523" s="5" t="str">
        <f t="shared" si="69"/>
        <v/>
      </c>
      <c r="F523" s="5" t="str">
        <f>IF(ROW(F523)-ROW($E$1)&lt;=$B$1-$B$2,INDEX(IDX_COMPO!B:B,ROW(IDX_COMPO!#REF!)),IF(ROW(E523)-ROW($E$1)&lt;=$B$4,VLOOKUP(E523,STK_REF!$A$2:$J$1048576,2,0),""))</f>
        <v/>
      </c>
      <c r="J523" s="62" t="str">
        <f>IF($D523&lt;=$B$1-$B$2,IF(INDEX($AA$2:$AA$1048576,MATCH($D523,$AB$2:$AB$1048576,0))="MODIFY",INDEX(IDX_CA!$G$1:$G$1041,SUMPRODUCT(--($E523=IDX_CA!$A$2:$A$1041),--(NXT_COMPO!$P523=IDX_CA!$B$2:$B$1041),--(NXT_COMPO!$Q523=IDX_CA!$C$2:$C$1041),ROW(IDX_CA!$G$2:$G$1041))),INDEX(IDX_COMPOSITION!$F$1:$F$441,SUMPRODUCT(--($E523=IDX_COMPOSITION!$A$2:$A$441),--(NXT_COMPO!$P523=IDX_COMPOSITION!$R$2:$R$441),--(NXT_COMPO!$B$5=IDX_COMPOSITION!$L$2:$L$441),ROW(IDX_COMPOSITION!$F$2:$F$441)))),IF($D523&lt;=$B$4,INDEX(IDX_CA!$G$1:$G$1041,SUMPRODUCT(--($E523=IDX_CA!$A$2:$A$1041),--(NXT_COMPO!$P523=IDX_CA!$B$2:$B$1041),--(NXT_COMPO!$Q523=IDX_CA!$C$2:$C$1041),ROW(IDX_CA!$G$2:$G$1041))),""))</f>
        <v/>
      </c>
      <c r="K523" s="63" t="str">
        <f>IF($D523&lt;&gt;"",VLOOKUP($E523,STK_REF!$A$2:$J$1048576,7,0),"")</f>
        <v/>
      </c>
      <c r="L523" s="5" t="str">
        <f>IF($D523&lt;&gt;"",VLOOKUP($E523,STK_REF!$A$2:$J$1048576,8,0),"")</f>
        <v/>
      </c>
      <c r="M523" s="8" t="str">
        <f>IF($D523&lt;&gt;"",IF($K523=$U523,1,IF(ISNA(VLOOKUP($K523&amp;$U523,CUR_RATES!$A$2:$F$521,4,0)),"",VLOOKUP($K523&amp;$U523,CUR_RATES!$A$2:$F$521,4,0))),"")</f>
        <v/>
      </c>
      <c r="N523" s="61" t="str">
        <f t="shared" si="70"/>
        <v/>
      </c>
      <c r="O523" s="68" t="str">
        <f t="shared" si="71"/>
        <v/>
      </c>
      <c r="P523" s="24"/>
      <c r="Q523" s="2" t="str">
        <f>IF(ROW(Q523)-ROW($E$1)&lt;=$B$4,INDEX(IDX_COMPO!F:F,ROW(IDX_COMPO!#REF!)),"")</f>
        <v/>
      </c>
      <c r="R523" s="68" t="str">
        <f t="shared" si="72"/>
        <v/>
      </c>
      <c r="S523" s="61" t="str">
        <f t="shared" si="73"/>
        <v/>
      </c>
      <c r="T523" s="62" t="str">
        <f>IF(D523&lt;&gt;"",IF(SUMPRODUCT(--($E523=STK_DIV!$A$2:$A$5),--(NXT_COMPO!$Q523=STK_DIV!$E$2:$E$5),ROW(STK_DIV!$D$2:$D$5))=0,"",INDEX(STK_DIV!$D$1:$D$5,SUMPRODUCT(--($E523=STK_DIV!$A$2:$A$5),--(NXT_COMPO!$Q523=STK_DIV!$E$2:$E$5),ROW(STK_DIV!$D$2:$D$5)))),"")</f>
        <v/>
      </c>
      <c r="U523" s="54" t="str">
        <f>IF($D523&lt;&gt;"",VLOOKUP($P523,IDX_REF!$2:$1048576,4,0),"")</f>
        <v/>
      </c>
    </row>
    <row r="524" spans="4:21" x14ac:dyDescent="0.2">
      <c r="D524" s="52" t="str">
        <f t="shared" si="68"/>
        <v/>
      </c>
      <c r="E524" s="5" t="str">
        <f t="shared" si="69"/>
        <v/>
      </c>
      <c r="F524" s="5" t="str">
        <f>IF(ROW(F524)-ROW($E$1)&lt;=$B$1-$B$2,INDEX(IDX_COMPO!B:B,ROW(IDX_COMPO!#REF!)),IF(ROW(E524)-ROW($E$1)&lt;=$B$4,VLOOKUP(E524,STK_REF!$A$2:$J$1048576,2,0),""))</f>
        <v/>
      </c>
      <c r="J524" s="62" t="str">
        <f>IF($D524&lt;=$B$1-$B$2,IF(INDEX($AA$2:$AA$1048576,MATCH($D524,$AB$2:$AB$1048576,0))="MODIFY",INDEX(IDX_CA!$G$1:$G$1041,SUMPRODUCT(--($E524=IDX_CA!$A$2:$A$1041),--(NXT_COMPO!$P524=IDX_CA!$B$2:$B$1041),--(NXT_COMPO!$Q524=IDX_CA!$C$2:$C$1041),ROW(IDX_CA!$G$2:$G$1041))),INDEX(IDX_COMPOSITION!$F$1:$F$441,SUMPRODUCT(--($E524=IDX_COMPOSITION!$A$2:$A$441),--(NXT_COMPO!$P524=IDX_COMPOSITION!$R$2:$R$441),--(NXT_COMPO!$B$5=IDX_COMPOSITION!$L$2:$L$441),ROW(IDX_COMPOSITION!$F$2:$F$441)))),IF($D524&lt;=$B$4,INDEX(IDX_CA!$G$1:$G$1041,SUMPRODUCT(--($E524=IDX_CA!$A$2:$A$1041),--(NXT_COMPO!$P524=IDX_CA!$B$2:$B$1041),--(NXT_COMPO!$Q524=IDX_CA!$C$2:$C$1041),ROW(IDX_CA!$G$2:$G$1041))),""))</f>
        <v/>
      </c>
      <c r="K524" s="63" t="str">
        <f>IF($D524&lt;&gt;"",VLOOKUP($E524,STK_REF!$A$2:$J$1048576,7,0),"")</f>
        <v/>
      </c>
      <c r="L524" s="5" t="str">
        <f>IF($D524&lt;&gt;"",VLOOKUP($E524,STK_REF!$A$2:$J$1048576,8,0),"")</f>
        <v/>
      </c>
      <c r="M524" s="8" t="str">
        <f>IF($D524&lt;&gt;"",IF($K524=$U524,1,IF(ISNA(VLOOKUP($K524&amp;$U524,CUR_RATES!$A$2:$F$521,4,0)),"",VLOOKUP($K524&amp;$U524,CUR_RATES!$A$2:$F$521,4,0))),"")</f>
        <v/>
      </c>
      <c r="N524" s="61" t="str">
        <f t="shared" si="70"/>
        <v/>
      </c>
      <c r="O524" s="68" t="str">
        <f t="shared" si="71"/>
        <v/>
      </c>
      <c r="P524" s="24"/>
      <c r="Q524" s="2" t="str">
        <f>IF(ROW(Q524)-ROW($E$1)&lt;=$B$4,INDEX(IDX_COMPO!F:F,ROW(IDX_COMPO!#REF!)),"")</f>
        <v/>
      </c>
      <c r="R524" s="68" t="str">
        <f t="shared" si="72"/>
        <v/>
      </c>
      <c r="S524" s="61" t="str">
        <f t="shared" si="73"/>
        <v/>
      </c>
      <c r="T524" s="62" t="str">
        <f>IF(D524&lt;&gt;"",IF(SUMPRODUCT(--($E524=STK_DIV!$A$2:$A$5),--(NXT_COMPO!$Q524=STK_DIV!$E$2:$E$5),ROW(STK_DIV!$D$2:$D$5))=0,"",INDEX(STK_DIV!$D$1:$D$5,SUMPRODUCT(--($E524=STK_DIV!$A$2:$A$5),--(NXT_COMPO!$Q524=STK_DIV!$E$2:$E$5),ROW(STK_DIV!$D$2:$D$5)))),"")</f>
        <v/>
      </c>
      <c r="U524" s="54" t="str">
        <f>IF($D524&lt;&gt;"",VLOOKUP($P524,IDX_REF!$2:$1048576,4,0),"")</f>
        <v/>
      </c>
    </row>
    <row r="525" spans="4:21" x14ac:dyDescent="0.2">
      <c r="D525" s="52" t="str">
        <f t="shared" si="68"/>
        <v/>
      </c>
      <c r="E525" s="5" t="str">
        <f t="shared" si="69"/>
        <v/>
      </c>
      <c r="F525" s="5" t="str">
        <f>IF(ROW(F525)-ROW($E$1)&lt;=$B$1-$B$2,INDEX(IDX_COMPO!B:B,ROW(IDX_COMPO!#REF!)),IF(ROW(E525)-ROW($E$1)&lt;=$B$4,VLOOKUP(E525,STK_REF!$A$2:$J$1048576,2,0),""))</f>
        <v/>
      </c>
      <c r="J525" s="62" t="str">
        <f>IF($D525&lt;=$B$1-$B$2,IF(INDEX($AA$2:$AA$1048576,MATCH($D525,$AB$2:$AB$1048576,0))="MODIFY",INDEX(IDX_CA!$G$1:$G$1041,SUMPRODUCT(--($E525=IDX_CA!$A$2:$A$1041),--(NXT_COMPO!$P525=IDX_CA!$B$2:$B$1041),--(NXT_COMPO!$Q525=IDX_CA!$C$2:$C$1041),ROW(IDX_CA!$G$2:$G$1041))),INDEX(IDX_COMPOSITION!$F$1:$F$441,SUMPRODUCT(--($E525=IDX_COMPOSITION!$A$2:$A$441),--(NXT_COMPO!$P525=IDX_COMPOSITION!$R$2:$R$441),--(NXT_COMPO!$B$5=IDX_COMPOSITION!$L$2:$L$441),ROW(IDX_COMPOSITION!$F$2:$F$441)))),IF($D525&lt;=$B$4,INDEX(IDX_CA!$G$1:$G$1041,SUMPRODUCT(--($E525=IDX_CA!$A$2:$A$1041),--(NXT_COMPO!$P525=IDX_CA!$B$2:$B$1041),--(NXT_COMPO!$Q525=IDX_CA!$C$2:$C$1041),ROW(IDX_CA!$G$2:$G$1041))),""))</f>
        <v/>
      </c>
      <c r="K525" s="63" t="str">
        <f>IF($D525&lt;&gt;"",VLOOKUP($E525,STK_REF!$A$2:$J$1048576,7,0),"")</f>
        <v/>
      </c>
      <c r="L525" s="5" t="str">
        <f>IF($D525&lt;&gt;"",VLOOKUP($E525,STK_REF!$A$2:$J$1048576,8,0),"")</f>
        <v/>
      </c>
      <c r="M525" s="8" t="str">
        <f>IF($D525&lt;&gt;"",IF($K525=$U525,1,IF(ISNA(VLOOKUP($K525&amp;$U525,CUR_RATES!$A$2:$F$521,4,0)),"",VLOOKUP($K525&amp;$U525,CUR_RATES!$A$2:$F$521,4,0))),"")</f>
        <v/>
      </c>
      <c r="N525" s="61" t="str">
        <f t="shared" si="70"/>
        <v/>
      </c>
      <c r="O525" s="68" t="str">
        <f t="shared" si="71"/>
        <v/>
      </c>
      <c r="P525" s="24"/>
      <c r="Q525" s="2" t="str">
        <f>IF(ROW(Q525)-ROW($E$1)&lt;=$B$4,INDEX(IDX_COMPO!F:F,ROW(IDX_COMPO!#REF!)),"")</f>
        <v/>
      </c>
      <c r="R525" s="68" t="str">
        <f t="shared" si="72"/>
        <v/>
      </c>
      <c r="S525" s="61" t="str">
        <f t="shared" si="73"/>
        <v/>
      </c>
      <c r="T525" s="62" t="str">
        <f>IF(D525&lt;&gt;"",IF(SUMPRODUCT(--($E525=STK_DIV!$A$2:$A$5),--(NXT_COMPO!$Q525=STK_DIV!$E$2:$E$5),ROW(STK_DIV!$D$2:$D$5))=0,"",INDEX(STK_DIV!$D$1:$D$5,SUMPRODUCT(--($E525=STK_DIV!$A$2:$A$5),--(NXT_COMPO!$Q525=STK_DIV!$E$2:$E$5),ROW(STK_DIV!$D$2:$D$5)))),"")</f>
        <v/>
      </c>
      <c r="U525" s="54" t="str">
        <f>IF($D525&lt;&gt;"",VLOOKUP($P525,IDX_REF!$2:$1048576,4,0),"")</f>
        <v/>
      </c>
    </row>
    <row r="526" spans="4:21" x14ac:dyDescent="0.2">
      <c r="D526" s="52" t="str">
        <f t="shared" si="68"/>
        <v/>
      </c>
      <c r="E526" s="5" t="str">
        <f t="shared" si="69"/>
        <v/>
      </c>
      <c r="F526" s="5" t="str">
        <f>IF(ROW(F526)-ROW($E$1)&lt;=$B$1-$B$2,INDEX(IDX_COMPO!B:B,ROW(IDX_COMPO!#REF!)),IF(ROW(E526)-ROW($E$1)&lt;=$B$4,VLOOKUP(E526,STK_REF!$A$2:$J$1048576,2,0),""))</f>
        <v/>
      </c>
      <c r="J526" s="62" t="str">
        <f>IF($D526&lt;=$B$1-$B$2,IF(INDEX($AA$2:$AA$1048576,MATCH($D526,$AB$2:$AB$1048576,0))="MODIFY",INDEX(IDX_CA!$G$1:$G$1041,SUMPRODUCT(--($E526=IDX_CA!$A$2:$A$1041),--(NXT_COMPO!$P526=IDX_CA!$B$2:$B$1041),--(NXT_COMPO!$Q526=IDX_CA!$C$2:$C$1041),ROW(IDX_CA!$G$2:$G$1041))),INDEX(IDX_COMPOSITION!$F$1:$F$441,SUMPRODUCT(--($E526=IDX_COMPOSITION!$A$2:$A$441),--(NXT_COMPO!$P526=IDX_COMPOSITION!$R$2:$R$441),--(NXT_COMPO!$B$5=IDX_COMPOSITION!$L$2:$L$441),ROW(IDX_COMPOSITION!$F$2:$F$441)))),IF($D526&lt;=$B$4,INDEX(IDX_CA!$G$1:$G$1041,SUMPRODUCT(--($E526=IDX_CA!$A$2:$A$1041),--(NXT_COMPO!$P526=IDX_CA!$B$2:$B$1041),--(NXT_COMPO!$Q526=IDX_CA!$C$2:$C$1041),ROW(IDX_CA!$G$2:$G$1041))),""))</f>
        <v/>
      </c>
      <c r="K526" s="63" t="str">
        <f>IF($D526&lt;&gt;"",VLOOKUP($E526,STK_REF!$A$2:$J$1048576,7,0),"")</f>
        <v/>
      </c>
      <c r="L526" s="5" t="str">
        <f>IF($D526&lt;&gt;"",VLOOKUP($E526,STK_REF!$A$2:$J$1048576,8,0),"")</f>
        <v/>
      </c>
      <c r="M526" s="8" t="str">
        <f>IF($D526&lt;&gt;"",IF($K526=$U526,1,IF(ISNA(VLOOKUP($K526&amp;$U526,CUR_RATES!$A$2:$F$521,4,0)),"",VLOOKUP($K526&amp;$U526,CUR_RATES!$A$2:$F$521,4,0))),"")</f>
        <v/>
      </c>
      <c r="N526" s="61" t="str">
        <f t="shared" si="70"/>
        <v/>
      </c>
      <c r="O526" s="68" t="str">
        <f t="shared" si="71"/>
        <v/>
      </c>
      <c r="P526" s="24"/>
      <c r="Q526" s="2" t="str">
        <f>IF(ROW(Q526)-ROW($E$1)&lt;=$B$4,INDEX(IDX_COMPO!F:F,ROW(IDX_COMPO!#REF!)),"")</f>
        <v/>
      </c>
      <c r="R526" s="68" t="str">
        <f t="shared" si="72"/>
        <v/>
      </c>
      <c r="S526" s="61" t="str">
        <f t="shared" si="73"/>
        <v/>
      </c>
      <c r="T526" s="62" t="str">
        <f>IF(D526&lt;&gt;"",IF(SUMPRODUCT(--($E526=STK_DIV!$A$2:$A$5),--(NXT_COMPO!$Q526=STK_DIV!$E$2:$E$5),ROW(STK_DIV!$D$2:$D$5))=0,"",INDEX(STK_DIV!$D$1:$D$5,SUMPRODUCT(--($E526=STK_DIV!$A$2:$A$5),--(NXT_COMPO!$Q526=STK_DIV!$E$2:$E$5),ROW(STK_DIV!$D$2:$D$5)))),"")</f>
        <v/>
      </c>
      <c r="U526" s="54" t="str">
        <f>IF($D526&lt;&gt;"",VLOOKUP($P526,IDX_REF!$2:$1048576,4,0),"")</f>
        <v/>
      </c>
    </row>
    <row r="527" spans="4:21" x14ac:dyDescent="0.2">
      <c r="D527" s="52" t="str">
        <f t="shared" si="68"/>
        <v/>
      </c>
      <c r="E527" s="5" t="str">
        <f t="shared" si="69"/>
        <v/>
      </c>
      <c r="F527" s="5" t="str">
        <f>IF(ROW(F527)-ROW($E$1)&lt;=$B$1-$B$2,INDEX(IDX_COMPO!B:B,ROW(IDX_COMPO!#REF!)),IF(ROW(E527)-ROW($E$1)&lt;=$B$4,VLOOKUP(E527,STK_REF!$A$2:$J$1048576,2,0),""))</f>
        <v/>
      </c>
      <c r="J527" s="62" t="str">
        <f>IF($D527&lt;=$B$1-$B$2,IF(INDEX($AA$2:$AA$1048576,MATCH($D527,$AB$2:$AB$1048576,0))="MODIFY",INDEX(IDX_CA!$G$1:$G$1041,SUMPRODUCT(--($E527=IDX_CA!$A$2:$A$1041),--(NXT_COMPO!$P527=IDX_CA!$B$2:$B$1041),--(NXT_COMPO!$Q527=IDX_CA!$C$2:$C$1041),ROW(IDX_CA!$G$2:$G$1041))),INDEX(IDX_COMPOSITION!$F$1:$F$441,SUMPRODUCT(--($E527=IDX_COMPOSITION!$A$2:$A$441),--(NXT_COMPO!$P527=IDX_COMPOSITION!$R$2:$R$441),--(NXT_COMPO!$B$5=IDX_COMPOSITION!$L$2:$L$441),ROW(IDX_COMPOSITION!$F$2:$F$441)))),IF($D527&lt;=$B$4,INDEX(IDX_CA!$G$1:$G$1041,SUMPRODUCT(--($E527=IDX_CA!$A$2:$A$1041),--(NXT_COMPO!$P527=IDX_CA!$B$2:$B$1041),--(NXT_COMPO!$Q527=IDX_CA!$C$2:$C$1041),ROW(IDX_CA!$G$2:$G$1041))),""))</f>
        <v/>
      </c>
      <c r="K527" s="63" t="str">
        <f>IF($D527&lt;&gt;"",VLOOKUP($E527,STK_REF!$A$2:$J$1048576,7,0),"")</f>
        <v/>
      </c>
      <c r="L527" s="5" t="str">
        <f>IF($D527&lt;&gt;"",VLOOKUP($E527,STK_REF!$A$2:$J$1048576,8,0),"")</f>
        <v/>
      </c>
      <c r="M527" s="8" t="str">
        <f>IF($D527&lt;&gt;"",IF($K527=$U527,1,IF(ISNA(VLOOKUP($K527&amp;$U527,CUR_RATES!$A$2:$F$521,4,0)),"",VLOOKUP($K527&amp;$U527,CUR_RATES!$A$2:$F$521,4,0))),"")</f>
        <v/>
      </c>
      <c r="N527" s="61" t="str">
        <f t="shared" si="70"/>
        <v/>
      </c>
      <c r="O527" s="68" t="str">
        <f t="shared" si="71"/>
        <v/>
      </c>
      <c r="P527" s="24"/>
      <c r="Q527" s="2" t="str">
        <f>IF(ROW(Q527)-ROW($E$1)&lt;=$B$4,INDEX(IDX_COMPO!F:F,ROW(IDX_COMPO!#REF!)),"")</f>
        <v/>
      </c>
      <c r="R527" s="68" t="str">
        <f t="shared" si="72"/>
        <v/>
      </c>
      <c r="S527" s="61" t="str">
        <f t="shared" si="73"/>
        <v/>
      </c>
      <c r="T527" s="62" t="str">
        <f>IF(D527&lt;&gt;"",IF(SUMPRODUCT(--($E527=STK_DIV!$A$2:$A$5),--(NXT_COMPO!$Q527=STK_DIV!$E$2:$E$5),ROW(STK_DIV!$D$2:$D$5))=0,"",INDEX(STK_DIV!$D$1:$D$5,SUMPRODUCT(--($E527=STK_DIV!$A$2:$A$5),--(NXT_COMPO!$Q527=STK_DIV!$E$2:$E$5),ROW(STK_DIV!$D$2:$D$5)))),"")</f>
        <v/>
      </c>
      <c r="U527" s="54" t="str">
        <f>IF($D527&lt;&gt;"",VLOOKUP($P527,IDX_REF!$2:$1048576,4,0),"")</f>
        <v/>
      </c>
    </row>
    <row r="528" spans="4:21" x14ac:dyDescent="0.2">
      <c r="D528" s="52" t="str">
        <f t="shared" si="68"/>
        <v/>
      </c>
      <c r="E528" s="5" t="str">
        <f t="shared" si="69"/>
        <v/>
      </c>
      <c r="F528" s="5" t="str">
        <f>IF(ROW(F528)-ROW($E$1)&lt;=$B$1-$B$2,INDEX(IDX_COMPO!B:B,ROW(IDX_COMPO!#REF!)),IF(ROW(E528)-ROW($E$1)&lt;=$B$4,VLOOKUP(E528,STK_REF!$A$2:$J$1048576,2,0),""))</f>
        <v/>
      </c>
      <c r="J528" s="62" t="str">
        <f>IF($D528&lt;=$B$1-$B$2,IF(INDEX($AA$2:$AA$1048576,MATCH($D528,$AB$2:$AB$1048576,0))="MODIFY",INDEX(IDX_CA!$G$1:$G$1041,SUMPRODUCT(--($E528=IDX_CA!$A$2:$A$1041),--(NXT_COMPO!$P528=IDX_CA!$B$2:$B$1041),--(NXT_COMPO!$Q528=IDX_CA!$C$2:$C$1041),ROW(IDX_CA!$G$2:$G$1041))),INDEX(IDX_COMPOSITION!$F$1:$F$441,SUMPRODUCT(--($E528=IDX_COMPOSITION!$A$2:$A$441),--(NXT_COMPO!$P528=IDX_COMPOSITION!$R$2:$R$441),--(NXT_COMPO!$B$5=IDX_COMPOSITION!$L$2:$L$441),ROW(IDX_COMPOSITION!$F$2:$F$441)))),IF($D528&lt;=$B$4,INDEX(IDX_CA!$G$1:$G$1041,SUMPRODUCT(--($E528=IDX_CA!$A$2:$A$1041),--(NXT_COMPO!$P528=IDX_CA!$B$2:$B$1041),--(NXT_COMPO!$Q528=IDX_CA!$C$2:$C$1041),ROW(IDX_CA!$G$2:$G$1041))),""))</f>
        <v/>
      </c>
      <c r="K528" s="63" t="str">
        <f>IF($D528&lt;&gt;"",VLOOKUP($E528,STK_REF!$A$2:$J$1048576,7,0),"")</f>
        <v/>
      </c>
      <c r="L528" s="5" t="str">
        <f>IF($D528&lt;&gt;"",VLOOKUP($E528,STK_REF!$A$2:$J$1048576,8,0),"")</f>
        <v/>
      </c>
      <c r="M528" s="8" t="str">
        <f>IF($D528&lt;&gt;"",IF($K528=$U528,1,IF(ISNA(VLOOKUP($K528&amp;$U528,CUR_RATES!$A$2:$F$521,4,0)),"",VLOOKUP($K528&amp;$U528,CUR_RATES!$A$2:$F$521,4,0))),"")</f>
        <v/>
      </c>
      <c r="N528" s="61" t="str">
        <f t="shared" si="70"/>
        <v/>
      </c>
      <c r="O528" s="68" t="str">
        <f t="shared" si="71"/>
        <v/>
      </c>
      <c r="P528" s="24"/>
      <c r="Q528" s="2" t="str">
        <f>IF(ROW(Q528)-ROW($E$1)&lt;=$B$4,INDEX(IDX_COMPO!F:F,ROW(IDX_COMPO!#REF!)),"")</f>
        <v/>
      </c>
      <c r="R528" s="68" t="str">
        <f t="shared" si="72"/>
        <v/>
      </c>
      <c r="S528" s="61" t="str">
        <f t="shared" si="73"/>
        <v/>
      </c>
      <c r="T528" s="62" t="str">
        <f>IF(D528&lt;&gt;"",IF(SUMPRODUCT(--($E528=STK_DIV!$A$2:$A$5),--(NXT_COMPO!$Q528=STK_DIV!$E$2:$E$5),ROW(STK_DIV!$D$2:$D$5))=0,"",INDEX(STK_DIV!$D$1:$D$5,SUMPRODUCT(--($E528=STK_DIV!$A$2:$A$5),--(NXT_COMPO!$Q528=STK_DIV!$E$2:$E$5),ROW(STK_DIV!$D$2:$D$5)))),"")</f>
        <v/>
      </c>
      <c r="U528" s="54" t="str">
        <f>IF($D528&lt;&gt;"",VLOOKUP($P528,IDX_REF!$2:$1048576,4,0),"")</f>
        <v/>
      </c>
    </row>
    <row r="529" spans="4:21" x14ac:dyDescent="0.2">
      <c r="D529" s="52" t="str">
        <f t="shared" si="68"/>
        <v/>
      </c>
      <c r="E529" s="5" t="str">
        <f t="shared" si="69"/>
        <v/>
      </c>
      <c r="F529" s="5" t="str">
        <f>IF(ROW(F529)-ROW($E$1)&lt;=$B$1-$B$2,INDEX(IDX_COMPO!B:B,ROW(IDX_COMPO!#REF!)),IF(ROW(E529)-ROW($E$1)&lt;=$B$4,VLOOKUP(E529,STK_REF!$A$2:$J$1048576,2,0),""))</f>
        <v/>
      </c>
      <c r="J529" s="62" t="str">
        <f>IF($D529&lt;=$B$1-$B$2,IF(INDEX($AA$2:$AA$1048576,MATCH($D529,$AB$2:$AB$1048576,0))="MODIFY",INDEX(IDX_CA!$G$1:$G$1041,SUMPRODUCT(--($E529=IDX_CA!$A$2:$A$1041),--(NXT_COMPO!$P529=IDX_CA!$B$2:$B$1041),--(NXT_COMPO!$Q529=IDX_CA!$C$2:$C$1041),ROW(IDX_CA!$G$2:$G$1041))),INDEX(IDX_COMPOSITION!$F$1:$F$441,SUMPRODUCT(--($E529=IDX_COMPOSITION!$A$2:$A$441),--(NXT_COMPO!$P529=IDX_COMPOSITION!$R$2:$R$441),--(NXT_COMPO!$B$5=IDX_COMPOSITION!$L$2:$L$441),ROW(IDX_COMPOSITION!$F$2:$F$441)))),IF($D529&lt;=$B$4,INDEX(IDX_CA!$G$1:$G$1041,SUMPRODUCT(--($E529=IDX_CA!$A$2:$A$1041),--(NXT_COMPO!$P529=IDX_CA!$B$2:$B$1041),--(NXT_COMPO!$Q529=IDX_CA!$C$2:$C$1041),ROW(IDX_CA!$G$2:$G$1041))),""))</f>
        <v/>
      </c>
      <c r="K529" s="63" t="str">
        <f>IF($D529&lt;&gt;"",VLOOKUP($E529,STK_REF!$A$2:$J$1048576,7,0),"")</f>
        <v/>
      </c>
      <c r="L529" s="5" t="str">
        <f>IF($D529&lt;&gt;"",VLOOKUP($E529,STK_REF!$A$2:$J$1048576,8,0),"")</f>
        <v/>
      </c>
      <c r="M529" s="8" t="str">
        <f>IF($D529&lt;&gt;"",IF($K529=$U529,1,IF(ISNA(VLOOKUP($K529&amp;$U529,CUR_RATES!$A$2:$F$521,4,0)),"",VLOOKUP($K529&amp;$U529,CUR_RATES!$A$2:$F$521,4,0))),"")</f>
        <v/>
      </c>
      <c r="N529" s="61" t="str">
        <f t="shared" si="70"/>
        <v/>
      </c>
      <c r="O529" s="68" t="str">
        <f t="shared" si="71"/>
        <v/>
      </c>
      <c r="P529" s="24"/>
      <c r="Q529" s="2" t="str">
        <f>IF(ROW(Q529)-ROW($E$1)&lt;=$B$4,INDEX(IDX_COMPO!F:F,ROW(IDX_COMPO!#REF!)),"")</f>
        <v/>
      </c>
      <c r="R529" s="68" t="str">
        <f t="shared" si="72"/>
        <v/>
      </c>
      <c r="S529" s="61" t="str">
        <f t="shared" si="73"/>
        <v/>
      </c>
      <c r="T529" s="62" t="str">
        <f>IF(D529&lt;&gt;"",IF(SUMPRODUCT(--($E529=STK_DIV!$A$2:$A$5),--(NXT_COMPO!$Q529=STK_DIV!$E$2:$E$5),ROW(STK_DIV!$D$2:$D$5))=0,"",INDEX(STK_DIV!$D$1:$D$5,SUMPRODUCT(--($E529=STK_DIV!$A$2:$A$5),--(NXT_COMPO!$Q529=STK_DIV!$E$2:$E$5),ROW(STK_DIV!$D$2:$D$5)))),"")</f>
        <v/>
      </c>
      <c r="U529" s="54" t="str">
        <f>IF($D529&lt;&gt;"",VLOOKUP($P529,IDX_REF!$2:$1048576,4,0),"")</f>
        <v/>
      </c>
    </row>
    <row r="530" spans="4:21" x14ac:dyDescent="0.2">
      <c r="D530" s="52" t="str">
        <f t="shared" si="68"/>
        <v/>
      </c>
      <c r="E530" s="5" t="str">
        <f t="shared" si="69"/>
        <v/>
      </c>
      <c r="F530" s="5" t="str">
        <f>IF(ROW(F530)-ROW($E$1)&lt;=$B$1-$B$2,INDEX(IDX_COMPO!B:B,ROW(IDX_COMPO!#REF!)),IF(ROW(E530)-ROW($E$1)&lt;=$B$4,VLOOKUP(E530,STK_REF!$A$2:$J$1048576,2,0),""))</f>
        <v/>
      </c>
      <c r="J530" s="62" t="str">
        <f>IF($D530&lt;=$B$1-$B$2,IF(INDEX($AA$2:$AA$1048576,MATCH($D530,$AB$2:$AB$1048576,0))="MODIFY",INDEX(IDX_CA!$G$1:$G$1041,SUMPRODUCT(--($E530=IDX_CA!$A$2:$A$1041),--(NXT_COMPO!$P530=IDX_CA!$B$2:$B$1041),--(NXT_COMPO!$Q530=IDX_CA!$C$2:$C$1041),ROW(IDX_CA!$G$2:$G$1041))),INDEX(IDX_COMPOSITION!$F$1:$F$441,SUMPRODUCT(--($E530=IDX_COMPOSITION!$A$2:$A$441),--(NXT_COMPO!$P530=IDX_COMPOSITION!$R$2:$R$441),--(NXT_COMPO!$B$5=IDX_COMPOSITION!$L$2:$L$441),ROW(IDX_COMPOSITION!$F$2:$F$441)))),IF($D530&lt;=$B$4,INDEX(IDX_CA!$G$1:$G$1041,SUMPRODUCT(--($E530=IDX_CA!$A$2:$A$1041),--(NXT_COMPO!$P530=IDX_CA!$B$2:$B$1041),--(NXT_COMPO!$Q530=IDX_CA!$C$2:$C$1041),ROW(IDX_CA!$G$2:$G$1041))),""))</f>
        <v/>
      </c>
      <c r="K530" s="63" t="str">
        <f>IF($D530&lt;&gt;"",VLOOKUP($E530,STK_REF!$A$2:$J$1048576,7,0),"")</f>
        <v/>
      </c>
      <c r="L530" s="5" t="str">
        <f>IF($D530&lt;&gt;"",VLOOKUP($E530,STK_REF!$A$2:$J$1048576,8,0),"")</f>
        <v/>
      </c>
      <c r="M530" s="8" t="str">
        <f>IF($D530&lt;&gt;"",IF($K530=$U530,1,IF(ISNA(VLOOKUP($K530&amp;$U530,CUR_RATES!$A$2:$F$521,4,0)),"",VLOOKUP($K530&amp;$U530,CUR_RATES!$A$2:$F$521,4,0))),"")</f>
        <v/>
      </c>
      <c r="N530" s="61" t="str">
        <f t="shared" si="70"/>
        <v/>
      </c>
      <c r="O530" s="68" t="str">
        <f t="shared" si="71"/>
        <v/>
      </c>
      <c r="P530" s="24"/>
      <c r="Q530" s="2" t="str">
        <f>IF(ROW(Q530)-ROW($E$1)&lt;=$B$4,INDEX(IDX_COMPO!F:F,ROW(IDX_COMPO!#REF!)),"")</f>
        <v/>
      </c>
      <c r="R530" s="68" t="str">
        <f t="shared" si="72"/>
        <v/>
      </c>
      <c r="S530" s="61" t="str">
        <f t="shared" si="73"/>
        <v/>
      </c>
      <c r="T530" s="62" t="str">
        <f>IF(D530&lt;&gt;"",IF(SUMPRODUCT(--($E530=STK_DIV!$A$2:$A$5),--(NXT_COMPO!$Q530=STK_DIV!$E$2:$E$5),ROW(STK_DIV!$D$2:$D$5))=0,"",INDEX(STK_DIV!$D$1:$D$5,SUMPRODUCT(--($E530=STK_DIV!$A$2:$A$5),--(NXT_COMPO!$Q530=STK_DIV!$E$2:$E$5),ROW(STK_DIV!$D$2:$D$5)))),"")</f>
        <v/>
      </c>
      <c r="U530" s="54" t="str">
        <f>IF($D530&lt;&gt;"",VLOOKUP($P530,IDX_REF!$2:$1048576,4,0),"")</f>
        <v/>
      </c>
    </row>
    <row r="531" spans="4:21" x14ac:dyDescent="0.2">
      <c r="D531" s="52" t="str">
        <f t="shared" si="68"/>
        <v/>
      </c>
      <c r="E531" s="5" t="str">
        <f t="shared" si="69"/>
        <v/>
      </c>
      <c r="F531" s="5" t="str">
        <f>IF(ROW(F531)-ROW($E$1)&lt;=$B$1-$B$2,INDEX(IDX_COMPO!B:B,ROW(IDX_COMPO!#REF!)),IF(ROW(E531)-ROW($E$1)&lt;=$B$4,VLOOKUP(E531,STK_REF!$A$2:$J$1048576,2,0),""))</f>
        <v/>
      </c>
      <c r="J531" s="62" t="str">
        <f>IF($D531&lt;=$B$1-$B$2,IF(INDEX($AA$2:$AA$1048576,MATCH($D531,$AB$2:$AB$1048576,0))="MODIFY",INDEX(IDX_CA!$G$1:$G$1041,SUMPRODUCT(--($E531=IDX_CA!$A$2:$A$1041),--(NXT_COMPO!$P531=IDX_CA!$B$2:$B$1041),--(NXT_COMPO!$Q531=IDX_CA!$C$2:$C$1041),ROW(IDX_CA!$G$2:$G$1041))),INDEX(IDX_COMPOSITION!$F$1:$F$441,SUMPRODUCT(--($E531=IDX_COMPOSITION!$A$2:$A$441),--(NXT_COMPO!$P531=IDX_COMPOSITION!$R$2:$R$441),--(NXT_COMPO!$B$5=IDX_COMPOSITION!$L$2:$L$441),ROW(IDX_COMPOSITION!$F$2:$F$441)))),IF($D531&lt;=$B$4,INDEX(IDX_CA!$G$1:$G$1041,SUMPRODUCT(--($E531=IDX_CA!$A$2:$A$1041),--(NXT_COMPO!$P531=IDX_CA!$B$2:$B$1041),--(NXT_COMPO!$Q531=IDX_CA!$C$2:$C$1041),ROW(IDX_CA!$G$2:$G$1041))),""))</f>
        <v/>
      </c>
      <c r="K531" s="63" t="str">
        <f>IF($D531&lt;&gt;"",VLOOKUP($E531,STK_REF!$A$2:$J$1048576,7,0),"")</f>
        <v/>
      </c>
      <c r="L531" s="5" t="str">
        <f>IF($D531&lt;&gt;"",VLOOKUP($E531,STK_REF!$A$2:$J$1048576,8,0),"")</f>
        <v/>
      </c>
      <c r="M531" s="8" t="str">
        <f>IF($D531&lt;&gt;"",IF($K531=$U531,1,IF(ISNA(VLOOKUP($K531&amp;$U531,CUR_RATES!$A$2:$F$521,4,0)),"",VLOOKUP($K531&amp;$U531,CUR_RATES!$A$2:$F$521,4,0))),"")</f>
        <v/>
      </c>
      <c r="N531" s="61" t="str">
        <f t="shared" si="70"/>
        <v/>
      </c>
      <c r="O531" s="68" t="str">
        <f t="shared" si="71"/>
        <v/>
      </c>
      <c r="P531" s="24"/>
      <c r="Q531" s="2" t="str">
        <f>IF(ROW(Q531)-ROW($E$1)&lt;=$B$4,INDEX(IDX_COMPO!F:F,ROW(IDX_COMPO!#REF!)),"")</f>
        <v/>
      </c>
      <c r="R531" s="68" t="str">
        <f t="shared" si="72"/>
        <v/>
      </c>
      <c r="S531" s="61" t="str">
        <f t="shared" si="73"/>
        <v/>
      </c>
      <c r="T531" s="62" t="str">
        <f>IF(D531&lt;&gt;"",IF(SUMPRODUCT(--($E531=STK_DIV!$A$2:$A$5),--(NXT_COMPO!$Q531=STK_DIV!$E$2:$E$5),ROW(STK_DIV!$D$2:$D$5))=0,"",INDEX(STK_DIV!$D$1:$D$5,SUMPRODUCT(--($E531=STK_DIV!$A$2:$A$5),--(NXT_COMPO!$Q531=STK_DIV!$E$2:$E$5),ROW(STK_DIV!$D$2:$D$5)))),"")</f>
        <v/>
      </c>
      <c r="U531" s="54" t="str">
        <f>IF($D531&lt;&gt;"",VLOOKUP($P531,IDX_REF!$2:$1048576,4,0),"")</f>
        <v/>
      </c>
    </row>
    <row r="532" spans="4:21" x14ac:dyDescent="0.2">
      <c r="D532" s="52" t="str">
        <f t="shared" si="68"/>
        <v/>
      </c>
      <c r="E532" s="5" t="str">
        <f t="shared" si="69"/>
        <v/>
      </c>
      <c r="F532" s="5" t="str">
        <f>IF(ROW(F532)-ROW($E$1)&lt;=$B$1-$B$2,INDEX(IDX_COMPO!B:B,ROW(IDX_COMPO!#REF!)),IF(ROW(E532)-ROW($E$1)&lt;=$B$4,VLOOKUP(E532,STK_REF!$A$2:$J$1048576,2,0),""))</f>
        <v/>
      </c>
      <c r="J532" s="62" t="str">
        <f>IF($D532&lt;=$B$1-$B$2,IF(INDEX($AA$2:$AA$1048576,MATCH($D532,$AB$2:$AB$1048576,0))="MODIFY",INDEX(IDX_CA!$G$1:$G$1041,SUMPRODUCT(--($E532=IDX_CA!$A$2:$A$1041),--(NXT_COMPO!$P532=IDX_CA!$B$2:$B$1041),--(NXT_COMPO!$Q532=IDX_CA!$C$2:$C$1041),ROW(IDX_CA!$G$2:$G$1041))),INDEX(IDX_COMPOSITION!$F$1:$F$441,SUMPRODUCT(--($E532=IDX_COMPOSITION!$A$2:$A$441),--(NXT_COMPO!$P532=IDX_COMPOSITION!$R$2:$R$441),--(NXT_COMPO!$B$5=IDX_COMPOSITION!$L$2:$L$441),ROW(IDX_COMPOSITION!$F$2:$F$441)))),IF($D532&lt;=$B$4,INDEX(IDX_CA!$G$1:$G$1041,SUMPRODUCT(--($E532=IDX_CA!$A$2:$A$1041),--(NXT_COMPO!$P532=IDX_CA!$B$2:$B$1041),--(NXT_COMPO!$Q532=IDX_CA!$C$2:$C$1041),ROW(IDX_CA!$G$2:$G$1041))),""))</f>
        <v/>
      </c>
      <c r="K532" s="63" t="str">
        <f>IF($D532&lt;&gt;"",VLOOKUP($E532,STK_REF!$A$2:$J$1048576,7,0),"")</f>
        <v/>
      </c>
      <c r="L532" s="5" t="str">
        <f>IF($D532&lt;&gt;"",VLOOKUP($E532,STK_REF!$A$2:$J$1048576,8,0),"")</f>
        <v/>
      </c>
      <c r="M532" s="8" t="str">
        <f>IF($D532&lt;&gt;"",IF($K532=$U532,1,IF(ISNA(VLOOKUP($K532&amp;$U532,CUR_RATES!$A$2:$F$521,4,0)),"",VLOOKUP($K532&amp;$U532,CUR_RATES!$A$2:$F$521,4,0))),"")</f>
        <v/>
      </c>
      <c r="N532" s="61" t="str">
        <f t="shared" si="70"/>
        <v/>
      </c>
      <c r="O532" s="68" t="str">
        <f t="shared" si="71"/>
        <v/>
      </c>
      <c r="P532" s="24"/>
      <c r="Q532" s="2" t="str">
        <f>IF(ROW(Q532)-ROW($E$1)&lt;=$B$4,INDEX(IDX_COMPO!F:F,ROW(IDX_COMPO!#REF!)),"")</f>
        <v/>
      </c>
      <c r="R532" s="68" t="str">
        <f t="shared" si="72"/>
        <v/>
      </c>
      <c r="S532" s="61" t="str">
        <f t="shared" si="73"/>
        <v/>
      </c>
      <c r="T532" s="62" t="str">
        <f>IF(D532&lt;&gt;"",IF(SUMPRODUCT(--($E532=STK_DIV!$A$2:$A$5),--(NXT_COMPO!$Q532=STK_DIV!$E$2:$E$5),ROW(STK_DIV!$D$2:$D$5))=0,"",INDEX(STK_DIV!$D$1:$D$5,SUMPRODUCT(--($E532=STK_DIV!$A$2:$A$5),--(NXT_COMPO!$Q532=STK_DIV!$E$2:$E$5),ROW(STK_DIV!$D$2:$D$5)))),"")</f>
        <v/>
      </c>
      <c r="U532" s="54" t="str">
        <f>IF($D532&lt;&gt;"",VLOOKUP($P532,IDX_REF!$2:$1048576,4,0),"")</f>
        <v/>
      </c>
    </row>
    <row r="533" spans="4:21" x14ac:dyDescent="0.2">
      <c r="D533" s="52" t="str">
        <f t="shared" si="68"/>
        <v/>
      </c>
      <c r="E533" s="5" t="str">
        <f t="shared" si="69"/>
        <v/>
      </c>
      <c r="F533" s="5" t="str">
        <f>IF(ROW(F533)-ROW($E$1)&lt;=$B$1-$B$2,INDEX(IDX_COMPO!B:B,ROW(IDX_COMPO!#REF!)),IF(ROW(E533)-ROW($E$1)&lt;=$B$4,VLOOKUP(E533,STK_REF!$A$2:$J$1048576,2,0),""))</f>
        <v/>
      </c>
      <c r="J533" s="62" t="str">
        <f>IF($D533&lt;=$B$1-$B$2,IF(INDEX($AA$2:$AA$1048576,MATCH($D533,$AB$2:$AB$1048576,0))="MODIFY",INDEX(IDX_CA!$G$1:$G$1041,SUMPRODUCT(--($E533=IDX_CA!$A$2:$A$1041),--(NXT_COMPO!$P533=IDX_CA!$B$2:$B$1041),--(NXT_COMPO!$Q533=IDX_CA!$C$2:$C$1041),ROW(IDX_CA!$G$2:$G$1041))),INDEX(IDX_COMPOSITION!$F$1:$F$441,SUMPRODUCT(--($E533=IDX_COMPOSITION!$A$2:$A$441),--(NXT_COMPO!$P533=IDX_COMPOSITION!$R$2:$R$441),--(NXT_COMPO!$B$5=IDX_COMPOSITION!$L$2:$L$441),ROW(IDX_COMPOSITION!$F$2:$F$441)))),IF($D533&lt;=$B$4,INDEX(IDX_CA!$G$1:$G$1041,SUMPRODUCT(--($E533=IDX_CA!$A$2:$A$1041),--(NXT_COMPO!$P533=IDX_CA!$B$2:$B$1041),--(NXT_COMPO!$Q533=IDX_CA!$C$2:$C$1041),ROW(IDX_CA!$G$2:$G$1041))),""))</f>
        <v/>
      </c>
      <c r="K533" s="63" t="str">
        <f>IF($D533&lt;&gt;"",VLOOKUP($E533,STK_REF!$A$2:$J$1048576,7,0),"")</f>
        <v/>
      </c>
      <c r="L533" s="5" t="str">
        <f>IF($D533&lt;&gt;"",VLOOKUP($E533,STK_REF!$A$2:$J$1048576,8,0),"")</f>
        <v/>
      </c>
      <c r="M533" s="8" t="str">
        <f>IF($D533&lt;&gt;"",IF($K533=$U533,1,IF(ISNA(VLOOKUP($K533&amp;$U533,CUR_RATES!$A$2:$F$521,4,0)),"",VLOOKUP($K533&amp;$U533,CUR_RATES!$A$2:$F$521,4,0))),"")</f>
        <v/>
      </c>
      <c r="N533" s="61" t="str">
        <f t="shared" si="70"/>
        <v/>
      </c>
      <c r="O533" s="68" t="str">
        <f t="shared" si="71"/>
        <v/>
      </c>
      <c r="P533" s="24"/>
      <c r="Q533" s="2" t="str">
        <f>IF(ROW(Q533)-ROW($E$1)&lt;=$B$4,INDEX(IDX_COMPO!F:F,ROW(IDX_COMPO!#REF!)),"")</f>
        <v/>
      </c>
      <c r="R533" s="68" t="str">
        <f t="shared" si="72"/>
        <v/>
      </c>
      <c r="S533" s="61" t="str">
        <f t="shared" si="73"/>
        <v/>
      </c>
      <c r="T533" s="62" t="str">
        <f>IF(D533&lt;&gt;"",IF(SUMPRODUCT(--($E533=STK_DIV!$A$2:$A$5),--(NXT_COMPO!$Q533=STK_DIV!$E$2:$E$5),ROW(STK_DIV!$D$2:$D$5))=0,"",INDEX(STK_DIV!$D$1:$D$5,SUMPRODUCT(--($E533=STK_DIV!$A$2:$A$5),--(NXT_COMPO!$Q533=STK_DIV!$E$2:$E$5),ROW(STK_DIV!$D$2:$D$5)))),"")</f>
        <v/>
      </c>
      <c r="U533" s="54" t="str">
        <f>IF($D533&lt;&gt;"",VLOOKUP($P533,IDX_REF!$2:$1048576,4,0),"")</f>
        <v/>
      </c>
    </row>
    <row r="534" spans="4:21" x14ac:dyDescent="0.2">
      <c r="D534" s="52" t="str">
        <f t="shared" si="68"/>
        <v/>
      </c>
      <c r="E534" s="5" t="str">
        <f t="shared" si="69"/>
        <v/>
      </c>
      <c r="F534" s="5" t="str">
        <f>IF(ROW(F534)-ROW($E$1)&lt;=$B$1-$B$2,INDEX(IDX_COMPO!B:B,ROW(IDX_COMPO!#REF!)),IF(ROW(E534)-ROW($E$1)&lt;=$B$4,VLOOKUP(E534,STK_REF!$A$2:$J$1048576,2,0),""))</f>
        <v/>
      </c>
      <c r="J534" s="62" t="str">
        <f>IF($D534&lt;=$B$1-$B$2,IF(INDEX($AA$2:$AA$1048576,MATCH($D534,$AB$2:$AB$1048576,0))="MODIFY",INDEX(IDX_CA!$G$1:$G$1041,SUMPRODUCT(--($E534=IDX_CA!$A$2:$A$1041),--(NXT_COMPO!$P534=IDX_CA!$B$2:$B$1041),--(NXT_COMPO!$Q534=IDX_CA!$C$2:$C$1041),ROW(IDX_CA!$G$2:$G$1041))),INDEX(IDX_COMPOSITION!$F$1:$F$441,SUMPRODUCT(--($E534=IDX_COMPOSITION!$A$2:$A$441),--(NXT_COMPO!$P534=IDX_COMPOSITION!$R$2:$R$441),--(NXT_COMPO!$B$5=IDX_COMPOSITION!$L$2:$L$441),ROW(IDX_COMPOSITION!$F$2:$F$441)))),IF($D534&lt;=$B$4,INDEX(IDX_CA!$G$1:$G$1041,SUMPRODUCT(--($E534=IDX_CA!$A$2:$A$1041),--(NXT_COMPO!$P534=IDX_CA!$B$2:$B$1041),--(NXT_COMPO!$Q534=IDX_CA!$C$2:$C$1041),ROW(IDX_CA!$G$2:$G$1041))),""))</f>
        <v/>
      </c>
      <c r="K534" s="63" t="str">
        <f>IF($D534&lt;&gt;"",VLOOKUP($E534,STK_REF!$A$2:$J$1048576,7,0),"")</f>
        <v/>
      </c>
      <c r="L534" s="5" t="str">
        <f>IF($D534&lt;&gt;"",VLOOKUP($E534,STK_REF!$A$2:$J$1048576,8,0),"")</f>
        <v/>
      </c>
      <c r="M534" s="8" t="str">
        <f>IF($D534&lt;&gt;"",IF($K534=$U534,1,IF(ISNA(VLOOKUP($K534&amp;$U534,CUR_RATES!$A$2:$F$521,4,0)),"",VLOOKUP($K534&amp;$U534,CUR_RATES!$A$2:$F$521,4,0))),"")</f>
        <v/>
      </c>
      <c r="N534" s="61" t="str">
        <f t="shared" si="70"/>
        <v/>
      </c>
      <c r="O534" s="68" t="str">
        <f t="shared" si="71"/>
        <v/>
      </c>
      <c r="P534" s="24"/>
      <c r="Q534" s="2" t="str">
        <f>IF(ROW(Q534)-ROW($E$1)&lt;=$B$4,INDEX(IDX_COMPO!F:F,ROW(IDX_COMPO!#REF!)),"")</f>
        <v/>
      </c>
      <c r="R534" s="68" t="str">
        <f t="shared" si="72"/>
        <v/>
      </c>
      <c r="S534" s="61" t="str">
        <f t="shared" si="73"/>
        <v/>
      </c>
      <c r="T534" s="62" t="str">
        <f>IF(D534&lt;&gt;"",IF(SUMPRODUCT(--($E534=STK_DIV!$A$2:$A$5),--(NXT_COMPO!$Q534=STK_DIV!$E$2:$E$5),ROW(STK_DIV!$D$2:$D$5))=0,"",INDEX(STK_DIV!$D$1:$D$5,SUMPRODUCT(--($E534=STK_DIV!$A$2:$A$5),--(NXT_COMPO!$Q534=STK_DIV!$E$2:$E$5),ROW(STK_DIV!$D$2:$D$5)))),"")</f>
        <v/>
      </c>
      <c r="U534" s="54" t="str">
        <f>IF($D534&lt;&gt;"",VLOOKUP($P534,IDX_REF!$2:$1048576,4,0),"")</f>
        <v/>
      </c>
    </row>
    <row r="535" spans="4:21" x14ac:dyDescent="0.2">
      <c r="D535" s="52" t="str">
        <f t="shared" si="68"/>
        <v/>
      </c>
      <c r="E535" s="5" t="str">
        <f t="shared" si="69"/>
        <v/>
      </c>
      <c r="F535" s="5" t="str">
        <f>IF(ROW(F535)-ROW($E$1)&lt;=$B$1-$B$2,INDEX(IDX_COMPO!B:B,ROW(IDX_COMPO!#REF!)),IF(ROW(E535)-ROW($E$1)&lt;=$B$4,VLOOKUP(E535,STK_REF!$A$2:$J$1048576,2,0),""))</f>
        <v/>
      </c>
      <c r="J535" s="62" t="str">
        <f>IF($D535&lt;=$B$1-$B$2,IF(INDEX($AA$2:$AA$1048576,MATCH($D535,$AB$2:$AB$1048576,0))="MODIFY",INDEX(IDX_CA!$G$1:$G$1041,SUMPRODUCT(--($E535=IDX_CA!$A$2:$A$1041),--(NXT_COMPO!$P535=IDX_CA!$B$2:$B$1041),--(NXT_COMPO!$Q535=IDX_CA!$C$2:$C$1041),ROW(IDX_CA!$G$2:$G$1041))),INDEX(IDX_COMPOSITION!$F$1:$F$441,SUMPRODUCT(--($E535=IDX_COMPOSITION!$A$2:$A$441),--(NXT_COMPO!$P535=IDX_COMPOSITION!$R$2:$R$441),--(NXT_COMPO!$B$5=IDX_COMPOSITION!$L$2:$L$441),ROW(IDX_COMPOSITION!$F$2:$F$441)))),IF($D535&lt;=$B$4,INDEX(IDX_CA!$G$1:$G$1041,SUMPRODUCT(--($E535=IDX_CA!$A$2:$A$1041),--(NXT_COMPO!$P535=IDX_CA!$B$2:$B$1041),--(NXT_COMPO!$Q535=IDX_CA!$C$2:$C$1041),ROW(IDX_CA!$G$2:$G$1041))),""))</f>
        <v/>
      </c>
      <c r="K535" s="63" t="str">
        <f>IF($D535&lt;&gt;"",VLOOKUP($E535,STK_REF!$A$2:$J$1048576,7,0),"")</f>
        <v/>
      </c>
      <c r="L535" s="5" t="str">
        <f>IF($D535&lt;&gt;"",VLOOKUP($E535,STK_REF!$A$2:$J$1048576,8,0),"")</f>
        <v/>
      </c>
      <c r="M535" s="8" t="str">
        <f>IF($D535&lt;&gt;"",IF($K535=$U535,1,IF(ISNA(VLOOKUP($K535&amp;$U535,CUR_RATES!$A$2:$F$521,4,0)),"",VLOOKUP($K535&amp;$U535,CUR_RATES!$A$2:$F$521,4,0))),"")</f>
        <v/>
      </c>
      <c r="N535" s="61" t="str">
        <f t="shared" si="70"/>
        <v/>
      </c>
      <c r="O535" s="68" t="str">
        <f t="shared" si="71"/>
        <v/>
      </c>
      <c r="P535" s="24"/>
      <c r="Q535" s="2" t="str">
        <f>IF(ROW(Q535)-ROW($E$1)&lt;=$B$4,INDEX(IDX_COMPO!F:F,ROW(IDX_COMPO!#REF!)),"")</f>
        <v/>
      </c>
      <c r="R535" s="68" t="str">
        <f t="shared" si="72"/>
        <v/>
      </c>
      <c r="S535" s="61" t="str">
        <f t="shared" si="73"/>
        <v/>
      </c>
      <c r="T535" s="62" t="str">
        <f>IF(D535&lt;&gt;"",IF(SUMPRODUCT(--($E535=STK_DIV!$A$2:$A$5),--(NXT_COMPO!$Q535=STK_DIV!$E$2:$E$5),ROW(STK_DIV!$D$2:$D$5))=0,"",INDEX(STK_DIV!$D$1:$D$5,SUMPRODUCT(--($E535=STK_DIV!$A$2:$A$5),--(NXT_COMPO!$Q535=STK_DIV!$E$2:$E$5),ROW(STK_DIV!$D$2:$D$5)))),"")</f>
        <v/>
      </c>
      <c r="U535" s="54" t="str">
        <f>IF($D535&lt;&gt;"",VLOOKUP($P535,IDX_REF!$2:$1048576,4,0),"")</f>
        <v/>
      </c>
    </row>
    <row r="536" spans="4:21" x14ac:dyDescent="0.2">
      <c r="D536" s="52" t="str">
        <f t="shared" si="68"/>
        <v/>
      </c>
      <c r="E536" s="5" t="str">
        <f t="shared" si="69"/>
        <v/>
      </c>
      <c r="F536" s="5" t="str">
        <f>IF(ROW(F536)-ROW($E$1)&lt;=$B$1-$B$2,INDEX(IDX_COMPO!B:B,ROW(IDX_COMPO!#REF!)),IF(ROW(E536)-ROW($E$1)&lt;=$B$4,VLOOKUP(E536,STK_REF!$A$2:$J$1048576,2,0),""))</f>
        <v/>
      </c>
      <c r="J536" s="62" t="str">
        <f>IF($D536&lt;=$B$1-$B$2,IF(INDEX($AA$2:$AA$1048576,MATCH($D536,$AB$2:$AB$1048576,0))="MODIFY",INDEX(IDX_CA!$G$1:$G$1041,SUMPRODUCT(--($E536=IDX_CA!$A$2:$A$1041),--(NXT_COMPO!$P536=IDX_CA!$B$2:$B$1041),--(NXT_COMPO!$Q536=IDX_CA!$C$2:$C$1041),ROW(IDX_CA!$G$2:$G$1041))),INDEX(IDX_COMPOSITION!$F$1:$F$441,SUMPRODUCT(--($E536=IDX_COMPOSITION!$A$2:$A$441),--(NXT_COMPO!$P536=IDX_COMPOSITION!$R$2:$R$441),--(NXT_COMPO!$B$5=IDX_COMPOSITION!$L$2:$L$441),ROW(IDX_COMPOSITION!$F$2:$F$441)))),IF($D536&lt;=$B$4,INDEX(IDX_CA!$G$1:$G$1041,SUMPRODUCT(--($E536=IDX_CA!$A$2:$A$1041),--(NXT_COMPO!$P536=IDX_CA!$B$2:$B$1041),--(NXT_COMPO!$Q536=IDX_CA!$C$2:$C$1041),ROW(IDX_CA!$G$2:$G$1041))),""))</f>
        <v/>
      </c>
      <c r="K536" s="63" t="str">
        <f>IF($D536&lt;&gt;"",VLOOKUP($E536,STK_REF!$A$2:$J$1048576,7,0),"")</f>
        <v/>
      </c>
      <c r="L536" s="5" t="str">
        <f>IF($D536&lt;&gt;"",VLOOKUP($E536,STK_REF!$A$2:$J$1048576,8,0),"")</f>
        <v/>
      </c>
      <c r="M536" s="8" t="str">
        <f>IF($D536&lt;&gt;"",IF($K536=$U536,1,IF(ISNA(VLOOKUP($K536&amp;$U536,CUR_RATES!$A$2:$F$521,4,0)),"",VLOOKUP($K536&amp;$U536,CUR_RATES!$A$2:$F$521,4,0))),"")</f>
        <v/>
      </c>
      <c r="N536" s="61" t="str">
        <f t="shared" si="70"/>
        <v/>
      </c>
      <c r="O536" s="68" t="str">
        <f t="shared" si="71"/>
        <v/>
      </c>
      <c r="P536" s="24"/>
      <c r="Q536" s="2" t="str">
        <f>IF(ROW(Q536)-ROW($E$1)&lt;=$B$4,INDEX(IDX_COMPO!F:F,ROW(IDX_COMPO!#REF!)),"")</f>
        <v/>
      </c>
      <c r="R536" s="68" t="str">
        <f t="shared" si="72"/>
        <v/>
      </c>
      <c r="S536" s="61" t="str">
        <f t="shared" si="73"/>
        <v/>
      </c>
      <c r="T536" s="62" t="str">
        <f>IF(D536&lt;&gt;"",IF(SUMPRODUCT(--($E536=STK_DIV!$A$2:$A$5),--(NXT_COMPO!$Q536=STK_DIV!$E$2:$E$5),ROW(STK_DIV!$D$2:$D$5))=0,"",INDEX(STK_DIV!$D$1:$D$5,SUMPRODUCT(--($E536=STK_DIV!$A$2:$A$5),--(NXT_COMPO!$Q536=STK_DIV!$E$2:$E$5),ROW(STK_DIV!$D$2:$D$5)))),"")</f>
        <v/>
      </c>
      <c r="U536" s="54" t="str">
        <f>IF($D536&lt;&gt;"",VLOOKUP($P536,IDX_REF!$2:$1048576,4,0),"")</f>
        <v/>
      </c>
    </row>
    <row r="537" spans="4:21" x14ac:dyDescent="0.2">
      <c r="D537" s="52" t="str">
        <f t="shared" si="68"/>
        <v/>
      </c>
      <c r="E537" s="5" t="str">
        <f t="shared" si="69"/>
        <v/>
      </c>
      <c r="F537" s="5" t="str">
        <f>IF(ROW(F537)-ROW($E$1)&lt;=$B$1-$B$2,INDEX(IDX_COMPO!B:B,ROW(IDX_COMPO!#REF!)),IF(ROW(E537)-ROW($E$1)&lt;=$B$4,VLOOKUP(E537,STK_REF!$A$2:$J$1048576,2,0),""))</f>
        <v/>
      </c>
      <c r="J537" s="62" t="str">
        <f>IF($D537&lt;=$B$1-$B$2,IF(INDEX($AA$2:$AA$1048576,MATCH($D537,$AB$2:$AB$1048576,0))="MODIFY",INDEX(IDX_CA!$G$1:$G$1041,SUMPRODUCT(--($E537=IDX_CA!$A$2:$A$1041),--(NXT_COMPO!$P537=IDX_CA!$B$2:$B$1041),--(NXT_COMPO!$Q537=IDX_CA!$C$2:$C$1041),ROW(IDX_CA!$G$2:$G$1041))),INDEX(IDX_COMPOSITION!$F$1:$F$441,SUMPRODUCT(--($E537=IDX_COMPOSITION!$A$2:$A$441),--(NXT_COMPO!$P537=IDX_COMPOSITION!$R$2:$R$441),--(NXT_COMPO!$B$5=IDX_COMPOSITION!$L$2:$L$441),ROW(IDX_COMPOSITION!$F$2:$F$441)))),IF($D537&lt;=$B$4,INDEX(IDX_CA!$G$1:$G$1041,SUMPRODUCT(--($E537=IDX_CA!$A$2:$A$1041),--(NXT_COMPO!$P537=IDX_CA!$B$2:$B$1041),--(NXT_COMPO!$Q537=IDX_CA!$C$2:$C$1041),ROW(IDX_CA!$G$2:$G$1041))),""))</f>
        <v/>
      </c>
      <c r="K537" s="63" t="str">
        <f>IF($D537&lt;&gt;"",VLOOKUP($E537,STK_REF!$A$2:$J$1048576,7,0),"")</f>
        <v/>
      </c>
      <c r="L537" s="5" t="str">
        <f>IF($D537&lt;&gt;"",VLOOKUP($E537,STK_REF!$A$2:$J$1048576,8,0),"")</f>
        <v/>
      </c>
      <c r="M537" s="8" t="str">
        <f>IF($D537&lt;&gt;"",IF($K537=$U537,1,IF(ISNA(VLOOKUP($K537&amp;$U537,CUR_RATES!$A$2:$F$521,4,0)),"",VLOOKUP($K537&amp;$U537,CUR_RATES!$A$2:$F$521,4,0))),"")</f>
        <v/>
      </c>
      <c r="N537" s="61" t="str">
        <f t="shared" si="70"/>
        <v/>
      </c>
      <c r="O537" s="68" t="str">
        <f t="shared" si="71"/>
        <v/>
      </c>
      <c r="P537" s="24"/>
      <c r="Q537" s="2" t="str">
        <f>IF(ROW(Q537)-ROW($E$1)&lt;=$B$4,INDEX(IDX_COMPO!F:F,ROW(IDX_COMPO!#REF!)),"")</f>
        <v/>
      </c>
      <c r="R537" s="68" t="str">
        <f t="shared" si="72"/>
        <v/>
      </c>
      <c r="S537" s="61" t="str">
        <f t="shared" si="73"/>
        <v/>
      </c>
      <c r="T537" s="62" t="str">
        <f>IF(D537&lt;&gt;"",IF(SUMPRODUCT(--($E537=STK_DIV!$A$2:$A$5),--(NXT_COMPO!$Q537=STK_DIV!$E$2:$E$5),ROW(STK_DIV!$D$2:$D$5))=0,"",INDEX(STK_DIV!$D$1:$D$5,SUMPRODUCT(--($E537=STK_DIV!$A$2:$A$5),--(NXT_COMPO!$Q537=STK_DIV!$E$2:$E$5),ROW(STK_DIV!$D$2:$D$5)))),"")</f>
        <v/>
      </c>
      <c r="U537" s="54" t="str">
        <f>IF($D537&lt;&gt;"",VLOOKUP($P537,IDX_REF!$2:$1048576,4,0),"")</f>
        <v/>
      </c>
    </row>
    <row r="538" spans="4:21" x14ac:dyDescent="0.2">
      <c r="D538" s="52" t="str">
        <f t="shared" si="68"/>
        <v/>
      </c>
      <c r="E538" s="5" t="str">
        <f t="shared" si="69"/>
        <v/>
      </c>
      <c r="F538" s="5" t="str">
        <f>IF(ROW(F538)-ROW($E$1)&lt;=$B$1-$B$2,INDEX(IDX_COMPO!B:B,ROW(IDX_COMPO!#REF!)),IF(ROW(E538)-ROW($E$1)&lt;=$B$4,VLOOKUP(E538,STK_REF!$A$2:$J$1048576,2,0),""))</f>
        <v/>
      </c>
      <c r="J538" s="62" t="str">
        <f>IF($D538&lt;=$B$1-$B$2,IF(INDEX($AA$2:$AA$1048576,MATCH($D538,$AB$2:$AB$1048576,0))="MODIFY",INDEX(IDX_CA!$G$1:$G$1041,SUMPRODUCT(--($E538=IDX_CA!$A$2:$A$1041),--(NXT_COMPO!$P538=IDX_CA!$B$2:$B$1041),--(NXT_COMPO!$Q538=IDX_CA!$C$2:$C$1041),ROW(IDX_CA!$G$2:$G$1041))),INDEX(IDX_COMPOSITION!$F$1:$F$441,SUMPRODUCT(--($E538=IDX_COMPOSITION!$A$2:$A$441),--(NXT_COMPO!$P538=IDX_COMPOSITION!$R$2:$R$441),--(NXT_COMPO!$B$5=IDX_COMPOSITION!$L$2:$L$441),ROW(IDX_COMPOSITION!$F$2:$F$441)))),IF($D538&lt;=$B$4,INDEX(IDX_CA!$G$1:$G$1041,SUMPRODUCT(--($E538=IDX_CA!$A$2:$A$1041),--(NXT_COMPO!$P538=IDX_CA!$B$2:$B$1041),--(NXT_COMPO!$Q538=IDX_CA!$C$2:$C$1041),ROW(IDX_CA!$G$2:$G$1041))),""))</f>
        <v/>
      </c>
      <c r="K538" s="63" t="str">
        <f>IF($D538&lt;&gt;"",VLOOKUP($E538,STK_REF!$A$2:$J$1048576,7,0),"")</f>
        <v/>
      </c>
      <c r="L538" s="5" t="str">
        <f>IF($D538&lt;&gt;"",VLOOKUP($E538,STK_REF!$A$2:$J$1048576,8,0),"")</f>
        <v/>
      </c>
      <c r="M538" s="8" t="str">
        <f>IF($D538&lt;&gt;"",IF($K538=$U538,1,IF(ISNA(VLOOKUP($K538&amp;$U538,CUR_RATES!$A$2:$F$521,4,0)),"",VLOOKUP($K538&amp;$U538,CUR_RATES!$A$2:$F$521,4,0))),"")</f>
        <v/>
      </c>
      <c r="N538" s="61" t="str">
        <f t="shared" si="70"/>
        <v/>
      </c>
      <c r="O538" s="68" t="str">
        <f t="shared" si="71"/>
        <v/>
      </c>
      <c r="P538" s="24"/>
      <c r="Q538" s="2" t="str">
        <f>IF(ROW(Q538)-ROW($E$1)&lt;=$B$4,INDEX(IDX_COMPO!F:F,ROW(IDX_COMPO!#REF!)),"")</f>
        <v/>
      </c>
      <c r="R538" s="68" t="str">
        <f t="shared" si="72"/>
        <v/>
      </c>
      <c r="S538" s="61" t="str">
        <f t="shared" si="73"/>
        <v/>
      </c>
      <c r="T538" s="62" t="str">
        <f>IF(D538&lt;&gt;"",IF(SUMPRODUCT(--($E538=STK_DIV!$A$2:$A$5),--(NXT_COMPO!$Q538=STK_DIV!$E$2:$E$5),ROW(STK_DIV!$D$2:$D$5))=0,"",INDEX(STK_DIV!$D$1:$D$5,SUMPRODUCT(--($E538=STK_DIV!$A$2:$A$5),--(NXT_COMPO!$Q538=STK_DIV!$E$2:$E$5),ROW(STK_DIV!$D$2:$D$5)))),"")</f>
        <v/>
      </c>
      <c r="U538" s="54" t="str">
        <f>IF($D538&lt;&gt;"",VLOOKUP($P538,IDX_REF!$2:$1048576,4,0),"")</f>
        <v/>
      </c>
    </row>
    <row r="539" spans="4:21" x14ac:dyDescent="0.2">
      <c r="D539" s="52" t="str">
        <f t="shared" si="68"/>
        <v/>
      </c>
      <c r="E539" s="5" t="str">
        <f t="shared" si="69"/>
        <v/>
      </c>
      <c r="F539" s="5" t="str">
        <f>IF(ROW(F539)-ROW($E$1)&lt;=$B$1-$B$2,INDEX(IDX_COMPO!B:B,ROW(IDX_COMPO!#REF!)),IF(ROW(E539)-ROW($E$1)&lt;=$B$4,VLOOKUP(E539,STK_REF!$A$2:$J$1048576,2,0),""))</f>
        <v/>
      </c>
      <c r="J539" s="62" t="str">
        <f>IF($D539&lt;=$B$1-$B$2,IF(INDEX($AA$2:$AA$1048576,MATCH($D539,$AB$2:$AB$1048576,0))="MODIFY",INDEX(IDX_CA!$G$1:$G$1041,SUMPRODUCT(--($E539=IDX_CA!$A$2:$A$1041),--(NXT_COMPO!$P539=IDX_CA!$B$2:$B$1041),--(NXT_COMPO!$Q539=IDX_CA!$C$2:$C$1041),ROW(IDX_CA!$G$2:$G$1041))),INDEX(IDX_COMPOSITION!$F$1:$F$441,SUMPRODUCT(--($E539=IDX_COMPOSITION!$A$2:$A$441),--(NXT_COMPO!$P539=IDX_COMPOSITION!$R$2:$R$441),--(NXT_COMPO!$B$5=IDX_COMPOSITION!$L$2:$L$441),ROW(IDX_COMPOSITION!$F$2:$F$441)))),IF($D539&lt;=$B$4,INDEX(IDX_CA!$G$1:$G$1041,SUMPRODUCT(--($E539=IDX_CA!$A$2:$A$1041),--(NXT_COMPO!$P539=IDX_CA!$B$2:$B$1041),--(NXT_COMPO!$Q539=IDX_CA!$C$2:$C$1041),ROW(IDX_CA!$G$2:$G$1041))),""))</f>
        <v/>
      </c>
      <c r="K539" s="63" t="str">
        <f>IF($D539&lt;&gt;"",VLOOKUP($E539,STK_REF!$A$2:$J$1048576,7,0),"")</f>
        <v/>
      </c>
      <c r="L539" s="5" t="str">
        <f>IF($D539&lt;&gt;"",VLOOKUP($E539,STK_REF!$A$2:$J$1048576,8,0),"")</f>
        <v/>
      </c>
      <c r="M539" s="8" t="str">
        <f>IF($D539&lt;&gt;"",IF($K539=$U539,1,IF(ISNA(VLOOKUP($K539&amp;$U539,CUR_RATES!$A$2:$F$521,4,0)),"",VLOOKUP($K539&amp;$U539,CUR_RATES!$A$2:$F$521,4,0))),"")</f>
        <v/>
      </c>
      <c r="N539" s="61" t="str">
        <f t="shared" si="70"/>
        <v/>
      </c>
      <c r="O539" s="68" t="str">
        <f t="shared" si="71"/>
        <v/>
      </c>
      <c r="P539" s="24"/>
      <c r="Q539" s="2" t="str">
        <f>IF(ROW(Q539)-ROW($E$1)&lt;=$B$4,INDEX(IDX_COMPO!F:F,ROW(IDX_COMPO!#REF!)),"")</f>
        <v/>
      </c>
      <c r="R539" s="68" t="str">
        <f t="shared" si="72"/>
        <v/>
      </c>
      <c r="S539" s="61" t="str">
        <f t="shared" si="73"/>
        <v/>
      </c>
      <c r="T539" s="62" t="str">
        <f>IF(D539&lt;&gt;"",IF(SUMPRODUCT(--($E539=STK_DIV!$A$2:$A$5),--(NXT_COMPO!$Q539=STK_DIV!$E$2:$E$5),ROW(STK_DIV!$D$2:$D$5))=0,"",INDEX(STK_DIV!$D$1:$D$5,SUMPRODUCT(--($E539=STK_DIV!$A$2:$A$5),--(NXT_COMPO!$Q539=STK_DIV!$E$2:$E$5),ROW(STK_DIV!$D$2:$D$5)))),"")</f>
        <v/>
      </c>
      <c r="U539" s="54" t="str">
        <f>IF($D539&lt;&gt;"",VLOOKUP($P539,IDX_REF!$2:$1048576,4,0),"")</f>
        <v/>
      </c>
    </row>
    <row r="540" spans="4:21" x14ac:dyDescent="0.2">
      <c r="D540" s="52" t="str">
        <f t="shared" si="68"/>
        <v/>
      </c>
      <c r="E540" s="5" t="str">
        <f t="shared" si="69"/>
        <v/>
      </c>
      <c r="F540" s="5" t="str">
        <f>IF(ROW(F540)-ROW($E$1)&lt;=$B$1-$B$2,INDEX(IDX_COMPO!B:B,ROW(IDX_COMPO!#REF!)),IF(ROW(E540)-ROW($E$1)&lt;=$B$4,VLOOKUP(E540,STK_REF!$A$2:$J$1048576,2,0),""))</f>
        <v/>
      </c>
      <c r="J540" s="62" t="str">
        <f>IF($D540&lt;=$B$1-$B$2,IF(INDEX($AA$2:$AA$1048576,MATCH($D540,$AB$2:$AB$1048576,0))="MODIFY",INDEX(IDX_CA!$G$1:$G$1041,SUMPRODUCT(--($E540=IDX_CA!$A$2:$A$1041),--(NXT_COMPO!$P540=IDX_CA!$B$2:$B$1041),--(NXT_COMPO!$Q540=IDX_CA!$C$2:$C$1041),ROW(IDX_CA!$G$2:$G$1041))),INDEX(IDX_COMPOSITION!$F$1:$F$441,SUMPRODUCT(--($E540=IDX_COMPOSITION!$A$2:$A$441),--(NXT_COMPO!$P540=IDX_COMPOSITION!$R$2:$R$441),--(NXT_COMPO!$B$5=IDX_COMPOSITION!$L$2:$L$441),ROW(IDX_COMPOSITION!$F$2:$F$441)))),IF($D540&lt;=$B$4,INDEX(IDX_CA!$G$1:$G$1041,SUMPRODUCT(--($E540=IDX_CA!$A$2:$A$1041),--(NXT_COMPO!$P540=IDX_CA!$B$2:$B$1041),--(NXT_COMPO!$Q540=IDX_CA!$C$2:$C$1041),ROW(IDX_CA!$G$2:$G$1041))),""))</f>
        <v/>
      </c>
      <c r="K540" s="63" t="str">
        <f>IF($D540&lt;&gt;"",VLOOKUP($E540,STK_REF!$A$2:$J$1048576,7,0),"")</f>
        <v/>
      </c>
      <c r="L540" s="5" t="str">
        <f>IF($D540&lt;&gt;"",VLOOKUP($E540,STK_REF!$A$2:$J$1048576,8,0),"")</f>
        <v/>
      </c>
      <c r="M540" s="8" t="str">
        <f>IF($D540&lt;&gt;"",IF($K540=$U540,1,IF(ISNA(VLOOKUP($K540&amp;$U540,CUR_RATES!$A$2:$F$521,4,0)),"",VLOOKUP($K540&amp;$U540,CUR_RATES!$A$2:$F$521,4,0))),"")</f>
        <v/>
      </c>
      <c r="N540" s="61" t="str">
        <f t="shared" si="70"/>
        <v/>
      </c>
      <c r="O540" s="68" t="str">
        <f t="shared" si="71"/>
        <v/>
      </c>
      <c r="P540" s="24"/>
      <c r="Q540" s="2" t="str">
        <f>IF(ROW(Q540)-ROW($E$1)&lt;=$B$4,INDEX(IDX_COMPO!F:F,ROW(IDX_COMPO!#REF!)),"")</f>
        <v/>
      </c>
      <c r="R540" s="68" t="str">
        <f t="shared" si="72"/>
        <v/>
      </c>
      <c r="S540" s="61" t="str">
        <f t="shared" si="73"/>
        <v/>
      </c>
      <c r="T540" s="62" t="str">
        <f>IF(D540&lt;&gt;"",IF(SUMPRODUCT(--($E540=STK_DIV!$A$2:$A$5),--(NXT_COMPO!$Q540=STK_DIV!$E$2:$E$5),ROW(STK_DIV!$D$2:$D$5))=0,"",INDEX(STK_DIV!$D$1:$D$5,SUMPRODUCT(--($E540=STK_DIV!$A$2:$A$5),--(NXT_COMPO!$Q540=STK_DIV!$E$2:$E$5),ROW(STK_DIV!$D$2:$D$5)))),"")</f>
        <v/>
      </c>
      <c r="U540" s="54" t="str">
        <f>IF($D540&lt;&gt;"",VLOOKUP($P540,IDX_REF!$2:$1048576,4,0),"")</f>
        <v/>
      </c>
    </row>
    <row r="541" spans="4:21" x14ac:dyDescent="0.2">
      <c r="D541" s="52" t="str">
        <f t="shared" si="68"/>
        <v/>
      </c>
      <c r="E541" s="5" t="str">
        <f t="shared" si="69"/>
        <v/>
      </c>
      <c r="F541" s="5" t="str">
        <f>IF(ROW(F541)-ROW($E$1)&lt;=$B$1-$B$2,INDEX(IDX_COMPO!B:B,ROW(IDX_COMPO!#REF!)),IF(ROW(E541)-ROW($E$1)&lt;=$B$4,VLOOKUP(E541,STK_REF!$A$2:$J$1048576,2,0),""))</f>
        <v/>
      </c>
      <c r="J541" s="62" t="str">
        <f>IF($D541&lt;=$B$1-$B$2,IF(INDEX($AA$2:$AA$1048576,MATCH($D541,$AB$2:$AB$1048576,0))="MODIFY",INDEX(IDX_CA!$G$1:$G$1041,SUMPRODUCT(--($E541=IDX_CA!$A$2:$A$1041),--(NXT_COMPO!$P541=IDX_CA!$B$2:$B$1041),--(NXT_COMPO!$Q541=IDX_CA!$C$2:$C$1041),ROW(IDX_CA!$G$2:$G$1041))),INDEX(IDX_COMPOSITION!$F$1:$F$441,SUMPRODUCT(--($E541=IDX_COMPOSITION!$A$2:$A$441),--(NXT_COMPO!$P541=IDX_COMPOSITION!$R$2:$R$441),--(NXT_COMPO!$B$5=IDX_COMPOSITION!$L$2:$L$441),ROW(IDX_COMPOSITION!$F$2:$F$441)))),IF($D541&lt;=$B$4,INDEX(IDX_CA!$G$1:$G$1041,SUMPRODUCT(--($E541=IDX_CA!$A$2:$A$1041),--(NXT_COMPO!$P541=IDX_CA!$B$2:$B$1041),--(NXT_COMPO!$Q541=IDX_CA!$C$2:$C$1041),ROW(IDX_CA!$G$2:$G$1041))),""))</f>
        <v/>
      </c>
      <c r="K541" s="63" t="str">
        <f>IF($D541&lt;&gt;"",VLOOKUP($E541,STK_REF!$A$2:$J$1048576,7,0),"")</f>
        <v/>
      </c>
      <c r="L541" s="5" t="str">
        <f>IF($D541&lt;&gt;"",VLOOKUP($E541,STK_REF!$A$2:$J$1048576,8,0),"")</f>
        <v/>
      </c>
      <c r="M541" s="8" t="str">
        <f>IF($D541&lt;&gt;"",IF($K541=$U541,1,IF(ISNA(VLOOKUP($K541&amp;$U541,CUR_RATES!$A$2:$F$521,4,0)),"",VLOOKUP($K541&amp;$U541,CUR_RATES!$A$2:$F$521,4,0))),"")</f>
        <v/>
      </c>
      <c r="N541" s="61" t="str">
        <f t="shared" si="70"/>
        <v/>
      </c>
      <c r="O541" s="68" t="str">
        <f t="shared" si="71"/>
        <v/>
      </c>
      <c r="P541" s="24"/>
      <c r="Q541" s="2" t="str">
        <f>IF(ROW(Q541)-ROW($E$1)&lt;=$B$4,INDEX(IDX_COMPO!F:F,ROW(IDX_COMPO!#REF!)),"")</f>
        <v/>
      </c>
      <c r="R541" s="68" t="str">
        <f t="shared" si="72"/>
        <v/>
      </c>
      <c r="S541" s="61" t="str">
        <f t="shared" si="73"/>
        <v/>
      </c>
      <c r="T541" s="62" t="str">
        <f>IF(D541&lt;&gt;"",IF(SUMPRODUCT(--($E541=STK_DIV!$A$2:$A$5),--(NXT_COMPO!$Q541=STK_DIV!$E$2:$E$5),ROW(STK_DIV!$D$2:$D$5))=0,"",INDEX(STK_DIV!$D$1:$D$5,SUMPRODUCT(--($E541=STK_DIV!$A$2:$A$5),--(NXT_COMPO!$Q541=STK_DIV!$E$2:$E$5),ROW(STK_DIV!$D$2:$D$5)))),"")</f>
        <v/>
      </c>
      <c r="U541" s="54" t="str">
        <f>IF($D541&lt;&gt;"",VLOOKUP($P541,IDX_REF!$2:$1048576,4,0),"")</f>
        <v/>
      </c>
    </row>
    <row r="542" spans="4:21" x14ac:dyDescent="0.2">
      <c r="D542" s="52" t="str">
        <f t="shared" si="68"/>
        <v/>
      </c>
      <c r="E542" s="5" t="str">
        <f t="shared" si="69"/>
        <v/>
      </c>
      <c r="F542" s="5" t="str">
        <f>IF(ROW(F542)-ROW($E$1)&lt;=$B$1-$B$2,INDEX(IDX_COMPO!B:B,ROW(IDX_COMPO!#REF!)),IF(ROW(E542)-ROW($E$1)&lt;=$B$4,VLOOKUP(E542,STK_REF!$A$2:$J$1048576,2,0),""))</f>
        <v/>
      </c>
      <c r="J542" s="62" t="str">
        <f>IF($D542&lt;=$B$1-$B$2,IF(INDEX($AA$2:$AA$1048576,MATCH($D542,$AB$2:$AB$1048576,0))="MODIFY",INDEX(IDX_CA!$G$1:$G$1041,SUMPRODUCT(--($E542=IDX_CA!$A$2:$A$1041),--(NXT_COMPO!$P542=IDX_CA!$B$2:$B$1041),--(NXT_COMPO!$Q542=IDX_CA!$C$2:$C$1041),ROW(IDX_CA!$G$2:$G$1041))),INDEX(IDX_COMPOSITION!$F$1:$F$441,SUMPRODUCT(--($E542=IDX_COMPOSITION!$A$2:$A$441),--(NXT_COMPO!$P542=IDX_COMPOSITION!$R$2:$R$441),--(NXT_COMPO!$B$5=IDX_COMPOSITION!$L$2:$L$441),ROW(IDX_COMPOSITION!$F$2:$F$441)))),IF($D542&lt;=$B$4,INDEX(IDX_CA!$G$1:$G$1041,SUMPRODUCT(--($E542=IDX_CA!$A$2:$A$1041),--(NXT_COMPO!$P542=IDX_CA!$B$2:$B$1041),--(NXT_COMPO!$Q542=IDX_CA!$C$2:$C$1041),ROW(IDX_CA!$G$2:$G$1041))),""))</f>
        <v/>
      </c>
      <c r="K542" s="63" t="str">
        <f>IF($D542&lt;&gt;"",VLOOKUP($E542,STK_REF!$A$2:$J$1048576,7,0),"")</f>
        <v/>
      </c>
      <c r="L542" s="5" t="str">
        <f>IF($D542&lt;&gt;"",VLOOKUP($E542,STK_REF!$A$2:$J$1048576,8,0),"")</f>
        <v/>
      </c>
      <c r="M542" s="8" t="str">
        <f>IF($D542&lt;&gt;"",IF($K542=$U542,1,IF(ISNA(VLOOKUP($K542&amp;$U542,CUR_RATES!$A$2:$F$521,4,0)),"",VLOOKUP($K542&amp;$U542,CUR_RATES!$A$2:$F$521,4,0))),"")</f>
        <v/>
      </c>
      <c r="N542" s="61" t="str">
        <f t="shared" si="70"/>
        <v/>
      </c>
      <c r="O542" s="68" t="str">
        <f t="shared" si="71"/>
        <v/>
      </c>
      <c r="P542" s="24"/>
      <c r="Q542" s="2" t="str">
        <f>IF(ROW(Q542)-ROW($E$1)&lt;=$B$4,INDEX(IDX_COMPO!F:F,ROW(IDX_COMPO!#REF!)),"")</f>
        <v/>
      </c>
      <c r="R542" s="68" t="str">
        <f t="shared" si="72"/>
        <v/>
      </c>
      <c r="S542" s="61" t="str">
        <f t="shared" si="73"/>
        <v/>
      </c>
      <c r="T542" s="62" t="str">
        <f>IF(D542&lt;&gt;"",IF(SUMPRODUCT(--($E542=STK_DIV!$A$2:$A$5),--(NXT_COMPO!$Q542=STK_DIV!$E$2:$E$5),ROW(STK_DIV!$D$2:$D$5))=0,"",INDEX(STK_DIV!$D$1:$D$5,SUMPRODUCT(--($E542=STK_DIV!$A$2:$A$5),--(NXT_COMPO!$Q542=STK_DIV!$E$2:$E$5),ROW(STK_DIV!$D$2:$D$5)))),"")</f>
        <v/>
      </c>
      <c r="U542" s="54" t="str">
        <f>IF($D542&lt;&gt;"",VLOOKUP($P542,IDX_REF!$2:$1048576,4,0),"")</f>
        <v/>
      </c>
    </row>
    <row r="543" spans="4:21" x14ac:dyDescent="0.2">
      <c r="D543" s="52" t="str">
        <f t="shared" si="68"/>
        <v/>
      </c>
      <c r="E543" s="5" t="str">
        <f t="shared" si="69"/>
        <v/>
      </c>
      <c r="F543" s="5" t="str">
        <f>IF(ROW(F543)-ROW($E$1)&lt;=$B$1-$B$2,INDEX(IDX_COMPO!B:B,ROW(IDX_COMPO!#REF!)),IF(ROW(E543)-ROW($E$1)&lt;=$B$4,VLOOKUP(E543,STK_REF!$A$2:$J$1048576,2,0),""))</f>
        <v/>
      </c>
      <c r="J543" s="62" t="str">
        <f>IF($D543&lt;=$B$1-$B$2,IF(INDEX($AA$2:$AA$1048576,MATCH($D543,$AB$2:$AB$1048576,0))="MODIFY",INDEX(IDX_CA!$G$1:$G$1041,SUMPRODUCT(--($E543=IDX_CA!$A$2:$A$1041),--(NXT_COMPO!$P543=IDX_CA!$B$2:$B$1041),--(NXT_COMPO!$Q543=IDX_CA!$C$2:$C$1041),ROW(IDX_CA!$G$2:$G$1041))),INDEX(IDX_COMPOSITION!$F$1:$F$441,SUMPRODUCT(--($E543=IDX_COMPOSITION!$A$2:$A$441),--(NXT_COMPO!$P543=IDX_COMPOSITION!$R$2:$R$441),--(NXT_COMPO!$B$5=IDX_COMPOSITION!$L$2:$L$441),ROW(IDX_COMPOSITION!$F$2:$F$441)))),IF($D543&lt;=$B$4,INDEX(IDX_CA!$G$1:$G$1041,SUMPRODUCT(--($E543=IDX_CA!$A$2:$A$1041),--(NXT_COMPO!$P543=IDX_CA!$B$2:$B$1041),--(NXT_COMPO!$Q543=IDX_CA!$C$2:$C$1041),ROW(IDX_CA!$G$2:$G$1041))),""))</f>
        <v/>
      </c>
      <c r="K543" s="63" t="str">
        <f>IF($D543&lt;&gt;"",VLOOKUP($E543,STK_REF!$A$2:$J$1048576,7,0),"")</f>
        <v/>
      </c>
      <c r="L543" s="5" t="str">
        <f>IF($D543&lt;&gt;"",VLOOKUP($E543,STK_REF!$A$2:$J$1048576,8,0),"")</f>
        <v/>
      </c>
      <c r="M543" s="8" t="str">
        <f>IF($D543&lt;&gt;"",IF($K543=$U543,1,IF(ISNA(VLOOKUP($K543&amp;$U543,CUR_RATES!$A$2:$F$521,4,0)),"",VLOOKUP($K543&amp;$U543,CUR_RATES!$A$2:$F$521,4,0))),"")</f>
        <v/>
      </c>
      <c r="N543" s="61" t="str">
        <f t="shared" si="70"/>
        <v/>
      </c>
      <c r="O543" s="68" t="str">
        <f t="shared" si="71"/>
        <v/>
      </c>
      <c r="P543" s="24"/>
      <c r="Q543" s="2" t="str">
        <f>IF(ROW(Q543)-ROW($E$1)&lt;=$B$4,INDEX(IDX_COMPO!F:F,ROW(IDX_COMPO!#REF!)),"")</f>
        <v/>
      </c>
      <c r="R543" s="68" t="str">
        <f t="shared" si="72"/>
        <v/>
      </c>
      <c r="S543" s="61" t="str">
        <f t="shared" si="73"/>
        <v/>
      </c>
      <c r="T543" s="62" t="str">
        <f>IF(D543&lt;&gt;"",IF(SUMPRODUCT(--($E543=STK_DIV!$A$2:$A$5),--(NXT_COMPO!$Q543=STK_DIV!$E$2:$E$5),ROW(STK_DIV!$D$2:$D$5))=0,"",INDEX(STK_DIV!$D$1:$D$5,SUMPRODUCT(--($E543=STK_DIV!$A$2:$A$5),--(NXT_COMPO!$Q543=STK_DIV!$E$2:$E$5),ROW(STK_DIV!$D$2:$D$5)))),"")</f>
        <v/>
      </c>
      <c r="U543" s="54" t="str">
        <f>IF($D543&lt;&gt;"",VLOOKUP($P543,IDX_REF!$2:$1048576,4,0),"")</f>
        <v/>
      </c>
    </row>
    <row r="544" spans="4:21" x14ac:dyDescent="0.2">
      <c r="D544" s="52" t="str">
        <f t="shared" si="68"/>
        <v/>
      </c>
      <c r="E544" s="5" t="str">
        <f t="shared" si="69"/>
        <v/>
      </c>
      <c r="F544" s="5" t="str">
        <f>IF(ROW(F544)-ROW($E$1)&lt;=$B$1-$B$2,INDEX(IDX_COMPO!B:B,ROW(IDX_COMPO!#REF!)),IF(ROW(E544)-ROW($E$1)&lt;=$B$4,VLOOKUP(E544,STK_REF!$A$2:$J$1048576,2,0),""))</f>
        <v/>
      </c>
      <c r="J544" s="62" t="str">
        <f>IF($D544&lt;=$B$1-$B$2,IF(INDEX($AA$2:$AA$1048576,MATCH($D544,$AB$2:$AB$1048576,0))="MODIFY",INDEX(IDX_CA!$G$1:$G$1041,SUMPRODUCT(--($E544=IDX_CA!$A$2:$A$1041),--(NXT_COMPO!$P544=IDX_CA!$B$2:$B$1041),--(NXT_COMPO!$Q544=IDX_CA!$C$2:$C$1041),ROW(IDX_CA!$G$2:$G$1041))),INDEX(IDX_COMPOSITION!$F$1:$F$441,SUMPRODUCT(--($E544=IDX_COMPOSITION!$A$2:$A$441),--(NXT_COMPO!$P544=IDX_COMPOSITION!$R$2:$R$441),--(NXT_COMPO!$B$5=IDX_COMPOSITION!$L$2:$L$441),ROW(IDX_COMPOSITION!$F$2:$F$441)))),IF($D544&lt;=$B$4,INDEX(IDX_CA!$G$1:$G$1041,SUMPRODUCT(--($E544=IDX_CA!$A$2:$A$1041),--(NXT_COMPO!$P544=IDX_CA!$B$2:$B$1041),--(NXT_COMPO!$Q544=IDX_CA!$C$2:$C$1041),ROW(IDX_CA!$G$2:$G$1041))),""))</f>
        <v/>
      </c>
      <c r="K544" s="63" t="str">
        <f>IF($D544&lt;&gt;"",VLOOKUP($E544,STK_REF!$A$2:$J$1048576,7,0),"")</f>
        <v/>
      </c>
      <c r="L544" s="5" t="str">
        <f>IF($D544&lt;&gt;"",VLOOKUP($E544,STK_REF!$A$2:$J$1048576,8,0),"")</f>
        <v/>
      </c>
      <c r="M544" s="8" t="str">
        <f>IF($D544&lt;&gt;"",IF($K544=$U544,1,IF(ISNA(VLOOKUP($K544&amp;$U544,CUR_RATES!$A$2:$F$521,4,0)),"",VLOOKUP($K544&amp;$U544,CUR_RATES!$A$2:$F$521,4,0))),"")</f>
        <v/>
      </c>
      <c r="N544" s="61" t="str">
        <f t="shared" si="70"/>
        <v/>
      </c>
      <c r="O544" s="68" t="str">
        <f t="shared" si="71"/>
        <v/>
      </c>
      <c r="P544" s="24"/>
      <c r="Q544" s="2" t="str">
        <f>IF(ROW(Q544)-ROW($E$1)&lt;=$B$4,INDEX(IDX_COMPO!F:F,ROW(IDX_COMPO!#REF!)),"")</f>
        <v/>
      </c>
      <c r="R544" s="68" t="str">
        <f t="shared" si="72"/>
        <v/>
      </c>
      <c r="S544" s="61" t="str">
        <f t="shared" si="73"/>
        <v/>
      </c>
      <c r="T544" s="62" t="str">
        <f>IF(D544&lt;&gt;"",IF(SUMPRODUCT(--($E544=STK_DIV!$A$2:$A$5),--(NXT_COMPO!$Q544=STK_DIV!$E$2:$E$5),ROW(STK_DIV!$D$2:$D$5))=0,"",INDEX(STK_DIV!$D$1:$D$5,SUMPRODUCT(--($E544=STK_DIV!$A$2:$A$5),--(NXT_COMPO!$Q544=STK_DIV!$E$2:$E$5),ROW(STK_DIV!$D$2:$D$5)))),"")</f>
        <v/>
      </c>
      <c r="U544" s="54" t="str">
        <f>IF($D544&lt;&gt;"",VLOOKUP($P544,IDX_REF!$2:$1048576,4,0),"")</f>
        <v/>
      </c>
    </row>
    <row r="545" spans="4:21" x14ac:dyDescent="0.2">
      <c r="D545" s="52" t="str">
        <f t="shared" si="68"/>
        <v/>
      </c>
      <c r="E545" s="5" t="str">
        <f t="shared" si="69"/>
        <v/>
      </c>
      <c r="F545" s="5" t="str">
        <f>IF(ROW(F545)-ROW($E$1)&lt;=$B$1-$B$2,INDEX(IDX_COMPO!B:B,ROW(IDX_COMPO!#REF!)),IF(ROW(E545)-ROW($E$1)&lt;=$B$4,VLOOKUP(E545,STK_REF!$A$2:$J$1048576,2,0),""))</f>
        <v/>
      </c>
      <c r="J545" s="62" t="str">
        <f>IF($D545&lt;=$B$1-$B$2,IF(INDEX($AA$2:$AA$1048576,MATCH($D545,$AB$2:$AB$1048576,0))="MODIFY",INDEX(IDX_CA!$G$1:$G$1041,SUMPRODUCT(--($E545=IDX_CA!$A$2:$A$1041),--(NXT_COMPO!$P545=IDX_CA!$B$2:$B$1041),--(NXT_COMPO!$Q545=IDX_CA!$C$2:$C$1041),ROW(IDX_CA!$G$2:$G$1041))),INDEX(IDX_COMPOSITION!$F$1:$F$441,SUMPRODUCT(--($E545=IDX_COMPOSITION!$A$2:$A$441),--(NXT_COMPO!$P545=IDX_COMPOSITION!$R$2:$R$441),--(NXT_COMPO!$B$5=IDX_COMPOSITION!$L$2:$L$441),ROW(IDX_COMPOSITION!$F$2:$F$441)))),IF($D545&lt;=$B$4,INDEX(IDX_CA!$G$1:$G$1041,SUMPRODUCT(--($E545=IDX_CA!$A$2:$A$1041),--(NXT_COMPO!$P545=IDX_CA!$B$2:$B$1041),--(NXT_COMPO!$Q545=IDX_CA!$C$2:$C$1041),ROW(IDX_CA!$G$2:$G$1041))),""))</f>
        <v/>
      </c>
      <c r="K545" s="63" t="str">
        <f>IF($D545&lt;&gt;"",VLOOKUP($E545,STK_REF!$A$2:$J$1048576,7,0),"")</f>
        <v/>
      </c>
      <c r="L545" s="5" t="str">
        <f>IF($D545&lt;&gt;"",VLOOKUP($E545,STK_REF!$A$2:$J$1048576,8,0),"")</f>
        <v/>
      </c>
      <c r="M545" s="8" t="str">
        <f>IF($D545&lt;&gt;"",IF($K545=$U545,1,IF(ISNA(VLOOKUP($K545&amp;$U545,CUR_RATES!$A$2:$F$521,4,0)),"",VLOOKUP($K545&amp;$U545,CUR_RATES!$A$2:$F$521,4,0))),"")</f>
        <v/>
      </c>
      <c r="N545" s="61" t="str">
        <f t="shared" si="70"/>
        <v/>
      </c>
      <c r="O545" s="68" t="str">
        <f t="shared" si="71"/>
        <v/>
      </c>
      <c r="P545" s="24"/>
      <c r="Q545" s="2" t="str">
        <f>IF(ROW(Q545)-ROW($E$1)&lt;=$B$4,INDEX(IDX_COMPO!F:F,ROW(IDX_COMPO!#REF!)),"")</f>
        <v/>
      </c>
      <c r="R545" s="68" t="str">
        <f t="shared" si="72"/>
        <v/>
      </c>
      <c r="S545" s="61" t="str">
        <f t="shared" si="73"/>
        <v/>
      </c>
      <c r="T545" s="62" t="str">
        <f>IF(D545&lt;&gt;"",IF(SUMPRODUCT(--($E545=STK_DIV!$A$2:$A$5),--(NXT_COMPO!$Q545=STK_DIV!$E$2:$E$5),ROW(STK_DIV!$D$2:$D$5))=0,"",INDEX(STK_DIV!$D$1:$D$5,SUMPRODUCT(--($E545=STK_DIV!$A$2:$A$5),--(NXT_COMPO!$Q545=STK_DIV!$E$2:$E$5),ROW(STK_DIV!$D$2:$D$5)))),"")</f>
        <v/>
      </c>
      <c r="U545" s="54" t="str">
        <f>IF($D545&lt;&gt;"",VLOOKUP($P545,IDX_REF!$2:$1048576,4,0),"")</f>
        <v/>
      </c>
    </row>
    <row r="546" spans="4:21" x14ac:dyDescent="0.2">
      <c r="D546" s="52" t="str">
        <f t="shared" si="68"/>
        <v/>
      </c>
      <c r="E546" s="5" t="str">
        <f t="shared" si="69"/>
        <v/>
      </c>
      <c r="F546" s="5" t="str">
        <f>IF(ROW(F546)-ROW($E$1)&lt;=$B$1-$B$2,INDEX(IDX_COMPO!B:B,ROW(IDX_COMPO!#REF!)),IF(ROW(E546)-ROW($E$1)&lt;=$B$4,VLOOKUP(E546,STK_REF!$A$2:$J$1048576,2,0),""))</f>
        <v/>
      </c>
      <c r="J546" s="62" t="str">
        <f>IF($D546&lt;=$B$1-$B$2,IF(INDEX($AA$2:$AA$1048576,MATCH($D546,$AB$2:$AB$1048576,0))="MODIFY",INDEX(IDX_CA!$G$1:$G$1041,SUMPRODUCT(--($E546=IDX_CA!$A$2:$A$1041),--(NXT_COMPO!$P546=IDX_CA!$B$2:$B$1041),--(NXT_COMPO!$Q546=IDX_CA!$C$2:$C$1041),ROW(IDX_CA!$G$2:$G$1041))),INDEX(IDX_COMPOSITION!$F$1:$F$441,SUMPRODUCT(--($E546=IDX_COMPOSITION!$A$2:$A$441),--(NXT_COMPO!$P546=IDX_COMPOSITION!$R$2:$R$441),--(NXT_COMPO!$B$5=IDX_COMPOSITION!$L$2:$L$441),ROW(IDX_COMPOSITION!$F$2:$F$441)))),IF($D546&lt;=$B$4,INDEX(IDX_CA!$G$1:$G$1041,SUMPRODUCT(--($E546=IDX_CA!$A$2:$A$1041),--(NXT_COMPO!$P546=IDX_CA!$B$2:$B$1041),--(NXT_COMPO!$Q546=IDX_CA!$C$2:$C$1041),ROW(IDX_CA!$G$2:$G$1041))),""))</f>
        <v/>
      </c>
      <c r="K546" s="63" t="str">
        <f>IF($D546&lt;&gt;"",VLOOKUP($E546,STK_REF!$A$2:$J$1048576,7,0),"")</f>
        <v/>
      </c>
      <c r="L546" s="5" t="str">
        <f>IF($D546&lt;&gt;"",VLOOKUP($E546,STK_REF!$A$2:$J$1048576,8,0),"")</f>
        <v/>
      </c>
      <c r="M546" s="8" t="str">
        <f>IF($D546&lt;&gt;"",IF($K546=$U546,1,IF(ISNA(VLOOKUP($K546&amp;$U546,CUR_RATES!$A$2:$F$521,4,0)),"",VLOOKUP($K546&amp;$U546,CUR_RATES!$A$2:$F$521,4,0))),"")</f>
        <v/>
      </c>
      <c r="N546" s="61" t="str">
        <f t="shared" si="70"/>
        <v/>
      </c>
      <c r="O546" s="68" t="str">
        <f t="shared" si="71"/>
        <v/>
      </c>
      <c r="P546" s="24"/>
      <c r="Q546" s="2" t="str">
        <f>IF(ROW(Q546)-ROW($E$1)&lt;=$B$4,INDEX(IDX_COMPO!F:F,ROW(IDX_COMPO!#REF!)),"")</f>
        <v/>
      </c>
      <c r="R546" s="68" t="str">
        <f t="shared" si="72"/>
        <v/>
      </c>
      <c r="S546" s="61" t="str">
        <f t="shared" si="73"/>
        <v/>
      </c>
      <c r="T546" s="62" t="str">
        <f>IF(D546&lt;&gt;"",IF(SUMPRODUCT(--($E546=STK_DIV!$A$2:$A$5),--(NXT_COMPO!$Q546=STK_DIV!$E$2:$E$5),ROW(STK_DIV!$D$2:$D$5))=0,"",INDEX(STK_DIV!$D$1:$D$5,SUMPRODUCT(--($E546=STK_DIV!$A$2:$A$5),--(NXT_COMPO!$Q546=STK_DIV!$E$2:$E$5),ROW(STK_DIV!$D$2:$D$5)))),"")</f>
        <v/>
      </c>
      <c r="U546" s="54" t="str">
        <f>IF($D546&lt;&gt;"",VLOOKUP($P546,IDX_REF!$2:$1048576,4,0),"")</f>
        <v/>
      </c>
    </row>
    <row r="547" spans="4:21" x14ac:dyDescent="0.2">
      <c r="D547" s="52" t="str">
        <f t="shared" si="68"/>
        <v/>
      </c>
      <c r="E547" s="5" t="str">
        <f t="shared" si="69"/>
        <v/>
      </c>
      <c r="F547" s="5" t="str">
        <f>IF(ROW(F547)-ROW($E$1)&lt;=$B$1-$B$2,INDEX(IDX_COMPO!B:B,ROW(IDX_COMPO!#REF!)),IF(ROW(E547)-ROW($E$1)&lt;=$B$4,VLOOKUP(E547,STK_REF!$A$2:$J$1048576,2,0),""))</f>
        <v/>
      </c>
      <c r="J547" s="62" t="str">
        <f>IF($D547&lt;=$B$1-$B$2,IF(INDEX($AA$2:$AA$1048576,MATCH($D547,$AB$2:$AB$1048576,0))="MODIFY",INDEX(IDX_CA!$G$1:$G$1041,SUMPRODUCT(--($E547=IDX_CA!$A$2:$A$1041),--(NXT_COMPO!$P547=IDX_CA!$B$2:$B$1041),--(NXT_COMPO!$Q547=IDX_CA!$C$2:$C$1041),ROW(IDX_CA!$G$2:$G$1041))),INDEX(IDX_COMPOSITION!$F$1:$F$441,SUMPRODUCT(--($E547=IDX_COMPOSITION!$A$2:$A$441),--(NXT_COMPO!$P547=IDX_COMPOSITION!$R$2:$R$441),--(NXT_COMPO!$B$5=IDX_COMPOSITION!$L$2:$L$441),ROW(IDX_COMPOSITION!$F$2:$F$441)))),IF($D547&lt;=$B$4,INDEX(IDX_CA!$G$1:$G$1041,SUMPRODUCT(--($E547=IDX_CA!$A$2:$A$1041),--(NXT_COMPO!$P547=IDX_CA!$B$2:$B$1041),--(NXT_COMPO!$Q547=IDX_CA!$C$2:$C$1041),ROW(IDX_CA!$G$2:$G$1041))),""))</f>
        <v/>
      </c>
      <c r="K547" s="63" t="str">
        <f>IF($D547&lt;&gt;"",VLOOKUP($E547,STK_REF!$A$2:$J$1048576,7,0),"")</f>
        <v/>
      </c>
      <c r="L547" s="5" t="str">
        <f>IF($D547&lt;&gt;"",VLOOKUP($E547,STK_REF!$A$2:$J$1048576,8,0),"")</f>
        <v/>
      </c>
      <c r="M547" s="8" t="str">
        <f>IF($D547&lt;&gt;"",IF($K547=$U547,1,IF(ISNA(VLOOKUP($K547&amp;$U547,CUR_RATES!$A$2:$F$521,4,0)),"",VLOOKUP($K547&amp;$U547,CUR_RATES!$A$2:$F$521,4,0))),"")</f>
        <v/>
      </c>
      <c r="N547" s="61" t="str">
        <f t="shared" si="70"/>
        <v/>
      </c>
      <c r="O547" s="68" t="str">
        <f t="shared" si="71"/>
        <v/>
      </c>
      <c r="P547" s="24"/>
      <c r="Q547" s="2" t="str">
        <f>IF(ROW(Q547)-ROW($E$1)&lt;=$B$4,INDEX(IDX_COMPO!F:F,ROW(IDX_COMPO!#REF!)),"")</f>
        <v/>
      </c>
      <c r="R547" s="68" t="str">
        <f t="shared" si="72"/>
        <v/>
      </c>
      <c r="S547" s="61" t="str">
        <f t="shared" si="73"/>
        <v/>
      </c>
      <c r="T547" s="62" t="str">
        <f>IF(D547&lt;&gt;"",IF(SUMPRODUCT(--($E547=STK_DIV!$A$2:$A$5),--(NXT_COMPO!$Q547=STK_DIV!$E$2:$E$5),ROW(STK_DIV!$D$2:$D$5))=0,"",INDEX(STK_DIV!$D$1:$D$5,SUMPRODUCT(--($E547=STK_DIV!$A$2:$A$5),--(NXT_COMPO!$Q547=STK_DIV!$E$2:$E$5),ROW(STK_DIV!$D$2:$D$5)))),"")</f>
        <v/>
      </c>
      <c r="U547" s="54" t="str">
        <f>IF($D547&lt;&gt;"",VLOOKUP($P547,IDX_REF!$2:$1048576,4,0),"")</f>
        <v/>
      </c>
    </row>
    <row r="548" spans="4:21" x14ac:dyDescent="0.2">
      <c r="D548" s="52" t="str">
        <f t="shared" si="68"/>
        <v/>
      </c>
      <c r="E548" s="5" t="str">
        <f t="shared" si="69"/>
        <v/>
      </c>
      <c r="F548" s="5" t="str">
        <f>IF(ROW(F548)-ROW($E$1)&lt;=$B$1-$B$2,INDEX(IDX_COMPO!B:B,ROW(IDX_COMPO!#REF!)),IF(ROW(E548)-ROW($E$1)&lt;=$B$4,VLOOKUP(E548,STK_REF!$A$2:$J$1048576,2,0),""))</f>
        <v/>
      </c>
      <c r="J548" s="62" t="str">
        <f>IF($D548&lt;=$B$1-$B$2,IF(INDEX($AA$2:$AA$1048576,MATCH($D548,$AB$2:$AB$1048576,0))="MODIFY",INDEX(IDX_CA!$G$1:$G$1041,SUMPRODUCT(--($E548=IDX_CA!$A$2:$A$1041),--(NXT_COMPO!$P548=IDX_CA!$B$2:$B$1041),--(NXT_COMPO!$Q548=IDX_CA!$C$2:$C$1041),ROW(IDX_CA!$G$2:$G$1041))),INDEX(IDX_COMPOSITION!$F$1:$F$441,SUMPRODUCT(--($E548=IDX_COMPOSITION!$A$2:$A$441),--(NXT_COMPO!$P548=IDX_COMPOSITION!$R$2:$R$441),--(NXT_COMPO!$B$5=IDX_COMPOSITION!$L$2:$L$441),ROW(IDX_COMPOSITION!$F$2:$F$441)))),IF($D548&lt;=$B$4,INDEX(IDX_CA!$G$1:$G$1041,SUMPRODUCT(--($E548=IDX_CA!$A$2:$A$1041),--(NXT_COMPO!$P548=IDX_CA!$B$2:$B$1041),--(NXT_COMPO!$Q548=IDX_CA!$C$2:$C$1041),ROW(IDX_CA!$G$2:$G$1041))),""))</f>
        <v/>
      </c>
      <c r="K548" s="63" t="str">
        <f>IF($D548&lt;&gt;"",VLOOKUP($E548,STK_REF!$A$2:$J$1048576,7,0),"")</f>
        <v/>
      </c>
      <c r="L548" s="5" t="str">
        <f>IF($D548&lt;&gt;"",VLOOKUP($E548,STK_REF!$A$2:$J$1048576,8,0),"")</f>
        <v/>
      </c>
      <c r="M548" s="8" t="str">
        <f>IF($D548&lt;&gt;"",IF($K548=$U548,1,IF(ISNA(VLOOKUP($K548&amp;$U548,CUR_RATES!$A$2:$F$521,4,0)),"",VLOOKUP($K548&amp;$U548,CUR_RATES!$A$2:$F$521,4,0))),"")</f>
        <v/>
      </c>
      <c r="N548" s="61" t="str">
        <f t="shared" si="70"/>
        <v/>
      </c>
      <c r="O548" s="68" t="str">
        <f t="shared" si="71"/>
        <v/>
      </c>
      <c r="P548" s="24"/>
      <c r="Q548" s="2" t="str">
        <f>IF(ROW(Q548)-ROW($E$1)&lt;=$B$4,INDEX(IDX_COMPO!F:F,ROW(IDX_COMPO!#REF!)),"")</f>
        <v/>
      </c>
      <c r="R548" s="68" t="str">
        <f t="shared" si="72"/>
        <v/>
      </c>
      <c r="S548" s="61" t="str">
        <f t="shared" si="73"/>
        <v/>
      </c>
      <c r="T548" s="62" t="str">
        <f>IF(D548&lt;&gt;"",IF(SUMPRODUCT(--($E548=STK_DIV!$A$2:$A$5),--(NXT_COMPO!$Q548=STK_DIV!$E$2:$E$5),ROW(STK_DIV!$D$2:$D$5))=0,"",INDEX(STK_DIV!$D$1:$D$5,SUMPRODUCT(--($E548=STK_DIV!$A$2:$A$5),--(NXT_COMPO!$Q548=STK_DIV!$E$2:$E$5),ROW(STK_DIV!$D$2:$D$5)))),"")</f>
        <v/>
      </c>
      <c r="U548" s="54" t="str">
        <f>IF($D548&lt;&gt;"",VLOOKUP($P548,IDX_REF!$2:$1048576,4,0),"")</f>
        <v/>
      </c>
    </row>
    <row r="549" spans="4:21" x14ac:dyDescent="0.2">
      <c r="D549" s="52" t="str">
        <f t="shared" si="68"/>
        <v/>
      </c>
      <c r="E549" s="5" t="str">
        <f t="shared" si="69"/>
        <v/>
      </c>
      <c r="F549" s="5" t="str">
        <f>IF(ROW(F549)-ROW($E$1)&lt;=$B$1-$B$2,INDEX(IDX_COMPO!B:B,ROW(IDX_COMPO!#REF!)),IF(ROW(E549)-ROW($E$1)&lt;=$B$4,VLOOKUP(E549,STK_REF!$A$2:$J$1048576,2,0),""))</f>
        <v/>
      </c>
      <c r="J549" s="62" t="str">
        <f>IF($D549&lt;=$B$1-$B$2,IF(INDEX($AA$2:$AA$1048576,MATCH($D549,$AB$2:$AB$1048576,0))="MODIFY",INDEX(IDX_CA!$G$1:$G$1041,SUMPRODUCT(--($E549=IDX_CA!$A$2:$A$1041),--(NXT_COMPO!$P549=IDX_CA!$B$2:$B$1041),--(NXT_COMPO!$Q549=IDX_CA!$C$2:$C$1041),ROW(IDX_CA!$G$2:$G$1041))),INDEX(IDX_COMPOSITION!$F$1:$F$441,SUMPRODUCT(--($E549=IDX_COMPOSITION!$A$2:$A$441),--(NXT_COMPO!$P549=IDX_COMPOSITION!$R$2:$R$441),--(NXT_COMPO!$B$5=IDX_COMPOSITION!$L$2:$L$441),ROW(IDX_COMPOSITION!$F$2:$F$441)))),IF($D549&lt;=$B$4,INDEX(IDX_CA!$G$1:$G$1041,SUMPRODUCT(--($E549=IDX_CA!$A$2:$A$1041),--(NXT_COMPO!$P549=IDX_CA!$B$2:$B$1041),--(NXT_COMPO!$Q549=IDX_CA!$C$2:$C$1041),ROW(IDX_CA!$G$2:$G$1041))),""))</f>
        <v/>
      </c>
      <c r="K549" s="63" t="str">
        <f>IF($D549&lt;&gt;"",VLOOKUP($E549,STK_REF!$A$2:$J$1048576,7,0),"")</f>
        <v/>
      </c>
      <c r="L549" s="5" t="str">
        <f>IF($D549&lt;&gt;"",VLOOKUP($E549,STK_REF!$A$2:$J$1048576,8,0),"")</f>
        <v/>
      </c>
      <c r="M549" s="8" t="str">
        <f>IF($D549&lt;&gt;"",IF($K549=$U549,1,IF(ISNA(VLOOKUP($K549&amp;$U549,CUR_RATES!$A$2:$F$521,4,0)),"",VLOOKUP($K549&amp;$U549,CUR_RATES!$A$2:$F$521,4,0))),"")</f>
        <v/>
      </c>
      <c r="N549" s="61" t="str">
        <f t="shared" si="70"/>
        <v/>
      </c>
      <c r="O549" s="68" t="str">
        <f t="shared" si="71"/>
        <v/>
      </c>
      <c r="P549" s="24"/>
      <c r="Q549" s="2" t="str">
        <f>IF(ROW(Q549)-ROW($E$1)&lt;=$B$4,INDEX(IDX_COMPO!F:F,ROW(IDX_COMPO!#REF!)),"")</f>
        <v/>
      </c>
      <c r="R549" s="68" t="str">
        <f t="shared" si="72"/>
        <v/>
      </c>
      <c r="S549" s="61" t="str">
        <f t="shared" si="73"/>
        <v/>
      </c>
      <c r="T549" s="62" t="str">
        <f>IF(D549&lt;&gt;"",IF(SUMPRODUCT(--($E549=STK_DIV!$A$2:$A$5),--(NXT_COMPO!$Q549=STK_DIV!$E$2:$E$5),ROW(STK_DIV!$D$2:$D$5))=0,"",INDEX(STK_DIV!$D$1:$D$5,SUMPRODUCT(--($E549=STK_DIV!$A$2:$A$5),--(NXT_COMPO!$Q549=STK_DIV!$E$2:$E$5),ROW(STK_DIV!$D$2:$D$5)))),"")</f>
        <v/>
      </c>
      <c r="U549" s="54" t="str">
        <f>IF($D549&lt;&gt;"",VLOOKUP($P549,IDX_REF!$2:$1048576,4,0),"")</f>
        <v/>
      </c>
    </row>
    <row r="550" spans="4:21" x14ac:dyDescent="0.2">
      <c r="D550" s="52" t="str">
        <f t="shared" si="68"/>
        <v/>
      </c>
      <c r="E550" s="5" t="str">
        <f t="shared" si="69"/>
        <v/>
      </c>
      <c r="F550" s="5" t="str">
        <f>IF(ROW(F550)-ROW($E$1)&lt;=$B$1-$B$2,INDEX(IDX_COMPO!B:B,ROW(IDX_COMPO!#REF!)),IF(ROW(E550)-ROW($E$1)&lt;=$B$4,VLOOKUP(E550,STK_REF!$A$2:$J$1048576,2,0),""))</f>
        <v/>
      </c>
      <c r="J550" s="62" t="str">
        <f>IF($D550&lt;=$B$1-$B$2,IF(INDEX($AA$2:$AA$1048576,MATCH($D550,$AB$2:$AB$1048576,0))="MODIFY",INDEX(IDX_CA!$G$1:$G$1041,SUMPRODUCT(--($E550=IDX_CA!$A$2:$A$1041),--(NXT_COMPO!$P550=IDX_CA!$B$2:$B$1041),--(NXT_COMPO!$Q550=IDX_CA!$C$2:$C$1041),ROW(IDX_CA!$G$2:$G$1041))),INDEX(IDX_COMPOSITION!$F$1:$F$441,SUMPRODUCT(--($E550=IDX_COMPOSITION!$A$2:$A$441),--(NXT_COMPO!$P550=IDX_COMPOSITION!$R$2:$R$441),--(NXT_COMPO!$B$5=IDX_COMPOSITION!$L$2:$L$441),ROW(IDX_COMPOSITION!$F$2:$F$441)))),IF($D550&lt;=$B$4,INDEX(IDX_CA!$G$1:$G$1041,SUMPRODUCT(--($E550=IDX_CA!$A$2:$A$1041),--(NXT_COMPO!$P550=IDX_CA!$B$2:$B$1041),--(NXT_COMPO!$Q550=IDX_CA!$C$2:$C$1041),ROW(IDX_CA!$G$2:$G$1041))),""))</f>
        <v/>
      </c>
      <c r="K550" s="63" t="str">
        <f>IF($D550&lt;&gt;"",VLOOKUP($E550,STK_REF!$A$2:$J$1048576,7,0),"")</f>
        <v/>
      </c>
      <c r="L550" s="5" t="str">
        <f>IF($D550&lt;&gt;"",VLOOKUP($E550,STK_REF!$A$2:$J$1048576,8,0),"")</f>
        <v/>
      </c>
      <c r="M550" s="8" t="str">
        <f>IF($D550&lt;&gt;"",IF($K550=$U550,1,IF(ISNA(VLOOKUP($K550&amp;$U550,CUR_RATES!$A$2:$F$521,4,0)),"",VLOOKUP($K550&amp;$U550,CUR_RATES!$A$2:$F$521,4,0))),"")</f>
        <v/>
      </c>
      <c r="N550" s="61" t="str">
        <f t="shared" si="70"/>
        <v/>
      </c>
      <c r="O550" s="68" t="str">
        <f t="shared" si="71"/>
        <v/>
      </c>
      <c r="P550" s="24"/>
      <c r="Q550" s="2" t="str">
        <f>IF(ROW(Q550)-ROW($E$1)&lt;=$B$4,INDEX(IDX_COMPO!F:F,ROW(IDX_COMPO!#REF!)),"")</f>
        <v/>
      </c>
      <c r="R550" s="68" t="str">
        <f t="shared" si="72"/>
        <v/>
      </c>
      <c r="S550" s="61" t="str">
        <f t="shared" si="73"/>
        <v/>
      </c>
      <c r="T550" s="62" t="str">
        <f>IF(D550&lt;&gt;"",IF(SUMPRODUCT(--($E550=STK_DIV!$A$2:$A$5),--(NXT_COMPO!$Q550=STK_DIV!$E$2:$E$5),ROW(STK_DIV!$D$2:$D$5))=0,"",INDEX(STK_DIV!$D$1:$D$5,SUMPRODUCT(--($E550=STK_DIV!$A$2:$A$5),--(NXT_COMPO!$Q550=STK_DIV!$E$2:$E$5),ROW(STK_DIV!$D$2:$D$5)))),"")</f>
        <v/>
      </c>
      <c r="U550" s="54" t="str">
        <f>IF($D550&lt;&gt;"",VLOOKUP($P550,IDX_REF!$2:$1048576,4,0),"")</f>
        <v/>
      </c>
    </row>
    <row r="551" spans="4:21" x14ac:dyDescent="0.2">
      <c r="D551" s="52" t="str">
        <f t="shared" si="68"/>
        <v/>
      </c>
      <c r="E551" s="5" t="str">
        <f t="shared" si="69"/>
        <v/>
      </c>
      <c r="F551" s="5" t="str">
        <f>IF(ROW(F551)-ROW($E$1)&lt;=$B$1-$B$2,INDEX(IDX_COMPO!B:B,ROW(IDX_COMPO!#REF!)),IF(ROW(E551)-ROW($E$1)&lt;=$B$4,VLOOKUP(E551,STK_REF!$A$2:$J$1048576,2,0),""))</f>
        <v/>
      </c>
      <c r="J551" s="62" t="str">
        <f>IF($D551&lt;=$B$1-$B$2,IF(INDEX($AA$2:$AA$1048576,MATCH($D551,$AB$2:$AB$1048576,0))="MODIFY",INDEX(IDX_CA!$G$1:$G$1041,SUMPRODUCT(--($E551=IDX_CA!$A$2:$A$1041),--(NXT_COMPO!$P551=IDX_CA!$B$2:$B$1041),--(NXT_COMPO!$Q551=IDX_CA!$C$2:$C$1041),ROW(IDX_CA!$G$2:$G$1041))),INDEX(IDX_COMPOSITION!$F$1:$F$441,SUMPRODUCT(--($E551=IDX_COMPOSITION!$A$2:$A$441),--(NXT_COMPO!$P551=IDX_COMPOSITION!$R$2:$R$441),--(NXT_COMPO!$B$5=IDX_COMPOSITION!$L$2:$L$441),ROW(IDX_COMPOSITION!$F$2:$F$441)))),IF($D551&lt;=$B$4,INDEX(IDX_CA!$G$1:$G$1041,SUMPRODUCT(--($E551=IDX_CA!$A$2:$A$1041),--(NXT_COMPO!$P551=IDX_CA!$B$2:$B$1041),--(NXT_COMPO!$Q551=IDX_CA!$C$2:$C$1041),ROW(IDX_CA!$G$2:$G$1041))),""))</f>
        <v/>
      </c>
      <c r="K551" s="63" t="str">
        <f>IF($D551&lt;&gt;"",VLOOKUP($E551,STK_REF!$A$2:$J$1048576,7,0),"")</f>
        <v/>
      </c>
      <c r="L551" s="5" t="str">
        <f>IF($D551&lt;&gt;"",VLOOKUP($E551,STK_REF!$A$2:$J$1048576,8,0),"")</f>
        <v/>
      </c>
      <c r="M551" s="8" t="str">
        <f>IF($D551&lt;&gt;"",IF($K551=$U551,1,IF(ISNA(VLOOKUP($K551&amp;$U551,CUR_RATES!$A$2:$F$521,4,0)),"",VLOOKUP($K551&amp;$U551,CUR_RATES!$A$2:$F$521,4,0))),"")</f>
        <v/>
      </c>
      <c r="N551" s="61" t="str">
        <f t="shared" si="70"/>
        <v/>
      </c>
      <c r="O551" s="68" t="str">
        <f t="shared" si="71"/>
        <v/>
      </c>
      <c r="P551" s="24"/>
      <c r="Q551" s="2" t="str">
        <f>IF(ROW(Q551)-ROW($E$1)&lt;=$B$4,INDEX(IDX_COMPO!F:F,ROW(IDX_COMPO!#REF!)),"")</f>
        <v/>
      </c>
      <c r="R551" s="68" t="str">
        <f t="shared" si="72"/>
        <v/>
      </c>
      <c r="S551" s="61" t="str">
        <f t="shared" si="73"/>
        <v/>
      </c>
      <c r="T551" s="62" t="str">
        <f>IF(D551&lt;&gt;"",IF(SUMPRODUCT(--($E551=STK_DIV!$A$2:$A$5),--(NXT_COMPO!$Q551=STK_DIV!$E$2:$E$5),ROW(STK_DIV!$D$2:$D$5))=0,"",INDEX(STK_DIV!$D$1:$D$5,SUMPRODUCT(--($E551=STK_DIV!$A$2:$A$5),--(NXT_COMPO!$Q551=STK_DIV!$E$2:$E$5),ROW(STK_DIV!$D$2:$D$5)))),"")</f>
        <v/>
      </c>
      <c r="U551" s="54" t="str">
        <f>IF($D551&lt;&gt;"",VLOOKUP($P551,IDX_REF!$2:$1048576,4,0),"")</f>
        <v/>
      </c>
    </row>
    <row r="552" spans="4:21" x14ac:dyDescent="0.2">
      <c r="D552" s="52" t="str">
        <f t="shared" si="68"/>
        <v/>
      </c>
      <c r="E552" s="5" t="str">
        <f t="shared" si="69"/>
        <v/>
      </c>
      <c r="F552" s="5" t="str">
        <f>IF(ROW(F552)-ROW($E$1)&lt;=$B$1-$B$2,INDEX(IDX_COMPO!B:B,ROW(IDX_COMPO!#REF!)),IF(ROW(E552)-ROW($E$1)&lt;=$B$4,VLOOKUP(E552,STK_REF!$A$2:$J$1048576,2,0),""))</f>
        <v/>
      </c>
      <c r="J552" s="62" t="str">
        <f>IF($D552&lt;=$B$1-$B$2,IF(INDEX($AA$2:$AA$1048576,MATCH($D552,$AB$2:$AB$1048576,0))="MODIFY",INDEX(IDX_CA!$G$1:$G$1041,SUMPRODUCT(--($E552=IDX_CA!$A$2:$A$1041),--(NXT_COMPO!$P552=IDX_CA!$B$2:$B$1041),--(NXT_COMPO!$Q552=IDX_CA!$C$2:$C$1041),ROW(IDX_CA!$G$2:$G$1041))),INDEX(IDX_COMPOSITION!$F$1:$F$441,SUMPRODUCT(--($E552=IDX_COMPOSITION!$A$2:$A$441),--(NXT_COMPO!$P552=IDX_COMPOSITION!$R$2:$R$441),--(NXT_COMPO!$B$5=IDX_COMPOSITION!$L$2:$L$441),ROW(IDX_COMPOSITION!$F$2:$F$441)))),IF($D552&lt;=$B$4,INDEX(IDX_CA!$G$1:$G$1041,SUMPRODUCT(--($E552=IDX_CA!$A$2:$A$1041),--(NXT_COMPO!$P552=IDX_CA!$B$2:$B$1041),--(NXT_COMPO!$Q552=IDX_CA!$C$2:$C$1041),ROW(IDX_CA!$G$2:$G$1041))),""))</f>
        <v/>
      </c>
      <c r="K552" s="63" t="str">
        <f>IF($D552&lt;&gt;"",VLOOKUP($E552,STK_REF!$A$2:$J$1048576,7,0),"")</f>
        <v/>
      </c>
      <c r="L552" s="5" t="str">
        <f>IF($D552&lt;&gt;"",VLOOKUP($E552,STK_REF!$A$2:$J$1048576,8,0),"")</f>
        <v/>
      </c>
      <c r="M552" s="8" t="str">
        <f>IF($D552&lt;&gt;"",IF($K552=$U552,1,IF(ISNA(VLOOKUP($K552&amp;$U552,CUR_RATES!$A$2:$F$521,4,0)),"",VLOOKUP($K552&amp;$U552,CUR_RATES!$A$2:$F$521,4,0))),"")</f>
        <v/>
      </c>
      <c r="N552" s="61" t="str">
        <f t="shared" si="70"/>
        <v/>
      </c>
      <c r="O552" s="68" t="str">
        <f t="shared" si="71"/>
        <v/>
      </c>
      <c r="P552" s="24"/>
      <c r="Q552" s="2" t="str">
        <f>IF(ROW(Q552)-ROW($E$1)&lt;=$B$4,INDEX(IDX_COMPO!F:F,ROW(IDX_COMPO!#REF!)),"")</f>
        <v/>
      </c>
      <c r="R552" s="68" t="str">
        <f t="shared" si="72"/>
        <v/>
      </c>
      <c r="S552" s="61" t="str">
        <f t="shared" si="73"/>
        <v/>
      </c>
      <c r="T552" s="62" t="str">
        <f>IF(D552&lt;&gt;"",IF(SUMPRODUCT(--($E552=STK_DIV!$A$2:$A$5),--(NXT_COMPO!$Q552=STK_DIV!$E$2:$E$5),ROW(STK_DIV!$D$2:$D$5))=0,"",INDEX(STK_DIV!$D$1:$D$5,SUMPRODUCT(--($E552=STK_DIV!$A$2:$A$5),--(NXT_COMPO!$Q552=STK_DIV!$E$2:$E$5),ROW(STK_DIV!$D$2:$D$5)))),"")</f>
        <v/>
      </c>
      <c r="U552" s="54" t="str">
        <f>IF($D552&lt;&gt;"",VLOOKUP($P552,IDX_REF!$2:$1048576,4,0),"")</f>
        <v/>
      </c>
    </row>
    <row r="553" spans="4:21" x14ac:dyDescent="0.2">
      <c r="D553" s="52" t="str">
        <f t="shared" si="68"/>
        <v/>
      </c>
      <c r="E553" s="5" t="str">
        <f t="shared" si="69"/>
        <v/>
      </c>
      <c r="F553" s="5" t="str">
        <f>IF(ROW(F553)-ROW($E$1)&lt;=$B$1-$B$2,INDEX(IDX_COMPO!B:B,ROW(IDX_COMPO!#REF!)),IF(ROW(E553)-ROW($E$1)&lt;=$B$4,VLOOKUP(E553,STK_REF!$A$2:$J$1048576,2,0),""))</f>
        <v/>
      </c>
      <c r="J553" s="62" t="str">
        <f>IF($D553&lt;=$B$1-$B$2,IF(INDEX($AA$2:$AA$1048576,MATCH($D553,$AB$2:$AB$1048576,0))="MODIFY",INDEX(IDX_CA!$G$1:$G$1041,SUMPRODUCT(--($E553=IDX_CA!$A$2:$A$1041),--(NXT_COMPO!$P553=IDX_CA!$B$2:$B$1041),--(NXT_COMPO!$Q553=IDX_CA!$C$2:$C$1041),ROW(IDX_CA!$G$2:$G$1041))),INDEX(IDX_COMPOSITION!$F$1:$F$441,SUMPRODUCT(--($E553=IDX_COMPOSITION!$A$2:$A$441),--(NXT_COMPO!$P553=IDX_COMPOSITION!$R$2:$R$441),--(NXT_COMPO!$B$5=IDX_COMPOSITION!$L$2:$L$441),ROW(IDX_COMPOSITION!$F$2:$F$441)))),IF($D553&lt;=$B$4,INDEX(IDX_CA!$G$1:$G$1041,SUMPRODUCT(--($E553=IDX_CA!$A$2:$A$1041),--(NXT_COMPO!$P553=IDX_CA!$B$2:$B$1041),--(NXT_COMPO!$Q553=IDX_CA!$C$2:$C$1041),ROW(IDX_CA!$G$2:$G$1041))),""))</f>
        <v/>
      </c>
      <c r="K553" s="63" t="str">
        <f>IF($D553&lt;&gt;"",VLOOKUP($E553,STK_REF!$A$2:$J$1048576,7,0),"")</f>
        <v/>
      </c>
      <c r="L553" s="5" t="str">
        <f>IF($D553&lt;&gt;"",VLOOKUP($E553,STK_REF!$A$2:$J$1048576,8,0),"")</f>
        <v/>
      </c>
      <c r="M553" s="8" t="str">
        <f>IF($D553&lt;&gt;"",IF($K553=$U553,1,IF(ISNA(VLOOKUP($K553&amp;$U553,CUR_RATES!$A$2:$F$521,4,0)),"",VLOOKUP($K553&amp;$U553,CUR_RATES!$A$2:$F$521,4,0))),"")</f>
        <v/>
      </c>
      <c r="N553" s="61" t="str">
        <f t="shared" si="70"/>
        <v/>
      </c>
      <c r="O553" s="68" t="str">
        <f t="shared" si="71"/>
        <v/>
      </c>
      <c r="P553" s="24"/>
      <c r="Q553" s="2" t="str">
        <f>IF(ROW(Q553)-ROW($E$1)&lt;=$B$4,INDEX(IDX_COMPO!F:F,ROW(IDX_COMPO!#REF!)),"")</f>
        <v/>
      </c>
      <c r="R553" s="68" t="str">
        <f t="shared" si="72"/>
        <v/>
      </c>
      <c r="S553" s="61" t="str">
        <f t="shared" si="73"/>
        <v/>
      </c>
      <c r="T553" s="62" t="str">
        <f>IF(D553&lt;&gt;"",IF(SUMPRODUCT(--($E553=STK_DIV!$A$2:$A$5),--(NXT_COMPO!$Q553=STK_DIV!$E$2:$E$5),ROW(STK_DIV!$D$2:$D$5))=0,"",INDEX(STK_DIV!$D$1:$D$5,SUMPRODUCT(--($E553=STK_DIV!$A$2:$A$5),--(NXT_COMPO!$Q553=STK_DIV!$E$2:$E$5),ROW(STK_DIV!$D$2:$D$5)))),"")</f>
        <v/>
      </c>
      <c r="U553" s="54" t="str">
        <f>IF($D553&lt;&gt;"",VLOOKUP($P553,IDX_REF!$2:$1048576,4,0),"")</f>
        <v/>
      </c>
    </row>
    <row r="554" spans="4:21" x14ac:dyDescent="0.2">
      <c r="D554" s="52" t="str">
        <f t="shared" si="68"/>
        <v/>
      </c>
      <c r="E554" s="5" t="str">
        <f t="shared" si="69"/>
        <v/>
      </c>
      <c r="F554" s="5" t="str">
        <f>IF(ROW(F554)-ROW($E$1)&lt;=$B$1-$B$2,INDEX(IDX_COMPO!B:B,ROW(IDX_COMPO!#REF!)),IF(ROW(E554)-ROW($E$1)&lt;=$B$4,VLOOKUP(E554,STK_REF!$A$2:$J$1048576,2,0),""))</f>
        <v/>
      </c>
      <c r="J554" s="62" t="str">
        <f>IF($D554&lt;=$B$1-$B$2,IF(INDEX($AA$2:$AA$1048576,MATCH($D554,$AB$2:$AB$1048576,0))="MODIFY",INDEX(IDX_CA!$G$1:$G$1041,SUMPRODUCT(--($E554=IDX_CA!$A$2:$A$1041),--(NXT_COMPO!$P554=IDX_CA!$B$2:$B$1041),--(NXT_COMPO!$Q554=IDX_CA!$C$2:$C$1041),ROW(IDX_CA!$G$2:$G$1041))),INDEX(IDX_COMPOSITION!$F$1:$F$441,SUMPRODUCT(--($E554=IDX_COMPOSITION!$A$2:$A$441),--(NXT_COMPO!$P554=IDX_COMPOSITION!$R$2:$R$441),--(NXT_COMPO!$B$5=IDX_COMPOSITION!$L$2:$L$441),ROW(IDX_COMPOSITION!$F$2:$F$441)))),IF($D554&lt;=$B$4,INDEX(IDX_CA!$G$1:$G$1041,SUMPRODUCT(--($E554=IDX_CA!$A$2:$A$1041),--(NXT_COMPO!$P554=IDX_CA!$B$2:$B$1041),--(NXT_COMPO!$Q554=IDX_CA!$C$2:$C$1041),ROW(IDX_CA!$G$2:$G$1041))),""))</f>
        <v/>
      </c>
      <c r="K554" s="63" t="str">
        <f>IF($D554&lt;&gt;"",VLOOKUP($E554,STK_REF!$A$2:$J$1048576,7,0),"")</f>
        <v/>
      </c>
      <c r="L554" s="5" t="str">
        <f>IF($D554&lt;&gt;"",VLOOKUP($E554,STK_REF!$A$2:$J$1048576,8,0),"")</f>
        <v/>
      </c>
      <c r="M554" s="8" t="str">
        <f>IF($D554&lt;&gt;"",IF($K554=$U554,1,IF(ISNA(VLOOKUP($K554&amp;$U554,CUR_RATES!$A$2:$F$521,4,0)),"",VLOOKUP($K554&amp;$U554,CUR_RATES!$A$2:$F$521,4,0))),"")</f>
        <v/>
      </c>
      <c r="N554" s="61" t="str">
        <f t="shared" si="70"/>
        <v/>
      </c>
      <c r="O554" s="68" t="str">
        <f t="shared" si="71"/>
        <v/>
      </c>
      <c r="P554" s="24"/>
      <c r="Q554" s="2" t="str">
        <f>IF(ROW(Q554)-ROW($E$1)&lt;=$B$4,INDEX(IDX_COMPO!F:F,ROW(IDX_COMPO!#REF!)),"")</f>
        <v/>
      </c>
      <c r="R554" s="68" t="str">
        <f t="shared" si="72"/>
        <v/>
      </c>
      <c r="S554" s="61" t="str">
        <f t="shared" si="73"/>
        <v/>
      </c>
      <c r="T554" s="62" t="str">
        <f>IF(D554&lt;&gt;"",IF(SUMPRODUCT(--($E554=STK_DIV!$A$2:$A$5),--(NXT_COMPO!$Q554=STK_DIV!$E$2:$E$5),ROW(STK_DIV!$D$2:$D$5))=0,"",INDEX(STK_DIV!$D$1:$D$5,SUMPRODUCT(--($E554=STK_DIV!$A$2:$A$5),--(NXT_COMPO!$Q554=STK_DIV!$E$2:$E$5),ROW(STK_DIV!$D$2:$D$5)))),"")</f>
        <v/>
      </c>
      <c r="U554" s="54" t="str">
        <f>IF($D554&lt;&gt;"",VLOOKUP($P554,IDX_REF!$2:$1048576,4,0),"")</f>
        <v/>
      </c>
    </row>
    <row r="555" spans="4:21" x14ac:dyDescent="0.2">
      <c r="D555" s="52" t="str">
        <f t="shared" si="68"/>
        <v/>
      </c>
      <c r="E555" s="5" t="str">
        <f t="shared" si="69"/>
        <v/>
      </c>
      <c r="F555" s="5" t="str">
        <f>IF(ROW(F555)-ROW($E$1)&lt;=$B$1-$B$2,INDEX(IDX_COMPO!B:B,ROW(IDX_COMPO!#REF!)),IF(ROW(E555)-ROW($E$1)&lt;=$B$4,VLOOKUP(E555,STK_REF!$A$2:$J$1048576,2,0),""))</f>
        <v/>
      </c>
      <c r="J555" s="62" t="str">
        <f>IF($D555&lt;=$B$1-$B$2,IF(INDEX($AA$2:$AA$1048576,MATCH($D555,$AB$2:$AB$1048576,0))="MODIFY",INDEX(IDX_CA!$G$1:$G$1041,SUMPRODUCT(--($E555=IDX_CA!$A$2:$A$1041),--(NXT_COMPO!$P555=IDX_CA!$B$2:$B$1041),--(NXT_COMPO!$Q555=IDX_CA!$C$2:$C$1041),ROW(IDX_CA!$G$2:$G$1041))),INDEX(IDX_COMPOSITION!$F$1:$F$441,SUMPRODUCT(--($E555=IDX_COMPOSITION!$A$2:$A$441),--(NXT_COMPO!$P555=IDX_COMPOSITION!$R$2:$R$441),--(NXT_COMPO!$B$5=IDX_COMPOSITION!$L$2:$L$441),ROW(IDX_COMPOSITION!$F$2:$F$441)))),IF($D555&lt;=$B$4,INDEX(IDX_CA!$G$1:$G$1041,SUMPRODUCT(--($E555=IDX_CA!$A$2:$A$1041),--(NXT_COMPO!$P555=IDX_CA!$B$2:$B$1041),--(NXT_COMPO!$Q555=IDX_CA!$C$2:$C$1041),ROW(IDX_CA!$G$2:$G$1041))),""))</f>
        <v/>
      </c>
      <c r="K555" s="63" t="str">
        <f>IF($D555&lt;&gt;"",VLOOKUP($E555,STK_REF!$A$2:$J$1048576,7,0),"")</f>
        <v/>
      </c>
      <c r="L555" s="5" t="str">
        <f>IF($D555&lt;&gt;"",VLOOKUP($E555,STK_REF!$A$2:$J$1048576,8,0),"")</f>
        <v/>
      </c>
      <c r="M555" s="8" t="str">
        <f>IF($D555&lt;&gt;"",IF($K555=$U555,1,IF(ISNA(VLOOKUP($K555&amp;$U555,CUR_RATES!$A$2:$F$521,4,0)),"",VLOOKUP($K555&amp;$U555,CUR_RATES!$A$2:$F$521,4,0))),"")</f>
        <v/>
      </c>
      <c r="N555" s="61" t="str">
        <f t="shared" si="70"/>
        <v/>
      </c>
      <c r="O555" s="68" t="str">
        <f t="shared" si="71"/>
        <v/>
      </c>
      <c r="P555" s="24"/>
      <c r="Q555" s="2" t="str">
        <f>IF(ROW(Q555)-ROW($E$1)&lt;=$B$4,INDEX(IDX_COMPO!F:F,ROW(IDX_COMPO!#REF!)),"")</f>
        <v/>
      </c>
      <c r="R555" s="68" t="str">
        <f t="shared" si="72"/>
        <v/>
      </c>
      <c r="S555" s="61" t="str">
        <f t="shared" si="73"/>
        <v/>
      </c>
      <c r="T555" s="62" t="str">
        <f>IF(D555&lt;&gt;"",IF(SUMPRODUCT(--($E555=STK_DIV!$A$2:$A$5),--(NXT_COMPO!$Q555=STK_DIV!$E$2:$E$5),ROW(STK_DIV!$D$2:$D$5))=0,"",INDEX(STK_DIV!$D$1:$D$5,SUMPRODUCT(--($E555=STK_DIV!$A$2:$A$5),--(NXT_COMPO!$Q555=STK_DIV!$E$2:$E$5),ROW(STK_DIV!$D$2:$D$5)))),"")</f>
        <v/>
      </c>
      <c r="U555" s="54" t="str">
        <f>IF($D555&lt;&gt;"",VLOOKUP($P555,IDX_REF!$2:$1048576,4,0),"")</f>
        <v/>
      </c>
    </row>
    <row r="556" spans="4:21" x14ac:dyDescent="0.2">
      <c r="D556" s="52" t="str">
        <f t="shared" si="68"/>
        <v/>
      </c>
      <c r="E556" s="5" t="str">
        <f t="shared" si="69"/>
        <v/>
      </c>
      <c r="F556" s="5" t="str">
        <f>IF(ROW(F556)-ROW($E$1)&lt;=$B$1-$B$2,INDEX(IDX_COMPO!B:B,ROW(IDX_COMPO!#REF!)),IF(ROW(E556)-ROW($E$1)&lt;=$B$4,VLOOKUP(E556,STK_REF!$A$2:$J$1048576,2,0),""))</f>
        <v/>
      </c>
      <c r="J556" s="62" t="str">
        <f>IF($D556&lt;=$B$1-$B$2,IF(INDEX($AA$2:$AA$1048576,MATCH($D556,$AB$2:$AB$1048576,0))="MODIFY",INDEX(IDX_CA!$G$1:$G$1041,SUMPRODUCT(--($E556=IDX_CA!$A$2:$A$1041),--(NXT_COMPO!$P556=IDX_CA!$B$2:$B$1041),--(NXT_COMPO!$Q556=IDX_CA!$C$2:$C$1041),ROW(IDX_CA!$G$2:$G$1041))),INDEX(IDX_COMPOSITION!$F$1:$F$441,SUMPRODUCT(--($E556=IDX_COMPOSITION!$A$2:$A$441),--(NXT_COMPO!$P556=IDX_COMPOSITION!$R$2:$R$441),--(NXT_COMPO!$B$5=IDX_COMPOSITION!$L$2:$L$441),ROW(IDX_COMPOSITION!$F$2:$F$441)))),IF($D556&lt;=$B$4,INDEX(IDX_CA!$G$1:$G$1041,SUMPRODUCT(--($E556=IDX_CA!$A$2:$A$1041),--(NXT_COMPO!$P556=IDX_CA!$B$2:$B$1041),--(NXT_COMPO!$Q556=IDX_CA!$C$2:$C$1041),ROW(IDX_CA!$G$2:$G$1041))),""))</f>
        <v/>
      </c>
      <c r="K556" s="63" t="str">
        <f>IF($D556&lt;&gt;"",VLOOKUP($E556,STK_REF!$A$2:$J$1048576,7,0),"")</f>
        <v/>
      </c>
      <c r="L556" s="5" t="str">
        <f>IF($D556&lt;&gt;"",VLOOKUP($E556,STK_REF!$A$2:$J$1048576,8,0),"")</f>
        <v/>
      </c>
      <c r="M556" s="8" t="str">
        <f>IF($D556&lt;&gt;"",IF($K556=$U556,1,IF(ISNA(VLOOKUP($K556&amp;$U556,CUR_RATES!$A$2:$F$521,4,0)),"",VLOOKUP($K556&amp;$U556,CUR_RATES!$A$2:$F$521,4,0))),"")</f>
        <v/>
      </c>
      <c r="N556" s="61" t="str">
        <f t="shared" si="70"/>
        <v/>
      </c>
      <c r="O556" s="68" t="str">
        <f t="shared" si="71"/>
        <v/>
      </c>
      <c r="P556" s="24"/>
      <c r="Q556" s="2" t="str">
        <f>IF(ROW(Q556)-ROW($E$1)&lt;=$B$4,INDEX(IDX_COMPO!F:F,ROW(IDX_COMPO!#REF!)),"")</f>
        <v/>
      </c>
      <c r="R556" s="68" t="str">
        <f t="shared" si="72"/>
        <v/>
      </c>
      <c r="S556" s="61" t="str">
        <f t="shared" si="73"/>
        <v/>
      </c>
      <c r="T556" s="62" t="str">
        <f>IF(D556&lt;&gt;"",IF(SUMPRODUCT(--($E556=STK_DIV!$A$2:$A$5),--(NXT_COMPO!$Q556=STK_DIV!$E$2:$E$5),ROW(STK_DIV!$D$2:$D$5))=0,"",INDEX(STK_DIV!$D$1:$D$5,SUMPRODUCT(--($E556=STK_DIV!$A$2:$A$5),--(NXT_COMPO!$Q556=STK_DIV!$E$2:$E$5),ROW(STK_DIV!$D$2:$D$5)))),"")</f>
        <v/>
      </c>
      <c r="U556" s="54" t="str">
        <f>IF($D556&lt;&gt;"",VLOOKUP($P556,IDX_REF!$2:$1048576,4,0),"")</f>
        <v/>
      </c>
    </row>
    <row r="557" spans="4:21" x14ac:dyDescent="0.2">
      <c r="D557" s="52" t="str">
        <f t="shared" si="68"/>
        <v/>
      </c>
      <c r="E557" s="5" t="str">
        <f t="shared" si="69"/>
        <v/>
      </c>
      <c r="F557" s="5" t="str">
        <f>IF(ROW(F557)-ROW($E$1)&lt;=$B$1-$B$2,INDEX(IDX_COMPO!B:B,ROW(IDX_COMPO!#REF!)),IF(ROW(E557)-ROW($E$1)&lt;=$B$4,VLOOKUP(E557,STK_REF!$A$2:$J$1048576,2,0),""))</f>
        <v/>
      </c>
      <c r="J557" s="62" t="str">
        <f>IF($D557&lt;=$B$1-$B$2,IF(INDEX($AA$2:$AA$1048576,MATCH($D557,$AB$2:$AB$1048576,0))="MODIFY",INDEX(IDX_CA!$G$1:$G$1041,SUMPRODUCT(--($E557=IDX_CA!$A$2:$A$1041),--(NXT_COMPO!$P557=IDX_CA!$B$2:$B$1041),--(NXT_COMPO!$Q557=IDX_CA!$C$2:$C$1041),ROW(IDX_CA!$G$2:$G$1041))),INDEX(IDX_COMPOSITION!$F$1:$F$441,SUMPRODUCT(--($E557=IDX_COMPOSITION!$A$2:$A$441),--(NXT_COMPO!$P557=IDX_COMPOSITION!$R$2:$R$441),--(NXT_COMPO!$B$5=IDX_COMPOSITION!$L$2:$L$441),ROW(IDX_COMPOSITION!$F$2:$F$441)))),IF($D557&lt;=$B$4,INDEX(IDX_CA!$G$1:$G$1041,SUMPRODUCT(--($E557=IDX_CA!$A$2:$A$1041),--(NXT_COMPO!$P557=IDX_CA!$B$2:$B$1041),--(NXT_COMPO!$Q557=IDX_CA!$C$2:$C$1041),ROW(IDX_CA!$G$2:$G$1041))),""))</f>
        <v/>
      </c>
      <c r="K557" s="63" t="str">
        <f>IF($D557&lt;&gt;"",VLOOKUP($E557,STK_REF!$A$2:$J$1048576,7,0),"")</f>
        <v/>
      </c>
      <c r="L557" s="5" t="str">
        <f>IF($D557&lt;&gt;"",VLOOKUP($E557,STK_REF!$A$2:$J$1048576,8,0),"")</f>
        <v/>
      </c>
      <c r="M557" s="8" t="str">
        <f>IF($D557&lt;&gt;"",IF($K557=$U557,1,IF(ISNA(VLOOKUP($K557&amp;$U557,CUR_RATES!$A$2:$F$521,4,0)),"",VLOOKUP($K557&amp;$U557,CUR_RATES!$A$2:$F$521,4,0))),"")</f>
        <v/>
      </c>
      <c r="N557" s="61" t="str">
        <f t="shared" si="70"/>
        <v/>
      </c>
      <c r="O557" s="68" t="str">
        <f t="shared" si="71"/>
        <v/>
      </c>
      <c r="P557" s="24"/>
      <c r="Q557" s="2" t="str">
        <f>IF(ROW(Q557)-ROW($E$1)&lt;=$B$4,INDEX(IDX_COMPO!F:F,ROW(IDX_COMPO!#REF!)),"")</f>
        <v/>
      </c>
      <c r="R557" s="68" t="str">
        <f t="shared" si="72"/>
        <v/>
      </c>
      <c r="S557" s="61" t="str">
        <f t="shared" si="73"/>
        <v/>
      </c>
      <c r="T557" s="62" t="str">
        <f>IF(D557&lt;&gt;"",IF(SUMPRODUCT(--($E557=STK_DIV!$A$2:$A$5),--(NXT_COMPO!$Q557=STK_DIV!$E$2:$E$5),ROW(STK_DIV!$D$2:$D$5))=0,"",INDEX(STK_DIV!$D$1:$D$5,SUMPRODUCT(--($E557=STK_DIV!$A$2:$A$5),--(NXT_COMPO!$Q557=STK_DIV!$E$2:$E$5),ROW(STK_DIV!$D$2:$D$5)))),"")</f>
        <v/>
      </c>
      <c r="U557" s="54" t="str">
        <f>IF($D557&lt;&gt;"",VLOOKUP($P557,IDX_REF!$2:$1048576,4,0),"")</f>
        <v/>
      </c>
    </row>
    <row r="558" spans="4:21" x14ac:dyDescent="0.2">
      <c r="D558" s="52" t="str">
        <f t="shared" si="68"/>
        <v/>
      </c>
      <c r="E558" s="5" t="str">
        <f t="shared" si="69"/>
        <v/>
      </c>
      <c r="F558" s="5" t="str">
        <f>IF(ROW(F558)-ROW($E$1)&lt;=$B$1-$B$2,INDEX(IDX_COMPO!B:B,ROW(IDX_COMPO!#REF!)),IF(ROW(E558)-ROW($E$1)&lt;=$B$4,VLOOKUP(E558,STK_REF!$A$2:$J$1048576,2,0),""))</f>
        <v/>
      </c>
      <c r="J558" s="62" t="str">
        <f>IF($D558&lt;=$B$1-$B$2,IF(INDEX($AA$2:$AA$1048576,MATCH($D558,$AB$2:$AB$1048576,0))="MODIFY",INDEX(IDX_CA!$G$1:$G$1041,SUMPRODUCT(--($E558=IDX_CA!$A$2:$A$1041),--(NXT_COMPO!$P558=IDX_CA!$B$2:$B$1041),--(NXT_COMPO!$Q558=IDX_CA!$C$2:$C$1041),ROW(IDX_CA!$G$2:$G$1041))),INDEX(IDX_COMPOSITION!$F$1:$F$441,SUMPRODUCT(--($E558=IDX_COMPOSITION!$A$2:$A$441),--(NXT_COMPO!$P558=IDX_COMPOSITION!$R$2:$R$441),--(NXT_COMPO!$B$5=IDX_COMPOSITION!$L$2:$L$441),ROW(IDX_COMPOSITION!$F$2:$F$441)))),IF($D558&lt;=$B$4,INDEX(IDX_CA!$G$1:$G$1041,SUMPRODUCT(--($E558=IDX_CA!$A$2:$A$1041),--(NXT_COMPO!$P558=IDX_CA!$B$2:$B$1041),--(NXT_COMPO!$Q558=IDX_CA!$C$2:$C$1041),ROW(IDX_CA!$G$2:$G$1041))),""))</f>
        <v/>
      </c>
      <c r="K558" s="63" t="str">
        <f>IF($D558&lt;&gt;"",VLOOKUP($E558,STK_REF!$A$2:$J$1048576,7,0),"")</f>
        <v/>
      </c>
      <c r="L558" s="5" t="str">
        <f>IF($D558&lt;&gt;"",VLOOKUP($E558,STK_REF!$A$2:$J$1048576,8,0),"")</f>
        <v/>
      </c>
      <c r="M558" s="8" t="str">
        <f>IF($D558&lt;&gt;"",IF($K558=$U558,1,IF(ISNA(VLOOKUP($K558&amp;$U558,CUR_RATES!$A$2:$F$521,4,0)),"",VLOOKUP($K558&amp;$U558,CUR_RATES!$A$2:$F$521,4,0))),"")</f>
        <v/>
      </c>
      <c r="N558" s="61" t="str">
        <f t="shared" si="70"/>
        <v/>
      </c>
      <c r="O558" s="68" t="str">
        <f t="shared" si="71"/>
        <v/>
      </c>
      <c r="P558" s="24"/>
      <c r="Q558" s="2" t="str">
        <f>IF(ROW(Q558)-ROW($E$1)&lt;=$B$4,INDEX(IDX_COMPO!F:F,ROW(IDX_COMPO!#REF!)),"")</f>
        <v/>
      </c>
      <c r="R558" s="68" t="str">
        <f t="shared" si="72"/>
        <v/>
      </c>
      <c r="S558" s="61" t="str">
        <f t="shared" si="73"/>
        <v/>
      </c>
      <c r="T558" s="62" t="str">
        <f>IF(D558&lt;&gt;"",IF(SUMPRODUCT(--($E558=STK_DIV!$A$2:$A$5),--(NXT_COMPO!$Q558=STK_DIV!$E$2:$E$5),ROW(STK_DIV!$D$2:$D$5))=0,"",INDEX(STK_DIV!$D$1:$D$5,SUMPRODUCT(--($E558=STK_DIV!$A$2:$A$5),--(NXT_COMPO!$Q558=STK_DIV!$E$2:$E$5),ROW(STK_DIV!$D$2:$D$5)))),"")</f>
        <v/>
      </c>
      <c r="U558" s="54" t="str">
        <f>IF($D558&lt;&gt;"",VLOOKUP($P558,IDX_REF!$2:$1048576,4,0),"")</f>
        <v/>
      </c>
    </row>
    <row r="559" spans="4:21" x14ac:dyDescent="0.2">
      <c r="D559" s="52" t="str">
        <f t="shared" si="68"/>
        <v/>
      </c>
      <c r="E559" s="5" t="str">
        <f t="shared" si="69"/>
        <v/>
      </c>
      <c r="F559" s="5" t="str">
        <f>IF(ROW(F559)-ROW($E$1)&lt;=$B$1-$B$2,INDEX(IDX_COMPO!B:B,ROW(IDX_COMPO!#REF!)),IF(ROW(E559)-ROW($E$1)&lt;=$B$4,VLOOKUP(E559,STK_REF!$A$2:$J$1048576,2,0),""))</f>
        <v/>
      </c>
      <c r="J559" s="62" t="str">
        <f>IF($D559&lt;=$B$1-$B$2,IF(INDEX($AA$2:$AA$1048576,MATCH($D559,$AB$2:$AB$1048576,0))="MODIFY",INDEX(IDX_CA!$G$1:$G$1041,SUMPRODUCT(--($E559=IDX_CA!$A$2:$A$1041),--(NXT_COMPO!$P559=IDX_CA!$B$2:$B$1041),--(NXT_COMPO!$Q559=IDX_CA!$C$2:$C$1041),ROW(IDX_CA!$G$2:$G$1041))),INDEX(IDX_COMPOSITION!$F$1:$F$441,SUMPRODUCT(--($E559=IDX_COMPOSITION!$A$2:$A$441),--(NXT_COMPO!$P559=IDX_COMPOSITION!$R$2:$R$441),--(NXT_COMPO!$B$5=IDX_COMPOSITION!$L$2:$L$441),ROW(IDX_COMPOSITION!$F$2:$F$441)))),IF($D559&lt;=$B$4,INDEX(IDX_CA!$G$1:$G$1041,SUMPRODUCT(--($E559=IDX_CA!$A$2:$A$1041),--(NXT_COMPO!$P559=IDX_CA!$B$2:$B$1041),--(NXT_COMPO!$Q559=IDX_CA!$C$2:$C$1041),ROW(IDX_CA!$G$2:$G$1041))),""))</f>
        <v/>
      </c>
      <c r="K559" s="63" t="str">
        <f>IF($D559&lt;&gt;"",VLOOKUP($E559,STK_REF!$A$2:$J$1048576,7,0),"")</f>
        <v/>
      </c>
      <c r="L559" s="5" t="str">
        <f>IF($D559&lt;&gt;"",VLOOKUP($E559,STK_REF!$A$2:$J$1048576,8,0),"")</f>
        <v/>
      </c>
      <c r="M559" s="8" t="str">
        <f>IF($D559&lt;&gt;"",IF($K559=$U559,1,IF(ISNA(VLOOKUP($K559&amp;$U559,CUR_RATES!$A$2:$F$521,4,0)),"",VLOOKUP($K559&amp;$U559,CUR_RATES!$A$2:$F$521,4,0))),"")</f>
        <v/>
      </c>
      <c r="N559" s="61" t="str">
        <f t="shared" si="70"/>
        <v/>
      </c>
      <c r="O559" s="68" t="str">
        <f t="shared" si="71"/>
        <v/>
      </c>
      <c r="P559" s="24"/>
      <c r="Q559" s="2" t="str">
        <f>IF(ROW(Q559)-ROW($E$1)&lt;=$B$4,INDEX(IDX_COMPO!F:F,ROW(IDX_COMPO!#REF!)),"")</f>
        <v/>
      </c>
      <c r="R559" s="68" t="str">
        <f t="shared" si="72"/>
        <v/>
      </c>
      <c r="S559" s="61" t="str">
        <f t="shared" si="73"/>
        <v/>
      </c>
      <c r="T559" s="62" t="str">
        <f>IF(D559&lt;&gt;"",IF(SUMPRODUCT(--($E559=STK_DIV!$A$2:$A$5),--(NXT_COMPO!$Q559=STK_DIV!$E$2:$E$5),ROW(STK_DIV!$D$2:$D$5))=0,"",INDEX(STK_DIV!$D$1:$D$5,SUMPRODUCT(--($E559=STK_DIV!$A$2:$A$5),--(NXT_COMPO!$Q559=STK_DIV!$E$2:$E$5),ROW(STK_DIV!$D$2:$D$5)))),"")</f>
        <v/>
      </c>
      <c r="U559" s="54" t="str">
        <f>IF($D559&lt;&gt;"",VLOOKUP($P559,IDX_REF!$2:$1048576,4,0),"")</f>
        <v/>
      </c>
    </row>
    <row r="560" spans="4:21" x14ac:dyDescent="0.2">
      <c r="D560" s="52" t="str">
        <f t="shared" si="68"/>
        <v/>
      </c>
      <c r="E560" s="5" t="str">
        <f t="shared" si="69"/>
        <v/>
      </c>
      <c r="F560" s="5" t="str">
        <f>IF(ROW(F560)-ROW($E$1)&lt;=$B$1-$B$2,INDEX(IDX_COMPO!B:B,ROW(IDX_COMPO!#REF!)),IF(ROW(E560)-ROW($E$1)&lt;=$B$4,VLOOKUP(E560,STK_REF!$A$2:$J$1048576,2,0),""))</f>
        <v/>
      </c>
      <c r="J560" s="62" t="str">
        <f>IF($D560&lt;=$B$1-$B$2,IF(INDEX($AA$2:$AA$1048576,MATCH($D560,$AB$2:$AB$1048576,0))="MODIFY",INDEX(IDX_CA!$G$1:$G$1041,SUMPRODUCT(--($E560=IDX_CA!$A$2:$A$1041),--(NXT_COMPO!$P560=IDX_CA!$B$2:$B$1041),--(NXT_COMPO!$Q560=IDX_CA!$C$2:$C$1041),ROW(IDX_CA!$G$2:$G$1041))),INDEX(IDX_COMPOSITION!$F$1:$F$441,SUMPRODUCT(--($E560=IDX_COMPOSITION!$A$2:$A$441),--(NXT_COMPO!$P560=IDX_COMPOSITION!$R$2:$R$441),--(NXT_COMPO!$B$5=IDX_COMPOSITION!$L$2:$L$441),ROW(IDX_COMPOSITION!$F$2:$F$441)))),IF($D560&lt;=$B$4,INDEX(IDX_CA!$G$1:$G$1041,SUMPRODUCT(--($E560=IDX_CA!$A$2:$A$1041),--(NXT_COMPO!$P560=IDX_CA!$B$2:$B$1041),--(NXT_COMPO!$Q560=IDX_CA!$C$2:$C$1041),ROW(IDX_CA!$G$2:$G$1041))),""))</f>
        <v/>
      </c>
      <c r="K560" s="63" t="str">
        <f>IF($D560&lt;&gt;"",VLOOKUP($E560,STK_REF!$A$2:$J$1048576,7,0),"")</f>
        <v/>
      </c>
      <c r="L560" s="5" t="str">
        <f>IF($D560&lt;&gt;"",VLOOKUP($E560,STK_REF!$A$2:$J$1048576,8,0),"")</f>
        <v/>
      </c>
      <c r="M560" s="8" t="str">
        <f>IF($D560&lt;&gt;"",IF($K560=$U560,1,IF(ISNA(VLOOKUP($K560&amp;$U560,CUR_RATES!$A$2:$F$521,4,0)),"",VLOOKUP($K560&amp;$U560,CUR_RATES!$A$2:$F$521,4,0))),"")</f>
        <v/>
      </c>
      <c r="N560" s="61" t="str">
        <f t="shared" si="70"/>
        <v/>
      </c>
      <c r="O560" s="68" t="str">
        <f t="shared" si="71"/>
        <v/>
      </c>
      <c r="P560" s="24"/>
      <c r="Q560" s="2" t="str">
        <f>IF(ROW(Q560)-ROW($E$1)&lt;=$B$4,INDEX(IDX_COMPO!F:F,ROW(IDX_COMPO!#REF!)),"")</f>
        <v/>
      </c>
      <c r="R560" s="68" t="str">
        <f t="shared" si="72"/>
        <v/>
      </c>
      <c r="S560" s="61" t="str">
        <f t="shared" si="73"/>
        <v/>
      </c>
      <c r="T560" s="62" t="str">
        <f>IF(D560&lt;&gt;"",IF(SUMPRODUCT(--($E560=STK_DIV!$A$2:$A$5),--(NXT_COMPO!$Q560=STK_DIV!$E$2:$E$5),ROW(STK_DIV!$D$2:$D$5))=0,"",INDEX(STK_DIV!$D$1:$D$5,SUMPRODUCT(--($E560=STK_DIV!$A$2:$A$5),--(NXT_COMPO!$Q560=STK_DIV!$E$2:$E$5),ROW(STK_DIV!$D$2:$D$5)))),"")</f>
        <v/>
      </c>
      <c r="U560" s="54" t="str">
        <f>IF($D560&lt;&gt;"",VLOOKUP($P560,IDX_REF!$2:$1048576,4,0),"")</f>
        <v/>
      </c>
    </row>
    <row r="561" spans="4:21" x14ac:dyDescent="0.2">
      <c r="D561" s="52" t="str">
        <f t="shared" si="68"/>
        <v/>
      </c>
      <c r="E561" s="5" t="str">
        <f t="shared" si="69"/>
        <v/>
      </c>
      <c r="F561" s="5" t="str">
        <f>IF(ROW(F561)-ROW($E$1)&lt;=$B$1-$B$2,INDEX(IDX_COMPO!B:B,ROW(IDX_COMPO!#REF!)),IF(ROW(E561)-ROW($E$1)&lt;=$B$4,VLOOKUP(E561,STK_REF!$A$2:$J$1048576,2,0),""))</f>
        <v/>
      </c>
      <c r="J561" s="62" t="str">
        <f>IF($D561&lt;=$B$1-$B$2,IF(INDEX($AA$2:$AA$1048576,MATCH($D561,$AB$2:$AB$1048576,0))="MODIFY",INDEX(IDX_CA!$G$1:$G$1041,SUMPRODUCT(--($E561=IDX_CA!$A$2:$A$1041),--(NXT_COMPO!$P561=IDX_CA!$B$2:$B$1041),--(NXT_COMPO!$Q561=IDX_CA!$C$2:$C$1041),ROW(IDX_CA!$G$2:$G$1041))),INDEX(IDX_COMPOSITION!$F$1:$F$441,SUMPRODUCT(--($E561=IDX_COMPOSITION!$A$2:$A$441),--(NXT_COMPO!$P561=IDX_COMPOSITION!$R$2:$R$441),--(NXT_COMPO!$B$5=IDX_COMPOSITION!$L$2:$L$441),ROW(IDX_COMPOSITION!$F$2:$F$441)))),IF($D561&lt;=$B$4,INDEX(IDX_CA!$G$1:$G$1041,SUMPRODUCT(--($E561=IDX_CA!$A$2:$A$1041),--(NXT_COMPO!$P561=IDX_CA!$B$2:$B$1041),--(NXT_COMPO!$Q561=IDX_CA!$C$2:$C$1041),ROW(IDX_CA!$G$2:$G$1041))),""))</f>
        <v/>
      </c>
      <c r="K561" s="63" t="str">
        <f>IF($D561&lt;&gt;"",VLOOKUP($E561,STK_REF!$A$2:$J$1048576,7,0),"")</f>
        <v/>
      </c>
      <c r="L561" s="5" t="str">
        <f>IF($D561&lt;&gt;"",VLOOKUP($E561,STK_REF!$A$2:$J$1048576,8,0),"")</f>
        <v/>
      </c>
      <c r="M561" s="8" t="str">
        <f>IF($D561&lt;&gt;"",IF($K561=$U561,1,IF(ISNA(VLOOKUP($K561&amp;$U561,CUR_RATES!$A$2:$F$521,4,0)),"",VLOOKUP($K561&amp;$U561,CUR_RATES!$A$2:$F$521,4,0))),"")</f>
        <v/>
      </c>
      <c r="N561" s="61" t="str">
        <f t="shared" si="70"/>
        <v/>
      </c>
      <c r="O561" s="68" t="str">
        <f t="shared" si="71"/>
        <v/>
      </c>
      <c r="P561" s="24"/>
      <c r="Q561" s="2" t="str">
        <f>IF(ROW(Q561)-ROW($E$1)&lt;=$B$4,INDEX(IDX_COMPO!F:F,ROW(IDX_COMPO!#REF!)),"")</f>
        <v/>
      </c>
      <c r="R561" s="68" t="str">
        <f t="shared" si="72"/>
        <v/>
      </c>
      <c r="S561" s="61" t="str">
        <f t="shared" si="73"/>
        <v/>
      </c>
      <c r="T561" s="62" t="str">
        <f>IF(D561&lt;&gt;"",IF(SUMPRODUCT(--($E561=STK_DIV!$A$2:$A$5),--(NXT_COMPO!$Q561=STK_DIV!$E$2:$E$5),ROW(STK_DIV!$D$2:$D$5))=0,"",INDEX(STK_DIV!$D$1:$D$5,SUMPRODUCT(--($E561=STK_DIV!$A$2:$A$5),--(NXT_COMPO!$Q561=STK_DIV!$E$2:$E$5),ROW(STK_DIV!$D$2:$D$5)))),"")</f>
        <v/>
      </c>
      <c r="U561" s="54" t="str">
        <f>IF($D561&lt;&gt;"",VLOOKUP($P561,IDX_REF!$2:$1048576,4,0),"")</f>
        <v/>
      </c>
    </row>
    <row r="562" spans="4:21" x14ac:dyDescent="0.2">
      <c r="D562" s="52" t="str">
        <f t="shared" si="68"/>
        <v/>
      </c>
      <c r="E562" s="5" t="str">
        <f t="shared" si="69"/>
        <v/>
      </c>
      <c r="F562" s="5" t="str">
        <f>IF(ROW(F562)-ROW($E$1)&lt;=$B$1-$B$2,INDEX(IDX_COMPO!B:B,ROW(IDX_COMPO!#REF!)),IF(ROW(E562)-ROW($E$1)&lt;=$B$4,VLOOKUP(E562,STK_REF!$A$2:$J$1048576,2,0),""))</f>
        <v/>
      </c>
      <c r="J562" s="62" t="str">
        <f>IF($D562&lt;=$B$1-$B$2,IF(INDEX($AA$2:$AA$1048576,MATCH($D562,$AB$2:$AB$1048576,0))="MODIFY",INDEX(IDX_CA!$G$1:$G$1041,SUMPRODUCT(--($E562=IDX_CA!$A$2:$A$1041),--(NXT_COMPO!$P562=IDX_CA!$B$2:$B$1041),--(NXT_COMPO!$Q562=IDX_CA!$C$2:$C$1041),ROW(IDX_CA!$G$2:$G$1041))),INDEX(IDX_COMPOSITION!$F$1:$F$441,SUMPRODUCT(--($E562=IDX_COMPOSITION!$A$2:$A$441),--(NXT_COMPO!$P562=IDX_COMPOSITION!$R$2:$R$441),--(NXT_COMPO!$B$5=IDX_COMPOSITION!$L$2:$L$441),ROW(IDX_COMPOSITION!$F$2:$F$441)))),IF($D562&lt;=$B$4,INDEX(IDX_CA!$G$1:$G$1041,SUMPRODUCT(--($E562=IDX_CA!$A$2:$A$1041),--(NXT_COMPO!$P562=IDX_CA!$B$2:$B$1041),--(NXT_COMPO!$Q562=IDX_CA!$C$2:$C$1041),ROW(IDX_CA!$G$2:$G$1041))),""))</f>
        <v/>
      </c>
      <c r="K562" s="63" t="str">
        <f>IF($D562&lt;&gt;"",VLOOKUP($E562,STK_REF!$A$2:$J$1048576,7,0),"")</f>
        <v/>
      </c>
      <c r="L562" s="5" t="str">
        <f>IF($D562&lt;&gt;"",VLOOKUP($E562,STK_REF!$A$2:$J$1048576,8,0),"")</f>
        <v/>
      </c>
      <c r="M562" s="8" t="str">
        <f>IF($D562&lt;&gt;"",IF($K562=$U562,1,IF(ISNA(VLOOKUP($K562&amp;$U562,CUR_RATES!$A$2:$F$521,4,0)),"",VLOOKUP($K562&amp;$U562,CUR_RATES!$A$2:$F$521,4,0))),"")</f>
        <v/>
      </c>
      <c r="N562" s="61" t="str">
        <f t="shared" si="70"/>
        <v/>
      </c>
      <c r="O562" s="68" t="str">
        <f t="shared" si="71"/>
        <v/>
      </c>
      <c r="P562" s="24"/>
      <c r="Q562" s="2" t="str">
        <f>IF(ROW(Q562)-ROW($E$1)&lt;=$B$4,INDEX(IDX_COMPO!F:F,ROW(IDX_COMPO!#REF!)),"")</f>
        <v/>
      </c>
      <c r="R562" s="68" t="str">
        <f t="shared" si="72"/>
        <v/>
      </c>
      <c r="S562" s="61" t="str">
        <f t="shared" si="73"/>
        <v/>
      </c>
      <c r="T562" s="62" t="str">
        <f>IF(D562&lt;&gt;"",IF(SUMPRODUCT(--($E562=STK_DIV!$A$2:$A$5),--(NXT_COMPO!$Q562=STK_DIV!$E$2:$E$5),ROW(STK_DIV!$D$2:$D$5))=0,"",INDEX(STK_DIV!$D$1:$D$5,SUMPRODUCT(--($E562=STK_DIV!$A$2:$A$5),--(NXT_COMPO!$Q562=STK_DIV!$E$2:$E$5),ROW(STK_DIV!$D$2:$D$5)))),"")</f>
        <v/>
      </c>
      <c r="U562" s="54" t="str">
        <f>IF($D562&lt;&gt;"",VLOOKUP($P562,IDX_REF!$2:$1048576,4,0),"")</f>
        <v/>
      </c>
    </row>
    <row r="563" spans="4:21" x14ac:dyDescent="0.2">
      <c r="D563" s="52" t="str">
        <f t="shared" si="68"/>
        <v/>
      </c>
      <c r="E563" s="5" t="str">
        <f t="shared" si="69"/>
        <v/>
      </c>
      <c r="F563" s="5" t="str">
        <f>IF(ROW(F563)-ROW($E$1)&lt;=$B$1-$B$2,INDEX(IDX_COMPO!B:B,ROW(IDX_COMPO!#REF!)),IF(ROW(E563)-ROW($E$1)&lt;=$B$4,VLOOKUP(E563,STK_REF!$A$2:$J$1048576,2,0),""))</f>
        <v/>
      </c>
      <c r="J563" s="62" t="str">
        <f>IF($D563&lt;=$B$1-$B$2,IF(INDEX($AA$2:$AA$1048576,MATCH($D563,$AB$2:$AB$1048576,0))="MODIFY",INDEX(IDX_CA!$G$1:$G$1041,SUMPRODUCT(--($E563=IDX_CA!$A$2:$A$1041),--(NXT_COMPO!$P563=IDX_CA!$B$2:$B$1041),--(NXT_COMPO!$Q563=IDX_CA!$C$2:$C$1041),ROW(IDX_CA!$G$2:$G$1041))),INDEX(IDX_COMPOSITION!$F$1:$F$441,SUMPRODUCT(--($E563=IDX_COMPOSITION!$A$2:$A$441),--(NXT_COMPO!$P563=IDX_COMPOSITION!$R$2:$R$441),--(NXT_COMPO!$B$5=IDX_COMPOSITION!$L$2:$L$441),ROW(IDX_COMPOSITION!$F$2:$F$441)))),IF($D563&lt;=$B$4,INDEX(IDX_CA!$G$1:$G$1041,SUMPRODUCT(--($E563=IDX_CA!$A$2:$A$1041),--(NXT_COMPO!$P563=IDX_CA!$B$2:$B$1041),--(NXT_COMPO!$Q563=IDX_CA!$C$2:$C$1041),ROW(IDX_CA!$G$2:$G$1041))),""))</f>
        <v/>
      </c>
      <c r="K563" s="63" t="str">
        <f>IF($D563&lt;&gt;"",VLOOKUP($E563,STK_REF!$A$2:$J$1048576,7,0),"")</f>
        <v/>
      </c>
      <c r="L563" s="5" t="str">
        <f>IF($D563&lt;&gt;"",VLOOKUP($E563,STK_REF!$A$2:$J$1048576,8,0),"")</f>
        <v/>
      </c>
      <c r="M563" s="8" t="str">
        <f>IF($D563&lt;&gt;"",IF($K563=$U563,1,IF(ISNA(VLOOKUP($K563&amp;$U563,CUR_RATES!$A$2:$F$521,4,0)),"",VLOOKUP($K563&amp;$U563,CUR_RATES!$A$2:$F$521,4,0))),"")</f>
        <v/>
      </c>
      <c r="N563" s="61" t="str">
        <f t="shared" si="70"/>
        <v/>
      </c>
      <c r="O563" s="68" t="str">
        <f t="shared" si="71"/>
        <v/>
      </c>
      <c r="P563" s="24"/>
      <c r="Q563" s="2" t="str">
        <f>IF(ROW(Q563)-ROW($E$1)&lt;=$B$4,INDEX(IDX_COMPO!F:F,ROW(IDX_COMPO!#REF!)),"")</f>
        <v/>
      </c>
      <c r="R563" s="68" t="str">
        <f t="shared" si="72"/>
        <v/>
      </c>
      <c r="S563" s="61" t="str">
        <f t="shared" si="73"/>
        <v/>
      </c>
      <c r="T563" s="62" t="str">
        <f>IF(D563&lt;&gt;"",IF(SUMPRODUCT(--($E563=STK_DIV!$A$2:$A$5),--(NXT_COMPO!$Q563=STK_DIV!$E$2:$E$5),ROW(STK_DIV!$D$2:$D$5))=0,"",INDEX(STK_DIV!$D$1:$D$5,SUMPRODUCT(--($E563=STK_DIV!$A$2:$A$5),--(NXT_COMPO!$Q563=STK_DIV!$E$2:$E$5),ROW(STK_DIV!$D$2:$D$5)))),"")</f>
        <v/>
      </c>
      <c r="U563" s="54" t="str">
        <f>IF($D563&lt;&gt;"",VLOOKUP($P563,IDX_REF!$2:$1048576,4,0),"")</f>
        <v/>
      </c>
    </row>
    <row r="564" spans="4:21" x14ac:dyDescent="0.2">
      <c r="D564" s="52" t="str">
        <f t="shared" si="68"/>
        <v/>
      </c>
      <c r="E564" s="5" t="str">
        <f t="shared" si="69"/>
        <v/>
      </c>
      <c r="F564" s="5" t="str">
        <f>IF(ROW(F564)-ROW($E$1)&lt;=$B$1-$B$2,INDEX(IDX_COMPO!B:B,ROW(IDX_COMPO!#REF!)),IF(ROW(E564)-ROW($E$1)&lt;=$B$4,VLOOKUP(E564,STK_REF!$A$2:$J$1048576,2,0),""))</f>
        <v/>
      </c>
      <c r="J564" s="62" t="str">
        <f>IF($D564&lt;=$B$1-$B$2,IF(INDEX($AA$2:$AA$1048576,MATCH($D564,$AB$2:$AB$1048576,0))="MODIFY",INDEX(IDX_CA!$G$1:$G$1041,SUMPRODUCT(--($E564=IDX_CA!$A$2:$A$1041),--(NXT_COMPO!$P564=IDX_CA!$B$2:$B$1041),--(NXT_COMPO!$Q564=IDX_CA!$C$2:$C$1041),ROW(IDX_CA!$G$2:$G$1041))),INDEX(IDX_COMPOSITION!$F$1:$F$441,SUMPRODUCT(--($E564=IDX_COMPOSITION!$A$2:$A$441),--(NXT_COMPO!$P564=IDX_COMPOSITION!$R$2:$R$441),--(NXT_COMPO!$B$5=IDX_COMPOSITION!$L$2:$L$441),ROW(IDX_COMPOSITION!$F$2:$F$441)))),IF($D564&lt;=$B$4,INDEX(IDX_CA!$G$1:$G$1041,SUMPRODUCT(--($E564=IDX_CA!$A$2:$A$1041),--(NXT_COMPO!$P564=IDX_CA!$B$2:$B$1041),--(NXT_COMPO!$Q564=IDX_CA!$C$2:$C$1041),ROW(IDX_CA!$G$2:$G$1041))),""))</f>
        <v/>
      </c>
      <c r="K564" s="63" t="str">
        <f>IF($D564&lt;&gt;"",VLOOKUP($E564,STK_REF!$A$2:$J$1048576,7,0),"")</f>
        <v/>
      </c>
      <c r="L564" s="5" t="str">
        <f>IF($D564&lt;&gt;"",VLOOKUP($E564,STK_REF!$A$2:$J$1048576,8,0),"")</f>
        <v/>
      </c>
      <c r="M564" s="8" t="str">
        <f>IF($D564&lt;&gt;"",IF($K564=$U564,1,IF(ISNA(VLOOKUP($K564&amp;$U564,CUR_RATES!$A$2:$F$521,4,0)),"",VLOOKUP($K564&amp;$U564,CUR_RATES!$A$2:$F$521,4,0))),"")</f>
        <v/>
      </c>
      <c r="N564" s="61" t="str">
        <f t="shared" si="70"/>
        <v/>
      </c>
      <c r="O564" s="68" t="str">
        <f t="shared" si="71"/>
        <v/>
      </c>
      <c r="P564" s="24"/>
      <c r="Q564" s="2" t="str">
        <f>IF(ROW(Q564)-ROW($E$1)&lt;=$B$4,INDEX(IDX_COMPO!F:F,ROW(IDX_COMPO!#REF!)),"")</f>
        <v/>
      </c>
      <c r="R564" s="68" t="str">
        <f t="shared" si="72"/>
        <v/>
      </c>
      <c r="S564" s="61" t="str">
        <f t="shared" si="73"/>
        <v/>
      </c>
      <c r="T564" s="62" t="str">
        <f>IF(D564&lt;&gt;"",IF(SUMPRODUCT(--($E564=STK_DIV!$A$2:$A$5),--(NXT_COMPO!$Q564=STK_DIV!$E$2:$E$5),ROW(STK_DIV!$D$2:$D$5))=0,"",INDEX(STK_DIV!$D$1:$D$5,SUMPRODUCT(--($E564=STK_DIV!$A$2:$A$5),--(NXT_COMPO!$Q564=STK_DIV!$E$2:$E$5),ROW(STK_DIV!$D$2:$D$5)))),"")</f>
        <v/>
      </c>
      <c r="U564" s="54" t="str">
        <f>IF($D564&lt;&gt;"",VLOOKUP($P564,IDX_REF!$2:$1048576,4,0),"")</f>
        <v/>
      </c>
    </row>
    <row r="565" spans="4:21" x14ac:dyDescent="0.2">
      <c r="D565" s="52" t="str">
        <f t="shared" si="68"/>
        <v/>
      </c>
      <c r="E565" s="5" t="str">
        <f t="shared" si="69"/>
        <v/>
      </c>
      <c r="F565" s="5" t="str">
        <f>IF(ROW(F565)-ROW($E$1)&lt;=$B$1-$B$2,INDEX(IDX_COMPO!B:B,ROW(IDX_COMPO!#REF!)),IF(ROW(E565)-ROW($E$1)&lt;=$B$4,VLOOKUP(E565,STK_REF!$A$2:$J$1048576,2,0),""))</f>
        <v/>
      </c>
      <c r="J565" s="62" t="str">
        <f>IF($D565&lt;=$B$1-$B$2,IF(INDEX($AA$2:$AA$1048576,MATCH($D565,$AB$2:$AB$1048576,0))="MODIFY",INDEX(IDX_CA!$G$1:$G$1041,SUMPRODUCT(--($E565=IDX_CA!$A$2:$A$1041),--(NXT_COMPO!$P565=IDX_CA!$B$2:$B$1041),--(NXT_COMPO!$Q565=IDX_CA!$C$2:$C$1041),ROW(IDX_CA!$G$2:$G$1041))),INDEX(IDX_COMPOSITION!$F$1:$F$441,SUMPRODUCT(--($E565=IDX_COMPOSITION!$A$2:$A$441),--(NXT_COMPO!$P565=IDX_COMPOSITION!$R$2:$R$441),--(NXT_COMPO!$B$5=IDX_COMPOSITION!$L$2:$L$441),ROW(IDX_COMPOSITION!$F$2:$F$441)))),IF($D565&lt;=$B$4,INDEX(IDX_CA!$G$1:$G$1041,SUMPRODUCT(--($E565=IDX_CA!$A$2:$A$1041),--(NXT_COMPO!$P565=IDX_CA!$B$2:$B$1041),--(NXT_COMPO!$Q565=IDX_CA!$C$2:$C$1041),ROW(IDX_CA!$G$2:$G$1041))),""))</f>
        <v/>
      </c>
      <c r="K565" s="63" t="str">
        <f>IF($D565&lt;&gt;"",VLOOKUP($E565,STK_REF!$A$2:$J$1048576,7,0),"")</f>
        <v/>
      </c>
      <c r="L565" s="5" t="str">
        <f>IF($D565&lt;&gt;"",VLOOKUP($E565,STK_REF!$A$2:$J$1048576,8,0),"")</f>
        <v/>
      </c>
      <c r="M565" s="8" t="str">
        <f>IF($D565&lt;&gt;"",IF($K565=$U565,1,IF(ISNA(VLOOKUP($K565&amp;$U565,CUR_RATES!$A$2:$F$521,4,0)),"",VLOOKUP($K565&amp;$U565,CUR_RATES!$A$2:$F$521,4,0))),"")</f>
        <v/>
      </c>
      <c r="N565" s="61" t="str">
        <f t="shared" si="70"/>
        <v/>
      </c>
      <c r="O565" s="68" t="str">
        <f t="shared" si="71"/>
        <v/>
      </c>
      <c r="P565" s="24"/>
      <c r="Q565" s="2" t="str">
        <f>IF(ROW(Q565)-ROW($E$1)&lt;=$B$4,INDEX(IDX_COMPO!F:F,ROW(IDX_COMPO!#REF!)),"")</f>
        <v/>
      </c>
      <c r="R565" s="68" t="str">
        <f t="shared" si="72"/>
        <v/>
      </c>
      <c r="S565" s="61" t="str">
        <f t="shared" si="73"/>
        <v/>
      </c>
      <c r="T565" s="62" t="str">
        <f>IF(D565&lt;&gt;"",IF(SUMPRODUCT(--($E565=STK_DIV!$A$2:$A$5),--(NXT_COMPO!$Q565=STK_DIV!$E$2:$E$5),ROW(STK_DIV!$D$2:$D$5))=0,"",INDEX(STK_DIV!$D$1:$D$5,SUMPRODUCT(--($E565=STK_DIV!$A$2:$A$5),--(NXT_COMPO!$Q565=STK_DIV!$E$2:$E$5),ROW(STK_DIV!$D$2:$D$5)))),"")</f>
        <v/>
      </c>
      <c r="U565" s="54" t="str">
        <f>IF($D565&lt;&gt;"",VLOOKUP($P565,IDX_REF!$2:$1048576,4,0),"")</f>
        <v/>
      </c>
    </row>
    <row r="566" spans="4:21" x14ac:dyDescent="0.2">
      <c r="D566" s="52" t="str">
        <f t="shared" si="68"/>
        <v/>
      </c>
      <c r="E566" s="5" t="str">
        <f t="shared" si="69"/>
        <v/>
      </c>
      <c r="F566" s="5" t="str">
        <f>IF(ROW(F566)-ROW($E$1)&lt;=$B$1-$B$2,INDEX(IDX_COMPO!B:B,ROW(IDX_COMPO!#REF!)),IF(ROW(E566)-ROW($E$1)&lt;=$B$4,VLOOKUP(E566,STK_REF!$A$2:$J$1048576,2,0),""))</f>
        <v/>
      </c>
      <c r="J566" s="62" t="str">
        <f>IF($D566&lt;=$B$1-$B$2,IF(INDEX($AA$2:$AA$1048576,MATCH($D566,$AB$2:$AB$1048576,0))="MODIFY",INDEX(IDX_CA!$G$1:$G$1041,SUMPRODUCT(--($E566=IDX_CA!$A$2:$A$1041),--(NXT_COMPO!$P566=IDX_CA!$B$2:$B$1041),--(NXT_COMPO!$Q566=IDX_CA!$C$2:$C$1041),ROW(IDX_CA!$G$2:$G$1041))),INDEX(IDX_COMPOSITION!$F$1:$F$441,SUMPRODUCT(--($E566=IDX_COMPOSITION!$A$2:$A$441),--(NXT_COMPO!$P566=IDX_COMPOSITION!$R$2:$R$441),--(NXT_COMPO!$B$5=IDX_COMPOSITION!$L$2:$L$441),ROW(IDX_COMPOSITION!$F$2:$F$441)))),IF($D566&lt;=$B$4,INDEX(IDX_CA!$G$1:$G$1041,SUMPRODUCT(--($E566=IDX_CA!$A$2:$A$1041),--(NXT_COMPO!$P566=IDX_CA!$B$2:$B$1041),--(NXT_COMPO!$Q566=IDX_CA!$C$2:$C$1041),ROW(IDX_CA!$G$2:$G$1041))),""))</f>
        <v/>
      </c>
      <c r="K566" s="63" t="str">
        <f>IF($D566&lt;&gt;"",VLOOKUP($E566,STK_REF!$A$2:$J$1048576,7,0),"")</f>
        <v/>
      </c>
      <c r="L566" s="5" t="str">
        <f>IF($D566&lt;&gt;"",VLOOKUP($E566,STK_REF!$A$2:$J$1048576,8,0),"")</f>
        <v/>
      </c>
      <c r="M566" s="8" t="str">
        <f>IF($D566&lt;&gt;"",IF($K566=$U566,1,IF(ISNA(VLOOKUP($K566&amp;$U566,CUR_RATES!$A$2:$F$521,4,0)),"",VLOOKUP($K566&amp;$U566,CUR_RATES!$A$2:$F$521,4,0))),"")</f>
        <v/>
      </c>
      <c r="N566" s="61" t="str">
        <f t="shared" si="70"/>
        <v/>
      </c>
      <c r="O566" s="68" t="str">
        <f t="shared" si="71"/>
        <v/>
      </c>
      <c r="P566" s="24"/>
      <c r="Q566" s="2" t="str">
        <f>IF(ROW(Q566)-ROW($E$1)&lt;=$B$4,INDEX(IDX_COMPO!F:F,ROW(IDX_COMPO!#REF!)),"")</f>
        <v/>
      </c>
      <c r="R566" s="68" t="str">
        <f t="shared" si="72"/>
        <v/>
      </c>
      <c r="S566" s="61" t="str">
        <f t="shared" si="73"/>
        <v/>
      </c>
      <c r="T566" s="62" t="str">
        <f>IF(D566&lt;&gt;"",IF(SUMPRODUCT(--($E566=STK_DIV!$A$2:$A$5),--(NXT_COMPO!$Q566=STK_DIV!$E$2:$E$5),ROW(STK_DIV!$D$2:$D$5))=0,"",INDEX(STK_DIV!$D$1:$D$5,SUMPRODUCT(--($E566=STK_DIV!$A$2:$A$5),--(NXT_COMPO!$Q566=STK_DIV!$E$2:$E$5),ROW(STK_DIV!$D$2:$D$5)))),"")</f>
        <v/>
      </c>
      <c r="U566" s="54" t="str">
        <f>IF($D566&lt;&gt;"",VLOOKUP($P566,IDX_REF!$2:$1048576,4,0),"")</f>
        <v/>
      </c>
    </row>
    <row r="567" spans="4:21" x14ac:dyDescent="0.2">
      <c r="D567" s="52" t="str">
        <f t="shared" si="68"/>
        <v/>
      </c>
      <c r="E567" s="5" t="str">
        <f t="shared" si="69"/>
        <v/>
      </c>
      <c r="F567" s="5" t="str">
        <f>IF(ROW(F567)-ROW($E$1)&lt;=$B$1-$B$2,INDEX(IDX_COMPO!B:B,ROW(IDX_COMPO!#REF!)),IF(ROW(E567)-ROW($E$1)&lt;=$B$4,VLOOKUP(E567,STK_REF!$A$2:$J$1048576,2,0),""))</f>
        <v/>
      </c>
      <c r="J567" s="62" t="str">
        <f>IF($D567&lt;=$B$1-$B$2,IF(INDEX($AA$2:$AA$1048576,MATCH($D567,$AB$2:$AB$1048576,0))="MODIFY",INDEX(IDX_CA!$G$1:$G$1041,SUMPRODUCT(--($E567=IDX_CA!$A$2:$A$1041),--(NXT_COMPO!$P567=IDX_CA!$B$2:$B$1041),--(NXT_COMPO!$Q567=IDX_CA!$C$2:$C$1041),ROW(IDX_CA!$G$2:$G$1041))),INDEX(IDX_COMPOSITION!$F$1:$F$441,SUMPRODUCT(--($E567=IDX_COMPOSITION!$A$2:$A$441),--(NXT_COMPO!$P567=IDX_COMPOSITION!$R$2:$R$441),--(NXT_COMPO!$B$5=IDX_COMPOSITION!$L$2:$L$441),ROW(IDX_COMPOSITION!$F$2:$F$441)))),IF($D567&lt;=$B$4,INDEX(IDX_CA!$G$1:$G$1041,SUMPRODUCT(--($E567=IDX_CA!$A$2:$A$1041),--(NXT_COMPO!$P567=IDX_CA!$B$2:$B$1041),--(NXT_COMPO!$Q567=IDX_CA!$C$2:$C$1041),ROW(IDX_CA!$G$2:$G$1041))),""))</f>
        <v/>
      </c>
      <c r="K567" s="63" t="str">
        <f>IF($D567&lt;&gt;"",VLOOKUP($E567,STK_REF!$A$2:$J$1048576,7,0),"")</f>
        <v/>
      </c>
      <c r="L567" s="5" t="str">
        <f>IF($D567&lt;&gt;"",VLOOKUP($E567,STK_REF!$A$2:$J$1048576,8,0),"")</f>
        <v/>
      </c>
      <c r="M567" s="8" t="str">
        <f>IF($D567&lt;&gt;"",IF($K567=$U567,1,IF(ISNA(VLOOKUP($K567&amp;$U567,CUR_RATES!$A$2:$F$521,4,0)),"",VLOOKUP($K567&amp;$U567,CUR_RATES!$A$2:$F$521,4,0))),"")</f>
        <v/>
      </c>
      <c r="N567" s="61" t="str">
        <f t="shared" si="70"/>
        <v/>
      </c>
      <c r="O567" s="68" t="str">
        <f t="shared" si="71"/>
        <v/>
      </c>
      <c r="P567" s="24"/>
      <c r="Q567" s="2" t="str">
        <f>IF(ROW(Q567)-ROW($E$1)&lt;=$B$4,INDEX(IDX_COMPO!F:F,ROW(IDX_COMPO!#REF!)),"")</f>
        <v/>
      </c>
      <c r="R567" s="68" t="str">
        <f t="shared" si="72"/>
        <v/>
      </c>
      <c r="S567" s="61" t="str">
        <f t="shared" si="73"/>
        <v/>
      </c>
      <c r="T567" s="62" t="str">
        <f>IF(D567&lt;&gt;"",IF(SUMPRODUCT(--($E567=STK_DIV!$A$2:$A$5),--(NXT_COMPO!$Q567=STK_DIV!$E$2:$E$5),ROW(STK_DIV!$D$2:$D$5))=0,"",INDEX(STK_DIV!$D$1:$D$5,SUMPRODUCT(--($E567=STK_DIV!$A$2:$A$5),--(NXT_COMPO!$Q567=STK_DIV!$E$2:$E$5),ROW(STK_DIV!$D$2:$D$5)))),"")</f>
        <v/>
      </c>
      <c r="U567" s="54" t="str">
        <f>IF($D567&lt;&gt;"",VLOOKUP($P567,IDX_REF!$2:$1048576,4,0),"")</f>
        <v/>
      </c>
    </row>
    <row r="568" spans="4:21" x14ac:dyDescent="0.2">
      <c r="D568" s="52" t="str">
        <f t="shared" si="68"/>
        <v/>
      </c>
      <c r="E568" s="5" t="str">
        <f t="shared" si="69"/>
        <v/>
      </c>
      <c r="F568" s="5" t="str">
        <f>IF(ROW(F568)-ROW($E$1)&lt;=$B$1-$B$2,INDEX(IDX_COMPO!B:B,ROW(IDX_COMPO!#REF!)),IF(ROW(E568)-ROW($E$1)&lt;=$B$4,VLOOKUP(E568,STK_REF!$A$2:$J$1048576,2,0),""))</f>
        <v/>
      </c>
      <c r="J568" s="62" t="str">
        <f>IF($D568&lt;=$B$1-$B$2,IF(INDEX($AA$2:$AA$1048576,MATCH($D568,$AB$2:$AB$1048576,0))="MODIFY",INDEX(IDX_CA!$G$1:$G$1041,SUMPRODUCT(--($E568=IDX_CA!$A$2:$A$1041),--(NXT_COMPO!$P568=IDX_CA!$B$2:$B$1041),--(NXT_COMPO!$Q568=IDX_CA!$C$2:$C$1041),ROW(IDX_CA!$G$2:$G$1041))),INDEX(IDX_COMPOSITION!$F$1:$F$441,SUMPRODUCT(--($E568=IDX_COMPOSITION!$A$2:$A$441),--(NXT_COMPO!$P568=IDX_COMPOSITION!$R$2:$R$441),--(NXT_COMPO!$B$5=IDX_COMPOSITION!$L$2:$L$441),ROW(IDX_COMPOSITION!$F$2:$F$441)))),IF($D568&lt;=$B$4,INDEX(IDX_CA!$G$1:$G$1041,SUMPRODUCT(--($E568=IDX_CA!$A$2:$A$1041),--(NXT_COMPO!$P568=IDX_CA!$B$2:$B$1041),--(NXT_COMPO!$Q568=IDX_CA!$C$2:$C$1041),ROW(IDX_CA!$G$2:$G$1041))),""))</f>
        <v/>
      </c>
      <c r="K568" s="63" t="str">
        <f>IF($D568&lt;&gt;"",VLOOKUP($E568,STK_REF!$A$2:$J$1048576,7,0),"")</f>
        <v/>
      </c>
      <c r="L568" s="5" t="str">
        <f>IF($D568&lt;&gt;"",VLOOKUP($E568,STK_REF!$A$2:$J$1048576,8,0),"")</f>
        <v/>
      </c>
      <c r="M568" s="8" t="str">
        <f>IF($D568&lt;&gt;"",IF($K568=$U568,1,IF(ISNA(VLOOKUP($K568&amp;$U568,CUR_RATES!$A$2:$F$521,4,0)),"",VLOOKUP($K568&amp;$U568,CUR_RATES!$A$2:$F$521,4,0))),"")</f>
        <v/>
      </c>
      <c r="N568" s="61" t="str">
        <f t="shared" si="70"/>
        <v/>
      </c>
      <c r="O568" s="68" t="str">
        <f t="shared" si="71"/>
        <v/>
      </c>
      <c r="P568" s="24"/>
      <c r="Q568" s="2" t="str">
        <f>IF(ROW(Q568)-ROW($E$1)&lt;=$B$4,INDEX(IDX_COMPO!F:F,ROW(IDX_COMPO!#REF!)),"")</f>
        <v/>
      </c>
      <c r="R568" s="68" t="str">
        <f t="shared" si="72"/>
        <v/>
      </c>
      <c r="S568" s="61" t="str">
        <f t="shared" si="73"/>
        <v/>
      </c>
      <c r="T568" s="62" t="str">
        <f>IF(D568&lt;&gt;"",IF(SUMPRODUCT(--($E568=STK_DIV!$A$2:$A$5),--(NXT_COMPO!$Q568=STK_DIV!$E$2:$E$5),ROW(STK_DIV!$D$2:$D$5))=0,"",INDEX(STK_DIV!$D$1:$D$5,SUMPRODUCT(--($E568=STK_DIV!$A$2:$A$5),--(NXT_COMPO!$Q568=STK_DIV!$E$2:$E$5),ROW(STK_DIV!$D$2:$D$5)))),"")</f>
        <v/>
      </c>
      <c r="U568" s="54" t="str">
        <f>IF($D568&lt;&gt;"",VLOOKUP($P568,IDX_REF!$2:$1048576,4,0),"")</f>
        <v/>
      </c>
    </row>
    <row r="569" spans="4:21" x14ac:dyDescent="0.2">
      <c r="D569" s="52" t="str">
        <f t="shared" si="68"/>
        <v/>
      </c>
      <c r="E569" s="5" t="str">
        <f t="shared" si="69"/>
        <v/>
      </c>
      <c r="F569" s="5" t="str">
        <f>IF(ROW(F569)-ROW($E$1)&lt;=$B$1-$B$2,INDEX(IDX_COMPO!B:B,ROW(IDX_COMPO!#REF!)),IF(ROW(E569)-ROW($E$1)&lt;=$B$4,VLOOKUP(E569,STK_REF!$A$2:$J$1048576,2,0),""))</f>
        <v/>
      </c>
      <c r="J569" s="62" t="str">
        <f>IF($D569&lt;=$B$1-$B$2,IF(INDEX($AA$2:$AA$1048576,MATCH($D569,$AB$2:$AB$1048576,0))="MODIFY",INDEX(IDX_CA!$G$1:$G$1041,SUMPRODUCT(--($E569=IDX_CA!$A$2:$A$1041),--(NXT_COMPO!$P569=IDX_CA!$B$2:$B$1041),--(NXT_COMPO!$Q569=IDX_CA!$C$2:$C$1041),ROW(IDX_CA!$G$2:$G$1041))),INDEX(IDX_COMPOSITION!$F$1:$F$441,SUMPRODUCT(--($E569=IDX_COMPOSITION!$A$2:$A$441),--(NXT_COMPO!$P569=IDX_COMPOSITION!$R$2:$R$441),--(NXT_COMPO!$B$5=IDX_COMPOSITION!$L$2:$L$441),ROW(IDX_COMPOSITION!$F$2:$F$441)))),IF($D569&lt;=$B$4,INDEX(IDX_CA!$G$1:$G$1041,SUMPRODUCT(--($E569=IDX_CA!$A$2:$A$1041),--(NXT_COMPO!$P569=IDX_CA!$B$2:$B$1041),--(NXT_COMPO!$Q569=IDX_CA!$C$2:$C$1041),ROW(IDX_CA!$G$2:$G$1041))),""))</f>
        <v/>
      </c>
      <c r="K569" s="63" t="str">
        <f>IF($D569&lt;&gt;"",VLOOKUP($E569,STK_REF!$A$2:$J$1048576,7,0),"")</f>
        <v/>
      </c>
      <c r="L569" s="5" t="str">
        <f>IF($D569&lt;&gt;"",VLOOKUP($E569,STK_REF!$A$2:$J$1048576,8,0),"")</f>
        <v/>
      </c>
      <c r="M569" s="8" t="str">
        <f>IF($D569&lt;&gt;"",IF($K569=$U569,1,IF(ISNA(VLOOKUP($K569&amp;$U569,CUR_RATES!$A$2:$F$521,4,0)),"",VLOOKUP($K569&amp;$U569,CUR_RATES!$A$2:$F$521,4,0))),"")</f>
        <v/>
      </c>
      <c r="N569" s="61" t="str">
        <f t="shared" si="70"/>
        <v/>
      </c>
      <c r="O569" s="68" t="str">
        <f t="shared" si="71"/>
        <v/>
      </c>
      <c r="P569" s="24"/>
      <c r="Q569" s="2" t="str">
        <f>IF(ROW(Q569)-ROW($E$1)&lt;=$B$4,INDEX(IDX_COMPO!F:F,ROW(IDX_COMPO!#REF!)),"")</f>
        <v/>
      </c>
      <c r="R569" s="68" t="str">
        <f t="shared" si="72"/>
        <v/>
      </c>
      <c r="S569" s="61" t="str">
        <f t="shared" si="73"/>
        <v/>
      </c>
      <c r="T569" s="62" t="str">
        <f>IF(D569&lt;&gt;"",IF(SUMPRODUCT(--($E569=STK_DIV!$A$2:$A$5),--(NXT_COMPO!$Q569=STK_DIV!$E$2:$E$5),ROW(STK_DIV!$D$2:$D$5))=0,"",INDEX(STK_DIV!$D$1:$D$5,SUMPRODUCT(--($E569=STK_DIV!$A$2:$A$5),--(NXT_COMPO!$Q569=STK_DIV!$E$2:$E$5),ROW(STK_DIV!$D$2:$D$5)))),"")</f>
        <v/>
      </c>
      <c r="U569" s="54" t="str">
        <f>IF($D569&lt;&gt;"",VLOOKUP($P569,IDX_REF!$2:$1048576,4,0),"")</f>
        <v/>
      </c>
    </row>
    <row r="570" spans="4:21" x14ac:dyDescent="0.2">
      <c r="D570" s="52" t="str">
        <f t="shared" si="68"/>
        <v/>
      </c>
      <c r="E570" s="5" t="str">
        <f t="shared" si="69"/>
        <v/>
      </c>
      <c r="F570" s="5" t="str">
        <f>IF(ROW(F570)-ROW($E$1)&lt;=$B$1-$B$2,INDEX(IDX_COMPO!B:B,ROW(IDX_COMPO!#REF!)),IF(ROW(E570)-ROW($E$1)&lt;=$B$4,VLOOKUP(E570,STK_REF!$A$2:$J$1048576,2,0),""))</f>
        <v/>
      </c>
      <c r="J570" s="62" t="str">
        <f>IF($D570&lt;=$B$1-$B$2,IF(INDEX($AA$2:$AA$1048576,MATCH($D570,$AB$2:$AB$1048576,0))="MODIFY",INDEX(IDX_CA!$G$1:$G$1041,SUMPRODUCT(--($E570=IDX_CA!$A$2:$A$1041),--(NXT_COMPO!$P570=IDX_CA!$B$2:$B$1041),--(NXT_COMPO!$Q570=IDX_CA!$C$2:$C$1041),ROW(IDX_CA!$G$2:$G$1041))),INDEX(IDX_COMPOSITION!$F$1:$F$441,SUMPRODUCT(--($E570=IDX_COMPOSITION!$A$2:$A$441),--(NXT_COMPO!$P570=IDX_COMPOSITION!$R$2:$R$441),--(NXT_COMPO!$B$5=IDX_COMPOSITION!$L$2:$L$441),ROW(IDX_COMPOSITION!$F$2:$F$441)))),IF($D570&lt;=$B$4,INDEX(IDX_CA!$G$1:$G$1041,SUMPRODUCT(--($E570=IDX_CA!$A$2:$A$1041),--(NXT_COMPO!$P570=IDX_CA!$B$2:$B$1041),--(NXT_COMPO!$Q570=IDX_CA!$C$2:$C$1041),ROW(IDX_CA!$G$2:$G$1041))),""))</f>
        <v/>
      </c>
      <c r="K570" s="63" t="str">
        <f>IF($D570&lt;&gt;"",VLOOKUP($E570,STK_REF!$A$2:$J$1048576,7,0),"")</f>
        <v/>
      </c>
      <c r="L570" s="5" t="str">
        <f>IF($D570&lt;&gt;"",VLOOKUP($E570,STK_REF!$A$2:$J$1048576,8,0),"")</f>
        <v/>
      </c>
      <c r="M570" s="8" t="str">
        <f>IF($D570&lt;&gt;"",IF($K570=$U570,1,IF(ISNA(VLOOKUP($K570&amp;$U570,CUR_RATES!$A$2:$F$521,4,0)),"",VLOOKUP($K570&amp;$U570,CUR_RATES!$A$2:$F$521,4,0))),"")</f>
        <v/>
      </c>
      <c r="N570" s="61" t="str">
        <f t="shared" si="70"/>
        <v/>
      </c>
      <c r="O570" s="68" t="str">
        <f t="shared" si="71"/>
        <v/>
      </c>
      <c r="P570" s="24"/>
      <c r="Q570" s="2" t="str">
        <f>IF(ROW(Q570)-ROW($E$1)&lt;=$B$4,INDEX(IDX_COMPO!F:F,ROW(IDX_COMPO!#REF!)),"")</f>
        <v/>
      </c>
      <c r="R570" s="68" t="str">
        <f t="shared" si="72"/>
        <v/>
      </c>
      <c r="S570" s="61" t="str">
        <f t="shared" si="73"/>
        <v/>
      </c>
      <c r="T570" s="62" t="str">
        <f>IF(D570&lt;&gt;"",IF(SUMPRODUCT(--($E570=STK_DIV!$A$2:$A$5),--(NXT_COMPO!$Q570=STK_DIV!$E$2:$E$5),ROW(STK_DIV!$D$2:$D$5))=0,"",INDEX(STK_DIV!$D$1:$D$5,SUMPRODUCT(--($E570=STK_DIV!$A$2:$A$5),--(NXT_COMPO!$Q570=STK_DIV!$E$2:$E$5),ROW(STK_DIV!$D$2:$D$5)))),"")</f>
        <v/>
      </c>
      <c r="U570" s="54" t="str">
        <f>IF($D570&lt;&gt;"",VLOOKUP($P570,IDX_REF!$2:$1048576,4,0),"")</f>
        <v/>
      </c>
    </row>
    <row r="571" spans="4:21" x14ac:dyDescent="0.2">
      <c r="D571" s="52" t="str">
        <f t="shared" si="68"/>
        <v/>
      </c>
      <c r="E571" s="5" t="str">
        <f t="shared" si="69"/>
        <v/>
      </c>
      <c r="F571" s="5" t="str">
        <f>IF(ROW(F571)-ROW($E$1)&lt;=$B$1-$B$2,INDEX(IDX_COMPO!B:B,ROW(IDX_COMPO!#REF!)),IF(ROW(E571)-ROW($E$1)&lt;=$B$4,VLOOKUP(E571,STK_REF!$A$2:$J$1048576,2,0),""))</f>
        <v/>
      </c>
      <c r="J571" s="62" t="str">
        <f>IF($D571&lt;=$B$1-$B$2,IF(INDEX($AA$2:$AA$1048576,MATCH($D571,$AB$2:$AB$1048576,0))="MODIFY",INDEX(IDX_CA!$G$1:$G$1041,SUMPRODUCT(--($E571=IDX_CA!$A$2:$A$1041),--(NXT_COMPO!$P571=IDX_CA!$B$2:$B$1041),--(NXT_COMPO!$Q571=IDX_CA!$C$2:$C$1041),ROW(IDX_CA!$G$2:$G$1041))),INDEX(IDX_COMPOSITION!$F$1:$F$441,SUMPRODUCT(--($E571=IDX_COMPOSITION!$A$2:$A$441),--(NXT_COMPO!$P571=IDX_COMPOSITION!$R$2:$R$441),--(NXT_COMPO!$B$5=IDX_COMPOSITION!$L$2:$L$441),ROW(IDX_COMPOSITION!$F$2:$F$441)))),IF($D571&lt;=$B$4,INDEX(IDX_CA!$G$1:$G$1041,SUMPRODUCT(--($E571=IDX_CA!$A$2:$A$1041),--(NXT_COMPO!$P571=IDX_CA!$B$2:$B$1041),--(NXT_COMPO!$Q571=IDX_CA!$C$2:$C$1041),ROW(IDX_CA!$G$2:$G$1041))),""))</f>
        <v/>
      </c>
      <c r="K571" s="63" t="str">
        <f>IF($D571&lt;&gt;"",VLOOKUP($E571,STK_REF!$A$2:$J$1048576,7,0),"")</f>
        <v/>
      </c>
      <c r="L571" s="5" t="str">
        <f>IF($D571&lt;&gt;"",VLOOKUP($E571,STK_REF!$A$2:$J$1048576,8,0),"")</f>
        <v/>
      </c>
      <c r="M571" s="8" t="str">
        <f>IF($D571&lt;&gt;"",IF($K571=$U571,1,IF(ISNA(VLOOKUP($K571&amp;$U571,CUR_RATES!$A$2:$F$521,4,0)),"",VLOOKUP($K571&amp;$U571,CUR_RATES!$A$2:$F$521,4,0))),"")</f>
        <v/>
      </c>
      <c r="N571" s="61" t="str">
        <f t="shared" si="70"/>
        <v/>
      </c>
      <c r="O571" s="68" t="str">
        <f t="shared" si="71"/>
        <v/>
      </c>
      <c r="P571" s="24"/>
      <c r="Q571" s="2" t="str">
        <f>IF(ROW(Q571)-ROW($E$1)&lt;=$B$4,INDEX(IDX_COMPO!F:F,ROW(IDX_COMPO!#REF!)),"")</f>
        <v/>
      </c>
      <c r="R571" s="68" t="str">
        <f t="shared" si="72"/>
        <v/>
      </c>
      <c r="S571" s="61" t="str">
        <f t="shared" si="73"/>
        <v/>
      </c>
      <c r="T571" s="62" t="str">
        <f>IF(D571&lt;&gt;"",IF(SUMPRODUCT(--($E571=STK_DIV!$A$2:$A$5),--(NXT_COMPO!$Q571=STK_DIV!$E$2:$E$5),ROW(STK_DIV!$D$2:$D$5))=0,"",INDEX(STK_DIV!$D$1:$D$5,SUMPRODUCT(--($E571=STK_DIV!$A$2:$A$5),--(NXT_COMPO!$Q571=STK_DIV!$E$2:$E$5),ROW(STK_DIV!$D$2:$D$5)))),"")</f>
        <v/>
      </c>
      <c r="U571" s="54" t="str">
        <f>IF($D571&lt;&gt;"",VLOOKUP($P571,IDX_REF!$2:$1048576,4,0),"")</f>
        <v/>
      </c>
    </row>
    <row r="572" spans="4:21" x14ac:dyDescent="0.2">
      <c r="D572" s="52" t="str">
        <f t="shared" si="68"/>
        <v/>
      </c>
      <c r="E572" s="5" t="str">
        <f t="shared" si="69"/>
        <v/>
      </c>
      <c r="F572" s="5" t="str">
        <f>IF(ROW(F572)-ROW($E$1)&lt;=$B$1-$B$2,INDEX(IDX_COMPO!B:B,ROW(IDX_COMPO!#REF!)),IF(ROW(E572)-ROW($E$1)&lt;=$B$4,VLOOKUP(E572,STK_REF!$A$2:$J$1048576,2,0),""))</f>
        <v/>
      </c>
      <c r="J572" s="62" t="str">
        <f>IF($D572&lt;=$B$1-$B$2,IF(INDEX($AA$2:$AA$1048576,MATCH($D572,$AB$2:$AB$1048576,0))="MODIFY",INDEX(IDX_CA!$G$1:$G$1041,SUMPRODUCT(--($E572=IDX_CA!$A$2:$A$1041),--(NXT_COMPO!$P572=IDX_CA!$B$2:$B$1041),--(NXT_COMPO!$Q572=IDX_CA!$C$2:$C$1041),ROW(IDX_CA!$G$2:$G$1041))),INDEX(IDX_COMPOSITION!$F$1:$F$441,SUMPRODUCT(--($E572=IDX_COMPOSITION!$A$2:$A$441),--(NXT_COMPO!$P572=IDX_COMPOSITION!$R$2:$R$441),--(NXT_COMPO!$B$5=IDX_COMPOSITION!$L$2:$L$441),ROW(IDX_COMPOSITION!$F$2:$F$441)))),IF($D572&lt;=$B$4,INDEX(IDX_CA!$G$1:$G$1041,SUMPRODUCT(--($E572=IDX_CA!$A$2:$A$1041),--(NXT_COMPO!$P572=IDX_CA!$B$2:$B$1041),--(NXT_COMPO!$Q572=IDX_CA!$C$2:$C$1041),ROW(IDX_CA!$G$2:$G$1041))),""))</f>
        <v/>
      </c>
      <c r="K572" s="63" t="str">
        <f>IF($D572&lt;&gt;"",VLOOKUP($E572,STK_REF!$A$2:$J$1048576,7,0),"")</f>
        <v/>
      </c>
      <c r="L572" s="5" t="str">
        <f>IF($D572&lt;&gt;"",VLOOKUP($E572,STK_REF!$A$2:$J$1048576,8,0),"")</f>
        <v/>
      </c>
      <c r="M572" s="8" t="str">
        <f>IF($D572&lt;&gt;"",IF($K572=$U572,1,IF(ISNA(VLOOKUP($K572&amp;$U572,CUR_RATES!$A$2:$F$521,4,0)),"",VLOOKUP($K572&amp;$U572,CUR_RATES!$A$2:$F$521,4,0))),"")</f>
        <v/>
      </c>
      <c r="N572" s="61" t="str">
        <f t="shared" si="70"/>
        <v/>
      </c>
      <c r="O572" s="68" t="str">
        <f t="shared" si="71"/>
        <v/>
      </c>
      <c r="P572" s="24"/>
      <c r="Q572" s="2" t="str">
        <f>IF(ROW(Q572)-ROW($E$1)&lt;=$B$4,INDEX(IDX_COMPO!F:F,ROW(IDX_COMPO!#REF!)),"")</f>
        <v/>
      </c>
      <c r="R572" s="68" t="str">
        <f t="shared" si="72"/>
        <v/>
      </c>
      <c r="S572" s="61" t="str">
        <f t="shared" si="73"/>
        <v/>
      </c>
      <c r="T572" s="62" t="str">
        <f>IF(D572&lt;&gt;"",IF(SUMPRODUCT(--($E572=STK_DIV!$A$2:$A$5),--(NXT_COMPO!$Q572=STK_DIV!$E$2:$E$5),ROW(STK_DIV!$D$2:$D$5))=0,"",INDEX(STK_DIV!$D$1:$D$5,SUMPRODUCT(--($E572=STK_DIV!$A$2:$A$5),--(NXT_COMPO!$Q572=STK_DIV!$E$2:$E$5),ROW(STK_DIV!$D$2:$D$5)))),"")</f>
        <v/>
      </c>
      <c r="U572" s="54" t="str">
        <f>IF($D572&lt;&gt;"",VLOOKUP($P572,IDX_REF!$2:$1048576,4,0),"")</f>
        <v/>
      </c>
    </row>
    <row r="573" spans="4:21" x14ac:dyDescent="0.2">
      <c r="D573" s="52" t="str">
        <f t="shared" si="68"/>
        <v/>
      </c>
      <c r="E573" s="5" t="str">
        <f t="shared" si="69"/>
        <v/>
      </c>
      <c r="F573" s="5" t="str">
        <f>IF(ROW(F573)-ROW($E$1)&lt;=$B$1-$B$2,INDEX(IDX_COMPO!B:B,ROW(IDX_COMPO!#REF!)),IF(ROW(E573)-ROW($E$1)&lt;=$B$4,VLOOKUP(E573,STK_REF!$A$2:$J$1048576,2,0),""))</f>
        <v/>
      </c>
      <c r="J573" s="62" t="str">
        <f>IF($D573&lt;=$B$1-$B$2,IF(INDEX($AA$2:$AA$1048576,MATCH($D573,$AB$2:$AB$1048576,0))="MODIFY",INDEX(IDX_CA!$G$1:$G$1041,SUMPRODUCT(--($E573=IDX_CA!$A$2:$A$1041),--(NXT_COMPO!$P573=IDX_CA!$B$2:$B$1041),--(NXT_COMPO!$Q573=IDX_CA!$C$2:$C$1041),ROW(IDX_CA!$G$2:$G$1041))),INDEX(IDX_COMPOSITION!$F$1:$F$441,SUMPRODUCT(--($E573=IDX_COMPOSITION!$A$2:$A$441),--(NXT_COMPO!$P573=IDX_COMPOSITION!$R$2:$R$441),--(NXT_COMPO!$B$5=IDX_COMPOSITION!$L$2:$L$441),ROW(IDX_COMPOSITION!$F$2:$F$441)))),IF($D573&lt;=$B$4,INDEX(IDX_CA!$G$1:$G$1041,SUMPRODUCT(--($E573=IDX_CA!$A$2:$A$1041),--(NXT_COMPO!$P573=IDX_CA!$B$2:$B$1041),--(NXT_COMPO!$Q573=IDX_CA!$C$2:$C$1041),ROW(IDX_CA!$G$2:$G$1041))),""))</f>
        <v/>
      </c>
      <c r="K573" s="63" t="str">
        <f>IF($D573&lt;&gt;"",VLOOKUP($E573,STK_REF!$A$2:$J$1048576,7,0),"")</f>
        <v/>
      </c>
      <c r="L573" s="5" t="str">
        <f>IF($D573&lt;&gt;"",VLOOKUP($E573,STK_REF!$A$2:$J$1048576,8,0),"")</f>
        <v/>
      </c>
      <c r="M573" s="8" t="str">
        <f>IF($D573&lt;&gt;"",IF($K573=$U573,1,IF(ISNA(VLOOKUP($K573&amp;$U573,CUR_RATES!$A$2:$F$521,4,0)),"",VLOOKUP($K573&amp;$U573,CUR_RATES!$A$2:$F$521,4,0))),"")</f>
        <v/>
      </c>
      <c r="N573" s="61" t="str">
        <f t="shared" si="70"/>
        <v/>
      </c>
      <c r="O573" s="68" t="str">
        <f t="shared" si="71"/>
        <v/>
      </c>
      <c r="P573" s="24"/>
      <c r="Q573" s="2" t="str">
        <f>IF(ROW(Q573)-ROW($E$1)&lt;=$B$4,INDEX(IDX_COMPO!F:F,ROW(IDX_COMPO!#REF!)),"")</f>
        <v/>
      </c>
      <c r="R573" s="68" t="str">
        <f t="shared" si="72"/>
        <v/>
      </c>
      <c r="S573" s="61" t="str">
        <f t="shared" si="73"/>
        <v/>
      </c>
      <c r="T573" s="62" t="str">
        <f>IF(D573&lt;&gt;"",IF(SUMPRODUCT(--($E573=STK_DIV!$A$2:$A$5),--(NXT_COMPO!$Q573=STK_DIV!$E$2:$E$5),ROW(STK_DIV!$D$2:$D$5))=0,"",INDEX(STK_DIV!$D$1:$D$5,SUMPRODUCT(--($E573=STK_DIV!$A$2:$A$5),--(NXT_COMPO!$Q573=STK_DIV!$E$2:$E$5),ROW(STK_DIV!$D$2:$D$5)))),"")</f>
        <v/>
      </c>
      <c r="U573" s="54" t="str">
        <f>IF($D573&lt;&gt;"",VLOOKUP($P573,IDX_REF!$2:$1048576,4,0),"")</f>
        <v/>
      </c>
    </row>
    <row r="574" spans="4:21" x14ac:dyDescent="0.2">
      <c r="D574" s="52" t="str">
        <f t="shared" si="68"/>
        <v/>
      </c>
      <c r="E574" s="5" t="str">
        <f t="shared" si="69"/>
        <v/>
      </c>
      <c r="F574" s="5" t="str">
        <f>IF(ROW(F574)-ROW($E$1)&lt;=$B$1-$B$2,INDEX(IDX_COMPO!B:B,ROW(IDX_COMPO!#REF!)),IF(ROW(E574)-ROW($E$1)&lt;=$B$4,VLOOKUP(E574,STK_REF!$A$2:$J$1048576,2,0),""))</f>
        <v/>
      </c>
      <c r="J574" s="62" t="str">
        <f>IF($D574&lt;=$B$1-$B$2,IF(INDEX($AA$2:$AA$1048576,MATCH($D574,$AB$2:$AB$1048576,0))="MODIFY",INDEX(IDX_CA!$G$1:$G$1041,SUMPRODUCT(--($E574=IDX_CA!$A$2:$A$1041),--(NXT_COMPO!$P574=IDX_CA!$B$2:$B$1041),--(NXT_COMPO!$Q574=IDX_CA!$C$2:$C$1041),ROW(IDX_CA!$G$2:$G$1041))),INDEX(IDX_COMPOSITION!$F$1:$F$441,SUMPRODUCT(--($E574=IDX_COMPOSITION!$A$2:$A$441),--(NXT_COMPO!$P574=IDX_COMPOSITION!$R$2:$R$441),--(NXT_COMPO!$B$5=IDX_COMPOSITION!$L$2:$L$441),ROW(IDX_COMPOSITION!$F$2:$F$441)))),IF($D574&lt;=$B$4,INDEX(IDX_CA!$G$1:$G$1041,SUMPRODUCT(--($E574=IDX_CA!$A$2:$A$1041),--(NXT_COMPO!$P574=IDX_CA!$B$2:$B$1041),--(NXT_COMPO!$Q574=IDX_CA!$C$2:$C$1041),ROW(IDX_CA!$G$2:$G$1041))),""))</f>
        <v/>
      </c>
      <c r="K574" s="63" t="str">
        <f>IF($D574&lt;&gt;"",VLOOKUP($E574,STK_REF!$A$2:$J$1048576,7,0),"")</f>
        <v/>
      </c>
      <c r="L574" s="5" t="str">
        <f>IF($D574&lt;&gt;"",VLOOKUP($E574,STK_REF!$A$2:$J$1048576,8,0),"")</f>
        <v/>
      </c>
      <c r="M574" s="8" t="str">
        <f>IF($D574&lt;&gt;"",IF($K574=$U574,1,IF(ISNA(VLOOKUP($K574&amp;$U574,CUR_RATES!$A$2:$F$521,4,0)),"",VLOOKUP($K574&amp;$U574,CUR_RATES!$A$2:$F$521,4,0))),"")</f>
        <v/>
      </c>
      <c r="N574" s="61" t="str">
        <f t="shared" si="70"/>
        <v/>
      </c>
      <c r="O574" s="68" t="str">
        <f t="shared" si="71"/>
        <v/>
      </c>
      <c r="P574" s="24"/>
      <c r="Q574" s="2" t="str">
        <f>IF(ROW(Q574)-ROW($E$1)&lt;=$B$4,INDEX(IDX_COMPO!F:F,ROW(IDX_COMPO!#REF!)),"")</f>
        <v/>
      </c>
      <c r="R574" s="68" t="str">
        <f t="shared" si="72"/>
        <v/>
      </c>
      <c r="S574" s="61" t="str">
        <f t="shared" si="73"/>
        <v/>
      </c>
      <c r="T574" s="62" t="str">
        <f>IF(D574&lt;&gt;"",IF(SUMPRODUCT(--($E574=STK_DIV!$A$2:$A$5),--(NXT_COMPO!$Q574=STK_DIV!$E$2:$E$5),ROW(STK_DIV!$D$2:$D$5))=0,"",INDEX(STK_DIV!$D$1:$D$5,SUMPRODUCT(--($E574=STK_DIV!$A$2:$A$5),--(NXT_COMPO!$Q574=STK_DIV!$E$2:$E$5),ROW(STK_DIV!$D$2:$D$5)))),"")</f>
        <v/>
      </c>
      <c r="U574" s="54" t="str">
        <f>IF($D574&lt;&gt;"",VLOOKUP($P574,IDX_REF!$2:$1048576,4,0),"")</f>
        <v/>
      </c>
    </row>
    <row r="575" spans="4:21" x14ac:dyDescent="0.2">
      <c r="D575" s="52" t="str">
        <f t="shared" si="68"/>
        <v/>
      </c>
      <c r="E575" s="5" t="str">
        <f t="shared" si="69"/>
        <v/>
      </c>
      <c r="F575" s="5" t="str">
        <f>IF(ROW(F575)-ROW($E$1)&lt;=$B$1-$B$2,INDEX(IDX_COMPO!B:B,ROW(IDX_COMPO!#REF!)),IF(ROW(E575)-ROW($E$1)&lt;=$B$4,VLOOKUP(E575,STK_REF!$A$2:$J$1048576,2,0),""))</f>
        <v/>
      </c>
      <c r="J575" s="62" t="str">
        <f>IF($D575&lt;=$B$1-$B$2,IF(INDEX($AA$2:$AA$1048576,MATCH($D575,$AB$2:$AB$1048576,0))="MODIFY",INDEX(IDX_CA!$G$1:$G$1041,SUMPRODUCT(--($E575=IDX_CA!$A$2:$A$1041),--(NXT_COMPO!$P575=IDX_CA!$B$2:$B$1041),--(NXT_COMPO!$Q575=IDX_CA!$C$2:$C$1041),ROW(IDX_CA!$G$2:$G$1041))),INDEX(IDX_COMPOSITION!$F$1:$F$441,SUMPRODUCT(--($E575=IDX_COMPOSITION!$A$2:$A$441),--(NXT_COMPO!$P575=IDX_COMPOSITION!$R$2:$R$441),--(NXT_COMPO!$B$5=IDX_COMPOSITION!$L$2:$L$441),ROW(IDX_COMPOSITION!$F$2:$F$441)))),IF($D575&lt;=$B$4,INDEX(IDX_CA!$G$1:$G$1041,SUMPRODUCT(--($E575=IDX_CA!$A$2:$A$1041),--(NXT_COMPO!$P575=IDX_CA!$B$2:$B$1041),--(NXT_COMPO!$Q575=IDX_CA!$C$2:$C$1041),ROW(IDX_CA!$G$2:$G$1041))),""))</f>
        <v/>
      </c>
      <c r="K575" s="63" t="str">
        <f>IF($D575&lt;&gt;"",VLOOKUP($E575,STK_REF!$A$2:$J$1048576,7,0),"")</f>
        <v/>
      </c>
      <c r="L575" s="5" t="str">
        <f>IF($D575&lt;&gt;"",VLOOKUP($E575,STK_REF!$A$2:$J$1048576,8,0),"")</f>
        <v/>
      </c>
      <c r="M575" s="8" t="str">
        <f>IF($D575&lt;&gt;"",IF($K575=$U575,1,IF(ISNA(VLOOKUP($K575&amp;$U575,CUR_RATES!$A$2:$F$521,4,0)),"",VLOOKUP($K575&amp;$U575,CUR_RATES!$A$2:$F$521,4,0))),"")</f>
        <v/>
      </c>
      <c r="N575" s="61" t="str">
        <f t="shared" si="70"/>
        <v/>
      </c>
      <c r="O575" s="68" t="str">
        <f t="shared" si="71"/>
        <v/>
      </c>
      <c r="P575" s="24"/>
      <c r="Q575" s="2" t="str">
        <f>IF(ROW(Q575)-ROW($E$1)&lt;=$B$4,INDEX(IDX_COMPO!F:F,ROW(IDX_COMPO!#REF!)),"")</f>
        <v/>
      </c>
      <c r="R575" s="68" t="str">
        <f t="shared" si="72"/>
        <v/>
      </c>
      <c r="S575" s="61" t="str">
        <f t="shared" si="73"/>
        <v/>
      </c>
      <c r="T575" s="62" t="str">
        <f>IF(D575&lt;&gt;"",IF(SUMPRODUCT(--($E575=STK_DIV!$A$2:$A$5),--(NXT_COMPO!$Q575=STK_DIV!$E$2:$E$5),ROW(STK_DIV!$D$2:$D$5))=0,"",INDEX(STK_DIV!$D$1:$D$5,SUMPRODUCT(--($E575=STK_DIV!$A$2:$A$5),--(NXT_COMPO!$Q575=STK_DIV!$E$2:$E$5),ROW(STK_DIV!$D$2:$D$5)))),"")</f>
        <v/>
      </c>
      <c r="U575" s="54" t="str">
        <f>IF($D575&lt;&gt;"",VLOOKUP($P575,IDX_REF!$2:$1048576,4,0),"")</f>
        <v/>
      </c>
    </row>
    <row r="576" spans="4:21" x14ac:dyDescent="0.2">
      <c r="D576" s="52" t="str">
        <f t="shared" si="68"/>
        <v/>
      </c>
      <c r="E576" s="5" t="str">
        <f t="shared" si="69"/>
        <v/>
      </c>
      <c r="F576" s="5" t="str">
        <f>IF(ROW(F576)-ROW($E$1)&lt;=$B$1-$B$2,INDEX(IDX_COMPO!B:B,ROW(IDX_COMPO!#REF!)),IF(ROW(E576)-ROW($E$1)&lt;=$B$4,VLOOKUP(E576,STK_REF!$A$2:$J$1048576,2,0),""))</f>
        <v/>
      </c>
      <c r="J576" s="62" t="str">
        <f>IF($D576&lt;=$B$1-$B$2,IF(INDEX($AA$2:$AA$1048576,MATCH($D576,$AB$2:$AB$1048576,0))="MODIFY",INDEX(IDX_CA!$G$1:$G$1041,SUMPRODUCT(--($E576=IDX_CA!$A$2:$A$1041),--(NXT_COMPO!$P576=IDX_CA!$B$2:$B$1041),--(NXT_COMPO!$Q576=IDX_CA!$C$2:$C$1041),ROW(IDX_CA!$G$2:$G$1041))),INDEX(IDX_COMPOSITION!$F$1:$F$441,SUMPRODUCT(--($E576=IDX_COMPOSITION!$A$2:$A$441),--(NXT_COMPO!$P576=IDX_COMPOSITION!$R$2:$R$441),--(NXT_COMPO!$B$5=IDX_COMPOSITION!$L$2:$L$441),ROW(IDX_COMPOSITION!$F$2:$F$441)))),IF($D576&lt;=$B$4,INDEX(IDX_CA!$G$1:$G$1041,SUMPRODUCT(--($E576=IDX_CA!$A$2:$A$1041),--(NXT_COMPO!$P576=IDX_CA!$B$2:$B$1041),--(NXT_COMPO!$Q576=IDX_CA!$C$2:$C$1041),ROW(IDX_CA!$G$2:$G$1041))),""))</f>
        <v/>
      </c>
      <c r="K576" s="63" t="str">
        <f>IF($D576&lt;&gt;"",VLOOKUP($E576,STK_REF!$A$2:$J$1048576,7,0),"")</f>
        <v/>
      </c>
      <c r="L576" s="5" t="str">
        <f>IF($D576&lt;&gt;"",VLOOKUP($E576,STK_REF!$A$2:$J$1048576,8,0),"")</f>
        <v/>
      </c>
      <c r="M576" s="8" t="str">
        <f>IF($D576&lt;&gt;"",IF($K576=$U576,1,IF(ISNA(VLOOKUP($K576&amp;$U576,CUR_RATES!$A$2:$F$521,4,0)),"",VLOOKUP($K576&amp;$U576,CUR_RATES!$A$2:$F$521,4,0))),"")</f>
        <v/>
      </c>
      <c r="N576" s="61" t="str">
        <f t="shared" si="70"/>
        <v/>
      </c>
      <c r="O576" s="68" t="str">
        <f t="shared" si="71"/>
        <v/>
      </c>
      <c r="P576" s="24"/>
      <c r="Q576" s="2" t="str">
        <f>IF(ROW(Q576)-ROW($E$1)&lt;=$B$4,INDEX(IDX_COMPO!F:F,ROW(IDX_COMPO!#REF!)),"")</f>
        <v/>
      </c>
      <c r="R576" s="68" t="str">
        <f t="shared" si="72"/>
        <v/>
      </c>
      <c r="S576" s="61" t="str">
        <f t="shared" si="73"/>
        <v/>
      </c>
      <c r="T576" s="62" t="str">
        <f>IF(D576&lt;&gt;"",IF(SUMPRODUCT(--($E576=STK_DIV!$A$2:$A$5),--(NXT_COMPO!$Q576=STK_DIV!$E$2:$E$5),ROW(STK_DIV!$D$2:$D$5))=0,"",INDEX(STK_DIV!$D$1:$D$5,SUMPRODUCT(--($E576=STK_DIV!$A$2:$A$5),--(NXT_COMPO!$Q576=STK_DIV!$E$2:$E$5),ROW(STK_DIV!$D$2:$D$5)))),"")</f>
        <v/>
      </c>
      <c r="U576" s="54" t="str">
        <f>IF($D576&lt;&gt;"",VLOOKUP($P576,IDX_REF!$2:$1048576,4,0),"")</f>
        <v/>
      </c>
    </row>
    <row r="577" spans="4:21" x14ac:dyDescent="0.2">
      <c r="D577" s="52" t="str">
        <f t="shared" si="68"/>
        <v/>
      </c>
      <c r="E577" s="5" t="str">
        <f t="shared" si="69"/>
        <v/>
      </c>
      <c r="F577" s="5" t="str">
        <f>IF(ROW(F577)-ROW($E$1)&lt;=$B$1-$B$2,INDEX(IDX_COMPO!B:B,ROW(IDX_COMPO!#REF!)),IF(ROW(E577)-ROW($E$1)&lt;=$B$4,VLOOKUP(E577,STK_REF!$A$2:$J$1048576,2,0),""))</f>
        <v/>
      </c>
      <c r="J577" s="62" t="str">
        <f>IF($D577&lt;=$B$1-$B$2,IF(INDEX($AA$2:$AA$1048576,MATCH($D577,$AB$2:$AB$1048576,0))="MODIFY",INDEX(IDX_CA!$G$1:$G$1041,SUMPRODUCT(--($E577=IDX_CA!$A$2:$A$1041),--(NXT_COMPO!$P577=IDX_CA!$B$2:$B$1041),--(NXT_COMPO!$Q577=IDX_CA!$C$2:$C$1041),ROW(IDX_CA!$G$2:$G$1041))),INDEX(IDX_COMPOSITION!$F$1:$F$441,SUMPRODUCT(--($E577=IDX_COMPOSITION!$A$2:$A$441),--(NXT_COMPO!$P577=IDX_COMPOSITION!$R$2:$R$441),--(NXT_COMPO!$B$5=IDX_COMPOSITION!$L$2:$L$441),ROW(IDX_COMPOSITION!$F$2:$F$441)))),IF($D577&lt;=$B$4,INDEX(IDX_CA!$G$1:$G$1041,SUMPRODUCT(--($E577=IDX_CA!$A$2:$A$1041),--(NXT_COMPO!$P577=IDX_CA!$B$2:$B$1041),--(NXT_COMPO!$Q577=IDX_CA!$C$2:$C$1041),ROW(IDX_CA!$G$2:$G$1041))),""))</f>
        <v/>
      </c>
      <c r="K577" s="63" t="str">
        <f>IF($D577&lt;&gt;"",VLOOKUP($E577,STK_REF!$A$2:$J$1048576,7,0),"")</f>
        <v/>
      </c>
      <c r="L577" s="5" t="str">
        <f>IF($D577&lt;&gt;"",VLOOKUP($E577,STK_REF!$A$2:$J$1048576,8,0),"")</f>
        <v/>
      </c>
      <c r="M577" s="8" t="str">
        <f>IF($D577&lt;&gt;"",IF($K577=$U577,1,IF(ISNA(VLOOKUP($K577&amp;$U577,CUR_RATES!$A$2:$F$521,4,0)),"",VLOOKUP($K577&amp;$U577,CUR_RATES!$A$2:$F$521,4,0))),"")</f>
        <v/>
      </c>
      <c r="N577" s="61" t="str">
        <f t="shared" si="70"/>
        <v/>
      </c>
      <c r="O577" s="68" t="str">
        <f t="shared" si="71"/>
        <v/>
      </c>
      <c r="P577" s="24"/>
      <c r="Q577" s="2" t="str">
        <f>IF(ROW(Q577)-ROW($E$1)&lt;=$B$4,INDEX(IDX_COMPO!F:F,ROW(IDX_COMPO!#REF!)),"")</f>
        <v/>
      </c>
      <c r="R577" s="68" t="str">
        <f t="shared" si="72"/>
        <v/>
      </c>
      <c r="S577" s="61" t="str">
        <f t="shared" si="73"/>
        <v/>
      </c>
      <c r="T577" s="62" t="str">
        <f>IF(D577&lt;&gt;"",IF(SUMPRODUCT(--($E577=STK_DIV!$A$2:$A$5),--(NXT_COMPO!$Q577=STK_DIV!$E$2:$E$5),ROW(STK_DIV!$D$2:$D$5))=0,"",INDEX(STK_DIV!$D$1:$D$5,SUMPRODUCT(--($E577=STK_DIV!$A$2:$A$5),--(NXT_COMPO!$Q577=STK_DIV!$E$2:$E$5),ROW(STK_DIV!$D$2:$D$5)))),"")</f>
        <v/>
      </c>
      <c r="U577" s="54" t="str">
        <f>IF($D577&lt;&gt;"",VLOOKUP($P577,IDX_REF!$2:$1048576,4,0),"")</f>
        <v/>
      </c>
    </row>
    <row r="578" spans="4:21" x14ac:dyDescent="0.2">
      <c r="D578" s="52" t="str">
        <f t="shared" ref="D578:D606" si="74">IF(ROW(D578)-ROW($D$1)&lt;=$B$4,ROW(D578)-ROW($D$1),"")</f>
        <v/>
      </c>
      <c r="E578" s="5" t="str">
        <f t="shared" si="69"/>
        <v/>
      </c>
      <c r="F578" s="5" t="str">
        <f>IF(ROW(F578)-ROW($E$1)&lt;=$B$1-$B$2,INDEX(IDX_COMPO!B:B,ROW(IDX_COMPO!#REF!)),IF(ROW(E578)-ROW($E$1)&lt;=$B$4,VLOOKUP(E578,STK_REF!$A$2:$J$1048576,2,0),""))</f>
        <v/>
      </c>
      <c r="J578" s="62" t="str">
        <f>IF($D578&lt;=$B$1-$B$2,IF(INDEX($AA$2:$AA$1048576,MATCH($D578,$AB$2:$AB$1048576,0))="MODIFY",INDEX(IDX_CA!$G$1:$G$1041,SUMPRODUCT(--($E578=IDX_CA!$A$2:$A$1041),--(NXT_COMPO!$P578=IDX_CA!$B$2:$B$1041),--(NXT_COMPO!$Q578=IDX_CA!$C$2:$C$1041),ROW(IDX_CA!$G$2:$G$1041))),INDEX(IDX_COMPOSITION!$F$1:$F$441,SUMPRODUCT(--($E578=IDX_COMPOSITION!$A$2:$A$441),--(NXT_COMPO!$P578=IDX_COMPOSITION!$R$2:$R$441),--(NXT_COMPO!$B$5=IDX_COMPOSITION!$L$2:$L$441),ROW(IDX_COMPOSITION!$F$2:$F$441)))),IF($D578&lt;=$B$4,INDEX(IDX_CA!$G$1:$G$1041,SUMPRODUCT(--($E578=IDX_CA!$A$2:$A$1041),--(NXT_COMPO!$P578=IDX_CA!$B$2:$B$1041),--(NXT_COMPO!$Q578=IDX_CA!$C$2:$C$1041),ROW(IDX_CA!$G$2:$G$1041))),""))</f>
        <v/>
      </c>
      <c r="K578" s="63" t="str">
        <f>IF($D578&lt;&gt;"",VLOOKUP($E578,STK_REF!$A$2:$J$1048576,7,0),"")</f>
        <v/>
      </c>
      <c r="L578" s="5" t="str">
        <f>IF($D578&lt;&gt;"",VLOOKUP($E578,STK_REF!$A$2:$J$1048576,8,0),"")</f>
        <v/>
      </c>
      <c r="M578" s="8" t="str">
        <f>IF($D578&lt;&gt;"",IF($K578=$U578,1,IF(ISNA(VLOOKUP($K578&amp;$U578,CUR_RATES!$A$2:$F$521,4,0)),"",VLOOKUP($K578&amp;$U578,CUR_RATES!$A$2:$F$521,4,0))),"")</f>
        <v/>
      </c>
      <c r="N578" s="61" t="str">
        <f t="shared" si="70"/>
        <v/>
      </c>
      <c r="O578" s="68" t="str">
        <f t="shared" si="71"/>
        <v/>
      </c>
      <c r="P578" s="24"/>
      <c r="Q578" s="2" t="str">
        <f>IF(ROW(Q578)-ROW($E$1)&lt;=$B$4,INDEX(IDX_COMPO!F:F,ROW(IDX_COMPO!#REF!)),"")</f>
        <v/>
      </c>
      <c r="R578" s="68" t="str">
        <f t="shared" si="72"/>
        <v/>
      </c>
      <c r="S578" s="61" t="str">
        <f t="shared" si="73"/>
        <v/>
      </c>
      <c r="T578" s="62" t="str">
        <f>IF(D578&lt;&gt;"",IF(SUMPRODUCT(--($E578=STK_DIV!$A$2:$A$5),--(NXT_COMPO!$Q578=STK_DIV!$E$2:$E$5),ROW(STK_DIV!$D$2:$D$5))=0,"",INDEX(STK_DIV!$D$1:$D$5,SUMPRODUCT(--($E578=STK_DIV!$A$2:$A$5),--(NXT_COMPO!$Q578=STK_DIV!$E$2:$E$5),ROW(STK_DIV!$D$2:$D$5)))),"")</f>
        <v/>
      </c>
      <c r="U578" s="54" t="str">
        <f>IF($D578&lt;&gt;"",VLOOKUP($P578,IDX_REF!$2:$1048576,4,0),"")</f>
        <v/>
      </c>
    </row>
    <row r="579" spans="4:21" x14ac:dyDescent="0.2">
      <c r="D579" s="52" t="str">
        <f t="shared" si="74"/>
        <v/>
      </c>
      <c r="E579" s="5" t="str">
        <f t="shared" ref="E579:E606" si="75">IF(D579&lt;=$B$1-$B$2,INDEX($X$2:$X$1048576,MATCH(D579,$AB$2:$AB$1048576,0)),IF(D579&lt;=$B$4,INDEX($AE$2:$AE$1048576,MATCH(D579-$B$1+$B$2,$AI$2:$AI$1048576,0)),""))</f>
        <v/>
      </c>
      <c r="F579" s="5" t="str">
        <f>IF(ROW(F579)-ROW($E$1)&lt;=$B$1-$B$2,INDEX(IDX_COMPO!B:B,ROW(IDX_COMPO!#REF!)),IF(ROW(E579)-ROW($E$1)&lt;=$B$4,VLOOKUP(E579,STK_REF!$A$2:$J$1048576,2,0),""))</f>
        <v/>
      </c>
      <c r="J579" s="62" t="str">
        <f>IF($D579&lt;=$B$1-$B$2,IF(INDEX($AA$2:$AA$1048576,MATCH($D579,$AB$2:$AB$1048576,0))="MODIFY",INDEX(IDX_CA!$G$1:$G$1041,SUMPRODUCT(--($E579=IDX_CA!$A$2:$A$1041),--(NXT_COMPO!$P579=IDX_CA!$B$2:$B$1041),--(NXT_COMPO!$Q579=IDX_CA!$C$2:$C$1041),ROW(IDX_CA!$G$2:$G$1041))),INDEX(IDX_COMPOSITION!$F$1:$F$441,SUMPRODUCT(--($E579=IDX_COMPOSITION!$A$2:$A$441),--(NXT_COMPO!$P579=IDX_COMPOSITION!$R$2:$R$441),--(NXT_COMPO!$B$5=IDX_COMPOSITION!$L$2:$L$441),ROW(IDX_COMPOSITION!$F$2:$F$441)))),IF($D579&lt;=$B$4,INDEX(IDX_CA!$G$1:$G$1041,SUMPRODUCT(--($E579=IDX_CA!$A$2:$A$1041),--(NXT_COMPO!$P579=IDX_CA!$B$2:$B$1041),--(NXT_COMPO!$Q579=IDX_CA!$C$2:$C$1041),ROW(IDX_CA!$G$2:$G$1041))),""))</f>
        <v/>
      </c>
      <c r="K579" s="63" t="str">
        <f>IF($D579&lt;&gt;"",VLOOKUP($E579,STK_REF!$A$2:$J$1048576,7,0),"")</f>
        <v/>
      </c>
      <c r="L579" s="5" t="str">
        <f>IF($D579&lt;&gt;"",VLOOKUP($E579,STK_REF!$A$2:$J$1048576,8,0),"")</f>
        <v/>
      </c>
      <c r="M579" s="8" t="str">
        <f>IF($D579&lt;&gt;"",IF($K579=$U579,1,IF(ISNA(VLOOKUP($K579&amp;$U579,CUR_RATES!$A$2:$F$521,4,0)),"",VLOOKUP($K579&amp;$U579,CUR_RATES!$A$2:$F$521,4,0))),"")</f>
        <v/>
      </c>
      <c r="N579" s="61" t="str">
        <f t="shared" ref="N579:N606" si="76">IF($D579&lt;&gt;"",$J579*$M579,"")</f>
        <v/>
      </c>
      <c r="O579" s="68" t="str">
        <f t="shared" ref="O579:O606" si="77">IF($D579&lt;&gt;"",$G579*($H579/100)*($I579/100)*$N579*(1/$L579),"")</f>
        <v/>
      </c>
      <c r="P579" s="24"/>
      <c r="Q579" s="2" t="str">
        <f>IF(ROW(Q579)-ROW($E$1)&lt;=$B$4,INDEX(IDX_COMPO!F:F,ROW(IDX_COMPO!#REF!)),"")</f>
        <v/>
      </c>
      <c r="R579" s="68" t="str">
        <f t="shared" ref="R579:R606" si="78">IF(AND($D579&lt;&gt;"",$T579&lt;&gt;""),$G579*($H579/100)*($I579/100)*$S579*(1/$L579),"")</f>
        <v/>
      </c>
      <c r="S579" s="61" t="str">
        <f t="shared" ref="S579:S606" si="79">IF($T579&lt;&gt;"",$T579*$M579,"")</f>
        <v/>
      </c>
      <c r="T579" s="62" t="str">
        <f>IF(D579&lt;&gt;"",IF(SUMPRODUCT(--($E579=STK_DIV!$A$2:$A$5),--(NXT_COMPO!$Q579=STK_DIV!$E$2:$E$5),ROW(STK_DIV!$D$2:$D$5))=0,"",INDEX(STK_DIV!$D$1:$D$5,SUMPRODUCT(--($E579=STK_DIV!$A$2:$A$5),--(NXT_COMPO!$Q579=STK_DIV!$E$2:$E$5),ROW(STK_DIV!$D$2:$D$5)))),"")</f>
        <v/>
      </c>
      <c r="U579" s="54" t="str">
        <f>IF($D579&lt;&gt;"",VLOOKUP($P579,IDX_REF!$2:$1048576,4,0),"")</f>
        <v/>
      </c>
    </row>
    <row r="580" spans="4:21" x14ac:dyDescent="0.2">
      <c r="D580" s="52" t="str">
        <f t="shared" si="74"/>
        <v/>
      </c>
      <c r="E580" s="5" t="str">
        <f t="shared" si="75"/>
        <v/>
      </c>
      <c r="F580" s="5" t="str">
        <f>IF(ROW(F580)-ROW($E$1)&lt;=$B$1-$B$2,INDEX(IDX_COMPO!B:B,ROW(IDX_COMPO!#REF!)),IF(ROW(E580)-ROW($E$1)&lt;=$B$4,VLOOKUP(E580,STK_REF!$A$2:$J$1048576,2,0),""))</f>
        <v/>
      </c>
      <c r="J580" s="62" t="str">
        <f>IF($D580&lt;=$B$1-$B$2,IF(INDEX($AA$2:$AA$1048576,MATCH($D580,$AB$2:$AB$1048576,0))="MODIFY",INDEX(IDX_CA!$G$1:$G$1041,SUMPRODUCT(--($E580=IDX_CA!$A$2:$A$1041),--(NXT_COMPO!$P580=IDX_CA!$B$2:$B$1041),--(NXT_COMPO!$Q580=IDX_CA!$C$2:$C$1041),ROW(IDX_CA!$G$2:$G$1041))),INDEX(IDX_COMPOSITION!$F$1:$F$441,SUMPRODUCT(--($E580=IDX_COMPOSITION!$A$2:$A$441),--(NXT_COMPO!$P580=IDX_COMPOSITION!$R$2:$R$441),--(NXT_COMPO!$B$5=IDX_COMPOSITION!$L$2:$L$441),ROW(IDX_COMPOSITION!$F$2:$F$441)))),IF($D580&lt;=$B$4,INDEX(IDX_CA!$G$1:$G$1041,SUMPRODUCT(--($E580=IDX_CA!$A$2:$A$1041),--(NXT_COMPO!$P580=IDX_CA!$B$2:$B$1041),--(NXT_COMPO!$Q580=IDX_CA!$C$2:$C$1041),ROW(IDX_CA!$G$2:$G$1041))),""))</f>
        <v/>
      </c>
      <c r="K580" s="63" t="str">
        <f>IF($D580&lt;&gt;"",VLOOKUP($E580,STK_REF!$A$2:$J$1048576,7,0),"")</f>
        <v/>
      </c>
      <c r="L580" s="5" t="str">
        <f>IF($D580&lt;&gt;"",VLOOKUP($E580,STK_REF!$A$2:$J$1048576,8,0),"")</f>
        <v/>
      </c>
      <c r="M580" s="8" t="str">
        <f>IF($D580&lt;&gt;"",IF($K580=$U580,1,IF(ISNA(VLOOKUP($K580&amp;$U580,CUR_RATES!$A$2:$F$521,4,0)),"",VLOOKUP($K580&amp;$U580,CUR_RATES!$A$2:$F$521,4,0))),"")</f>
        <v/>
      </c>
      <c r="N580" s="61" t="str">
        <f t="shared" si="76"/>
        <v/>
      </c>
      <c r="O580" s="68" t="str">
        <f t="shared" si="77"/>
        <v/>
      </c>
      <c r="P580" s="24"/>
      <c r="Q580" s="2" t="str">
        <f>IF(ROW(Q580)-ROW($E$1)&lt;=$B$4,INDEX(IDX_COMPO!F:F,ROW(IDX_COMPO!#REF!)),"")</f>
        <v/>
      </c>
      <c r="R580" s="68" t="str">
        <f t="shared" si="78"/>
        <v/>
      </c>
      <c r="S580" s="61" t="str">
        <f t="shared" si="79"/>
        <v/>
      </c>
      <c r="T580" s="62" t="str">
        <f>IF(D580&lt;&gt;"",IF(SUMPRODUCT(--($E580=STK_DIV!$A$2:$A$5),--(NXT_COMPO!$Q580=STK_DIV!$E$2:$E$5),ROW(STK_DIV!$D$2:$D$5))=0,"",INDEX(STK_DIV!$D$1:$D$5,SUMPRODUCT(--($E580=STK_DIV!$A$2:$A$5),--(NXT_COMPO!$Q580=STK_DIV!$E$2:$E$5),ROW(STK_DIV!$D$2:$D$5)))),"")</f>
        <v/>
      </c>
      <c r="U580" s="54" t="str">
        <f>IF($D580&lt;&gt;"",VLOOKUP($P580,IDX_REF!$2:$1048576,4,0),"")</f>
        <v/>
      </c>
    </row>
    <row r="581" spans="4:21" x14ac:dyDescent="0.2">
      <c r="D581" s="52" t="str">
        <f t="shared" si="74"/>
        <v/>
      </c>
      <c r="E581" s="5" t="str">
        <f t="shared" si="75"/>
        <v/>
      </c>
      <c r="F581" s="5" t="str">
        <f>IF(ROW(F581)-ROW($E$1)&lt;=$B$1-$B$2,INDEX(IDX_COMPO!B:B,ROW(IDX_COMPO!#REF!)),IF(ROW(E581)-ROW($E$1)&lt;=$B$4,VLOOKUP(E581,STK_REF!$A$2:$J$1048576,2,0),""))</f>
        <v/>
      </c>
      <c r="J581" s="62" t="str">
        <f>IF($D581&lt;=$B$1-$B$2,IF(INDEX($AA$2:$AA$1048576,MATCH($D581,$AB$2:$AB$1048576,0))="MODIFY",INDEX(IDX_CA!$G$1:$G$1041,SUMPRODUCT(--($E581=IDX_CA!$A$2:$A$1041),--(NXT_COMPO!$P581=IDX_CA!$B$2:$B$1041),--(NXT_COMPO!$Q581=IDX_CA!$C$2:$C$1041),ROW(IDX_CA!$G$2:$G$1041))),INDEX(IDX_COMPOSITION!$F$1:$F$441,SUMPRODUCT(--($E581=IDX_COMPOSITION!$A$2:$A$441),--(NXT_COMPO!$P581=IDX_COMPOSITION!$R$2:$R$441),--(NXT_COMPO!$B$5=IDX_COMPOSITION!$L$2:$L$441),ROW(IDX_COMPOSITION!$F$2:$F$441)))),IF($D581&lt;=$B$4,INDEX(IDX_CA!$G$1:$G$1041,SUMPRODUCT(--($E581=IDX_CA!$A$2:$A$1041),--(NXT_COMPO!$P581=IDX_CA!$B$2:$B$1041),--(NXT_COMPO!$Q581=IDX_CA!$C$2:$C$1041),ROW(IDX_CA!$G$2:$G$1041))),""))</f>
        <v/>
      </c>
      <c r="K581" s="63" t="str">
        <f>IF($D581&lt;&gt;"",VLOOKUP($E581,STK_REF!$A$2:$J$1048576,7,0),"")</f>
        <v/>
      </c>
      <c r="L581" s="5" t="str">
        <f>IF($D581&lt;&gt;"",VLOOKUP($E581,STK_REF!$A$2:$J$1048576,8,0),"")</f>
        <v/>
      </c>
      <c r="M581" s="8" t="str">
        <f>IF($D581&lt;&gt;"",IF($K581=$U581,1,IF(ISNA(VLOOKUP($K581&amp;$U581,CUR_RATES!$A$2:$F$521,4,0)),"",VLOOKUP($K581&amp;$U581,CUR_RATES!$A$2:$F$521,4,0))),"")</f>
        <v/>
      </c>
      <c r="N581" s="61" t="str">
        <f t="shared" si="76"/>
        <v/>
      </c>
      <c r="O581" s="68" t="str">
        <f t="shared" si="77"/>
        <v/>
      </c>
      <c r="P581" s="24"/>
      <c r="Q581" s="2" t="str">
        <f>IF(ROW(Q581)-ROW($E$1)&lt;=$B$4,INDEX(IDX_COMPO!F:F,ROW(IDX_COMPO!#REF!)),"")</f>
        <v/>
      </c>
      <c r="R581" s="68" t="str">
        <f t="shared" si="78"/>
        <v/>
      </c>
      <c r="S581" s="61" t="str">
        <f t="shared" si="79"/>
        <v/>
      </c>
      <c r="T581" s="62" t="str">
        <f>IF(D581&lt;&gt;"",IF(SUMPRODUCT(--($E581=STK_DIV!$A$2:$A$5),--(NXT_COMPO!$Q581=STK_DIV!$E$2:$E$5),ROW(STK_DIV!$D$2:$D$5))=0,"",INDEX(STK_DIV!$D$1:$D$5,SUMPRODUCT(--($E581=STK_DIV!$A$2:$A$5),--(NXT_COMPO!$Q581=STK_DIV!$E$2:$E$5),ROW(STK_DIV!$D$2:$D$5)))),"")</f>
        <v/>
      </c>
      <c r="U581" s="54" t="str">
        <f>IF($D581&lt;&gt;"",VLOOKUP($P581,IDX_REF!$2:$1048576,4,0),"")</f>
        <v/>
      </c>
    </row>
    <row r="582" spans="4:21" x14ac:dyDescent="0.2">
      <c r="D582" s="52" t="str">
        <f t="shared" si="74"/>
        <v/>
      </c>
      <c r="E582" s="5" t="str">
        <f t="shared" si="75"/>
        <v/>
      </c>
      <c r="F582" s="5" t="str">
        <f>IF(ROW(F582)-ROW($E$1)&lt;=$B$1-$B$2,INDEX(IDX_COMPO!B:B,ROW(IDX_COMPO!#REF!)),IF(ROW(E582)-ROW($E$1)&lt;=$B$4,VLOOKUP(E582,STK_REF!$A$2:$J$1048576,2,0),""))</f>
        <v/>
      </c>
      <c r="J582" s="62" t="str">
        <f>IF($D582&lt;=$B$1-$B$2,IF(INDEX($AA$2:$AA$1048576,MATCH($D582,$AB$2:$AB$1048576,0))="MODIFY",INDEX(IDX_CA!$G$1:$G$1041,SUMPRODUCT(--($E582=IDX_CA!$A$2:$A$1041),--(NXT_COMPO!$P582=IDX_CA!$B$2:$B$1041),--(NXT_COMPO!$Q582=IDX_CA!$C$2:$C$1041),ROW(IDX_CA!$G$2:$G$1041))),INDEX(IDX_COMPOSITION!$F$1:$F$441,SUMPRODUCT(--($E582=IDX_COMPOSITION!$A$2:$A$441),--(NXT_COMPO!$P582=IDX_COMPOSITION!$R$2:$R$441),--(NXT_COMPO!$B$5=IDX_COMPOSITION!$L$2:$L$441),ROW(IDX_COMPOSITION!$F$2:$F$441)))),IF($D582&lt;=$B$4,INDEX(IDX_CA!$G$1:$G$1041,SUMPRODUCT(--($E582=IDX_CA!$A$2:$A$1041),--(NXT_COMPO!$P582=IDX_CA!$B$2:$B$1041),--(NXT_COMPO!$Q582=IDX_CA!$C$2:$C$1041),ROW(IDX_CA!$G$2:$G$1041))),""))</f>
        <v/>
      </c>
      <c r="K582" s="63" t="str">
        <f>IF($D582&lt;&gt;"",VLOOKUP($E582,STK_REF!$A$2:$J$1048576,7,0),"")</f>
        <v/>
      </c>
      <c r="L582" s="5" t="str">
        <f>IF($D582&lt;&gt;"",VLOOKUP($E582,STK_REF!$A$2:$J$1048576,8,0),"")</f>
        <v/>
      </c>
      <c r="M582" s="8" t="str">
        <f>IF($D582&lt;&gt;"",IF($K582=$U582,1,IF(ISNA(VLOOKUP($K582&amp;$U582,CUR_RATES!$A$2:$F$521,4,0)),"",VLOOKUP($K582&amp;$U582,CUR_RATES!$A$2:$F$521,4,0))),"")</f>
        <v/>
      </c>
      <c r="N582" s="61" t="str">
        <f t="shared" si="76"/>
        <v/>
      </c>
      <c r="O582" s="68" t="str">
        <f t="shared" si="77"/>
        <v/>
      </c>
      <c r="P582" s="24"/>
      <c r="Q582" s="2" t="str">
        <f>IF(ROW(Q582)-ROW($E$1)&lt;=$B$4,INDEX(IDX_COMPO!F:F,ROW(IDX_COMPO!#REF!)),"")</f>
        <v/>
      </c>
      <c r="R582" s="68" t="str">
        <f t="shared" si="78"/>
        <v/>
      </c>
      <c r="S582" s="61" t="str">
        <f t="shared" si="79"/>
        <v/>
      </c>
      <c r="T582" s="62" t="str">
        <f>IF(D582&lt;&gt;"",IF(SUMPRODUCT(--($E582=STK_DIV!$A$2:$A$5),--(NXT_COMPO!$Q582=STK_DIV!$E$2:$E$5),ROW(STK_DIV!$D$2:$D$5))=0,"",INDEX(STK_DIV!$D$1:$D$5,SUMPRODUCT(--($E582=STK_DIV!$A$2:$A$5),--(NXT_COMPO!$Q582=STK_DIV!$E$2:$E$5),ROW(STK_DIV!$D$2:$D$5)))),"")</f>
        <v/>
      </c>
      <c r="U582" s="54" t="str">
        <f>IF($D582&lt;&gt;"",VLOOKUP($P582,IDX_REF!$2:$1048576,4,0),"")</f>
        <v/>
      </c>
    </row>
    <row r="583" spans="4:21" x14ac:dyDescent="0.2">
      <c r="D583" s="52" t="str">
        <f t="shared" si="74"/>
        <v/>
      </c>
      <c r="E583" s="5" t="str">
        <f t="shared" si="75"/>
        <v/>
      </c>
      <c r="F583" s="5" t="str">
        <f>IF(ROW(F583)-ROW($E$1)&lt;=$B$1-$B$2,INDEX(IDX_COMPO!B:B,ROW(IDX_COMPO!#REF!)),IF(ROW(E583)-ROW($E$1)&lt;=$B$4,VLOOKUP(E583,STK_REF!$A$2:$J$1048576,2,0),""))</f>
        <v/>
      </c>
      <c r="J583" s="62" t="str">
        <f>IF($D583&lt;=$B$1-$B$2,IF(INDEX($AA$2:$AA$1048576,MATCH($D583,$AB$2:$AB$1048576,0))="MODIFY",INDEX(IDX_CA!$G$1:$G$1041,SUMPRODUCT(--($E583=IDX_CA!$A$2:$A$1041),--(NXT_COMPO!$P583=IDX_CA!$B$2:$B$1041),--(NXT_COMPO!$Q583=IDX_CA!$C$2:$C$1041),ROW(IDX_CA!$G$2:$G$1041))),INDEX(IDX_COMPOSITION!$F$1:$F$441,SUMPRODUCT(--($E583=IDX_COMPOSITION!$A$2:$A$441),--(NXT_COMPO!$P583=IDX_COMPOSITION!$R$2:$R$441),--(NXT_COMPO!$B$5=IDX_COMPOSITION!$L$2:$L$441),ROW(IDX_COMPOSITION!$F$2:$F$441)))),IF($D583&lt;=$B$4,INDEX(IDX_CA!$G$1:$G$1041,SUMPRODUCT(--($E583=IDX_CA!$A$2:$A$1041),--(NXT_COMPO!$P583=IDX_CA!$B$2:$B$1041),--(NXT_COMPO!$Q583=IDX_CA!$C$2:$C$1041),ROW(IDX_CA!$G$2:$G$1041))),""))</f>
        <v/>
      </c>
      <c r="K583" s="63" t="str">
        <f>IF($D583&lt;&gt;"",VLOOKUP($E583,STK_REF!$A$2:$J$1048576,7,0),"")</f>
        <v/>
      </c>
      <c r="L583" s="5" t="str">
        <f>IF($D583&lt;&gt;"",VLOOKUP($E583,STK_REF!$A$2:$J$1048576,8,0),"")</f>
        <v/>
      </c>
      <c r="M583" s="8" t="str">
        <f>IF($D583&lt;&gt;"",IF($K583=$U583,1,IF(ISNA(VLOOKUP($K583&amp;$U583,CUR_RATES!$A$2:$F$521,4,0)),"",VLOOKUP($K583&amp;$U583,CUR_RATES!$A$2:$F$521,4,0))),"")</f>
        <v/>
      </c>
      <c r="N583" s="61" t="str">
        <f t="shared" si="76"/>
        <v/>
      </c>
      <c r="O583" s="68" t="str">
        <f t="shared" si="77"/>
        <v/>
      </c>
      <c r="P583" s="24"/>
      <c r="Q583" s="2" t="str">
        <f>IF(ROW(Q583)-ROW($E$1)&lt;=$B$4,INDEX(IDX_COMPO!F:F,ROW(IDX_COMPO!#REF!)),"")</f>
        <v/>
      </c>
      <c r="R583" s="68" t="str">
        <f t="shared" si="78"/>
        <v/>
      </c>
      <c r="S583" s="61" t="str">
        <f t="shared" si="79"/>
        <v/>
      </c>
      <c r="T583" s="62" t="str">
        <f>IF(D583&lt;&gt;"",IF(SUMPRODUCT(--($E583=STK_DIV!$A$2:$A$5),--(NXT_COMPO!$Q583=STK_DIV!$E$2:$E$5),ROW(STK_DIV!$D$2:$D$5))=0,"",INDEX(STK_DIV!$D$1:$D$5,SUMPRODUCT(--($E583=STK_DIV!$A$2:$A$5),--(NXT_COMPO!$Q583=STK_DIV!$E$2:$E$5),ROW(STK_DIV!$D$2:$D$5)))),"")</f>
        <v/>
      </c>
      <c r="U583" s="54" t="str">
        <f>IF($D583&lt;&gt;"",VLOOKUP($P583,IDX_REF!$2:$1048576,4,0),"")</f>
        <v/>
      </c>
    </row>
    <row r="584" spans="4:21" x14ac:dyDescent="0.2">
      <c r="D584" s="52" t="str">
        <f t="shared" si="74"/>
        <v/>
      </c>
      <c r="E584" s="5" t="str">
        <f t="shared" si="75"/>
        <v/>
      </c>
      <c r="F584" s="5" t="str">
        <f>IF(ROW(F584)-ROW($E$1)&lt;=$B$1-$B$2,INDEX(IDX_COMPO!B:B,ROW(IDX_COMPO!#REF!)),IF(ROW(E584)-ROW($E$1)&lt;=$B$4,VLOOKUP(E584,STK_REF!$A$2:$J$1048576,2,0),""))</f>
        <v/>
      </c>
      <c r="J584" s="62" t="str">
        <f>IF($D584&lt;=$B$1-$B$2,IF(INDEX($AA$2:$AA$1048576,MATCH($D584,$AB$2:$AB$1048576,0))="MODIFY",INDEX(IDX_CA!$G$1:$G$1041,SUMPRODUCT(--($E584=IDX_CA!$A$2:$A$1041),--(NXT_COMPO!$P584=IDX_CA!$B$2:$B$1041),--(NXT_COMPO!$Q584=IDX_CA!$C$2:$C$1041),ROW(IDX_CA!$G$2:$G$1041))),INDEX(IDX_COMPOSITION!$F$1:$F$441,SUMPRODUCT(--($E584=IDX_COMPOSITION!$A$2:$A$441),--(NXT_COMPO!$P584=IDX_COMPOSITION!$R$2:$R$441),--(NXT_COMPO!$B$5=IDX_COMPOSITION!$L$2:$L$441),ROW(IDX_COMPOSITION!$F$2:$F$441)))),IF($D584&lt;=$B$4,INDEX(IDX_CA!$G$1:$G$1041,SUMPRODUCT(--($E584=IDX_CA!$A$2:$A$1041),--(NXT_COMPO!$P584=IDX_CA!$B$2:$B$1041),--(NXT_COMPO!$Q584=IDX_CA!$C$2:$C$1041),ROW(IDX_CA!$G$2:$G$1041))),""))</f>
        <v/>
      </c>
      <c r="K584" s="63" t="str">
        <f>IF($D584&lt;&gt;"",VLOOKUP($E584,STK_REF!$A$2:$J$1048576,7,0),"")</f>
        <v/>
      </c>
      <c r="L584" s="5" t="str">
        <f>IF($D584&lt;&gt;"",VLOOKUP($E584,STK_REF!$A$2:$J$1048576,8,0),"")</f>
        <v/>
      </c>
      <c r="M584" s="8" t="str">
        <f>IF($D584&lt;&gt;"",IF($K584=$U584,1,IF(ISNA(VLOOKUP($K584&amp;$U584,CUR_RATES!$A$2:$F$521,4,0)),"",VLOOKUP($K584&amp;$U584,CUR_RATES!$A$2:$F$521,4,0))),"")</f>
        <v/>
      </c>
      <c r="N584" s="61" t="str">
        <f t="shared" si="76"/>
        <v/>
      </c>
      <c r="O584" s="68" t="str">
        <f t="shared" si="77"/>
        <v/>
      </c>
      <c r="P584" s="24"/>
      <c r="Q584" s="2" t="str">
        <f>IF(ROW(Q584)-ROW($E$1)&lt;=$B$4,INDEX(IDX_COMPO!F:F,ROW(IDX_COMPO!#REF!)),"")</f>
        <v/>
      </c>
      <c r="R584" s="68" t="str">
        <f t="shared" si="78"/>
        <v/>
      </c>
      <c r="S584" s="61" t="str">
        <f t="shared" si="79"/>
        <v/>
      </c>
      <c r="T584" s="62" t="str">
        <f>IF(D584&lt;&gt;"",IF(SUMPRODUCT(--($E584=STK_DIV!$A$2:$A$5),--(NXT_COMPO!$Q584=STK_DIV!$E$2:$E$5),ROW(STK_DIV!$D$2:$D$5))=0,"",INDEX(STK_DIV!$D$1:$D$5,SUMPRODUCT(--($E584=STK_DIV!$A$2:$A$5),--(NXT_COMPO!$Q584=STK_DIV!$E$2:$E$5),ROW(STK_DIV!$D$2:$D$5)))),"")</f>
        <v/>
      </c>
      <c r="U584" s="54" t="str">
        <f>IF($D584&lt;&gt;"",VLOOKUP($P584,IDX_REF!$2:$1048576,4,0),"")</f>
        <v/>
      </c>
    </row>
    <row r="585" spans="4:21" x14ac:dyDescent="0.2">
      <c r="D585" s="52" t="str">
        <f t="shared" si="74"/>
        <v/>
      </c>
      <c r="E585" s="5" t="str">
        <f t="shared" si="75"/>
        <v/>
      </c>
      <c r="F585" s="5" t="str">
        <f>IF(ROW(F585)-ROW($E$1)&lt;=$B$1-$B$2,INDEX(IDX_COMPO!B:B,ROW(IDX_COMPO!#REF!)),IF(ROW(E585)-ROW($E$1)&lt;=$B$4,VLOOKUP(E585,STK_REF!$A$2:$J$1048576,2,0),""))</f>
        <v/>
      </c>
      <c r="J585" s="62" t="str">
        <f>IF($D585&lt;=$B$1-$B$2,IF(INDEX($AA$2:$AA$1048576,MATCH($D585,$AB$2:$AB$1048576,0))="MODIFY",INDEX(IDX_CA!$G$1:$G$1041,SUMPRODUCT(--($E585=IDX_CA!$A$2:$A$1041),--(NXT_COMPO!$P585=IDX_CA!$B$2:$B$1041),--(NXT_COMPO!$Q585=IDX_CA!$C$2:$C$1041),ROW(IDX_CA!$G$2:$G$1041))),INDEX(IDX_COMPOSITION!$F$1:$F$441,SUMPRODUCT(--($E585=IDX_COMPOSITION!$A$2:$A$441),--(NXT_COMPO!$P585=IDX_COMPOSITION!$R$2:$R$441),--(NXT_COMPO!$B$5=IDX_COMPOSITION!$L$2:$L$441),ROW(IDX_COMPOSITION!$F$2:$F$441)))),IF($D585&lt;=$B$4,INDEX(IDX_CA!$G$1:$G$1041,SUMPRODUCT(--($E585=IDX_CA!$A$2:$A$1041),--(NXT_COMPO!$P585=IDX_CA!$B$2:$B$1041),--(NXT_COMPO!$Q585=IDX_CA!$C$2:$C$1041),ROW(IDX_CA!$G$2:$G$1041))),""))</f>
        <v/>
      </c>
      <c r="K585" s="63" t="str">
        <f>IF($D585&lt;&gt;"",VLOOKUP($E585,STK_REF!$A$2:$J$1048576,7,0),"")</f>
        <v/>
      </c>
      <c r="L585" s="5" t="str">
        <f>IF($D585&lt;&gt;"",VLOOKUP($E585,STK_REF!$A$2:$J$1048576,8,0),"")</f>
        <v/>
      </c>
      <c r="M585" s="8" t="str">
        <f>IF($D585&lt;&gt;"",IF($K585=$U585,1,IF(ISNA(VLOOKUP($K585&amp;$U585,CUR_RATES!$A$2:$F$521,4,0)),"",VLOOKUP($K585&amp;$U585,CUR_RATES!$A$2:$F$521,4,0))),"")</f>
        <v/>
      </c>
      <c r="N585" s="61" t="str">
        <f t="shared" si="76"/>
        <v/>
      </c>
      <c r="O585" s="68" t="str">
        <f t="shared" si="77"/>
        <v/>
      </c>
      <c r="P585" s="24"/>
      <c r="Q585" s="2" t="str">
        <f>IF(ROW(Q585)-ROW($E$1)&lt;=$B$4,INDEX(IDX_COMPO!F:F,ROW(IDX_COMPO!#REF!)),"")</f>
        <v/>
      </c>
      <c r="R585" s="68" t="str">
        <f t="shared" si="78"/>
        <v/>
      </c>
      <c r="S585" s="61" t="str">
        <f t="shared" si="79"/>
        <v/>
      </c>
      <c r="T585" s="62" t="str">
        <f>IF(D585&lt;&gt;"",IF(SUMPRODUCT(--($E585=STK_DIV!$A$2:$A$5),--(NXT_COMPO!$Q585=STK_DIV!$E$2:$E$5),ROW(STK_DIV!$D$2:$D$5))=0,"",INDEX(STK_DIV!$D$1:$D$5,SUMPRODUCT(--($E585=STK_DIV!$A$2:$A$5),--(NXT_COMPO!$Q585=STK_DIV!$E$2:$E$5),ROW(STK_DIV!$D$2:$D$5)))),"")</f>
        <v/>
      </c>
      <c r="U585" s="54" t="str">
        <f>IF($D585&lt;&gt;"",VLOOKUP($P585,IDX_REF!$2:$1048576,4,0),"")</f>
        <v/>
      </c>
    </row>
    <row r="586" spans="4:21" x14ac:dyDescent="0.2">
      <c r="D586" s="52" t="str">
        <f t="shared" si="74"/>
        <v/>
      </c>
      <c r="E586" s="5" t="str">
        <f t="shared" si="75"/>
        <v/>
      </c>
      <c r="F586" s="5" t="str">
        <f>IF(ROW(F586)-ROW($E$1)&lt;=$B$1-$B$2,INDEX(IDX_COMPO!B:B,ROW(IDX_COMPO!#REF!)),IF(ROW(E586)-ROW($E$1)&lt;=$B$4,VLOOKUP(E586,STK_REF!$A$2:$J$1048576,2,0),""))</f>
        <v/>
      </c>
      <c r="J586" s="62" t="str">
        <f>IF($D586&lt;=$B$1-$B$2,IF(INDEX($AA$2:$AA$1048576,MATCH($D586,$AB$2:$AB$1048576,0))="MODIFY",INDEX(IDX_CA!$G$1:$G$1041,SUMPRODUCT(--($E586=IDX_CA!$A$2:$A$1041),--(NXT_COMPO!$P586=IDX_CA!$B$2:$B$1041),--(NXT_COMPO!$Q586=IDX_CA!$C$2:$C$1041),ROW(IDX_CA!$G$2:$G$1041))),INDEX(IDX_COMPOSITION!$F$1:$F$441,SUMPRODUCT(--($E586=IDX_COMPOSITION!$A$2:$A$441),--(NXT_COMPO!$P586=IDX_COMPOSITION!$R$2:$R$441),--(NXT_COMPO!$B$5=IDX_COMPOSITION!$L$2:$L$441),ROW(IDX_COMPOSITION!$F$2:$F$441)))),IF($D586&lt;=$B$4,INDEX(IDX_CA!$G$1:$G$1041,SUMPRODUCT(--($E586=IDX_CA!$A$2:$A$1041),--(NXT_COMPO!$P586=IDX_CA!$B$2:$B$1041),--(NXT_COMPO!$Q586=IDX_CA!$C$2:$C$1041),ROW(IDX_CA!$G$2:$G$1041))),""))</f>
        <v/>
      </c>
      <c r="K586" s="63" t="str">
        <f>IF($D586&lt;&gt;"",VLOOKUP($E586,STK_REF!$A$2:$J$1048576,7,0),"")</f>
        <v/>
      </c>
      <c r="L586" s="5" t="str">
        <f>IF($D586&lt;&gt;"",VLOOKUP($E586,STK_REF!$A$2:$J$1048576,8,0),"")</f>
        <v/>
      </c>
      <c r="M586" s="8" t="str">
        <f>IF($D586&lt;&gt;"",IF($K586=$U586,1,IF(ISNA(VLOOKUP($K586&amp;$U586,CUR_RATES!$A$2:$F$521,4,0)),"",VLOOKUP($K586&amp;$U586,CUR_RATES!$A$2:$F$521,4,0))),"")</f>
        <v/>
      </c>
      <c r="N586" s="61" t="str">
        <f t="shared" si="76"/>
        <v/>
      </c>
      <c r="O586" s="68" t="str">
        <f t="shared" si="77"/>
        <v/>
      </c>
      <c r="P586" s="24"/>
      <c r="Q586" s="2" t="str">
        <f>IF(ROW(Q586)-ROW($E$1)&lt;=$B$4,INDEX(IDX_COMPO!F:F,ROW(IDX_COMPO!#REF!)),"")</f>
        <v/>
      </c>
      <c r="R586" s="68" t="str">
        <f t="shared" si="78"/>
        <v/>
      </c>
      <c r="S586" s="61" t="str">
        <f t="shared" si="79"/>
        <v/>
      </c>
      <c r="T586" s="62" t="str">
        <f>IF(D586&lt;&gt;"",IF(SUMPRODUCT(--($E586=STK_DIV!$A$2:$A$5),--(NXT_COMPO!$Q586=STK_DIV!$E$2:$E$5),ROW(STK_DIV!$D$2:$D$5))=0,"",INDEX(STK_DIV!$D$1:$D$5,SUMPRODUCT(--($E586=STK_DIV!$A$2:$A$5),--(NXT_COMPO!$Q586=STK_DIV!$E$2:$E$5),ROW(STK_DIV!$D$2:$D$5)))),"")</f>
        <v/>
      </c>
      <c r="U586" s="54" t="str">
        <f>IF($D586&lt;&gt;"",VLOOKUP($P586,IDX_REF!$2:$1048576,4,0),"")</f>
        <v/>
      </c>
    </row>
    <row r="587" spans="4:21" x14ac:dyDescent="0.2">
      <c r="D587" s="52" t="str">
        <f t="shared" si="74"/>
        <v/>
      </c>
      <c r="E587" s="5" t="str">
        <f t="shared" si="75"/>
        <v/>
      </c>
      <c r="F587" s="5" t="str">
        <f>IF(ROW(F587)-ROW($E$1)&lt;=$B$1-$B$2,INDEX(IDX_COMPO!B:B,ROW(IDX_COMPO!#REF!)),IF(ROW(E587)-ROW($E$1)&lt;=$B$4,VLOOKUP(E587,STK_REF!$A$2:$J$1048576,2,0),""))</f>
        <v/>
      </c>
      <c r="J587" s="62" t="str">
        <f>IF($D587&lt;=$B$1-$B$2,IF(INDEX($AA$2:$AA$1048576,MATCH($D587,$AB$2:$AB$1048576,0))="MODIFY",INDEX(IDX_CA!$G$1:$G$1041,SUMPRODUCT(--($E587=IDX_CA!$A$2:$A$1041),--(NXT_COMPO!$P587=IDX_CA!$B$2:$B$1041),--(NXT_COMPO!$Q587=IDX_CA!$C$2:$C$1041),ROW(IDX_CA!$G$2:$G$1041))),INDEX(IDX_COMPOSITION!$F$1:$F$441,SUMPRODUCT(--($E587=IDX_COMPOSITION!$A$2:$A$441),--(NXT_COMPO!$P587=IDX_COMPOSITION!$R$2:$R$441),--(NXT_COMPO!$B$5=IDX_COMPOSITION!$L$2:$L$441),ROW(IDX_COMPOSITION!$F$2:$F$441)))),IF($D587&lt;=$B$4,INDEX(IDX_CA!$G$1:$G$1041,SUMPRODUCT(--($E587=IDX_CA!$A$2:$A$1041),--(NXT_COMPO!$P587=IDX_CA!$B$2:$B$1041),--(NXT_COMPO!$Q587=IDX_CA!$C$2:$C$1041),ROW(IDX_CA!$G$2:$G$1041))),""))</f>
        <v/>
      </c>
      <c r="K587" s="63" t="str">
        <f>IF($D587&lt;&gt;"",VLOOKUP($E587,STK_REF!$A$2:$J$1048576,7,0),"")</f>
        <v/>
      </c>
      <c r="L587" s="5" t="str">
        <f>IF($D587&lt;&gt;"",VLOOKUP($E587,STK_REF!$A$2:$J$1048576,8,0),"")</f>
        <v/>
      </c>
      <c r="M587" s="8" t="str">
        <f>IF($D587&lt;&gt;"",IF($K587=$U587,1,IF(ISNA(VLOOKUP($K587&amp;$U587,CUR_RATES!$A$2:$F$521,4,0)),"",VLOOKUP($K587&amp;$U587,CUR_RATES!$A$2:$F$521,4,0))),"")</f>
        <v/>
      </c>
      <c r="N587" s="61" t="str">
        <f t="shared" si="76"/>
        <v/>
      </c>
      <c r="O587" s="68" t="str">
        <f t="shared" si="77"/>
        <v/>
      </c>
      <c r="P587" s="24"/>
      <c r="Q587" s="2" t="str">
        <f>IF(ROW(Q587)-ROW($E$1)&lt;=$B$4,INDEX(IDX_COMPO!F:F,ROW(IDX_COMPO!#REF!)),"")</f>
        <v/>
      </c>
      <c r="R587" s="68" t="str">
        <f t="shared" si="78"/>
        <v/>
      </c>
      <c r="S587" s="61" t="str">
        <f t="shared" si="79"/>
        <v/>
      </c>
      <c r="T587" s="62" t="str">
        <f>IF(D587&lt;&gt;"",IF(SUMPRODUCT(--($E587=STK_DIV!$A$2:$A$5),--(NXT_COMPO!$Q587=STK_DIV!$E$2:$E$5),ROW(STK_DIV!$D$2:$D$5))=0,"",INDEX(STK_DIV!$D$1:$D$5,SUMPRODUCT(--($E587=STK_DIV!$A$2:$A$5),--(NXT_COMPO!$Q587=STK_DIV!$E$2:$E$5),ROW(STK_DIV!$D$2:$D$5)))),"")</f>
        <v/>
      </c>
      <c r="U587" s="54" t="str">
        <f>IF($D587&lt;&gt;"",VLOOKUP($P587,IDX_REF!$2:$1048576,4,0),"")</f>
        <v/>
      </c>
    </row>
    <row r="588" spans="4:21" x14ac:dyDescent="0.2">
      <c r="D588" s="52" t="str">
        <f t="shared" si="74"/>
        <v/>
      </c>
      <c r="E588" s="5" t="str">
        <f t="shared" si="75"/>
        <v/>
      </c>
      <c r="F588" s="5" t="str">
        <f>IF(ROW(F588)-ROW($E$1)&lt;=$B$1-$B$2,INDEX(IDX_COMPO!B:B,ROW(IDX_COMPO!#REF!)),IF(ROW(E588)-ROW($E$1)&lt;=$B$4,VLOOKUP(E588,STK_REF!$A$2:$J$1048576,2,0),""))</f>
        <v/>
      </c>
      <c r="J588" s="62" t="str">
        <f>IF($D588&lt;=$B$1-$B$2,IF(INDEX($AA$2:$AA$1048576,MATCH($D588,$AB$2:$AB$1048576,0))="MODIFY",INDEX(IDX_CA!$G$1:$G$1041,SUMPRODUCT(--($E588=IDX_CA!$A$2:$A$1041),--(NXT_COMPO!$P588=IDX_CA!$B$2:$B$1041),--(NXT_COMPO!$Q588=IDX_CA!$C$2:$C$1041),ROW(IDX_CA!$G$2:$G$1041))),INDEX(IDX_COMPOSITION!$F$1:$F$441,SUMPRODUCT(--($E588=IDX_COMPOSITION!$A$2:$A$441),--(NXT_COMPO!$P588=IDX_COMPOSITION!$R$2:$R$441),--(NXT_COMPO!$B$5=IDX_COMPOSITION!$L$2:$L$441),ROW(IDX_COMPOSITION!$F$2:$F$441)))),IF($D588&lt;=$B$4,INDEX(IDX_CA!$G$1:$G$1041,SUMPRODUCT(--($E588=IDX_CA!$A$2:$A$1041),--(NXT_COMPO!$P588=IDX_CA!$B$2:$B$1041),--(NXT_COMPO!$Q588=IDX_CA!$C$2:$C$1041),ROW(IDX_CA!$G$2:$G$1041))),""))</f>
        <v/>
      </c>
      <c r="K588" s="63" t="str">
        <f>IF($D588&lt;&gt;"",VLOOKUP($E588,STK_REF!$A$2:$J$1048576,7,0),"")</f>
        <v/>
      </c>
      <c r="L588" s="5" t="str">
        <f>IF($D588&lt;&gt;"",VLOOKUP($E588,STK_REF!$A$2:$J$1048576,8,0),"")</f>
        <v/>
      </c>
      <c r="M588" s="8" t="str">
        <f>IF($D588&lt;&gt;"",IF($K588=$U588,1,IF(ISNA(VLOOKUP($K588&amp;$U588,CUR_RATES!$A$2:$F$521,4,0)),"",VLOOKUP($K588&amp;$U588,CUR_RATES!$A$2:$F$521,4,0))),"")</f>
        <v/>
      </c>
      <c r="N588" s="61" t="str">
        <f t="shared" si="76"/>
        <v/>
      </c>
      <c r="O588" s="68" t="str">
        <f t="shared" si="77"/>
        <v/>
      </c>
      <c r="P588" s="24"/>
      <c r="Q588" s="2" t="str">
        <f>IF(ROW(Q588)-ROW($E$1)&lt;=$B$4,INDEX(IDX_COMPO!F:F,ROW(IDX_COMPO!#REF!)),"")</f>
        <v/>
      </c>
      <c r="R588" s="68" t="str">
        <f t="shared" si="78"/>
        <v/>
      </c>
      <c r="S588" s="61" t="str">
        <f t="shared" si="79"/>
        <v/>
      </c>
      <c r="T588" s="62" t="str">
        <f>IF(D588&lt;&gt;"",IF(SUMPRODUCT(--($E588=STK_DIV!$A$2:$A$5),--(NXT_COMPO!$Q588=STK_DIV!$E$2:$E$5),ROW(STK_DIV!$D$2:$D$5))=0,"",INDEX(STK_DIV!$D$1:$D$5,SUMPRODUCT(--($E588=STK_DIV!$A$2:$A$5),--(NXT_COMPO!$Q588=STK_DIV!$E$2:$E$5),ROW(STK_DIV!$D$2:$D$5)))),"")</f>
        <v/>
      </c>
      <c r="U588" s="54" t="str">
        <f>IF($D588&lt;&gt;"",VLOOKUP($P588,IDX_REF!$2:$1048576,4,0),"")</f>
        <v/>
      </c>
    </row>
    <row r="589" spans="4:21" x14ac:dyDescent="0.2">
      <c r="D589" s="52" t="str">
        <f t="shared" si="74"/>
        <v/>
      </c>
      <c r="E589" s="5" t="str">
        <f t="shared" si="75"/>
        <v/>
      </c>
      <c r="F589" s="5" t="str">
        <f>IF(ROW(F589)-ROW($E$1)&lt;=$B$1-$B$2,INDEX(IDX_COMPO!B:B,ROW(IDX_COMPO!#REF!)),IF(ROW(E589)-ROW($E$1)&lt;=$B$4,VLOOKUP(E589,STK_REF!$A$2:$J$1048576,2,0),""))</f>
        <v/>
      </c>
      <c r="J589" s="62" t="str">
        <f>IF($D589&lt;=$B$1-$B$2,IF(INDEX($AA$2:$AA$1048576,MATCH($D589,$AB$2:$AB$1048576,0))="MODIFY",INDEX(IDX_CA!$G$1:$G$1041,SUMPRODUCT(--($E589=IDX_CA!$A$2:$A$1041),--(NXT_COMPO!$P589=IDX_CA!$B$2:$B$1041),--(NXT_COMPO!$Q589=IDX_CA!$C$2:$C$1041),ROW(IDX_CA!$G$2:$G$1041))),INDEX(IDX_COMPOSITION!$F$1:$F$441,SUMPRODUCT(--($E589=IDX_COMPOSITION!$A$2:$A$441),--(NXT_COMPO!$P589=IDX_COMPOSITION!$R$2:$R$441),--(NXT_COMPO!$B$5=IDX_COMPOSITION!$L$2:$L$441),ROW(IDX_COMPOSITION!$F$2:$F$441)))),IF($D589&lt;=$B$4,INDEX(IDX_CA!$G$1:$G$1041,SUMPRODUCT(--($E589=IDX_CA!$A$2:$A$1041),--(NXT_COMPO!$P589=IDX_CA!$B$2:$B$1041),--(NXT_COMPO!$Q589=IDX_CA!$C$2:$C$1041),ROW(IDX_CA!$G$2:$G$1041))),""))</f>
        <v/>
      </c>
      <c r="K589" s="63" t="str">
        <f>IF($D589&lt;&gt;"",VLOOKUP($E589,STK_REF!$A$2:$J$1048576,7,0),"")</f>
        <v/>
      </c>
      <c r="L589" s="5" t="str">
        <f>IF($D589&lt;&gt;"",VLOOKUP($E589,STK_REF!$A$2:$J$1048576,8,0),"")</f>
        <v/>
      </c>
      <c r="M589" s="8" t="str">
        <f>IF($D589&lt;&gt;"",IF($K589=$U589,1,IF(ISNA(VLOOKUP($K589&amp;$U589,CUR_RATES!$A$2:$F$521,4,0)),"",VLOOKUP($K589&amp;$U589,CUR_RATES!$A$2:$F$521,4,0))),"")</f>
        <v/>
      </c>
      <c r="N589" s="61" t="str">
        <f t="shared" si="76"/>
        <v/>
      </c>
      <c r="O589" s="68" t="str">
        <f t="shared" si="77"/>
        <v/>
      </c>
      <c r="P589" s="24"/>
      <c r="Q589" s="2" t="str">
        <f>IF(ROW(Q589)-ROW($E$1)&lt;=$B$4,INDEX(IDX_COMPO!F:F,ROW(IDX_COMPO!#REF!)),"")</f>
        <v/>
      </c>
      <c r="R589" s="68" t="str">
        <f t="shared" si="78"/>
        <v/>
      </c>
      <c r="S589" s="61" t="str">
        <f t="shared" si="79"/>
        <v/>
      </c>
      <c r="T589" s="62" t="str">
        <f>IF(D589&lt;&gt;"",IF(SUMPRODUCT(--($E589=STK_DIV!$A$2:$A$5),--(NXT_COMPO!$Q589=STK_DIV!$E$2:$E$5),ROW(STK_DIV!$D$2:$D$5))=0,"",INDEX(STK_DIV!$D$1:$D$5,SUMPRODUCT(--($E589=STK_DIV!$A$2:$A$5),--(NXT_COMPO!$Q589=STK_DIV!$E$2:$E$5),ROW(STK_DIV!$D$2:$D$5)))),"")</f>
        <v/>
      </c>
      <c r="U589" s="54" t="str">
        <f>IF($D589&lt;&gt;"",VLOOKUP($P589,IDX_REF!$2:$1048576,4,0),"")</f>
        <v/>
      </c>
    </row>
    <row r="590" spans="4:21" x14ac:dyDescent="0.2">
      <c r="D590" s="52" t="str">
        <f t="shared" si="74"/>
        <v/>
      </c>
      <c r="E590" s="5" t="str">
        <f t="shared" si="75"/>
        <v/>
      </c>
      <c r="F590" s="5" t="str">
        <f>IF(ROW(F590)-ROW($E$1)&lt;=$B$1-$B$2,INDEX(IDX_COMPO!B:B,ROW(IDX_COMPO!#REF!)),IF(ROW(E590)-ROW($E$1)&lt;=$B$4,VLOOKUP(E590,STK_REF!$A$2:$J$1048576,2,0),""))</f>
        <v/>
      </c>
      <c r="J590" s="62" t="str">
        <f>IF($D590&lt;=$B$1-$B$2,IF(INDEX($AA$2:$AA$1048576,MATCH($D590,$AB$2:$AB$1048576,0))="MODIFY",INDEX(IDX_CA!$G$1:$G$1041,SUMPRODUCT(--($E590=IDX_CA!$A$2:$A$1041),--(NXT_COMPO!$P590=IDX_CA!$B$2:$B$1041),--(NXT_COMPO!$Q590=IDX_CA!$C$2:$C$1041),ROW(IDX_CA!$G$2:$G$1041))),INDEX(IDX_COMPOSITION!$F$1:$F$441,SUMPRODUCT(--($E590=IDX_COMPOSITION!$A$2:$A$441),--(NXT_COMPO!$P590=IDX_COMPOSITION!$R$2:$R$441),--(NXT_COMPO!$B$5=IDX_COMPOSITION!$L$2:$L$441),ROW(IDX_COMPOSITION!$F$2:$F$441)))),IF($D590&lt;=$B$4,INDEX(IDX_CA!$G$1:$G$1041,SUMPRODUCT(--($E590=IDX_CA!$A$2:$A$1041),--(NXT_COMPO!$P590=IDX_CA!$B$2:$B$1041),--(NXT_COMPO!$Q590=IDX_CA!$C$2:$C$1041),ROW(IDX_CA!$G$2:$G$1041))),""))</f>
        <v/>
      </c>
      <c r="K590" s="63" t="str">
        <f>IF($D590&lt;&gt;"",VLOOKUP($E590,STK_REF!$A$2:$J$1048576,7,0),"")</f>
        <v/>
      </c>
      <c r="L590" s="5" t="str">
        <f>IF($D590&lt;&gt;"",VLOOKUP($E590,STK_REF!$A$2:$J$1048576,8,0),"")</f>
        <v/>
      </c>
      <c r="M590" s="8" t="str">
        <f>IF($D590&lt;&gt;"",IF($K590=$U590,1,IF(ISNA(VLOOKUP($K590&amp;$U590,CUR_RATES!$A$2:$F$521,4,0)),"",VLOOKUP($K590&amp;$U590,CUR_RATES!$A$2:$F$521,4,0))),"")</f>
        <v/>
      </c>
      <c r="N590" s="61" t="str">
        <f t="shared" si="76"/>
        <v/>
      </c>
      <c r="O590" s="68" t="str">
        <f t="shared" si="77"/>
        <v/>
      </c>
      <c r="P590" s="24"/>
      <c r="Q590" s="2" t="str">
        <f>IF(ROW(Q590)-ROW($E$1)&lt;=$B$4,INDEX(IDX_COMPO!F:F,ROW(IDX_COMPO!#REF!)),"")</f>
        <v/>
      </c>
      <c r="R590" s="68" t="str">
        <f t="shared" si="78"/>
        <v/>
      </c>
      <c r="S590" s="61" t="str">
        <f t="shared" si="79"/>
        <v/>
      </c>
      <c r="T590" s="62" t="str">
        <f>IF(D590&lt;&gt;"",IF(SUMPRODUCT(--($E590=STK_DIV!$A$2:$A$5),--(NXT_COMPO!$Q590=STK_DIV!$E$2:$E$5),ROW(STK_DIV!$D$2:$D$5))=0,"",INDEX(STK_DIV!$D$1:$D$5,SUMPRODUCT(--($E590=STK_DIV!$A$2:$A$5),--(NXT_COMPO!$Q590=STK_DIV!$E$2:$E$5),ROW(STK_DIV!$D$2:$D$5)))),"")</f>
        <v/>
      </c>
      <c r="U590" s="54" t="str">
        <f>IF($D590&lt;&gt;"",VLOOKUP($P590,IDX_REF!$2:$1048576,4,0),"")</f>
        <v/>
      </c>
    </row>
    <row r="591" spans="4:21" x14ac:dyDescent="0.2">
      <c r="D591" s="52" t="str">
        <f t="shared" si="74"/>
        <v/>
      </c>
      <c r="E591" s="5" t="str">
        <f t="shared" si="75"/>
        <v/>
      </c>
      <c r="F591" s="5" t="str">
        <f>IF(ROW(F591)-ROW($E$1)&lt;=$B$1-$B$2,INDEX(IDX_COMPO!B:B,ROW(IDX_COMPO!#REF!)),IF(ROW(E591)-ROW($E$1)&lt;=$B$4,VLOOKUP(E591,STK_REF!$A$2:$J$1048576,2,0),""))</f>
        <v/>
      </c>
      <c r="J591" s="62" t="str">
        <f>IF($D591&lt;=$B$1-$B$2,IF(INDEX($AA$2:$AA$1048576,MATCH($D591,$AB$2:$AB$1048576,0))="MODIFY",INDEX(IDX_CA!$G$1:$G$1041,SUMPRODUCT(--($E591=IDX_CA!$A$2:$A$1041),--(NXT_COMPO!$P591=IDX_CA!$B$2:$B$1041),--(NXT_COMPO!$Q591=IDX_CA!$C$2:$C$1041),ROW(IDX_CA!$G$2:$G$1041))),INDEX(IDX_COMPOSITION!$F$1:$F$441,SUMPRODUCT(--($E591=IDX_COMPOSITION!$A$2:$A$441),--(NXT_COMPO!$P591=IDX_COMPOSITION!$R$2:$R$441),--(NXT_COMPO!$B$5=IDX_COMPOSITION!$L$2:$L$441),ROW(IDX_COMPOSITION!$F$2:$F$441)))),IF($D591&lt;=$B$4,INDEX(IDX_CA!$G$1:$G$1041,SUMPRODUCT(--($E591=IDX_CA!$A$2:$A$1041),--(NXT_COMPO!$P591=IDX_CA!$B$2:$B$1041),--(NXT_COMPO!$Q591=IDX_CA!$C$2:$C$1041),ROW(IDX_CA!$G$2:$G$1041))),""))</f>
        <v/>
      </c>
      <c r="K591" s="63" t="str">
        <f>IF($D591&lt;&gt;"",VLOOKUP($E591,STK_REF!$A$2:$J$1048576,7,0),"")</f>
        <v/>
      </c>
      <c r="L591" s="5" t="str">
        <f>IF($D591&lt;&gt;"",VLOOKUP($E591,STK_REF!$A$2:$J$1048576,8,0),"")</f>
        <v/>
      </c>
      <c r="M591" s="8" t="str">
        <f>IF($D591&lt;&gt;"",IF($K591=$U591,1,IF(ISNA(VLOOKUP($K591&amp;$U591,CUR_RATES!$A$2:$F$521,4,0)),"",VLOOKUP($K591&amp;$U591,CUR_RATES!$A$2:$F$521,4,0))),"")</f>
        <v/>
      </c>
      <c r="N591" s="61" t="str">
        <f t="shared" si="76"/>
        <v/>
      </c>
      <c r="O591" s="68" t="str">
        <f t="shared" si="77"/>
        <v/>
      </c>
      <c r="P591" s="24"/>
      <c r="Q591" s="2" t="str">
        <f>IF(ROW(Q591)-ROW($E$1)&lt;=$B$4,INDEX(IDX_COMPO!F:F,ROW(IDX_COMPO!#REF!)),"")</f>
        <v/>
      </c>
      <c r="R591" s="68" t="str">
        <f t="shared" si="78"/>
        <v/>
      </c>
      <c r="S591" s="61" t="str">
        <f t="shared" si="79"/>
        <v/>
      </c>
      <c r="T591" s="62" t="str">
        <f>IF(D591&lt;&gt;"",IF(SUMPRODUCT(--($E591=STK_DIV!$A$2:$A$5),--(NXT_COMPO!$Q591=STK_DIV!$E$2:$E$5),ROW(STK_DIV!$D$2:$D$5))=0,"",INDEX(STK_DIV!$D$1:$D$5,SUMPRODUCT(--($E591=STK_DIV!$A$2:$A$5),--(NXT_COMPO!$Q591=STK_DIV!$E$2:$E$5),ROW(STK_DIV!$D$2:$D$5)))),"")</f>
        <v/>
      </c>
      <c r="U591" s="54" t="str">
        <f>IF($D591&lt;&gt;"",VLOOKUP($P591,IDX_REF!$2:$1048576,4,0),"")</f>
        <v/>
      </c>
    </row>
    <row r="592" spans="4:21" x14ac:dyDescent="0.2">
      <c r="D592" s="52" t="str">
        <f t="shared" si="74"/>
        <v/>
      </c>
      <c r="E592" s="5" t="str">
        <f t="shared" si="75"/>
        <v/>
      </c>
      <c r="F592" s="5" t="str">
        <f>IF(ROW(F592)-ROW($E$1)&lt;=$B$1-$B$2,INDEX(IDX_COMPO!B:B,ROW(IDX_COMPO!#REF!)),IF(ROW(E592)-ROW($E$1)&lt;=$B$4,VLOOKUP(E592,STK_REF!$A$2:$J$1048576,2,0),""))</f>
        <v/>
      </c>
      <c r="J592" s="62" t="str">
        <f>IF($D592&lt;=$B$1-$B$2,IF(INDEX($AA$2:$AA$1048576,MATCH($D592,$AB$2:$AB$1048576,0))="MODIFY",INDEX(IDX_CA!$G$1:$G$1041,SUMPRODUCT(--($E592=IDX_CA!$A$2:$A$1041),--(NXT_COMPO!$P592=IDX_CA!$B$2:$B$1041),--(NXT_COMPO!$Q592=IDX_CA!$C$2:$C$1041),ROW(IDX_CA!$G$2:$G$1041))),INDEX(IDX_COMPOSITION!$F$1:$F$441,SUMPRODUCT(--($E592=IDX_COMPOSITION!$A$2:$A$441),--(NXT_COMPO!$P592=IDX_COMPOSITION!$R$2:$R$441),--(NXT_COMPO!$B$5=IDX_COMPOSITION!$L$2:$L$441),ROW(IDX_COMPOSITION!$F$2:$F$441)))),IF($D592&lt;=$B$4,INDEX(IDX_CA!$G$1:$G$1041,SUMPRODUCT(--($E592=IDX_CA!$A$2:$A$1041),--(NXT_COMPO!$P592=IDX_CA!$B$2:$B$1041),--(NXT_COMPO!$Q592=IDX_CA!$C$2:$C$1041),ROW(IDX_CA!$G$2:$G$1041))),""))</f>
        <v/>
      </c>
      <c r="K592" s="63" t="str">
        <f>IF($D592&lt;&gt;"",VLOOKUP($E592,STK_REF!$A$2:$J$1048576,7,0),"")</f>
        <v/>
      </c>
      <c r="L592" s="5" t="str">
        <f>IF($D592&lt;&gt;"",VLOOKUP($E592,STK_REF!$A$2:$J$1048576,8,0),"")</f>
        <v/>
      </c>
      <c r="M592" s="8" t="str">
        <f>IF($D592&lt;&gt;"",IF($K592=$U592,1,IF(ISNA(VLOOKUP($K592&amp;$U592,CUR_RATES!$A$2:$F$521,4,0)),"",VLOOKUP($K592&amp;$U592,CUR_RATES!$A$2:$F$521,4,0))),"")</f>
        <v/>
      </c>
      <c r="N592" s="61" t="str">
        <f t="shared" si="76"/>
        <v/>
      </c>
      <c r="O592" s="68" t="str">
        <f t="shared" si="77"/>
        <v/>
      </c>
      <c r="P592" s="24"/>
      <c r="Q592" s="2" t="str">
        <f>IF(ROW(Q592)-ROW($E$1)&lt;=$B$4,INDEX(IDX_COMPO!F:F,ROW(IDX_COMPO!#REF!)),"")</f>
        <v/>
      </c>
      <c r="R592" s="68" t="str">
        <f t="shared" si="78"/>
        <v/>
      </c>
      <c r="S592" s="61" t="str">
        <f t="shared" si="79"/>
        <v/>
      </c>
      <c r="T592" s="62" t="str">
        <f>IF(D592&lt;&gt;"",IF(SUMPRODUCT(--($E592=STK_DIV!$A$2:$A$5),--(NXT_COMPO!$Q592=STK_DIV!$E$2:$E$5),ROW(STK_DIV!$D$2:$D$5))=0,"",INDEX(STK_DIV!$D$1:$D$5,SUMPRODUCT(--($E592=STK_DIV!$A$2:$A$5),--(NXT_COMPO!$Q592=STK_DIV!$E$2:$E$5),ROW(STK_DIV!$D$2:$D$5)))),"")</f>
        <v/>
      </c>
      <c r="U592" s="54" t="str">
        <f>IF($D592&lt;&gt;"",VLOOKUP($P592,IDX_REF!$2:$1048576,4,0),"")</f>
        <v/>
      </c>
    </row>
    <row r="593" spans="4:21" x14ac:dyDescent="0.2">
      <c r="D593" s="52" t="str">
        <f t="shared" si="74"/>
        <v/>
      </c>
      <c r="E593" s="5" t="str">
        <f t="shared" si="75"/>
        <v/>
      </c>
      <c r="F593" s="5" t="str">
        <f>IF(ROW(F593)-ROW($E$1)&lt;=$B$1-$B$2,INDEX(IDX_COMPO!B:B,ROW(IDX_COMPO!#REF!)),IF(ROW(E593)-ROW($E$1)&lt;=$B$4,VLOOKUP(E593,STK_REF!$A$2:$J$1048576,2,0),""))</f>
        <v/>
      </c>
      <c r="J593" s="62" t="str">
        <f>IF($D593&lt;=$B$1-$B$2,IF(INDEX($AA$2:$AA$1048576,MATCH($D593,$AB$2:$AB$1048576,0))="MODIFY",INDEX(IDX_CA!$G$1:$G$1041,SUMPRODUCT(--($E593=IDX_CA!$A$2:$A$1041),--(NXT_COMPO!$P593=IDX_CA!$B$2:$B$1041),--(NXT_COMPO!$Q593=IDX_CA!$C$2:$C$1041),ROW(IDX_CA!$G$2:$G$1041))),INDEX(IDX_COMPOSITION!$F$1:$F$441,SUMPRODUCT(--($E593=IDX_COMPOSITION!$A$2:$A$441),--(NXT_COMPO!$P593=IDX_COMPOSITION!$R$2:$R$441),--(NXT_COMPO!$B$5=IDX_COMPOSITION!$L$2:$L$441),ROW(IDX_COMPOSITION!$F$2:$F$441)))),IF($D593&lt;=$B$4,INDEX(IDX_CA!$G$1:$G$1041,SUMPRODUCT(--($E593=IDX_CA!$A$2:$A$1041),--(NXT_COMPO!$P593=IDX_CA!$B$2:$B$1041),--(NXT_COMPO!$Q593=IDX_CA!$C$2:$C$1041),ROW(IDX_CA!$G$2:$G$1041))),""))</f>
        <v/>
      </c>
      <c r="K593" s="63" t="str">
        <f>IF($D593&lt;&gt;"",VLOOKUP($E593,STK_REF!$A$2:$J$1048576,7,0),"")</f>
        <v/>
      </c>
      <c r="L593" s="5" t="str">
        <f>IF($D593&lt;&gt;"",VLOOKUP($E593,STK_REF!$A$2:$J$1048576,8,0),"")</f>
        <v/>
      </c>
      <c r="M593" s="8" t="str">
        <f>IF($D593&lt;&gt;"",IF($K593=$U593,1,IF(ISNA(VLOOKUP($K593&amp;$U593,CUR_RATES!$A$2:$F$521,4,0)),"",VLOOKUP($K593&amp;$U593,CUR_RATES!$A$2:$F$521,4,0))),"")</f>
        <v/>
      </c>
      <c r="N593" s="61" t="str">
        <f t="shared" si="76"/>
        <v/>
      </c>
      <c r="O593" s="68" t="str">
        <f t="shared" si="77"/>
        <v/>
      </c>
      <c r="P593" s="24"/>
      <c r="Q593" s="2" t="str">
        <f>IF(ROW(Q593)-ROW($E$1)&lt;=$B$4,INDEX(IDX_COMPO!F:F,ROW(IDX_COMPO!#REF!)),"")</f>
        <v/>
      </c>
      <c r="R593" s="68" t="str">
        <f t="shared" si="78"/>
        <v/>
      </c>
      <c r="S593" s="61" t="str">
        <f t="shared" si="79"/>
        <v/>
      </c>
      <c r="T593" s="62" t="str">
        <f>IF(D593&lt;&gt;"",IF(SUMPRODUCT(--($E593=STK_DIV!$A$2:$A$5),--(NXT_COMPO!$Q593=STK_DIV!$E$2:$E$5),ROW(STK_DIV!$D$2:$D$5))=0,"",INDEX(STK_DIV!$D$1:$D$5,SUMPRODUCT(--($E593=STK_DIV!$A$2:$A$5),--(NXT_COMPO!$Q593=STK_DIV!$E$2:$E$5),ROW(STK_DIV!$D$2:$D$5)))),"")</f>
        <v/>
      </c>
      <c r="U593" s="54" t="str">
        <f>IF($D593&lt;&gt;"",VLOOKUP($P593,IDX_REF!$2:$1048576,4,0),"")</f>
        <v/>
      </c>
    </row>
    <row r="594" spans="4:21" x14ac:dyDescent="0.2">
      <c r="D594" s="52" t="str">
        <f t="shared" si="74"/>
        <v/>
      </c>
      <c r="E594" s="5" t="str">
        <f t="shared" si="75"/>
        <v/>
      </c>
      <c r="F594" s="5" t="str">
        <f>IF(ROW(F594)-ROW($E$1)&lt;=$B$1-$B$2,INDEX(IDX_COMPO!B:B,ROW(IDX_COMPO!#REF!)),IF(ROW(E594)-ROW($E$1)&lt;=$B$4,VLOOKUP(E594,STK_REF!$A$2:$J$1048576,2,0),""))</f>
        <v/>
      </c>
      <c r="J594" s="62" t="str">
        <f>IF($D594&lt;=$B$1-$B$2,IF(INDEX($AA$2:$AA$1048576,MATCH($D594,$AB$2:$AB$1048576,0))="MODIFY",INDEX(IDX_CA!$G$1:$G$1041,SUMPRODUCT(--($E594=IDX_CA!$A$2:$A$1041),--(NXT_COMPO!$P594=IDX_CA!$B$2:$B$1041),--(NXT_COMPO!$Q594=IDX_CA!$C$2:$C$1041),ROW(IDX_CA!$G$2:$G$1041))),INDEX(IDX_COMPOSITION!$F$1:$F$441,SUMPRODUCT(--($E594=IDX_COMPOSITION!$A$2:$A$441),--(NXT_COMPO!$P594=IDX_COMPOSITION!$R$2:$R$441),--(NXT_COMPO!$B$5=IDX_COMPOSITION!$L$2:$L$441),ROW(IDX_COMPOSITION!$F$2:$F$441)))),IF($D594&lt;=$B$4,INDEX(IDX_CA!$G$1:$G$1041,SUMPRODUCT(--($E594=IDX_CA!$A$2:$A$1041),--(NXT_COMPO!$P594=IDX_CA!$B$2:$B$1041),--(NXT_COMPO!$Q594=IDX_CA!$C$2:$C$1041),ROW(IDX_CA!$G$2:$G$1041))),""))</f>
        <v/>
      </c>
      <c r="K594" s="63" t="str">
        <f>IF($D594&lt;&gt;"",VLOOKUP($E594,STK_REF!$A$2:$J$1048576,7,0),"")</f>
        <v/>
      </c>
      <c r="L594" s="5" t="str">
        <f>IF($D594&lt;&gt;"",VLOOKUP($E594,STK_REF!$A$2:$J$1048576,8,0),"")</f>
        <v/>
      </c>
      <c r="M594" s="8" t="str">
        <f>IF($D594&lt;&gt;"",IF($K594=$U594,1,IF(ISNA(VLOOKUP($K594&amp;$U594,CUR_RATES!$A$2:$F$521,4,0)),"",VLOOKUP($K594&amp;$U594,CUR_RATES!$A$2:$F$521,4,0))),"")</f>
        <v/>
      </c>
      <c r="N594" s="61" t="str">
        <f t="shared" si="76"/>
        <v/>
      </c>
      <c r="O594" s="68" t="str">
        <f t="shared" si="77"/>
        <v/>
      </c>
      <c r="P594" s="24"/>
      <c r="Q594" s="2" t="str">
        <f>IF(ROW(Q594)-ROW($E$1)&lt;=$B$4,INDEX(IDX_COMPO!F:F,ROW(IDX_COMPO!#REF!)),"")</f>
        <v/>
      </c>
      <c r="R594" s="68" t="str">
        <f t="shared" si="78"/>
        <v/>
      </c>
      <c r="S594" s="61" t="str">
        <f t="shared" si="79"/>
        <v/>
      </c>
      <c r="T594" s="62" t="str">
        <f>IF(D594&lt;&gt;"",IF(SUMPRODUCT(--($E594=STK_DIV!$A$2:$A$5),--(NXT_COMPO!$Q594=STK_DIV!$E$2:$E$5),ROW(STK_DIV!$D$2:$D$5))=0,"",INDEX(STK_DIV!$D$1:$D$5,SUMPRODUCT(--($E594=STK_DIV!$A$2:$A$5),--(NXT_COMPO!$Q594=STK_DIV!$E$2:$E$5),ROW(STK_DIV!$D$2:$D$5)))),"")</f>
        <v/>
      </c>
      <c r="U594" s="54" t="str">
        <f>IF($D594&lt;&gt;"",VLOOKUP($P594,IDX_REF!$2:$1048576,4,0),"")</f>
        <v/>
      </c>
    </row>
    <row r="595" spans="4:21" x14ac:dyDescent="0.2">
      <c r="D595" s="52" t="str">
        <f t="shared" si="74"/>
        <v/>
      </c>
      <c r="E595" s="5" t="str">
        <f t="shared" si="75"/>
        <v/>
      </c>
      <c r="F595" s="5" t="str">
        <f>IF(ROW(F595)-ROW($E$1)&lt;=$B$1-$B$2,INDEX(IDX_COMPO!B:B,ROW(IDX_COMPO!#REF!)),IF(ROW(E595)-ROW($E$1)&lt;=$B$4,VLOOKUP(E595,STK_REF!$A$2:$J$1048576,2,0),""))</f>
        <v/>
      </c>
      <c r="J595" s="62" t="str">
        <f>IF($D595&lt;=$B$1-$B$2,IF(INDEX($AA$2:$AA$1048576,MATCH($D595,$AB$2:$AB$1048576,0))="MODIFY",INDEX(IDX_CA!$G$1:$G$1041,SUMPRODUCT(--($E595=IDX_CA!$A$2:$A$1041),--(NXT_COMPO!$P595=IDX_CA!$B$2:$B$1041),--(NXT_COMPO!$Q595=IDX_CA!$C$2:$C$1041),ROW(IDX_CA!$G$2:$G$1041))),INDEX(IDX_COMPOSITION!$F$1:$F$441,SUMPRODUCT(--($E595=IDX_COMPOSITION!$A$2:$A$441),--(NXT_COMPO!$P595=IDX_COMPOSITION!$R$2:$R$441),--(NXT_COMPO!$B$5=IDX_COMPOSITION!$L$2:$L$441),ROW(IDX_COMPOSITION!$F$2:$F$441)))),IF($D595&lt;=$B$4,INDEX(IDX_CA!$G$1:$G$1041,SUMPRODUCT(--($E595=IDX_CA!$A$2:$A$1041),--(NXT_COMPO!$P595=IDX_CA!$B$2:$B$1041),--(NXT_COMPO!$Q595=IDX_CA!$C$2:$C$1041),ROW(IDX_CA!$G$2:$G$1041))),""))</f>
        <v/>
      </c>
      <c r="K595" s="63" t="str">
        <f>IF($D595&lt;&gt;"",VLOOKUP($E595,STK_REF!$A$2:$J$1048576,7,0),"")</f>
        <v/>
      </c>
      <c r="L595" s="5" t="str">
        <f>IF($D595&lt;&gt;"",VLOOKUP($E595,STK_REF!$A$2:$J$1048576,8,0),"")</f>
        <v/>
      </c>
      <c r="M595" s="8" t="str">
        <f>IF($D595&lt;&gt;"",IF($K595=$U595,1,IF(ISNA(VLOOKUP($K595&amp;$U595,CUR_RATES!$A$2:$F$521,4,0)),"",VLOOKUP($K595&amp;$U595,CUR_RATES!$A$2:$F$521,4,0))),"")</f>
        <v/>
      </c>
      <c r="N595" s="61" t="str">
        <f t="shared" si="76"/>
        <v/>
      </c>
      <c r="O595" s="68" t="str">
        <f t="shared" si="77"/>
        <v/>
      </c>
      <c r="P595" s="24"/>
      <c r="Q595" s="2" t="str">
        <f>IF(ROW(Q595)-ROW($E$1)&lt;=$B$4,INDEX(IDX_COMPO!F:F,ROW(IDX_COMPO!#REF!)),"")</f>
        <v/>
      </c>
      <c r="R595" s="68" t="str">
        <f t="shared" si="78"/>
        <v/>
      </c>
      <c r="S595" s="61" t="str">
        <f t="shared" si="79"/>
        <v/>
      </c>
      <c r="T595" s="62" t="str">
        <f>IF(D595&lt;&gt;"",IF(SUMPRODUCT(--($E595=STK_DIV!$A$2:$A$5),--(NXT_COMPO!$Q595=STK_DIV!$E$2:$E$5),ROW(STK_DIV!$D$2:$D$5))=0,"",INDEX(STK_DIV!$D$1:$D$5,SUMPRODUCT(--($E595=STK_DIV!$A$2:$A$5),--(NXT_COMPO!$Q595=STK_DIV!$E$2:$E$5),ROW(STK_DIV!$D$2:$D$5)))),"")</f>
        <v/>
      </c>
      <c r="U595" s="54" t="str">
        <f>IF($D595&lt;&gt;"",VLOOKUP($P595,IDX_REF!$2:$1048576,4,0),"")</f>
        <v/>
      </c>
    </row>
    <row r="596" spans="4:21" x14ac:dyDescent="0.2">
      <c r="D596" s="52" t="str">
        <f t="shared" si="74"/>
        <v/>
      </c>
      <c r="E596" s="5" t="str">
        <f t="shared" si="75"/>
        <v/>
      </c>
      <c r="F596" s="5" t="str">
        <f>IF(ROW(F596)-ROW($E$1)&lt;=$B$1-$B$2,INDEX(IDX_COMPO!B:B,ROW(IDX_COMPO!#REF!)),IF(ROW(E596)-ROW($E$1)&lt;=$B$4,VLOOKUP(E596,STK_REF!$A$2:$J$1048576,2,0),""))</f>
        <v/>
      </c>
      <c r="J596" s="62" t="str">
        <f>IF($D596&lt;=$B$1-$B$2,IF(INDEX($AA$2:$AA$1048576,MATCH($D596,$AB$2:$AB$1048576,0))="MODIFY",INDEX(IDX_CA!$G$1:$G$1041,SUMPRODUCT(--($E596=IDX_CA!$A$2:$A$1041),--(NXT_COMPO!$P596=IDX_CA!$B$2:$B$1041),--(NXT_COMPO!$Q596=IDX_CA!$C$2:$C$1041),ROW(IDX_CA!$G$2:$G$1041))),INDEX(IDX_COMPOSITION!$F$1:$F$441,SUMPRODUCT(--($E596=IDX_COMPOSITION!$A$2:$A$441),--(NXT_COMPO!$P596=IDX_COMPOSITION!$R$2:$R$441),--(NXT_COMPO!$B$5=IDX_COMPOSITION!$L$2:$L$441),ROW(IDX_COMPOSITION!$F$2:$F$441)))),IF($D596&lt;=$B$4,INDEX(IDX_CA!$G$1:$G$1041,SUMPRODUCT(--($E596=IDX_CA!$A$2:$A$1041),--(NXT_COMPO!$P596=IDX_CA!$B$2:$B$1041),--(NXT_COMPO!$Q596=IDX_CA!$C$2:$C$1041),ROW(IDX_CA!$G$2:$G$1041))),""))</f>
        <v/>
      </c>
      <c r="K596" s="63" t="str">
        <f>IF($D596&lt;&gt;"",VLOOKUP($E596,STK_REF!$A$2:$J$1048576,7,0),"")</f>
        <v/>
      </c>
      <c r="L596" s="5" t="str">
        <f>IF($D596&lt;&gt;"",VLOOKUP($E596,STK_REF!$A$2:$J$1048576,8,0),"")</f>
        <v/>
      </c>
      <c r="M596" s="8" t="str">
        <f>IF($D596&lt;&gt;"",IF($K596=$U596,1,IF(ISNA(VLOOKUP($K596&amp;$U596,CUR_RATES!$A$2:$F$521,4,0)),"",VLOOKUP($K596&amp;$U596,CUR_RATES!$A$2:$F$521,4,0))),"")</f>
        <v/>
      </c>
      <c r="N596" s="61" t="str">
        <f t="shared" si="76"/>
        <v/>
      </c>
      <c r="O596" s="68" t="str">
        <f t="shared" si="77"/>
        <v/>
      </c>
      <c r="P596" s="24"/>
      <c r="Q596" s="2" t="str">
        <f>IF(ROW(Q596)-ROW($E$1)&lt;=$B$4,INDEX(IDX_COMPO!F:F,ROW(IDX_COMPO!#REF!)),"")</f>
        <v/>
      </c>
      <c r="R596" s="68" t="str">
        <f t="shared" si="78"/>
        <v/>
      </c>
      <c r="S596" s="61" t="str">
        <f t="shared" si="79"/>
        <v/>
      </c>
      <c r="T596" s="62" t="str">
        <f>IF(D596&lt;&gt;"",IF(SUMPRODUCT(--($E596=STK_DIV!$A$2:$A$5),--(NXT_COMPO!$Q596=STK_DIV!$E$2:$E$5),ROW(STK_DIV!$D$2:$D$5))=0,"",INDEX(STK_DIV!$D$1:$D$5,SUMPRODUCT(--($E596=STK_DIV!$A$2:$A$5),--(NXT_COMPO!$Q596=STK_DIV!$E$2:$E$5),ROW(STK_DIV!$D$2:$D$5)))),"")</f>
        <v/>
      </c>
      <c r="U596" s="54" t="str">
        <f>IF($D596&lt;&gt;"",VLOOKUP($P596,IDX_REF!$2:$1048576,4,0),"")</f>
        <v/>
      </c>
    </row>
    <row r="597" spans="4:21" x14ac:dyDescent="0.2">
      <c r="D597" s="52" t="str">
        <f t="shared" si="74"/>
        <v/>
      </c>
      <c r="E597" s="5" t="str">
        <f t="shared" si="75"/>
        <v/>
      </c>
      <c r="F597" s="5" t="str">
        <f>IF(ROW(F597)-ROW($E$1)&lt;=$B$1-$B$2,INDEX(IDX_COMPO!B:B,ROW(IDX_COMPO!#REF!)),IF(ROW(E597)-ROW($E$1)&lt;=$B$4,VLOOKUP(E597,STK_REF!$A$2:$J$1048576,2,0),""))</f>
        <v/>
      </c>
      <c r="J597" s="62" t="str">
        <f>IF($D597&lt;=$B$1-$B$2,IF(INDEX($AA$2:$AA$1048576,MATCH($D597,$AB$2:$AB$1048576,0))="MODIFY",INDEX(IDX_CA!$G$1:$G$1041,SUMPRODUCT(--($E597=IDX_CA!$A$2:$A$1041),--(NXT_COMPO!$P597=IDX_CA!$B$2:$B$1041),--(NXT_COMPO!$Q597=IDX_CA!$C$2:$C$1041),ROW(IDX_CA!$G$2:$G$1041))),INDEX(IDX_COMPOSITION!$F$1:$F$441,SUMPRODUCT(--($E597=IDX_COMPOSITION!$A$2:$A$441),--(NXT_COMPO!$P597=IDX_COMPOSITION!$R$2:$R$441),--(NXT_COMPO!$B$5=IDX_COMPOSITION!$L$2:$L$441),ROW(IDX_COMPOSITION!$F$2:$F$441)))),IF($D597&lt;=$B$4,INDEX(IDX_CA!$G$1:$G$1041,SUMPRODUCT(--($E597=IDX_CA!$A$2:$A$1041),--(NXT_COMPO!$P597=IDX_CA!$B$2:$B$1041),--(NXT_COMPO!$Q597=IDX_CA!$C$2:$C$1041),ROW(IDX_CA!$G$2:$G$1041))),""))</f>
        <v/>
      </c>
      <c r="K597" s="63" t="str">
        <f>IF($D597&lt;&gt;"",VLOOKUP($E597,STK_REF!$A$2:$J$1048576,7,0),"")</f>
        <v/>
      </c>
      <c r="L597" s="5" t="str">
        <f>IF($D597&lt;&gt;"",VLOOKUP($E597,STK_REF!$A$2:$J$1048576,8,0),"")</f>
        <v/>
      </c>
      <c r="M597" s="8" t="str">
        <f>IF($D597&lt;&gt;"",IF($K597=$U597,1,IF(ISNA(VLOOKUP($K597&amp;$U597,CUR_RATES!$A$2:$F$521,4,0)),"",VLOOKUP($K597&amp;$U597,CUR_RATES!$A$2:$F$521,4,0))),"")</f>
        <v/>
      </c>
      <c r="N597" s="61" t="str">
        <f t="shared" si="76"/>
        <v/>
      </c>
      <c r="O597" s="68" t="str">
        <f t="shared" si="77"/>
        <v/>
      </c>
      <c r="P597" s="24"/>
      <c r="Q597" s="2" t="str">
        <f>IF(ROW(Q597)-ROW($E$1)&lt;=$B$4,INDEX(IDX_COMPO!F:F,ROW(IDX_COMPO!#REF!)),"")</f>
        <v/>
      </c>
      <c r="R597" s="68" t="str">
        <f t="shared" si="78"/>
        <v/>
      </c>
      <c r="S597" s="61" t="str">
        <f t="shared" si="79"/>
        <v/>
      </c>
      <c r="T597" s="62" t="str">
        <f>IF(D597&lt;&gt;"",IF(SUMPRODUCT(--($E597=STK_DIV!$A$2:$A$5),--(NXT_COMPO!$Q597=STK_DIV!$E$2:$E$5),ROW(STK_DIV!$D$2:$D$5))=0,"",INDEX(STK_DIV!$D$1:$D$5,SUMPRODUCT(--($E597=STK_DIV!$A$2:$A$5),--(NXT_COMPO!$Q597=STK_DIV!$E$2:$E$5),ROW(STK_DIV!$D$2:$D$5)))),"")</f>
        <v/>
      </c>
      <c r="U597" s="54" t="str">
        <f>IF($D597&lt;&gt;"",VLOOKUP($P597,IDX_REF!$2:$1048576,4,0),"")</f>
        <v/>
      </c>
    </row>
    <row r="598" spans="4:21" x14ac:dyDescent="0.2">
      <c r="D598" s="52" t="str">
        <f t="shared" si="74"/>
        <v/>
      </c>
      <c r="E598" s="5" t="str">
        <f t="shared" si="75"/>
        <v/>
      </c>
      <c r="F598" s="5" t="str">
        <f>IF(ROW(F598)-ROW($E$1)&lt;=$B$1-$B$2,INDEX(IDX_COMPO!B:B,ROW(IDX_COMPO!#REF!)),IF(ROW(E598)-ROW($E$1)&lt;=$B$4,VLOOKUP(E598,STK_REF!$A$2:$J$1048576,2,0),""))</f>
        <v/>
      </c>
      <c r="J598" s="62" t="str">
        <f>IF($D598&lt;=$B$1-$B$2,IF(INDEX($AA$2:$AA$1048576,MATCH($D598,$AB$2:$AB$1048576,0))="MODIFY",INDEX(IDX_CA!$G$1:$G$1041,SUMPRODUCT(--($E598=IDX_CA!$A$2:$A$1041),--(NXT_COMPO!$P598=IDX_CA!$B$2:$B$1041),--(NXT_COMPO!$Q598=IDX_CA!$C$2:$C$1041),ROW(IDX_CA!$G$2:$G$1041))),INDEX(IDX_COMPOSITION!$F$1:$F$441,SUMPRODUCT(--($E598=IDX_COMPOSITION!$A$2:$A$441),--(NXT_COMPO!$P598=IDX_COMPOSITION!$R$2:$R$441),--(NXT_COMPO!$B$5=IDX_COMPOSITION!$L$2:$L$441),ROW(IDX_COMPOSITION!$F$2:$F$441)))),IF($D598&lt;=$B$4,INDEX(IDX_CA!$G$1:$G$1041,SUMPRODUCT(--($E598=IDX_CA!$A$2:$A$1041),--(NXT_COMPO!$P598=IDX_CA!$B$2:$B$1041),--(NXT_COMPO!$Q598=IDX_CA!$C$2:$C$1041),ROW(IDX_CA!$G$2:$G$1041))),""))</f>
        <v/>
      </c>
      <c r="K598" s="63" t="str">
        <f>IF($D598&lt;&gt;"",VLOOKUP($E598,STK_REF!$A$2:$J$1048576,7,0),"")</f>
        <v/>
      </c>
      <c r="L598" s="5" t="str">
        <f>IF($D598&lt;&gt;"",VLOOKUP($E598,STK_REF!$A$2:$J$1048576,8,0),"")</f>
        <v/>
      </c>
      <c r="M598" s="8" t="str">
        <f>IF($D598&lt;&gt;"",IF($K598=$U598,1,IF(ISNA(VLOOKUP($K598&amp;$U598,CUR_RATES!$A$2:$F$521,4,0)),"",VLOOKUP($K598&amp;$U598,CUR_RATES!$A$2:$F$521,4,0))),"")</f>
        <v/>
      </c>
      <c r="N598" s="61" t="str">
        <f t="shared" si="76"/>
        <v/>
      </c>
      <c r="O598" s="68" t="str">
        <f t="shared" si="77"/>
        <v/>
      </c>
      <c r="P598" s="24"/>
      <c r="Q598" s="2" t="str">
        <f>IF(ROW(Q598)-ROW($E$1)&lt;=$B$4,INDEX(IDX_COMPO!F:F,ROW(IDX_COMPO!#REF!)),"")</f>
        <v/>
      </c>
      <c r="R598" s="68" t="str">
        <f t="shared" si="78"/>
        <v/>
      </c>
      <c r="S598" s="61" t="str">
        <f t="shared" si="79"/>
        <v/>
      </c>
      <c r="T598" s="62" t="str">
        <f>IF(D598&lt;&gt;"",IF(SUMPRODUCT(--($E598=STK_DIV!$A$2:$A$5),--(NXT_COMPO!$Q598=STK_DIV!$E$2:$E$5),ROW(STK_DIV!$D$2:$D$5))=0,"",INDEX(STK_DIV!$D$1:$D$5,SUMPRODUCT(--($E598=STK_DIV!$A$2:$A$5),--(NXT_COMPO!$Q598=STK_DIV!$E$2:$E$5),ROW(STK_DIV!$D$2:$D$5)))),"")</f>
        <v/>
      </c>
      <c r="U598" s="54" t="str">
        <f>IF($D598&lt;&gt;"",VLOOKUP($P598,IDX_REF!$2:$1048576,4,0),"")</f>
        <v/>
      </c>
    </row>
    <row r="599" spans="4:21" x14ac:dyDescent="0.2">
      <c r="D599" s="52" t="str">
        <f t="shared" si="74"/>
        <v/>
      </c>
      <c r="E599" s="5" t="str">
        <f t="shared" si="75"/>
        <v/>
      </c>
      <c r="F599" s="5" t="str">
        <f>IF(ROW(F599)-ROW($E$1)&lt;=$B$1-$B$2,INDEX(IDX_COMPO!B:B,ROW(IDX_COMPO!#REF!)),IF(ROW(E599)-ROW($E$1)&lt;=$B$4,VLOOKUP(E599,STK_REF!$A$2:$J$1048576,2,0),""))</f>
        <v/>
      </c>
      <c r="J599" s="62" t="str">
        <f>IF($D599&lt;=$B$1-$B$2,IF(INDEX($AA$2:$AA$1048576,MATCH($D599,$AB$2:$AB$1048576,0))="MODIFY",INDEX(IDX_CA!$G$1:$G$1041,SUMPRODUCT(--($E599=IDX_CA!$A$2:$A$1041),--(NXT_COMPO!$P599=IDX_CA!$B$2:$B$1041),--(NXT_COMPO!$Q599=IDX_CA!$C$2:$C$1041),ROW(IDX_CA!$G$2:$G$1041))),INDEX(IDX_COMPOSITION!$F$1:$F$441,SUMPRODUCT(--($E599=IDX_COMPOSITION!$A$2:$A$441),--(NXT_COMPO!$P599=IDX_COMPOSITION!$R$2:$R$441),--(NXT_COMPO!$B$5=IDX_COMPOSITION!$L$2:$L$441),ROW(IDX_COMPOSITION!$F$2:$F$441)))),IF($D599&lt;=$B$4,INDEX(IDX_CA!$G$1:$G$1041,SUMPRODUCT(--($E599=IDX_CA!$A$2:$A$1041),--(NXT_COMPO!$P599=IDX_CA!$B$2:$B$1041),--(NXT_COMPO!$Q599=IDX_CA!$C$2:$C$1041),ROW(IDX_CA!$G$2:$G$1041))),""))</f>
        <v/>
      </c>
      <c r="K599" s="63" t="str">
        <f>IF($D599&lt;&gt;"",VLOOKUP($E599,STK_REF!$A$2:$J$1048576,7,0),"")</f>
        <v/>
      </c>
      <c r="L599" s="5" t="str">
        <f>IF($D599&lt;&gt;"",VLOOKUP($E599,STK_REF!$A$2:$J$1048576,8,0),"")</f>
        <v/>
      </c>
      <c r="M599" s="8" t="str">
        <f>IF($D599&lt;&gt;"",IF($K599=$U599,1,IF(ISNA(VLOOKUP($K599&amp;$U599,CUR_RATES!$A$2:$F$521,4,0)),"",VLOOKUP($K599&amp;$U599,CUR_RATES!$A$2:$F$521,4,0))),"")</f>
        <v/>
      </c>
      <c r="N599" s="61" t="str">
        <f t="shared" si="76"/>
        <v/>
      </c>
      <c r="O599" s="68" t="str">
        <f t="shared" si="77"/>
        <v/>
      </c>
      <c r="P599" s="24"/>
      <c r="Q599" s="2" t="str">
        <f>IF(ROW(Q599)-ROW($E$1)&lt;=$B$4,INDEX(IDX_COMPO!F:F,ROW(IDX_COMPO!#REF!)),"")</f>
        <v/>
      </c>
      <c r="R599" s="68" t="str">
        <f t="shared" si="78"/>
        <v/>
      </c>
      <c r="S599" s="61" t="str">
        <f t="shared" si="79"/>
        <v/>
      </c>
      <c r="T599" s="62" t="str">
        <f>IF(D599&lt;&gt;"",IF(SUMPRODUCT(--($E599=STK_DIV!$A$2:$A$5),--(NXT_COMPO!$Q599=STK_DIV!$E$2:$E$5),ROW(STK_DIV!$D$2:$D$5))=0,"",INDEX(STK_DIV!$D$1:$D$5,SUMPRODUCT(--($E599=STK_DIV!$A$2:$A$5),--(NXT_COMPO!$Q599=STK_DIV!$E$2:$E$5),ROW(STK_DIV!$D$2:$D$5)))),"")</f>
        <v/>
      </c>
      <c r="U599" s="54" t="str">
        <f>IF($D599&lt;&gt;"",VLOOKUP($P599,IDX_REF!$2:$1048576,4,0),"")</f>
        <v/>
      </c>
    </row>
    <row r="600" spans="4:21" x14ac:dyDescent="0.2">
      <c r="D600" s="52" t="str">
        <f t="shared" si="74"/>
        <v/>
      </c>
      <c r="E600" s="5" t="str">
        <f t="shared" si="75"/>
        <v/>
      </c>
      <c r="F600" s="5" t="str">
        <f>IF(ROW(F600)-ROW($E$1)&lt;=$B$1-$B$2,INDEX(IDX_COMPO!B:B,ROW(IDX_COMPO!#REF!)),IF(ROW(E600)-ROW($E$1)&lt;=$B$4,VLOOKUP(E600,STK_REF!$A$2:$J$1048576,2,0),""))</f>
        <v/>
      </c>
      <c r="J600" s="62" t="str">
        <f>IF($D600&lt;=$B$1-$B$2,IF(INDEX($AA$2:$AA$1048576,MATCH($D600,$AB$2:$AB$1048576,0))="MODIFY",INDEX(IDX_CA!$G$1:$G$1041,SUMPRODUCT(--($E600=IDX_CA!$A$2:$A$1041),--(NXT_COMPO!$P600=IDX_CA!$B$2:$B$1041),--(NXT_COMPO!$Q600=IDX_CA!$C$2:$C$1041),ROW(IDX_CA!$G$2:$G$1041))),INDEX(IDX_COMPOSITION!$F$1:$F$441,SUMPRODUCT(--($E600=IDX_COMPOSITION!$A$2:$A$441),--(NXT_COMPO!$P600=IDX_COMPOSITION!$R$2:$R$441),--(NXT_COMPO!$B$5=IDX_COMPOSITION!$L$2:$L$441),ROW(IDX_COMPOSITION!$F$2:$F$441)))),IF($D600&lt;=$B$4,INDEX(IDX_CA!$G$1:$G$1041,SUMPRODUCT(--($E600=IDX_CA!$A$2:$A$1041),--(NXT_COMPO!$P600=IDX_CA!$B$2:$B$1041),--(NXT_COMPO!$Q600=IDX_CA!$C$2:$C$1041),ROW(IDX_CA!$G$2:$G$1041))),""))</f>
        <v/>
      </c>
      <c r="K600" s="63" t="str">
        <f>IF($D600&lt;&gt;"",VLOOKUP($E600,STK_REF!$A$2:$J$1048576,7,0),"")</f>
        <v/>
      </c>
      <c r="L600" s="5" t="str">
        <f>IF($D600&lt;&gt;"",VLOOKUP($E600,STK_REF!$A$2:$J$1048576,8,0),"")</f>
        <v/>
      </c>
      <c r="M600" s="8" t="str">
        <f>IF($D600&lt;&gt;"",IF($K600=$U600,1,IF(ISNA(VLOOKUP($K600&amp;$U600,CUR_RATES!$A$2:$F$521,4,0)),"",VLOOKUP($K600&amp;$U600,CUR_RATES!$A$2:$F$521,4,0))),"")</f>
        <v/>
      </c>
      <c r="N600" s="61" t="str">
        <f t="shared" si="76"/>
        <v/>
      </c>
      <c r="O600" s="68" t="str">
        <f t="shared" si="77"/>
        <v/>
      </c>
      <c r="P600" s="24"/>
      <c r="Q600" s="2" t="str">
        <f>IF(ROW(Q600)-ROW($E$1)&lt;=$B$4,INDEX(IDX_COMPO!F:F,ROW(IDX_COMPO!#REF!)),"")</f>
        <v/>
      </c>
      <c r="R600" s="68" t="str">
        <f t="shared" si="78"/>
        <v/>
      </c>
      <c r="S600" s="61" t="str">
        <f t="shared" si="79"/>
        <v/>
      </c>
      <c r="T600" s="62" t="str">
        <f>IF(D600&lt;&gt;"",IF(SUMPRODUCT(--($E600=STK_DIV!$A$2:$A$5),--(NXT_COMPO!$Q600=STK_DIV!$E$2:$E$5),ROW(STK_DIV!$D$2:$D$5))=0,"",INDEX(STK_DIV!$D$1:$D$5,SUMPRODUCT(--($E600=STK_DIV!$A$2:$A$5),--(NXT_COMPO!$Q600=STK_DIV!$E$2:$E$5),ROW(STK_DIV!$D$2:$D$5)))),"")</f>
        <v/>
      </c>
      <c r="U600" s="54" t="str">
        <f>IF($D600&lt;&gt;"",VLOOKUP($P600,IDX_REF!$2:$1048576,4,0),"")</f>
        <v/>
      </c>
    </row>
    <row r="601" spans="4:21" x14ac:dyDescent="0.2">
      <c r="D601" s="52" t="str">
        <f t="shared" si="74"/>
        <v/>
      </c>
      <c r="E601" s="5" t="str">
        <f t="shared" si="75"/>
        <v/>
      </c>
      <c r="F601" s="5" t="str">
        <f>IF(ROW(F601)-ROW($E$1)&lt;=$B$1-$B$2,INDEX(IDX_COMPO!B:B,ROW(IDX_COMPO!#REF!)),IF(ROW(E601)-ROW($E$1)&lt;=$B$4,VLOOKUP(E601,STK_REF!$A$2:$J$1048576,2,0),""))</f>
        <v/>
      </c>
      <c r="J601" s="62" t="str">
        <f>IF($D601&lt;=$B$1-$B$2,IF(INDEX($AA$2:$AA$1048576,MATCH($D601,$AB$2:$AB$1048576,0))="MODIFY",INDEX(IDX_CA!$G$1:$G$1041,SUMPRODUCT(--($E601=IDX_CA!$A$2:$A$1041),--(NXT_COMPO!$P601=IDX_CA!$B$2:$B$1041),--(NXT_COMPO!$Q601=IDX_CA!$C$2:$C$1041),ROW(IDX_CA!$G$2:$G$1041))),INDEX(IDX_COMPOSITION!$F$1:$F$441,SUMPRODUCT(--($E601=IDX_COMPOSITION!$A$2:$A$441),--(NXT_COMPO!$P601=IDX_COMPOSITION!$R$2:$R$441),--(NXT_COMPO!$B$5=IDX_COMPOSITION!$L$2:$L$441),ROW(IDX_COMPOSITION!$F$2:$F$441)))),IF($D601&lt;=$B$4,INDEX(IDX_CA!$G$1:$G$1041,SUMPRODUCT(--($E601=IDX_CA!$A$2:$A$1041),--(NXT_COMPO!$P601=IDX_CA!$B$2:$B$1041),--(NXT_COMPO!$Q601=IDX_CA!$C$2:$C$1041),ROW(IDX_CA!$G$2:$G$1041))),""))</f>
        <v/>
      </c>
      <c r="K601" s="63" t="str">
        <f>IF($D601&lt;&gt;"",VLOOKUP($E601,STK_REF!$A$2:$J$1048576,7,0),"")</f>
        <v/>
      </c>
      <c r="L601" s="5" t="str">
        <f>IF($D601&lt;&gt;"",VLOOKUP($E601,STK_REF!$A$2:$J$1048576,8,0),"")</f>
        <v/>
      </c>
      <c r="M601" s="8" t="str">
        <f>IF($D601&lt;&gt;"",IF($K601=$U601,1,IF(ISNA(VLOOKUP($K601&amp;$U601,CUR_RATES!$A$2:$F$521,4,0)),"",VLOOKUP($K601&amp;$U601,CUR_RATES!$A$2:$F$521,4,0))),"")</f>
        <v/>
      </c>
      <c r="N601" s="61" t="str">
        <f t="shared" si="76"/>
        <v/>
      </c>
      <c r="O601" s="68" t="str">
        <f t="shared" si="77"/>
        <v/>
      </c>
      <c r="P601" s="24"/>
      <c r="Q601" s="2" t="str">
        <f>IF(ROW(Q601)-ROW($E$1)&lt;=$B$4,INDEX(IDX_COMPO!F:F,ROW(IDX_COMPO!#REF!)),"")</f>
        <v/>
      </c>
      <c r="R601" s="68" t="str">
        <f t="shared" si="78"/>
        <v/>
      </c>
      <c r="S601" s="61" t="str">
        <f t="shared" si="79"/>
        <v/>
      </c>
      <c r="T601" s="62" t="str">
        <f>IF(D601&lt;&gt;"",IF(SUMPRODUCT(--($E601=STK_DIV!$A$2:$A$5),--(NXT_COMPO!$Q601=STK_DIV!$E$2:$E$5),ROW(STK_DIV!$D$2:$D$5))=0,"",INDEX(STK_DIV!$D$1:$D$5,SUMPRODUCT(--($E601=STK_DIV!$A$2:$A$5),--(NXT_COMPO!$Q601=STK_DIV!$E$2:$E$5),ROW(STK_DIV!$D$2:$D$5)))),"")</f>
        <v/>
      </c>
      <c r="U601" s="54" t="str">
        <f>IF($D601&lt;&gt;"",VLOOKUP($P601,IDX_REF!$2:$1048576,4,0),"")</f>
        <v/>
      </c>
    </row>
    <row r="602" spans="4:21" x14ac:dyDescent="0.2">
      <c r="D602" s="52" t="str">
        <f t="shared" si="74"/>
        <v/>
      </c>
      <c r="E602" s="5" t="str">
        <f t="shared" si="75"/>
        <v/>
      </c>
      <c r="F602" s="5" t="str">
        <f>IF(ROW(F602)-ROW($E$1)&lt;=$B$1-$B$2,INDEX(IDX_COMPO!B:B,ROW(IDX_COMPO!#REF!)),IF(ROW(E602)-ROW($E$1)&lt;=$B$4,VLOOKUP(E602,STK_REF!$A$2:$J$1048576,2,0),""))</f>
        <v/>
      </c>
      <c r="J602" s="62" t="str">
        <f>IF($D602&lt;=$B$1-$B$2,IF(INDEX($AA$2:$AA$1048576,MATCH($D602,$AB$2:$AB$1048576,0))="MODIFY",INDEX(IDX_CA!$G$1:$G$1041,SUMPRODUCT(--($E602=IDX_CA!$A$2:$A$1041),--(NXT_COMPO!$P602=IDX_CA!$B$2:$B$1041),--(NXT_COMPO!$Q602=IDX_CA!$C$2:$C$1041),ROW(IDX_CA!$G$2:$G$1041))),INDEX(IDX_COMPOSITION!$F$1:$F$441,SUMPRODUCT(--($E602=IDX_COMPOSITION!$A$2:$A$441),--(NXT_COMPO!$P602=IDX_COMPOSITION!$R$2:$R$441),--(NXT_COMPO!$B$5=IDX_COMPOSITION!$L$2:$L$441),ROW(IDX_COMPOSITION!$F$2:$F$441)))),IF($D602&lt;=$B$4,INDEX(IDX_CA!$G$1:$G$1041,SUMPRODUCT(--($E602=IDX_CA!$A$2:$A$1041),--(NXT_COMPO!$P602=IDX_CA!$B$2:$B$1041),--(NXT_COMPO!$Q602=IDX_CA!$C$2:$C$1041),ROW(IDX_CA!$G$2:$G$1041))),""))</f>
        <v/>
      </c>
      <c r="K602" s="63" t="str">
        <f>IF($D602&lt;&gt;"",VLOOKUP($E602,STK_REF!$A$2:$J$1048576,7,0),"")</f>
        <v/>
      </c>
      <c r="L602" s="5" t="str">
        <f>IF($D602&lt;&gt;"",VLOOKUP($E602,STK_REF!$A$2:$J$1048576,8,0),"")</f>
        <v/>
      </c>
      <c r="M602" s="8" t="str">
        <f>IF($D602&lt;&gt;"",IF($K602=$U602,1,IF(ISNA(VLOOKUP($K602&amp;$U602,CUR_RATES!$A$2:$F$521,4,0)),"",VLOOKUP($K602&amp;$U602,CUR_RATES!$A$2:$F$521,4,0))),"")</f>
        <v/>
      </c>
      <c r="N602" s="61" t="str">
        <f t="shared" si="76"/>
        <v/>
      </c>
      <c r="O602" s="68" t="str">
        <f t="shared" si="77"/>
        <v/>
      </c>
      <c r="P602" s="24"/>
      <c r="Q602" s="2" t="str">
        <f>IF(ROW(Q602)-ROW($E$1)&lt;=$B$4,INDEX(IDX_COMPO!F:F,ROW(IDX_COMPO!#REF!)),"")</f>
        <v/>
      </c>
      <c r="R602" s="68" t="str">
        <f t="shared" si="78"/>
        <v/>
      </c>
      <c r="S602" s="61" t="str">
        <f t="shared" si="79"/>
        <v/>
      </c>
      <c r="T602" s="62" t="str">
        <f>IF(D602&lt;&gt;"",IF(SUMPRODUCT(--($E602=STK_DIV!$A$2:$A$5),--(NXT_COMPO!$Q602=STK_DIV!$E$2:$E$5),ROW(STK_DIV!$D$2:$D$5))=0,"",INDEX(STK_DIV!$D$1:$D$5,SUMPRODUCT(--($E602=STK_DIV!$A$2:$A$5),--(NXT_COMPO!$Q602=STK_DIV!$E$2:$E$5),ROW(STK_DIV!$D$2:$D$5)))),"")</f>
        <v/>
      </c>
      <c r="U602" s="54" t="str">
        <f>IF($D602&lt;&gt;"",VLOOKUP($P602,IDX_REF!$2:$1048576,4,0),"")</f>
        <v/>
      </c>
    </row>
    <row r="603" spans="4:21" x14ac:dyDescent="0.2">
      <c r="D603" s="52" t="str">
        <f t="shared" si="74"/>
        <v/>
      </c>
      <c r="E603" s="5" t="str">
        <f t="shared" si="75"/>
        <v/>
      </c>
      <c r="F603" s="5" t="str">
        <f>IF(ROW(F603)-ROW($E$1)&lt;=$B$1-$B$2,INDEX(IDX_COMPO!B:B,ROW(IDX_COMPO!#REF!)),IF(ROW(E603)-ROW($E$1)&lt;=$B$4,VLOOKUP(E603,STK_REF!$A$2:$J$1048576,2,0),""))</f>
        <v/>
      </c>
      <c r="J603" s="62" t="str">
        <f>IF($D603&lt;=$B$1-$B$2,IF(INDEX($AA$2:$AA$1048576,MATCH($D603,$AB$2:$AB$1048576,0))="MODIFY",INDEX(IDX_CA!$G$1:$G$1041,SUMPRODUCT(--($E603=IDX_CA!$A$2:$A$1041),--(NXT_COMPO!$P603=IDX_CA!$B$2:$B$1041),--(NXT_COMPO!$Q603=IDX_CA!$C$2:$C$1041),ROW(IDX_CA!$G$2:$G$1041))),INDEX(IDX_COMPOSITION!$F$1:$F$441,SUMPRODUCT(--($E603=IDX_COMPOSITION!$A$2:$A$441),--(NXT_COMPO!$P603=IDX_COMPOSITION!$R$2:$R$441),--(NXT_COMPO!$B$5=IDX_COMPOSITION!$L$2:$L$441),ROW(IDX_COMPOSITION!$F$2:$F$441)))),IF($D603&lt;=$B$4,INDEX(IDX_CA!$G$1:$G$1041,SUMPRODUCT(--($E603=IDX_CA!$A$2:$A$1041),--(NXT_COMPO!$P603=IDX_CA!$B$2:$B$1041),--(NXT_COMPO!$Q603=IDX_CA!$C$2:$C$1041),ROW(IDX_CA!$G$2:$G$1041))),""))</f>
        <v/>
      </c>
      <c r="K603" s="63" t="str">
        <f>IF($D603&lt;&gt;"",VLOOKUP($E603,STK_REF!$A$2:$J$1048576,7,0),"")</f>
        <v/>
      </c>
      <c r="L603" s="5" t="str">
        <f>IF($D603&lt;&gt;"",VLOOKUP($E603,STK_REF!$A$2:$J$1048576,8,0),"")</f>
        <v/>
      </c>
      <c r="M603" s="8" t="str">
        <f>IF($D603&lt;&gt;"",IF($K603=$U603,1,IF(ISNA(VLOOKUP($K603&amp;$U603,CUR_RATES!$A$2:$F$521,4,0)),"",VLOOKUP($K603&amp;$U603,CUR_RATES!$A$2:$F$521,4,0))),"")</f>
        <v/>
      </c>
      <c r="N603" s="61" t="str">
        <f t="shared" si="76"/>
        <v/>
      </c>
      <c r="O603" s="68" t="str">
        <f t="shared" si="77"/>
        <v/>
      </c>
      <c r="P603" s="24"/>
      <c r="Q603" s="2" t="str">
        <f>IF(ROW(Q603)-ROW($E$1)&lt;=$B$4,INDEX(IDX_COMPO!F:F,ROW(IDX_COMPO!#REF!)),"")</f>
        <v/>
      </c>
      <c r="R603" s="68" t="str">
        <f t="shared" si="78"/>
        <v/>
      </c>
      <c r="S603" s="61" t="str">
        <f t="shared" si="79"/>
        <v/>
      </c>
      <c r="T603" s="62" t="str">
        <f>IF(D603&lt;&gt;"",IF(SUMPRODUCT(--($E603=STK_DIV!$A$2:$A$5),--(NXT_COMPO!$Q603=STK_DIV!$E$2:$E$5),ROW(STK_DIV!$D$2:$D$5))=0,"",INDEX(STK_DIV!$D$1:$D$5,SUMPRODUCT(--($E603=STK_DIV!$A$2:$A$5),--(NXT_COMPO!$Q603=STK_DIV!$E$2:$E$5),ROW(STK_DIV!$D$2:$D$5)))),"")</f>
        <v/>
      </c>
      <c r="U603" s="54" t="str">
        <f>IF($D603&lt;&gt;"",VLOOKUP($P603,IDX_REF!$2:$1048576,4,0),"")</f>
        <v/>
      </c>
    </row>
    <row r="604" spans="4:21" x14ac:dyDescent="0.2">
      <c r="D604" s="52" t="str">
        <f t="shared" si="74"/>
        <v/>
      </c>
      <c r="E604" s="5" t="str">
        <f t="shared" si="75"/>
        <v/>
      </c>
      <c r="F604" s="5" t="str">
        <f>IF(ROW(F604)-ROW($E$1)&lt;=$B$1-$B$2,INDEX(IDX_COMPO!B:B,ROW(IDX_COMPO!#REF!)),IF(ROW(E604)-ROW($E$1)&lt;=$B$4,VLOOKUP(E604,STK_REF!$A$2:$J$1048576,2,0),""))</f>
        <v/>
      </c>
      <c r="J604" s="62" t="str">
        <f>IF($D604&lt;=$B$1-$B$2,IF(INDEX($AA$2:$AA$1048576,MATCH($D604,$AB$2:$AB$1048576,0))="MODIFY",INDEX(IDX_CA!$G$1:$G$1041,SUMPRODUCT(--($E604=IDX_CA!$A$2:$A$1041),--(NXT_COMPO!$P604=IDX_CA!$B$2:$B$1041),--(NXT_COMPO!$Q604=IDX_CA!$C$2:$C$1041),ROW(IDX_CA!$G$2:$G$1041))),INDEX(IDX_COMPOSITION!$F$1:$F$441,SUMPRODUCT(--($E604=IDX_COMPOSITION!$A$2:$A$441),--(NXT_COMPO!$P604=IDX_COMPOSITION!$R$2:$R$441),--(NXT_COMPO!$B$5=IDX_COMPOSITION!$L$2:$L$441),ROW(IDX_COMPOSITION!$F$2:$F$441)))),IF($D604&lt;=$B$4,INDEX(IDX_CA!$G$1:$G$1041,SUMPRODUCT(--($E604=IDX_CA!$A$2:$A$1041),--(NXT_COMPO!$P604=IDX_CA!$B$2:$B$1041),--(NXT_COMPO!$Q604=IDX_CA!$C$2:$C$1041),ROW(IDX_CA!$G$2:$G$1041))),""))</f>
        <v/>
      </c>
      <c r="K604" s="63" t="str">
        <f>IF($D604&lt;&gt;"",VLOOKUP($E604,STK_REF!$A$2:$J$1048576,7,0),"")</f>
        <v/>
      </c>
      <c r="L604" s="5" t="str">
        <f>IF($D604&lt;&gt;"",VLOOKUP($E604,STK_REF!$A$2:$J$1048576,8,0),"")</f>
        <v/>
      </c>
      <c r="M604" s="8" t="str">
        <f>IF($D604&lt;&gt;"",IF($K604=$U604,1,IF(ISNA(VLOOKUP($K604&amp;$U604,CUR_RATES!$A$2:$F$521,4,0)),"",VLOOKUP($K604&amp;$U604,CUR_RATES!$A$2:$F$521,4,0))),"")</f>
        <v/>
      </c>
      <c r="N604" s="61" t="str">
        <f t="shared" si="76"/>
        <v/>
      </c>
      <c r="O604" s="68" t="str">
        <f t="shared" si="77"/>
        <v/>
      </c>
      <c r="P604" s="24"/>
      <c r="Q604" s="2" t="str">
        <f>IF(ROW(Q604)-ROW($E$1)&lt;=$B$4,INDEX(IDX_COMPO!F:F,ROW(IDX_COMPO!#REF!)),"")</f>
        <v/>
      </c>
      <c r="R604" s="68" t="str">
        <f t="shared" si="78"/>
        <v/>
      </c>
      <c r="S604" s="61" t="str">
        <f t="shared" si="79"/>
        <v/>
      </c>
      <c r="T604" s="62" t="str">
        <f>IF(D604&lt;&gt;"",IF(SUMPRODUCT(--($E604=STK_DIV!$A$2:$A$5),--(NXT_COMPO!$Q604=STK_DIV!$E$2:$E$5),ROW(STK_DIV!$D$2:$D$5))=0,"",INDEX(STK_DIV!$D$1:$D$5,SUMPRODUCT(--($E604=STK_DIV!$A$2:$A$5),--(NXT_COMPO!$Q604=STK_DIV!$E$2:$E$5),ROW(STK_DIV!$D$2:$D$5)))),"")</f>
        <v/>
      </c>
      <c r="U604" s="54" t="str">
        <f>IF($D604&lt;&gt;"",VLOOKUP($P604,IDX_REF!$2:$1048576,4,0),"")</f>
        <v/>
      </c>
    </row>
    <row r="605" spans="4:21" x14ac:dyDescent="0.2">
      <c r="D605" s="52" t="str">
        <f t="shared" si="74"/>
        <v/>
      </c>
      <c r="E605" s="5" t="str">
        <f t="shared" si="75"/>
        <v/>
      </c>
      <c r="F605" s="5" t="str">
        <f>IF(ROW(F605)-ROW($E$1)&lt;=$B$1-$B$2,INDEX(IDX_COMPO!B:B,ROW(IDX_COMPO!#REF!)),IF(ROW(E605)-ROW($E$1)&lt;=$B$4,VLOOKUP(E605,STK_REF!$A$2:$J$1048576,2,0),""))</f>
        <v/>
      </c>
      <c r="J605" s="62" t="str">
        <f>IF($D605&lt;=$B$1-$B$2,IF(INDEX($AA$2:$AA$1048576,MATCH($D605,$AB$2:$AB$1048576,0))="MODIFY",INDEX(IDX_CA!$G$1:$G$1041,SUMPRODUCT(--($E605=IDX_CA!$A$2:$A$1041),--(NXT_COMPO!$P605=IDX_CA!$B$2:$B$1041),--(NXT_COMPO!$Q605=IDX_CA!$C$2:$C$1041),ROW(IDX_CA!$G$2:$G$1041))),INDEX(IDX_COMPOSITION!$F$1:$F$441,SUMPRODUCT(--($E605=IDX_COMPOSITION!$A$2:$A$441),--(NXT_COMPO!$P605=IDX_COMPOSITION!$R$2:$R$441),--(NXT_COMPO!$B$5=IDX_COMPOSITION!$L$2:$L$441),ROW(IDX_COMPOSITION!$F$2:$F$441)))),IF($D605&lt;=$B$4,INDEX(IDX_CA!$G$1:$G$1041,SUMPRODUCT(--($E605=IDX_CA!$A$2:$A$1041),--(NXT_COMPO!$P605=IDX_CA!$B$2:$B$1041),--(NXT_COMPO!$Q605=IDX_CA!$C$2:$C$1041),ROW(IDX_CA!$G$2:$G$1041))),""))</f>
        <v/>
      </c>
      <c r="K605" s="63" t="str">
        <f>IF($D605&lt;&gt;"",VLOOKUP($E605,STK_REF!$A$2:$J$1048576,7,0),"")</f>
        <v/>
      </c>
      <c r="L605" s="5" t="str">
        <f>IF($D605&lt;&gt;"",VLOOKUP($E605,STK_REF!$A$2:$J$1048576,8,0),"")</f>
        <v/>
      </c>
      <c r="M605" s="8" t="str">
        <f>IF($D605&lt;&gt;"",IF($K605=$U605,1,IF(ISNA(VLOOKUP($K605&amp;$U605,CUR_RATES!$A$2:$F$521,4,0)),"",VLOOKUP($K605&amp;$U605,CUR_RATES!$A$2:$F$521,4,0))),"")</f>
        <v/>
      </c>
      <c r="N605" s="61" t="str">
        <f t="shared" si="76"/>
        <v/>
      </c>
      <c r="O605" s="68" t="str">
        <f t="shared" si="77"/>
        <v/>
      </c>
      <c r="P605" s="24"/>
      <c r="Q605" s="2" t="str">
        <f>IF(ROW(Q605)-ROW($E$1)&lt;=$B$4,INDEX(IDX_COMPO!F:F,ROW(IDX_COMPO!#REF!)),"")</f>
        <v/>
      </c>
      <c r="R605" s="68" t="str">
        <f t="shared" si="78"/>
        <v/>
      </c>
      <c r="S605" s="61" t="str">
        <f t="shared" si="79"/>
        <v/>
      </c>
      <c r="T605" s="62" t="str">
        <f>IF(D605&lt;&gt;"",IF(SUMPRODUCT(--($E605=STK_DIV!$A$2:$A$5),--(NXT_COMPO!$Q605=STK_DIV!$E$2:$E$5),ROW(STK_DIV!$D$2:$D$5))=0,"",INDEX(STK_DIV!$D$1:$D$5,SUMPRODUCT(--($E605=STK_DIV!$A$2:$A$5),--(NXT_COMPO!$Q605=STK_DIV!$E$2:$E$5),ROW(STK_DIV!$D$2:$D$5)))),"")</f>
        <v/>
      </c>
      <c r="U605" s="54" t="str">
        <f>IF($D605&lt;&gt;"",VLOOKUP($P605,IDX_REF!$2:$1048576,4,0),"")</f>
        <v/>
      </c>
    </row>
    <row r="606" spans="4:21" x14ac:dyDescent="0.2">
      <c r="D606" s="52" t="str">
        <f t="shared" si="74"/>
        <v/>
      </c>
      <c r="E606" s="5" t="str">
        <f t="shared" si="75"/>
        <v/>
      </c>
      <c r="F606" s="5" t="str">
        <f>IF(ROW(F606)-ROW($E$1)&lt;=$B$1-$B$2,INDEX(IDX_COMPO!B:B,ROW(IDX_COMPO!#REF!)),IF(ROW(E606)-ROW($E$1)&lt;=$B$4,VLOOKUP(E606,STK_REF!$A$2:$J$1048576,2,0),""))</f>
        <v/>
      </c>
      <c r="J606" s="62" t="str">
        <f>IF($D606&lt;=$B$1-$B$2,IF(INDEX($AA$2:$AA$1048576,MATCH($D606,$AB$2:$AB$1048576,0))="MODIFY",INDEX(IDX_CA!$G$1:$G$1041,SUMPRODUCT(--($E606=IDX_CA!$A$2:$A$1041),--(NXT_COMPO!$P606=IDX_CA!$B$2:$B$1041),--(NXT_COMPO!$Q606=IDX_CA!$C$2:$C$1041),ROW(IDX_CA!$G$2:$G$1041))),INDEX(IDX_COMPOSITION!$F$1:$F$441,SUMPRODUCT(--($E606=IDX_COMPOSITION!$A$2:$A$441),--(NXT_COMPO!$P606=IDX_COMPOSITION!$R$2:$R$441),--(NXT_COMPO!$B$5=IDX_COMPOSITION!$L$2:$L$441),ROW(IDX_COMPOSITION!$F$2:$F$441)))),IF($D606&lt;=$B$4,INDEX(IDX_CA!$G$1:$G$1041,SUMPRODUCT(--($E606=IDX_CA!$A$2:$A$1041),--(NXT_COMPO!$P606=IDX_CA!$B$2:$B$1041),--(NXT_COMPO!$Q606=IDX_CA!$C$2:$C$1041),ROW(IDX_CA!$G$2:$G$1041))),""))</f>
        <v/>
      </c>
      <c r="K606" s="63" t="str">
        <f>IF($D606&lt;&gt;"",VLOOKUP($E606,STK_REF!$A$2:$J$1048576,7,0),"")</f>
        <v/>
      </c>
      <c r="L606" s="5" t="str">
        <f>IF($D606&lt;&gt;"",VLOOKUP($E606,STK_REF!$A$2:$J$1048576,8,0),"")</f>
        <v/>
      </c>
      <c r="M606" s="8" t="str">
        <f>IF($D606&lt;&gt;"",IF($K606=$U606,1,IF(ISNA(VLOOKUP($K606&amp;$U606,CUR_RATES!$A$2:$F$521,4,0)),"",VLOOKUP($K606&amp;$U606,CUR_RATES!$A$2:$F$521,4,0))),"")</f>
        <v/>
      </c>
      <c r="N606" s="61" t="str">
        <f t="shared" si="76"/>
        <v/>
      </c>
      <c r="O606" s="68" t="str">
        <f t="shared" si="77"/>
        <v/>
      </c>
      <c r="P606" s="24"/>
      <c r="Q606" s="2" t="str">
        <f>IF(ROW(Q606)-ROW($E$1)&lt;=$B$4,INDEX(IDX_COMPO!F:F,ROW(IDX_COMPO!#REF!)),"")</f>
        <v/>
      </c>
      <c r="R606" s="68" t="str">
        <f t="shared" si="78"/>
        <v/>
      </c>
      <c r="S606" s="61" t="str">
        <f t="shared" si="79"/>
        <v/>
      </c>
      <c r="T606" s="62" t="str">
        <f>IF(D606&lt;&gt;"",IF(SUMPRODUCT(--($E606=STK_DIV!$A$2:$A$5),--(NXT_COMPO!$Q606=STK_DIV!$E$2:$E$5),ROW(STK_DIV!$D$2:$D$5))=0,"",INDEX(STK_DIV!$D$1:$D$5,SUMPRODUCT(--($E606=STK_DIV!$A$2:$A$5),--(NXT_COMPO!$Q606=STK_DIV!$E$2:$E$5),ROW(STK_DIV!$D$2:$D$5)))),"")</f>
        <v/>
      </c>
      <c r="U606" s="54" t="str">
        <f>IF($D606&lt;&gt;"",VLOOKUP($P606,IDX_REF!$2:$1048576,4,0),"")</f>
        <v/>
      </c>
    </row>
    <row r="607" spans="4:21" x14ac:dyDescent="0.2">
      <c r="E607"/>
      <c r="P607" s="24"/>
    </row>
    <row r="608" spans="4:21" x14ac:dyDescent="0.2">
      <c r="E608"/>
      <c r="P608" s="24"/>
    </row>
    <row r="609" spans="5:16" x14ac:dyDescent="0.2">
      <c r="E609"/>
      <c r="P609" s="24"/>
    </row>
    <row r="610" spans="5:16" x14ac:dyDescent="0.2">
      <c r="E610"/>
      <c r="P610" s="24"/>
    </row>
    <row r="611" spans="5:16" x14ac:dyDescent="0.2">
      <c r="E611"/>
      <c r="P611" s="24"/>
    </row>
    <row r="612" spans="5:16" x14ac:dyDescent="0.2">
      <c r="E612"/>
      <c r="P612" s="24"/>
    </row>
    <row r="613" spans="5:16" x14ac:dyDescent="0.2">
      <c r="E613"/>
      <c r="P613" s="24"/>
    </row>
    <row r="614" spans="5:16" x14ac:dyDescent="0.2">
      <c r="E614"/>
      <c r="P614" s="24"/>
    </row>
    <row r="615" spans="5:16" x14ac:dyDescent="0.2">
      <c r="E615"/>
      <c r="P615" s="24"/>
    </row>
    <row r="616" spans="5:16" x14ac:dyDescent="0.2">
      <c r="E616"/>
      <c r="P616" s="24"/>
    </row>
  </sheetData>
  <customSheetViews>
    <customSheetView guid="{8EF2C042-D97C-40EA-9E42-A17331664713}" showAutoFilter="1" hiddenColumns="1" topLeftCell="L1">
      <selection activeCell="V2" sqref="V2"/>
      <pageMargins left="0.7" right="0.7" top="0.75" bottom="0.75" header="0.3" footer="0.3"/>
      <pageSetup orientation="portrait" horizontalDpi="300" verticalDpi="300" r:id="rId1"/>
      <autoFilter ref="D1:U606"/>
    </customSheetView>
    <customSheetView guid="{A93D23F5-27FE-48DF-A0DC-3D7A8C6F3CF5}" hiddenColumns="1" topLeftCell="D1">
      <selection activeCell="F5" sqref="F5"/>
      <pageMargins left="0.7" right="0.7" top="0.75" bottom="0.75" header="0.3" footer="0.3"/>
      <pageSetup orientation="portrait" horizontalDpi="300" verticalDpi="300" r:id="rId2"/>
    </customSheetView>
  </customSheetViews>
  <pageMargins left="0.7" right="0.7" top="0.75" bottom="0.75" header="0.3" footer="0.3"/>
  <pageSetup orientation="portrait" horizontalDpi="300" verticalDpi="300"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-0.249977111117893"/>
  </sheetPr>
  <dimension ref="A1:V198"/>
  <sheetViews>
    <sheetView topLeftCell="F1" workbookViewId="0">
      <selection activeCell="E2" sqref="E2"/>
    </sheetView>
  </sheetViews>
  <sheetFormatPr defaultRowHeight="12.75" x14ac:dyDescent="0.2"/>
  <cols>
    <col min="1" max="1" width="15.28515625" style="21" bestFit="1" customWidth="1"/>
    <col min="2" max="2" width="15" bestFit="1" customWidth="1"/>
    <col min="3" max="3" width="15" customWidth="1"/>
    <col min="4" max="4" width="10.28515625" bestFit="1" customWidth="1"/>
    <col min="5" max="5" width="15" customWidth="1"/>
    <col min="6" max="6" width="9.85546875" bestFit="1" customWidth="1"/>
    <col min="7" max="7" width="15" bestFit="1" customWidth="1"/>
    <col min="8" max="8" width="24.42578125" style="8" bestFit="1" customWidth="1"/>
    <col min="9" max="9" width="21.42578125" style="8" bestFit="1" customWidth="1"/>
    <col min="10" max="10" width="10" bestFit="1" customWidth="1"/>
    <col min="11" max="11" width="13.42578125" bestFit="1" customWidth="1"/>
    <col min="12" max="13" width="13.42578125" customWidth="1"/>
    <col min="16" max="16" width="11.28515625" bestFit="1" customWidth="1"/>
    <col min="17" max="17" width="19.7109375" style="8" bestFit="1" customWidth="1"/>
    <col min="22" max="22" width="13.7109375" customWidth="1"/>
  </cols>
  <sheetData>
    <row r="1" spans="1:22" x14ac:dyDescent="0.2">
      <c r="A1" s="3" t="s">
        <v>0</v>
      </c>
      <c r="B1" s="3" t="s">
        <v>57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77</v>
      </c>
      <c r="H1" s="7" t="s">
        <v>78</v>
      </c>
      <c r="I1" s="7" t="s">
        <v>79</v>
      </c>
      <c r="J1" s="23" t="s">
        <v>116</v>
      </c>
      <c r="K1" s="3" t="s">
        <v>10</v>
      </c>
      <c r="L1" s="3" t="s">
        <v>11</v>
      </c>
      <c r="M1" s="3" t="s">
        <v>126</v>
      </c>
      <c r="N1" s="4" t="s">
        <v>86</v>
      </c>
      <c r="O1" s="4" t="s">
        <v>87</v>
      </c>
      <c r="P1" s="3" t="s">
        <v>88</v>
      </c>
      <c r="Q1" s="7" t="s">
        <v>89</v>
      </c>
      <c r="R1" s="3" t="s">
        <v>115</v>
      </c>
      <c r="S1" s="7" t="s">
        <v>137</v>
      </c>
      <c r="T1" s="7" t="s">
        <v>138</v>
      </c>
      <c r="U1" s="4" t="s">
        <v>90</v>
      </c>
      <c r="V1" s="31" t="s">
        <v>397</v>
      </c>
    </row>
    <row r="2" spans="1:22" x14ac:dyDescent="0.2">
      <c r="A2" s="21">
        <f>IF(ROW($B2)-ROW($B$1)&lt;=COUNTIF(IDX_SPECS!$B$2:$B$89,"*")-COUNTIF(IDX_SPECS!$B$2:$B$89,""),ROW($B2)-ROW($B$1),"")</f>
        <v>1</v>
      </c>
      <c r="B2" t="str">
        <f>IF(ROW($B2)-ROW($B$1)&lt;=COUNTIF(IDX_SPECS!$B$2:$B$89,"*")-COUNTIF(IDX_SPECS!$B$2:$B$89,""),INDEX(IDX_SPECS!$B$2:$B$89,ROW($B2)-ROW($B$1)),"")</f>
        <v>VNX10PRVND</v>
      </c>
      <c r="D2" t="str">
        <f>IF($A2&lt;&gt;"",INDEX(IDX_SPECS!$D$2:$D$89,MATCH($B2,IDX_SPECS!$B$2:$B$89,0)),"")</f>
        <v>VND</v>
      </c>
      <c r="F2" t="str">
        <f>IF($A2&lt;&gt;"",INDEX(IDX_SPECS!$F$2:$F$89,MATCH($B2,IDX_SPECS!$B$2:$B$89,0)),"")</f>
        <v>P</v>
      </c>
      <c r="G2" t="str">
        <f>IF($A2&lt;&gt;"",INDEX(IDX_SPECS!$G$2:$G$89,MATCH($B2,IDX_SPECS!$B$2:$B$89,0)),"")</f>
        <v>VNX10PRVND</v>
      </c>
      <c r="H2" s="70">
        <f>IF($A2&lt;&gt;"",IF(F2="P",$I2/INDEX(IDX_SPECS!$I$2:$I$89,MATCH($B2,IDX_SPECS!$B$2:$B$89,0))*INDEX(IDX_SPECS!$H$2:$H$89,MATCH($B2,IDX_SPECS!$B$2:$B$89,0)),IF(INDEX(IDX_SPECS!$Q$2:$Q$89,MATCH($B2,IDX_SPECS!$B$2:$B$89,0))=0,INDEX(IDX_SPECS!$H$2:$H$89,MATCH($B2,IDX_SPECS!$B$2:$B$89,0)),IF($Q2=0,INDEX(IDX_SPECS!$H$2:$H$89,MATCH($B2,IDX_SPECS!$B$2:$B$89,0)),$Q2/INDEX(IDX_SPECS!$Q$2:$Q$89,MATCH($B2,IDX_SPECS!$B$2:$B$89,0))*INDEX(IDX_SPECS!$H$2:$H$89,MATCH($B2,IDX_SPECS!$B$2:$B$89,0))))),"")</f>
        <v>56017863828620.336</v>
      </c>
      <c r="I2" s="8">
        <f>IF($A2&lt;&gt;"",SUMIF(NXT_COMPO!$P$2:$P$1048576,$G2,NXT_COMPO!$O$2:$O$1048576)/$V2,"")</f>
        <v>73741666310320.594</v>
      </c>
      <c r="K2" s="74">
        <f>IF($A2&lt;&gt;"",NXT_COMPO!$B$6,"")</f>
        <v>41166</v>
      </c>
      <c r="L2" s="64"/>
      <c r="M2" s="64"/>
      <c r="P2" s="60">
        <f>IF($A2&lt;&gt;"",INDEX(IDX_SPECS!$J$2:$J$89,MATCH($B2,IDX_SPECS!$B$2:$B$89,0)),"")</f>
        <v>1316.3955436773531</v>
      </c>
      <c r="Q2" s="8">
        <f>IF($A2&lt;&gt;"",SUMIF(NXT_COMPO!$P$2:$P$1048576,$G2,NXT_COMPO!$R$2:$R$1048576)/$V2,"")</f>
        <v>0</v>
      </c>
      <c r="V2" s="12">
        <f>IF(B2&lt;&gt;"",IF(D2=INDEX($D$2:$D$1048576,MATCH(G2,$B$2:$B$1048576,0)),1,IF(ISNA(INDEX(CUR_RATES!$D:$D,SUMPRODUCT(--(WORKDAY(K2,-1)=CUR_RATES!$E$1:$E$97),--($D2&amp;INDEX($D$2:$D$1048576,MATCH($G2,$B$2:$B$1048576,0))=CUR_RATES!$A$1:$A$97),ROW(CUR_RATES!$E$1:$E$97)))),"",INDEX(CUR_RATES!$D:$D,SUMPRODUCT(--(WORKDAY(K2,-1)=CUR_RATES!$E$1:$E$97),--(D2&amp;INDEX($D$2:$D$1048576,MATCH(G2,$B$2:$B$1048576,0))=CUR_RATES!$A$1:$A$97),ROW(CUR_RATES!$E$1:$E$97))))),"")</f>
        <v>1</v>
      </c>
    </row>
    <row r="3" spans="1:22" x14ac:dyDescent="0.2">
      <c r="A3" s="21">
        <f>IF(ROW($B3)-ROW($B$1)&lt;=COUNTIF(IDX_SPECS!$B$2:$B$89,"*")-COUNTIF(IDX_SPECS!$B$2:$B$89,""),ROW($B3)-ROW($B$1),"")</f>
        <v>2</v>
      </c>
      <c r="B3" t="str">
        <f>IF(ROW($B3)-ROW($B$1)&lt;=COUNTIF(IDX_SPECS!$B$2:$B$89,"*")-COUNTIF(IDX_SPECS!$B$2:$B$89,""),INDEX(IDX_SPECS!$B$2:$B$89,ROW($B3)-ROW($B$1)),"")</f>
        <v>VNX10PRUSD</v>
      </c>
      <c r="D3" t="str">
        <f>IF($A3&lt;&gt;"",INDEX(IDX_SPECS!$D$2:$D$89,MATCH($B3,IDX_SPECS!$B$2:$B$89,0)),"")</f>
        <v>USD</v>
      </c>
      <c r="F3" t="str">
        <f>IF($A3&lt;&gt;"",INDEX(IDX_SPECS!$F$2:$F$89,MATCH($B3,IDX_SPECS!$B$2:$B$89,0)),"")</f>
        <v>P</v>
      </c>
      <c r="G3" t="str">
        <f>IF($A3&lt;&gt;"",INDEX(IDX_SPECS!$G$2:$G$89,MATCH($B3,IDX_SPECS!$B$2:$B$89,0)),"")</f>
        <v>VNX10PRVND</v>
      </c>
      <c r="H3" s="70">
        <f>IF($A3&lt;&gt;"",IF(F3="P",$I3/INDEX(IDX_SPECS!$I$2:$I$89,MATCH($B3,IDX_SPECS!$B$2:$B$89,0))*INDEX(IDX_SPECS!$H$2:$H$89,MATCH($B3,IDX_SPECS!$B$2:$B$89,0)),IF(INDEX(IDX_SPECS!$Q$2:$Q$89,MATCH($B3,IDX_SPECS!$B$2:$B$89,0))=0,INDEX(IDX_SPECS!$H$2:$H$89,MATCH($B3,IDX_SPECS!$B$2:$B$89,0)),IF($Q3=0,INDEX(IDX_SPECS!$H$2:$H$89,MATCH($B3,IDX_SPECS!$B$2:$B$89,0)),$Q3/INDEX(IDX_SPECS!$Q$2:$Q$89,MATCH($B3,IDX_SPECS!$B$2:$B$89,0))*INDEX(IDX_SPECS!$H$2:$H$89,MATCH($B3,IDX_SPECS!$B$2:$B$89,0))))),"")</f>
        <v>2667517325.1723967</v>
      </c>
      <c r="I3" s="8">
        <f>IF($A3&lt;&gt;"",SUMIF(NXT_COMPO!$P$2:$P$1048576,$G3,NXT_COMPO!$O$2:$O$1048576)/$V3,"")</f>
        <v>3368737611.2526541</v>
      </c>
      <c r="K3" s="74">
        <f>IF($A3&lt;&gt;"",NXT_COMPO!$B$6,"")</f>
        <v>41166</v>
      </c>
      <c r="L3" s="64"/>
      <c r="M3" s="64"/>
      <c r="P3" s="60">
        <f>IF($A3&lt;&gt;"",INDEX(IDX_SPECS!$J$2:$J$89,MATCH($B3,IDX_SPECS!$B$2:$B$89,0)),"")</f>
        <v>1262.8737513578994</v>
      </c>
      <c r="Q3" s="8">
        <f>IF($A3&lt;&gt;"",SUMIF(NXT_COMPO!$P$2:$P$1048576,$G3,NXT_COMPO!$R$2:$R$1048576)/$V3,"")</f>
        <v>0</v>
      </c>
      <c r="V3" s="12">
        <f>IF(B3&lt;&gt;"",IF(D3=INDEX($D$2:$D$1048576,MATCH(G3,$B$2:$B$1048576,0)),1,IF(ISNA(INDEX(CUR_RATES!$D:$D,SUMPRODUCT(--(WORKDAY(K3,-1)=CUR_RATES!$E$1:$E$97),--($D3&amp;INDEX($D$2:$D$1048576,MATCH($G3,$B$2:$B$1048576,0))=CUR_RATES!$A$1:$A$97),ROW(CUR_RATES!$E$1:$E$97)))),"",INDEX(CUR_RATES!$D:$D,SUMPRODUCT(--(WORKDAY(K3,-1)=CUR_RATES!$E$1:$E$97),--(D3&amp;INDEX($D$2:$D$1048576,MATCH(G3,$B$2:$B$1048576,0))=CUR_RATES!$A$1:$A$97),ROW(CUR_RATES!$E$1:$E$97))))),"")</f>
        <v>21890</v>
      </c>
    </row>
    <row r="4" spans="1:22" x14ac:dyDescent="0.2">
      <c r="A4" s="21">
        <f>IF(ROW($B4)-ROW($B$1)&lt;=COUNTIF(IDX_SPECS!$B$2:$B$89,"*")-COUNTIF(IDX_SPECS!$B$2:$B$89,""),ROW($B4)-ROW($B$1),"")</f>
        <v>3</v>
      </c>
      <c r="B4" t="str">
        <f>IF(ROW($B4)-ROW($B$1)&lt;=COUNTIF(IDX_SPECS!$B$2:$B$89,"*")-COUNTIF(IDX_SPECS!$B$2:$B$89,""),INDEX(IDX_SPECS!$B$2:$B$89,ROW($B4)-ROW($B$1)),"")</f>
        <v>VNX10PRJPY</v>
      </c>
      <c r="D4" t="str">
        <f>IF($A4&lt;&gt;"",INDEX(IDX_SPECS!$D$2:$D$89,MATCH($B4,IDX_SPECS!$B$2:$B$89,0)),"")</f>
        <v>JPY</v>
      </c>
      <c r="F4" t="str">
        <f>IF($A4&lt;&gt;"",INDEX(IDX_SPECS!$F$2:$F$89,MATCH($B4,IDX_SPECS!$B$2:$B$89,0)),"")</f>
        <v>P</v>
      </c>
      <c r="G4" t="str">
        <f>IF($A4&lt;&gt;"",INDEX(IDX_SPECS!$G$2:$G$89,MATCH($B4,IDX_SPECS!$B$2:$B$89,0)),"")</f>
        <v>VNX10PRVND</v>
      </c>
      <c r="H4" s="70">
        <f>IF($A4&lt;&gt;"",IF(F4="P",$I4/INDEX(IDX_SPECS!$I$2:$I$89,MATCH($B4,IDX_SPECS!$B$2:$B$89,0))*INDEX(IDX_SPECS!$H$2:$H$89,MATCH($B4,IDX_SPECS!$B$2:$B$89,0)),IF(INDEX(IDX_SPECS!$Q$2:$Q$89,MATCH($B4,IDX_SPECS!$B$2:$B$89,0))=0,INDEX(IDX_SPECS!$H$2:$H$89,MATCH($B4,IDX_SPECS!$B$2:$B$89,0)),IF($Q4=0,INDEX(IDX_SPECS!$H$2:$H$89,MATCH($B4,IDX_SPECS!$B$2:$B$89,0)),$Q4/INDEX(IDX_SPECS!$Q$2:$Q$89,MATCH($B4,IDX_SPECS!$B$2:$B$89,0))*INDEX(IDX_SPECS!$H$2:$H$89,MATCH($B4,IDX_SPECS!$B$2:$B$89,0))))),"")</f>
        <v>211388165391.02011</v>
      </c>
      <c r="I4" s="8">
        <f>IF($A4&lt;&gt;"",SUMIF(NXT_COMPO!$P$2:$P$1048576,$G4,NXT_COMPO!$O$2:$O$1048576)/$V4,"")</f>
        <v>261495270603.97372</v>
      </c>
      <c r="K4" s="74">
        <f>IF($A4&lt;&gt;"",NXT_COMPO!$B$6,"")</f>
        <v>41166</v>
      </c>
      <c r="L4" s="64"/>
      <c r="M4" s="64"/>
      <c r="P4" s="60">
        <f>IF($A4&lt;&gt;"",INDEX(IDX_SPECS!$J$2:$J$89,MATCH($B4,IDX_SPECS!$B$2:$B$89,0)),"")</f>
        <v>1237.0383655124062</v>
      </c>
      <c r="Q4" s="8">
        <f>IF($A4&lt;&gt;"",SUMIF(NXT_COMPO!$P$2:$P$1048576,$G4,NXT_COMPO!$R$2:$R$1048576)/$V4,"")</f>
        <v>0</v>
      </c>
      <c r="V4" s="12">
        <f>IF(B4&lt;&gt;"",IF(D4=INDEX($D$2:$D$1048576,MATCH(G4,$B$2:$B$1048576,0)),1,IF(ISNA(INDEX(CUR_RATES!$D:$D,SUMPRODUCT(--(WORKDAY(K4,-1)=CUR_RATES!$E$1:$E$97),--($D4&amp;INDEX($D$2:$D$1048576,MATCH($G4,$B$2:$B$1048576,0))=CUR_RATES!$A$1:$A$97),ROW(CUR_RATES!$E$1:$E$97)))),"",INDEX(CUR_RATES!$D:$D,SUMPRODUCT(--(WORKDAY(K4,-1)=CUR_RATES!$E$1:$E$97),--(D4&amp;INDEX($D$2:$D$1048576,MATCH(G4,$B$2:$B$1048576,0))=CUR_RATES!$A$1:$A$97),ROW(CUR_RATES!$E$1:$E$97))))),"")</f>
        <v>282</v>
      </c>
    </row>
    <row r="5" spans="1:22" x14ac:dyDescent="0.2">
      <c r="A5" s="21">
        <f>IF(ROW($B5)-ROW($B$1)&lt;=COUNTIF(IDX_SPECS!$B$2:$B$89,"*")-COUNTIF(IDX_SPECS!$B$2:$B$89,""),ROW($B5)-ROW($B$1),"")</f>
        <v>4</v>
      </c>
      <c r="B5" t="str">
        <f>IF(ROW($B5)-ROW($B$1)&lt;=COUNTIF(IDX_SPECS!$B$2:$B$89,"*")-COUNTIF(IDX_SPECS!$B$2:$B$89,""),INDEX(IDX_SPECS!$B$2:$B$89,ROW($B5)-ROW($B$1)),"")</f>
        <v>VNX10PREUR</v>
      </c>
      <c r="D5" t="str">
        <f>IF($A5&lt;&gt;"",INDEX(IDX_SPECS!$D$2:$D$89,MATCH($B5,IDX_SPECS!$B$2:$B$89,0)),"")</f>
        <v>EUR</v>
      </c>
      <c r="F5" t="str">
        <f>IF($A5&lt;&gt;"",INDEX(IDX_SPECS!$F$2:$F$89,MATCH($B5,IDX_SPECS!$B$2:$B$89,0)),"")</f>
        <v>P</v>
      </c>
      <c r="G5" t="str">
        <f>IF($A5&lt;&gt;"",INDEX(IDX_SPECS!$G$2:$G$89,MATCH($B5,IDX_SPECS!$B$2:$B$89,0)),"")</f>
        <v>VNX10PRVND</v>
      </c>
      <c r="H5" s="70">
        <f>IF($A5&lt;&gt;"",IF(F5="P",$I5/INDEX(IDX_SPECS!$I$2:$I$89,MATCH($B5,IDX_SPECS!$B$2:$B$89,0))*INDEX(IDX_SPECS!$H$2:$H$89,MATCH($B5,IDX_SPECS!$B$2:$B$89,0)),IF(INDEX(IDX_SPECS!$Q$2:$Q$89,MATCH($B5,IDX_SPECS!$B$2:$B$89,0))=0,INDEX(IDX_SPECS!$H$2:$H$89,MATCH($B5,IDX_SPECS!$B$2:$B$89,0)),IF($Q5=0,INDEX(IDX_SPECS!$H$2:$H$89,MATCH($B5,IDX_SPECS!$B$2:$B$89,0)),$Q5/INDEX(IDX_SPECS!$Q$2:$Q$89,MATCH($B5,IDX_SPECS!$B$2:$B$89,0))*INDEX(IDX_SPECS!$H$2:$H$89,MATCH($B5,IDX_SPECS!$B$2:$B$89,0))))),"")</f>
        <v>1931650476.8489769</v>
      </c>
      <c r="I5" s="8">
        <f>IF($A5&lt;&gt;"",SUMIF(NXT_COMPO!$P$2:$P$1048576,$G5,NXT_COMPO!$O$2:$O$1048576)/$V5,"")</f>
        <v>2473666025.4083633</v>
      </c>
      <c r="K5" s="74">
        <f>IF($A5&lt;&gt;"",NXT_COMPO!$B$6,"")</f>
        <v>41166</v>
      </c>
      <c r="L5" s="64"/>
      <c r="M5" s="64"/>
      <c r="P5" s="60">
        <f>IF($A5&lt;&gt;"",INDEX(IDX_SPECS!$J$2:$J$89,MATCH($B5,IDX_SPECS!$B$2:$B$89,0)),"")</f>
        <v>1280.5971137405534</v>
      </c>
      <c r="Q5" s="8">
        <f>IF($A5&lt;&gt;"",SUMIF(NXT_COMPO!$P$2:$P$1048576,$G5,NXT_COMPO!$R$2:$R$1048576)/$V5,"")</f>
        <v>0</v>
      </c>
      <c r="V5" s="12">
        <f>IF(B5&lt;&gt;"",IF(D5=INDEX($D$2:$D$1048576,MATCH(G5,$B$2:$B$1048576,0)),1,IF(ISNA(INDEX(CUR_RATES!$D:$D,SUMPRODUCT(--(WORKDAY(K5,-1)=CUR_RATES!$E$1:$E$97),--($D5&amp;INDEX($D$2:$D$1048576,MATCH($G5,$B$2:$B$1048576,0))=CUR_RATES!$A$1:$A$97),ROW(CUR_RATES!$E$1:$E$97)))),"",INDEX(CUR_RATES!$D:$D,SUMPRODUCT(--(WORKDAY(K5,-1)=CUR_RATES!$E$1:$E$97),--(D5&amp;INDEX($D$2:$D$1048576,MATCH(G5,$B$2:$B$1048576,0))=CUR_RATES!$A$1:$A$97),ROW(CUR_RATES!$E$1:$E$97))))),"")</f>
        <v>29810.68</v>
      </c>
    </row>
    <row r="6" spans="1:22" x14ac:dyDescent="0.2">
      <c r="A6" s="21">
        <f>IF(ROW($B6)-ROW($B$1)&lt;=COUNTIF(IDX_SPECS!$B$2:$B$89,"*")-COUNTIF(IDX_SPECS!$B$2:$B$89,""),ROW($B6)-ROW($B$1),"")</f>
        <v>5</v>
      </c>
      <c r="B6" t="str">
        <f>IF(ROW($B6)-ROW($B$1)&lt;=COUNTIF(IDX_SPECS!$B$2:$B$89,"*")-COUNTIF(IDX_SPECS!$B$2:$B$89,""),INDEX(IDX_SPECS!$B$2:$B$89,ROW($B6)-ROW($B$1)),"")</f>
        <v>VNX10TRVND</v>
      </c>
      <c r="D6" t="str">
        <f>IF($A6&lt;&gt;"",INDEX(IDX_SPECS!$D$2:$D$89,MATCH($B6,IDX_SPECS!$B$2:$B$89,0)),"")</f>
        <v>VND</v>
      </c>
      <c r="F6" t="str">
        <f>IF($A6&lt;&gt;"",INDEX(IDX_SPECS!$F$2:$F$89,MATCH($B6,IDX_SPECS!$B$2:$B$89,0)),"")</f>
        <v>R</v>
      </c>
      <c r="G6" t="str">
        <f>IF($A6&lt;&gt;"",INDEX(IDX_SPECS!$G$2:$G$89,MATCH($B6,IDX_SPECS!$B$2:$B$89,0)),"")</f>
        <v>VNX10PRVND</v>
      </c>
      <c r="H6" s="70">
        <f>IF($A6&lt;&gt;"",IF(F6="P",$I6/INDEX(IDX_SPECS!$I$2:$I$89,MATCH($B6,IDX_SPECS!$B$2:$B$89,0))*INDEX(IDX_SPECS!$H$2:$H$89,MATCH($B6,IDX_SPECS!$B$2:$B$89,0)),IF(INDEX(IDX_SPECS!$Q$2:$Q$89,MATCH($B6,IDX_SPECS!$B$2:$B$89,0))=0,INDEX(IDX_SPECS!$H$2:$H$89,MATCH($B6,IDX_SPECS!$B$2:$B$89,0)),IF($Q6=0,INDEX(IDX_SPECS!$H$2:$H$89,MATCH($B6,IDX_SPECS!$B$2:$B$89,0)),$Q6/INDEX(IDX_SPECS!$Q$2:$Q$89,MATCH($B6,IDX_SPECS!$B$2:$B$89,0))*INDEX(IDX_SPECS!$H$2:$H$89,MATCH($B6,IDX_SPECS!$B$2:$B$89,0))))),"")</f>
        <v>30000000000000</v>
      </c>
      <c r="I6" s="8">
        <f>IF($A6&lt;&gt;"",SUMIF(NXT_COMPO!$P$2:$P$1048576,$G6,NXT_COMPO!$O$2:$O$1048576)/$V6,"")</f>
        <v>73741666310320.594</v>
      </c>
      <c r="K6" s="74">
        <f>IF($A6&lt;&gt;"",NXT_COMPO!$B$6,"")</f>
        <v>41166</v>
      </c>
      <c r="L6" s="64"/>
      <c r="M6" s="64"/>
      <c r="P6" s="60">
        <f>IF($A6&lt;&gt;"",INDEX(IDX_SPECS!$J$2:$J$89,MATCH($B6,IDX_SPECS!$B$2:$B$89,0)),"")</f>
        <v>1469.3140631602996</v>
      </c>
      <c r="Q6" s="8">
        <f>IF($A6&lt;&gt;"",SUMIF(NXT_COMPO!$P$2:$P$1048576,$G6,NXT_COMPO!$R$2:$R$1048576)/$V6,"")</f>
        <v>0</v>
      </c>
      <c r="V6" s="12">
        <f>IF(B6&lt;&gt;"",IF(D6=INDEX($D$2:$D$1048576,MATCH(G6,$B$2:$B$1048576,0)),1,IF(ISNA(INDEX(CUR_RATES!$D:$D,SUMPRODUCT(--(WORKDAY(K6,-1)=CUR_RATES!$E$1:$E$97),--($D6&amp;INDEX($D$2:$D$1048576,MATCH($G6,$B$2:$B$1048576,0))=CUR_RATES!$A$1:$A$97),ROW(CUR_RATES!$E$1:$E$97)))),"",INDEX(CUR_RATES!$D:$D,SUMPRODUCT(--(WORKDAY(K6,-1)=CUR_RATES!$E$1:$E$97),--(D6&amp;INDEX($D$2:$D$1048576,MATCH(G6,$B$2:$B$1048576,0))=CUR_RATES!$A$1:$A$97),ROW(CUR_RATES!$E$1:$E$97))))),"")</f>
        <v>1</v>
      </c>
    </row>
    <row r="7" spans="1:22" x14ac:dyDescent="0.2">
      <c r="A7" s="21">
        <f>IF(ROW($B7)-ROW($B$1)&lt;=COUNTIF(IDX_SPECS!$B$2:$B$89,"*")-COUNTIF(IDX_SPECS!$B$2:$B$89,""),ROW($B7)-ROW($B$1),"")</f>
        <v>6</v>
      </c>
      <c r="B7" t="str">
        <f>IF(ROW($B7)-ROW($B$1)&lt;=COUNTIF(IDX_SPECS!$B$2:$B$89,"*")-COUNTIF(IDX_SPECS!$B$2:$B$89,""),INDEX(IDX_SPECS!$B$2:$B$89,ROW($B7)-ROW($B$1)),"")</f>
        <v>VNX10TRUSD</v>
      </c>
      <c r="D7" t="str">
        <f>IF($A7&lt;&gt;"",INDEX(IDX_SPECS!$D$2:$D$89,MATCH($B7,IDX_SPECS!$B$2:$B$89,0)),"")</f>
        <v>USD</v>
      </c>
      <c r="F7" t="str">
        <f>IF($A7&lt;&gt;"",INDEX(IDX_SPECS!$F$2:$F$89,MATCH($B7,IDX_SPECS!$B$2:$B$89,0)),"")</f>
        <v>R</v>
      </c>
      <c r="G7" t="str">
        <f>IF($A7&lt;&gt;"",INDEX(IDX_SPECS!$G$2:$G$89,MATCH($B7,IDX_SPECS!$B$2:$B$89,0)),"")</f>
        <v>VNX10PRVND</v>
      </c>
      <c r="H7" s="70">
        <f>IF($A7&lt;&gt;"",IF(F7="P",$I7/INDEX(IDX_SPECS!$I$2:$I$89,MATCH($B7,IDX_SPECS!$B$2:$B$89,0))*INDEX(IDX_SPECS!$H$2:$H$89,MATCH($B7,IDX_SPECS!$B$2:$B$89,0)),IF(INDEX(IDX_SPECS!$Q$2:$Q$89,MATCH($B7,IDX_SPECS!$B$2:$B$89,0))=0,INDEX(IDX_SPECS!$H$2:$H$89,MATCH($B7,IDX_SPECS!$B$2:$B$89,0)),IF($Q7=0,INDEX(IDX_SPECS!$H$2:$H$89,MATCH($B7,IDX_SPECS!$B$2:$B$89,0)),$Q7/INDEX(IDX_SPECS!$Q$2:$Q$89,MATCH($B7,IDX_SPECS!$B$2:$B$89,0))*INDEX(IDX_SPECS!$H$2:$H$89,MATCH($B7,IDX_SPECS!$B$2:$B$89,0))))),"")</f>
        <v>1428571428571.4285</v>
      </c>
      <c r="I7" s="8">
        <f>IF($A7&lt;&gt;"",SUMIF(NXT_COMPO!$P$2:$P$1048576,$G7,NXT_COMPO!$O$2:$O$1048576)/$V7,"")</f>
        <v>3368737611.2526541</v>
      </c>
      <c r="K7" s="74">
        <f>IF($A7&lt;&gt;"",NXT_COMPO!$B$6,"")</f>
        <v>41166</v>
      </c>
      <c r="L7" s="64"/>
      <c r="M7" s="64"/>
      <c r="P7" s="60">
        <f>IF($A7&lt;&gt;"",INDEX(IDX_SPECS!$J$2:$J$89,MATCH($B7,IDX_SPECS!$B$2:$B$89,0)),"")</f>
        <v>1380.0649491952047</v>
      </c>
      <c r="Q7" s="8">
        <f>IF($A7&lt;&gt;"",SUMIF(NXT_COMPO!$P$2:$P$1048576,$G7,NXT_COMPO!$R$2:$R$1048576)/$V7,"")</f>
        <v>0</v>
      </c>
      <c r="V7" s="12">
        <f>IF(B7&lt;&gt;"",IF(D7=INDEX($D$2:$D$1048576,MATCH(G7,$B$2:$B$1048576,0)),1,IF(ISNA(INDEX(CUR_RATES!$D:$D,SUMPRODUCT(--(WORKDAY(K7,-1)=CUR_RATES!$E$1:$E$97),--($D7&amp;INDEX($D$2:$D$1048576,MATCH($G7,$B$2:$B$1048576,0))=CUR_RATES!$A$1:$A$97),ROW(CUR_RATES!$E$1:$E$97)))),"",INDEX(CUR_RATES!$D:$D,SUMPRODUCT(--(WORKDAY(K7,-1)=CUR_RATES!$E$1:$E$97),--(D7&amp;INDEX($D$2:$D$1048576,MATCH(G7,$B$2:$B$1048576,0))=CUR_RATES!$A$1:$A$97),ROW(CUR_RATES!$E$1:$E$97))))),"")</f>
        <v>21890</v>
      </c>
    </row>
    <row r="8" spans="1:22" x14ac:dyDescent="0.2">
      <c r="A8" s="21">
        <f>IF(ROW($B8)-ROW($B$1)&lt;=COUNTIF(IDX_SPECS!$B$2:$B$89,"*")-COUNTIF(IDX_SPECS!$B$2:$B$89,""),ROW($B8)-ROW($B$1),"")</f>
        <v>7</v>
      </c>
      <c r="B8" t="str">
        <f>IF(ROW($B8)-ROW($B$1)&lt;=COUNTIF(IDX_SPECS!$B$2:$B$89,"*")-COUNTIF(IDX_SPECS!$B$2:$B$89,""),INDEX(IDX_SPECS!$B$2:$B$89,ROW($B8)-ROW($B$1)),"")</f>
        <v>VNX10TRJPY</v>
      </c>
      <c r="D8" t="str">
        <f>IF($A8&lt;&gt;"",INDEX(IDX_SPECS!$D$2:$D$89,MATCH($B8,IDX_SPECS!$B$2:$B$89,0)),"")</f>
        <v>JPY</v>
      </c>
      <c r="F8" t="str">
        <f>IF($A8&lt;&gt;"",INDEX(IDX_SPECS!$F$2:$F$89,MATCH($B8,IDX_SPECS!$B$2:$B$89,0)),"")</f>
        <v>R</v>
      </c>
      <c r="G8" t="str">
        <f>IF($A8&lt;&gt;"",INDEX(IDX_SPECS!$G$2:$G$89,MATCH($B8,IDX_SPECS!$B$2:$B$89,0)),"")</f>
        <v>VNX10PRVND</v>
      </c>
      <c r="H8" s="70">
        <f>IF($A8&lt;&gt;"",IF(F8="P",$I8/INDEX(IDX_SPECS!$I$2:$I$89,MATCH($B8,IDX_SPECS!$B$2:$B$89,0))*INDEX(IDX_SPECS!$H$2:$H$89,MATCH($B8,IDX_SPECS!$B$2:$B$89,0)),IF(INDEX(IDX_SPECS!$Q$2:$Q$89,MATCH($B8,IDX_SPECS!$B$2:$B$89,0))=0,INDEX(IDX_SPECS!$H$2:$H$89,MATCH($B8,IDX_SPECS!$B$2:$B$89,0)),IF($Q8=0,INDEX(IDX_SPECS!$H$2:$H$89,MATCH($B8,IDX_SPECS!$B$2:$B$89,0)),$Q8/INDEX(IDX_SPECS!$Q$2:$Q$89,MATCH($B8,IDX_SPECS!$B$2:$B$89,0))*INDEX(IDX_SPECS!$H$2:$H$89,MATCH($B8,IDX_SPECS!$B$2:$B$89,0))))),"")</f>
        <v>113207547169.81133</v>
      </c>
      <c r="I8" s="8">
        <f>IF($A8&lt;&gt;"",SUMIF(NXT_COMPO!$P$2:$P$1048576,$G8,NXT_COMPO!$O$2:$O$1048576)/$V8,"")</f>
        <v>261495270603.97372</v>
      </c>
      <c r="K8" s="74">
        <f>IF($A8&lt;&gt;"",NXT_COMPO!$B$6,"")</f>
        <v>41166</v>
      </c>
      <c r="L8" s="64"/>
      <c r="M8" s="64"/>
      <c r="P8" s="60">
        <f>IF($A8&lt;&gt;"",INDEX(IDX_SPECS!$J$2:$J$89,MATCH($B8,IDX_SPECS!$B$2:$B$89,0)),"")</f>
        <v>1464.8250193505332</v>
      </c>
      <c r="Q8" s="8">
        <f>IF($A8&lt;&gt;"",SUMIF(NXT_COMPO!$P$2:$P$1048576,$G8,NXT_COMPO!$R$2:$R$1048576)/$V8,"")</f>
        <v>0</v>
      </c>
      <c r="V8" s="12">
        <f>IF(B8&lt;&gt;"",IF(D8=INDEX($D$2:$D$1048576,MATCH(G8,$B$2:$B$1048576,0)),1,IF(ISNA(INDEX(CUR_RATES!$D:$D,SUMPRODUCT(--(WORKDAY(K8,-1)=CUR_RATES!$E$1:$E$97),--($D8&amp;INDEX($D$2:$D$1048576,MATCH($G8,$B$2:$B$1048576,0))=CUR_RATES!$A$1:$A$97),ROW(CUR_RATES!$E$1:$E$97)))),"",INDEX(CUR_RATES!$D:$D,SUMPRODUCT(--(WORKDAY(K8,-1)=CUR_RATES!$E$1:$E$97),--(D8&amp;INDEX($D$2:$D$1048576,MATCH(G8,$B$2:$B$1048576,0))=CUR_RATES!$A$1:$A$97),ROW(CUR_RATES!$E$1:$E$97))))),"")</f>
        <v>282</v>
      </c>
    </row>
    <row r="9" spans="1:22" x14ac:dyDescent="0.2">
      <c r="A9" s="21">
        <f>IF(ROW($B9)-ROW($B$1)&lt;=COUNTIF(IDX_SPECS!$B$2:$B$89,"*")-COUNTIF(IDX_SPECS!$B$2:$B$89,""),ROW($B9)-ROW($B$1),"")</f>
        <v>8</v>
      </c>
      <c r="B9" t="str">
        <f>IF(ROW($B9)-ROW($B$1)&lt;=COUNTIF(IDX_SPECS!$B$2:$B$89,"*")-COUNTIF(IDX_SPECS!$B$2:$B$89,""),INDEX(IDX_SPECS!$B$2:$B$89,ROW($B9)-ROW($B$1)),"")</f>
        <v>VNX10TREUR</v>
      </c>
      <c r="D9" t="str">
        <f>IF($A9&lt;&gt;"",INDEX(IDX_SPECS!$D$2:$D$89,MATCH($B9,IDX_SPECS!$B$2:$B$89,0)),"")</f>
        <v>EUR</v>
      </c>
      <c r="F9" t="str">
        <f>IF($A9&lt;&gt;"",INDEX(IDX_SPECS!$F$2:$F$89,MATCH($B9,IDX_SPECS!$B$2:$B$89,0)),"")</f>
        <v>R</v>
      </c>
      <c r="G9" t="str">
        <f>IF($A9&lt;&gt;"",INDEX(IDX_SPECS!$G$2:$G$89,MATCH($B9,IDX_SPECS!$B$2:$B$89,0)),"")</f>
        <v>VNX10PRVND</v>
      </c>
      <c r="H9" s="70">
        <f>IF($A9&lt;&gt;"",IF(F9="P",$I9/INDEX(IDX_SPECS!$I$2:$I$89,MATCH($B9,IDX_SPECS!$B$2:$B$89,0))*INDEX(IDX_SPECS!$H$2:$H$89,MATCH($B9,IDX_SPECS!$B$2:$B$89,0)),IF(INDEX(IDX_SPECS!$Q$2:$Q$89,MATCH($B9,IDX_SPECS!$B$2:$B$89,0))=0,INDEX(IDX_SPECS!$H$2:$H$89,MATCH($B9,IDX_SPECS!$B$2:$B$89,0)),IF($Q9=0,INDEX(IDX_SPECS!$H$2:$H$89,MATCH($B9,IDX_SPECS!$B$2:$B$89,0)),$Q9/INDEX(IDX_SPECS!$Q$2:$Q$89,MATCH($B9,IDX_SPECS!$B$2:$B$89,0))*INDEX(IDX_SPECS!$H$2:$H$89,MATCH($B9,IDX_SPECS!$B$2:$B$89,0))))),"")</f>
        <v>1034482758620.6897</v>
      </c>
      <c r="I9" s="8">
        <f>IF($A9&lt;&gt;"",SUMIF(NXT_COMPO!$P$2:$P$1048576,$G9,NXT_COMPO!$O$2:$O$1048576)/$V9,"")</f>
        <v>2473666025.4083633</v>
      </c>
      <c r="K9" s="74">
        <f>IF($A9&lt;&gt;"",NXT_COMPO!$B$6,"")</f>
        <v>41166</v>
      </c>
      <c r="L9" s="64"/>
      <c r="M9" s="64"/>
      <c r="P9" s="60">
        <f>IF($A9&lt;&gt;"",INDEX(IDX_SPECS!$J$2:$J$89,MATCH($B9,IDX_SPECS!$B$2:$B$89,0)),"")</f>
        <v>1135.409905645455</v>
      </c>
      <c r="Q9" s="8">
        <f>IF($A9&lt;&gt;"",SUMIF(NXT_COMPO!$P$2:$P$1048576,$G9,NXT_COMPO!$R$2:$R$1048576)/$V9,"")</f>
        <v>0</v>
      </c>
      <c r="V9" s="12">
        <f>IF(B9&lt;&gt;"",IF(D9=INDEX($D$2:$D$1048576,MATCH(G9,$B$2:$B$1048576,0)),1,IF(ISNA(INDEX(CUR_RATES!$D:$D,SUMPRODUCT(--(WORKDAY(K9,-1)=CUR_RATES!$E$1:$E$97),--($D9&amp;INDEX($D$2:$D$1048576,MATCH($G9,$B$2:$B$1048576,0))=CUR_RATES!$A$1:$A$97),ROW(CUR_RATES!$E$1:$E$97)))),"",INDEX(CUR_RATES!$D:$D,SUMPRODUCT(--(WORKDAY(K9,-1)=CUR_RATES!$E$1:$E$97),--(D9&amp;INDEX($D$2:$D$1048576,MATCH(G9,$B$2:$B$1048576,0))=CUR_RATES!$A$1:$A$97),ROW(CUR_RATES!$E$1:$E$97))))),"")</f>
        <v>29810.68</v>
      </c>
    </row>
    <row r="10" spans="1:22" x14ac:dyDescent="0.2">
      <c r="A10" s="21">
        <f>IF(ROW($B10)-ROW($B$1)&lt;=COUNTIF(IDX_SPECS!$B$2:$B$89,"*")-COUNTIF(IDX_SPECS!$B$2:$B$89,""),ROW($B10)-ROW($B$1),"")</f>
        <v>9</v>
      </c>
      <c r="B10" t="str">
        <f>IF(ROW($B10)-ROW($B$1)&lt;=COUNTIF(IDX_SPECS!$B$2:$B$89,"*")-COUNTIF(IDX_SPECS!$B$2:$B$89,""),INDEX(IDX_SPECS!$B$2:$B$89,ROW($B10)-ROW($B$1)),"")</f>
        <v>VNXASPRVND</v>
      </c>
      <c r="D10" t="str">
        <f>IF($A10&lt;&gt;"",INDEX(IDX_SPECS!$D$2:$D$89,MATCH($B10,IDX_SPECS!$B$2:$B$89,0)),"")</f>
        <v>VND</v>
      </c>
      <c r="F10" t="str">
        <f>IF($A10&lt;&gt;"",INDEX(IDX_SPECS!$F$2:$F$89,MATCH($B10,IDX_SPECS!$B$2:$B$89,0)),"")</f>
        <v>P</v>
      </c>
      <c r="G10" t="str">
        <f>IF($A10&lt;&gt;"",INDEX(IDX_SPECS!$G$2:$G$89,MATCH($B10,IDX_SPECS!$B$2:$B$89,0)),"")</f>
        <v>VNXASPRVND</v>
      </c>
      <c r="H10" s="70">
        <f>IF($A10&lt;&gt;"",IF(F10="P",$I10/INDEX(IDX_SPECS!$I$2:$I$89,MATCH($B10,IDX_SPECS!$B$2:$B$89,0))*INDEX(IDX_SPECS!$H$2:$H$89,MATCH($B10,IDX_SPECS!$B$2:$B$89,0)),IF(INDEX(IDX_SPECS!$Q$2:$Q$89,MATCH($B10,IDX_SPECS!$B$2:$B$89,0))=0,INDEX(IDX_SPECS!$H$2:$H$89,MATCH($B10,IDX_SPECS!$B$2:$B$89,0)),IF($Q10=0,INDEX(IDX_SPECS!$H$2:$H$89,MATCH($B10,IDX_SPECS!$B$2:$B$89,0)),$Q10/INDEX(IDX_SPECS!$Q$2:$Q$89,MATCH($B10,IDX_SPECS!$B$2:$B$89,0))*INDEX(IDX_SPECS!$H$2:$H$89,MATCH($B10,IDX_SPECS!$B$2:$B$89,0))))),"")</f>
        <v>35000000000000</v>
      </c>
      <c r="I10" s="8">
        <f>IF($A10&lt;&gt;"",SUMIF(NXT_COMPO!$P$2:$P$1048576,$G10,NXT_COMPO!$O$2:$O$1048576)/$V10,"")</f>
        <v>49683919830700</v>
      </c>
      <c r="K10" s="74">
        <f>IF($A10&lt;&gt;"",NXT_COMPO!$B$6,"")</f>
        <v>41166</v>
      </c>
      <c r="L10" s="64"/>
      <c r="M10" s="64"/>
      <c r="P10" s="60">
        <f>IF($A10&lt;&gt;"",INDEX(IDX_SPECS!$J$2:$J$89,MATCH($B10,IDX_SPECS!$B$2:$B$89,0)),"")</f>
        <v>1419.5405665914286</v>
      </c>
      <c r="Q10" s="8">
        <f>IF($A10&lt;&gt;"",SUMIF(NXT_COMPO!$P$2:$P$1048576,$G10,NXT_COMPO!$R$2:$R$1048576)/$V10,"")</f>
        <v>0</v>
      </c>
      <c r="V10" s="12">
        <f>IF(B10&lt;&gt;"",IF(D10=INDEX($D$2:$D$1048576,MATCH(G10,$B$2:$B$1048576,0)),1,IF(ISNA(INDEX(CUR_RATES!$D:$D,SUMPRODUCT(--(WORKDAY(K10,-1)=CUR_RATES!$E$1:$E$97),--($D10&amp;INDEX($D$2:$D$1048576,MATCH($G10,$B$2:$B$1048576,0))=CUR_RATES!$A$1:$A$97),ROW(CUR_RATES!$E$1:$E$97)))),"",INDEX(CUR_RATES!$D:$D,SUMPRODUCT(--(WORKDAY(K10,-1)=CUR_RATES!$E$1:$E$97),--(D10&amp;INDEX($D$2:$D$1048576,MATCH(G10,$B$2:$B$1048576,0))=CUR_RATES!$A$1:$A$97),ROW(CUR_RATES!$E$1:$E$97))))),"")</f>
        <v>1</v>
      </c>
    </row>
    <row r="11" spans="1:22" x14ac:dyDescent="0.2">
      <c r="A11" s="21">
        <f>IF(ROW($B11)-ROW($B$1)&lt;=COUNTIF(IDX_SPECS!$B$2:$B$89,"*")-COUNTIF(IDX_SPECS!$B$2:$B$89,""),ROW($B11)-ROW($B$1),"")</f>
        <v>10</v>
      </c>
      <c r="B11" t="str">
        <f>IF(ROW($B11)-ROW($B$1)&lt;=COUNTIF(IDX_SPECS!$B$2:$B$89,"*")-COUNTIF(IDX_SPECS!$B$2:$B$89,""),INDEX(IDX_SPECS!$B$2:$B$89,ROW($B11)-ROW($B$1)),"")</f>
        <v>VNXASPRUSD</v>
      </c>
      <c r="D11" t="str">
        <f>IF($A11&lt;&gt;"",INDEX(IDX_SPECS!$D$2:$D$89,MATCH($B11,IDX_SPECS!$B$2:$B$89,0)),"")</f>
        <v>USD</v>
      </c>
      <c r="F11" t="str">
        <f>IF($A11&lt;&gt;"",INDEX(IDX_SPECS!$F$2:$F$89,MATCH($B11,IDX_SPECS!$B$2:$B$89,0)),"")</f>
        <v>P</v>
      </c>
      <c r="G11" t="str">
        <f>IF($A11&lt;&gt;"",INDEX(IDX_SPECS!$G$2:$G$89,MATCH($B11,IDX_SPECS!$B$2:$B$89,0)),"")</f>
        <v>VNXASPRVND</v>
      </c>
      <c r="H11" s="70">
        <f>IF($A11&lt;&gt;"",IF(F11="P",$I11/INDEX(IDX_SPECS!$I$2:$I$89,MATCH($B11,IDX_SPECS!$B$2:$B$89,0))*INDEX(IDX_SPECS!$H$2:$H$89,MATCH($B11,IDX_SPECS!$B$2:$B$89,0)),IF(INDEX(IDX_SPECS!$Q$2:$Q$89,MATCH($B11,IDX_SPECS!$B$2:$B$89,0))=0,INDEX(IDX_SPECS!$H$2:$H$89,MATCH($B11,IDX_SPECS!$B$2:$B$89,0)),IF($Q11=0,INDEX(IDX_SPECS!$H$2:$H$89,MATCH($B11,IDX_SPECS!$B$2:$B$89,0)),$Q11/INDEX(IDX_SPECS!$Q$2:$Q$89,MATCH($B11,IDX_SPECS!$B$2:$B$89,0))*INDEX(IDX_SPECS!$H$2:$H$89,MATCH($B11,IDX_SPECS!$B$2:$B$89,0))))),"")</f>
        <v>1666666666.6666667</v>
      </c>
      <c r="I11" s="8">
        <f>IF($A11&lt;&gt;"",SUMIF(NXT_COMPO!$P$2:$P$1048576,$G11,NXT_COMPO!$O$2:$O$1048576)/$V11,"")</f>
        <v>2269708534.9794426</v>
      </c>
      <c r="K11" s="74">
        <f>IF($A11&lt;&gt;"",NXT_COMPO!$B$6,"")</f>
        <v>41166</v>
      </c>
      <c r="L11" s="64"/>
      <c r="M11" s="64"/>
      <c r="P11" s="60">
        <f>IF($A11&lt;&gt;"",INDEX(IDX_SPECS!$J$2:$J$89,MATCH($B11,IDX_SPECS!$B$2:$B$89,0)),"")</f>
        <v>1361.8251209876653</v>
      </c>
      <c r="Q11" s="8">
        <f>IF($A11&lt;&gt;"",SUMIF(NXT_COMPO!$P$2:$P$1048576,$G11,NXT_COMPO!$R$2:$R$1048576)/$V11,"")</f>
        <v>0</v>
      </c>
      <c r="V11" s="12">
        <f>IF(B11&lt;&gt;"",IF(D11=INDEX($D$2:$D$1048576,MATCH(G11,$B$2:$B$1048576,0)),1,IF(ISNA(INDEX(CUR_RATES!$D:$D,SUMPRODUCT(--(WORKDAY(K11,-1)=CUR_RATES!$E$1:$E$97),--($D11&amp;INDEX($D$2:$D$1048576,MATCH($G11,$B$2:$B$1048576,0))=CUR_RATES!$A$1:$A$97),ROW(CUR_RATES!$E$1:$E$97)))),"",INDEX(CUR_RATES!$D:$D,SUMPRODUCT(--(WORKDAY(K11,-1)=CUR_RATES!$E$1:$E$97),--(D11&amp;INDEX($D$2:$D$1048576,MATCH(G11,$B$2:$B$1048576,0))=CUR_RATES!$A$1:$A$97),ROW(CUR_RATES!$E$1:$E$97))))),"")</f>
        <v>21890</v>
      </c>
    </row>
    <row r="12" spans="1:22" x14ac:dyDescent="0.2">
      <c r="A12" s="21">
        <f>IF(ROW($B12)-ROW($B$1)&lt;=COUNTIF(IDX_SPECS!$B$2:$B$89,"*")-COUNTIF(IDX_SPECS!$B$2:$B$89,""),ROW($B12)-ROW($B$1),"")</f>
        <v>11</v>
      </c>
      <c r="B12" t="str">
        <f>IF(ROW($B12)-ROW($B$1)&lt;=COUNTIF(IDX_SPECS!$B$2:$B$89,"*")-COUNTIF(IDX_SPECS!$B$2:$B$89,""),INDEX(IDX_SPECS!$B$2:$B$89,ROW($B12)-ROW($B$1)),"")</f>
        <v>VNXASPRJPY</v>
      </c>
      <c r="D12" t="str">
        <f>IF($A12&lt;&gt;"",INDEX(IDX_SPECS!$D$2:$D$89,MATCH($B12,IDX_SPECS!$B$2:$B$89,0)),"")</f>
        <v>JPY</v>
      </c>
      <c r="F12" t="str">
        <f>IF($A12&lt;&gt;"",INDEX(IDX_SPECS!$F$2:$F$89,MATCH($B12,IDX_SPECS!$B$2:$B$89,0)),"")</f>
        <v>P</v>
      </c>
      <c r="G12" t="str">
        <f>IF($A12&lt;&gt;"",INDEX(IDX_SPECS!$G$2:$G$89,MATCH($B12,IDX_SPECS!$B$2:$B$89,0)),"")</f>
        <v>VNXASPRVND</v>
      </c>
      <c r="H12" s="70">
        <f>IF($A12&lt;&gt;"",IF(F12="P",$I12/INDEX(IDX_SPECS!$I$2:$I$89,MATCH($B12,IDX_SPECS!$B$2:$B$89,0))*INDEX(IDX_SPECS!$H$2:$H$89,MATCH($B12,IDX_SPECS!$B$2:$B$89,0)),IF(INDEX(IDX_SPECS!$Q$2:$Q$89,MATCH($B12,IDX_SPECS!$B$2:$B$89,0))=0,INDEX(IDX_SPECS!$H$2:$H$89,MATCH($B12,IDX_SPECS!$B$2:$B$89,0)),IF($Q12=0,INDEX(IDX_SPECS!$H$2:$H$89,MATCH($B12,IDX_SPECS!$B$2:$B$89,0)),$Q12/INDEX(IDX_SPECS!$Q$2:$Q$89,MATCH($B12,IDX_SPECS!$B$2:$B$89,0))*INDEX(IDX_SPECS!$H$2:$H$89,MATCH($B12,IDX_SPECS!$B$2:$B$89,0))))),"")</f>
        <v>132075471698.1132</v>
      </c>
      <c r="I12" s="8">
        <f>IF($A12&lt;&gt;"",SUMIF(NXT_COMPO!$P$2:$P$1048576,$G12,NXT_COMPO!$O$2:$O$1048576)/$V12,"")</f>
        <v>176184112874.82269</v>
      </c>
      <c r="K12" s="74">
        <f>IF($A12&lt;&gt;"",NXT_COMPO!$B$6,"")</f>
        <v>41166</v>
      </c>
      <c r="L12" s="64"/>
      <c r="M12" s="64"/>
      <c r="P12" s="60">
        <f>IF($A12&lt;&gt;"",INDEX(IDX_SPECS!$J$2:$J$89,MATCH($B12,IDX_SPECS!$B$2:$B$89,0)),"")</f>
        <v>1333.9654260522288</v>
      </c>
      <c r="Q12" s="8">
        <f>IF($A12&lt;&gt;"",SUMIF(NXT_COMPO!$P$2:$P$1048576,$G12,NXT_COMPO!$R$2:$R$1048576)/$V12,"")</f>
        <v>0</v>
      </c>
      <c r="V12" s="12">
        <f>IF(B12&lt;&gt;"",IF(D12=INDEX($D$2:$D$1048576,MATCH(G12,$B$2:$B$1048576,0)),1,IF(ISNA(INDEX(CUR_RATES!$D:$D,SUMPRODUCT(--(WORKDAY(K12,-1)=CUR_RATES!$E$1:$E$97),--($D12&amp;INDEX($D$2:$D$1048576,MATCH($G12,$B$2:$B$1048576,0))=CUR_RATES!$A$1:$A$97),ROW(CUR_RATES!$E$1:$E$97)))),"",INDEX(CUR_RATES!$D:$D,SUMPRODUCT(--(WORKDAY(K12,-1)=CUR_RATES!$E$1:$E$97),--(D12&amp;INDEX($D$2:$D$1048576,MATCH(G12,$B$2:$B$1048576,0))=CUR_RATES!$A$1:$A$97),ROW(CUR_RATES!$E$1:$E$97))))),"")</f>
        <v>282</v>
      </c>
    </row>
    <row r="13" spans="1:22" x14ac:dyDescent="0.2">
      <c r="A13" s="21">
        <f>IF(ROW($B13)-ROW($B$1)&lt;=COUNTIF(IDX_SPECS!$B$2:$B$89,"*")-COUNTIF(IDX_SPECS!$B$2:$B$89,""),ROW($B13)-ROW($B$1),"")</f>
        <v>12</v>
      </c>
      <c r="B13" t="str">
        <f>IF(ROW($B13)-ROW($B$1)&lt;=COUNTIF(IDX_SPECS!$B$2:$B$89,"*")-COUNTIF(IDX_SPECS!$B$2:$B$89,""),INDEX(IDX_SPECS!$B$2:$B$89,ROW($B13)-ROW($B$1)),"")</f>
        <v>VNXASPREUR</v>
      </c>
      <c r="D13" t="str">
        <f>IF($A13&lt;&gt;"",INDEX(IDX_SPECS!$D$2:$D$89,MATCH($B13,IDX_SPECS!$B$2:$B$89,0)),"")</f>
        <v>EUR</v>
      </c>
      <c r="F13" t="str">
        <f>IF($A13&lt;&gt;"",INDEX(IDX_SPECS!$F$2:$F$89,MATCH($B13,IDX_SPECS!$B$2:$B$89,0)),"")</f>
        <v>P</v>
      </c>
      <c r="G13" t="str">
        <f>IF($A13&lt;&gt;"",INDEX(IDX_SPECS!$G$2:$G$89,MATCH($B13,IDX_SPECS!$B$2:$B$89,0)),"")</f>
        <v>VNXASPRVND</v>
      </c>
      <c r="H13" s="70">
        <f>IF($A13&lt;&gt;"",IF(F13="P",$I13/INDEX(IDX_SPECS!$I$2:$I$89,MATCH($B13,IDX_SPECS!$B$2:$B$89,0))*INDEX(IDX_SPECS!$H$2:$H$89,MATCH($B13,IDX_SPECS!$B$2:$B$89,0)),IF(INDEX(IDX_SPECS!$Q$2:$Q$89,MATCH($B13,IDX_SPECS!$B$2:$B$89,0))=0,INDEX(IDX_SPECS!$H$2:$H$89,MATCH($B13,IDX_SPECS!$B$2:$B$89,0)),IF($Q13=0,INDEX(IDX_SPECS!$H$2:$H$89,MATCH($B13,IDX_SPECS!$B$2:$B$89,0)),$Q13/INDEX(IDX_SPECS!$Q$2:$Q$89,MATCH($B13,IDX_SPECS!$B$2:$B$89,0))*INDEX(IDX_SPECS!$H$2:$H$89,MATCH($B13,IDX_SPECS!$B$2:$B$89,0))))),"")</f>
        <v>1206896551.724138</v>
      </c>
      <c r="I13" s="8">
        <f>IF($A13&lt;&gt;"",SUMIF(NXT_COMPO!$P$2:$P$1048576,$G13,NXT_COMPO!$O$2:$O$1048576)/$V13,"")</f>
        <v>1666648323.0406015</v>
      </c>
      <c r="K13" s="74">
        <f>IF($A13&lt;&gt;"",NXT_COMPO!$B$6,"")</f>
        <v>41166</v>
      </c>
      <c r="L13" s="64"/>
      <c r="M13" s="64"/>
      <c r="P13" s="60">
        <f>IF($A13&lt;&gt;"",INDEX(IDX_SPECS!$J$2:$J$89,MATCH($B13,IDX_SPECS!$B$2:$B$89,0)),"")</f>
        <v>1380.937181947927</v>
      </c>
      <c r="Q13" s="8">
        <f>IF($A13&lt;&gt;"",SUMIF(NXT_COMPO!$P$2:$P$1048576,$G13,NXT_COMPO!$R$2:$R$1048576)/$V13,"")</f>
        <v>0</v>
      </c>
      <c r="V13" s="12">
        <f>IF(B13&lt;&gt;"",IF(D13=INDEX($D$2:$D$1048576,MATCH(G13,$B$2:$B$1048576,0)),1,IF(ISNA(INDEX(CUR_RATES!$D:$D,SUMPRODUCT(--(WORKDAY(K13,-1)=CUR_RATES!$E$1:$E$97),--($D13&amp;INDEX($D$2:$D$1048576,MATCH($G13,$B$2:$B$1048576,0))=CUR_RATES!$A$1:$A$97),ROW(CUR_RATES!$E$1:$E$97)))),"",INDEX(CUR_RATES!$D:$D,SUMPRODUCT(--(WORKDAY(K13,-1)=CUR_RATES!$E$1:$E$97),--(D13&amp;INDEX($D$2:$D$1048576,MATCH(G13,$B$2:$B$1048576,0))=CUR_RATES!$A$1:$A$97),ROW(CUR_RATES!$E$1:$E$97))))),"")</f>
        <v>29810.68</v>
      </c>
    </row>
    <row r="14" spans="1:22" x14ac:dyDescent="0.2">
      <c r="A14" s="21">
        <f>IF(ROW($B14)-ROW($B$1)&lt;=COUNTIF(IDX_SPECS!$B$2:$B$89,"*")-COUNTIF(IDX_SPECS!$B$2:$B$89,""),ROW($B14)-ROW($B$1),"")</f>
        <v>13</v>
      </c>
      <c r="B14" t="str">
        <f>IF(ROW($B14)-ROW($B$1)&lt;=COUNTIF(IDX_SPECS!$B$2:$B$89,"*")-COUNTIF(IDX_SPECS!$B$2:$B$89,""),INDEX(IDX_SPECS!$B$2:$B$89,ROW($B14)-ROW($B$1)),"")</f>
        <v>VNXASTRVND</v>
      </c>
      <c r="D14" t="str">
        <f>IF($A14&lt;&gt;"",INDEX(IDX_SPECS!$D$2:$D$89,MATCH($B14,IDX_SPECS!$B$2:$B$89,0)),"")</f>
        <v>VND</v>
      </c>
      <c r="F14" t="str">
        <f>IF($A14&lt;&gt;"",INDEX(IDX_SPECS!$F$2:$F$89,MATCH($B14,IDX_SPECS!$B$2:$B$89,0)),"")</f>
        <v>R</v>
      </c>
      <c r="G14" t="str">
        <f>IF($A14&lt;&gt;"",INDEX(IDX_SPECS!$G$2:$G$89,MATCH($B14,IDX_SPECS!$B$2:$B$89,0)),"")</f>
        <v>VNXASPRVND</v>
      </c>
      <c r="H14" s="70">
        <f>IF($A14&lt;&gt;"",IF(F14="P",$I14/INDEX(IDX_SPECS!$I$2:$I$89,MATCH($B14,IDX_SPECS!$B$2:$B$89,0))*INDEX(IDX_SPECS!$H$2:$H$89,MATCH($B14,IDX_SPECS!$B$2:$B$89,0)),IF(INDEX(IDX_SPECS!$Q$2:$Q$89,MATCH($B14,IDX_SPECS!$B$2:$B$89,0))=0,INDEX(IDX_SPECS!$H$2:$H$89,MATCH($B14,IDX_SPECS!$B$2:$B$89,0)),IF($Q14=0,INDEX(IDX_SPECS!$H$2:$H$89,MATCH($B14,IDX_SPECS!$B$2:$B$89,0)),$Q14/INDEX(IDX_SPECS!$Q$2:$Q$89,MATCH($B14,IDX_SPECS!$B$2:$B$89,0))*INDEX(IDX_SPECS!$H$2:$H$89,MATCH($B14,IDX_SPECS!$B$2:$B$89,0))))),"")</f>
        <v>35000000000000</v>
      </c>
      <c r="I14" s="8">
        <f>IF($A14&lt;&gt;"",SUMIF(NXT_COMPO!$P$2:$P$1048576,$G14,NXT_COMPO!$O$2:$O$1048576)/$V14,"")</f>
        <v>49683919830700</v>
      </c>
      <c r="K14" s="74">
        <f>IF($A14&lt;&gt;"",NXT_COMPO!$B$6,"")</f>
        <v>41166</v>
      </c>
      <c r="L14" s="64"/>
      <c r="M14" s="64"/>
      <c r="P14" s="60">
        <f>IF($A14&lt;&gt;"",INDEX(IDX_SPECS!$J$2:$J$89,MATCH($B14,IDX_SPECS!$B$2:$B$89,0)),"")</f>
        <v>1849.0269381558983</v>
      </c>
      <c r="Q14" s="8">
        <f>IF($A14&lt;&gt;"",SUMIF(NXT_COMPO!$P$2:$P$1048576,$G14,NXT_COMPO!$R$2:$R$1048576)/$V14,"")</f>
        <v>0</v>
      </c>
      <c r="V14" s="12">
        <f>IF(B14&lt;&gt;"",IF(D14=INDEX($D$2:$D$1048576,MATCH(G14,$B$2:$B$1048576,0)),1,IF(ISNA(INDEX(CUR_RATES!$D:$D,SUMPRODUCT(--(WORKDAY(K14,-1)=CUR_RATES!$E$1:$E$97),--($D14&amp;INDEX($D$2:$D$1048576,MATCH($G14,$B$2:$B$1048576,0))=CUR_RATES!$A$1:$A$97),ROW(CUR_RATES!$E$1:$E$97)))),"",INDEX(CUR_RATES!$D:$D,SUMPRODUCT(--(WORKDAY(K14,-1)=CUR_RATES!$E$1:$E$97),--(D14&amp;INDEX($D$2:$D$1048576,MATCH(G14,$B$2:$B$1048576,0))=CUR_RATES!$A$1:$A$97),ROW(CUR_RATES!$E$1:$E$97))))),"")</f>
        <v>1</v>
      </c>
    </row>
    <row r="15" spans="1:22" x14ac:dyDescent="0.2">
      <c r="A15" s="21">
        <f>IF(ROW($B15)-ROW($B$1)&lt;=COUNTIF(IDX_SPECS!$B$2:$B$89,"*")-COUNTIF(IDX_SPECS!$B$2:$B$89,""),ROW($B15)-ROW($B$1),"")</f>
        <v>14</v>
      </c>
      <c r="B15" t="str">
        <f>IF(ROW($B15)-ROW($B$1)&lt;=COUNTIF(IDX_SPECS!$B$2:$B$89,"*")-COUNTIF(IDX_SPECS!$B$2:$B$89,""),INDEX(IDX_SPECS!$B$2:$B$89,ROW($B15)-ROW($B$1)),"")</f>
        <v>VNXASTRUSD</v>
      </c>
      <c r="D15" t="str">
        <f>IF($A15&lt;&gt;"",INDEX(IDX_SPECS!$D$2:$D$89,MATCH($B15,IDX_SPECS!$B$2:$B$89,0)),"")</f>
        <v>USD</v>
      </c>
      <c r="F15" t="str">
        <f>IF($A15&lt;&gt;"",INDEX(IDX_SPECS!$F$2:$F$89,MATCH($B15,IDX_SPECS!$B$2:$B$89,0)),"")</f>
        <v>R</v>
      </c>
      <c r="G15" t="str">
        <f>IF($A15&lt;&gt;"",INDEX(IDX_SPECS!$G$2:$G$89,MATCH($B15,IDX_SPECS!$B$2:$B$89,0)),"")</f>
        <v>VNXASPRVND</v>
      </c>
      <c r="H15" s="70">
        <f>IF($A15&lt;&gt;"",IF(F15="P",$I15/INDEX(IDX_SPECS!$I$2:$I$89,MATCH($B15,IDX_SPECS!$B$2:$B$89,0))*INDEX(IDX_SPECS!$H$2:$H$89,MATCH($B15,IDX_SPECS!$B$2:$B$89,0)),IF(INDEX(IDX_SPECS!$Q$2:$Q$89,MATCH($B15,IDX_SPECS!$B$2:$B$89,0))=0,INDEX(IDX_SPECS!$H$2:$H$89,MATCH($B15,IDX_SPECS!$B$2:$B$89,0)),IF($Q15=0,INDEX(IDX_SPECS!$H$2:$H$89,MATCH($B15,IDX_SPECS!$B$2:$B$89,0)),$Q15/INDEX(IDX_SPECS!$Q$2:$Q$89,MATCH($B15,IDX_SPECS!$B$2:$B$89,0))*INDEX(IDX_SPECS!$H$2:$H$89,MATCH($B15,IDX_SPECS!$B$2:$B$89,0))))),"")</f>
        <v>1666666666666.6667</v>
      </c>
      <c r="I15" s="8">
        <f>IF($A15&lt;&gt;"",SUMIF(NXT_COMPO!$P$2:$P$1048576,$G15,NXT_COMPO!$O$2:$O$1048576)/$V15,"")</f>
        <v>2269708534.9794426</v>
      </c>
      <c r="K15" s="74">
        <f>IF($A15&lt;&gt;"",NXT_COMPO!$B$6,"")</f>
        <v>41166</v>
      </c>
      <c r="L15" s="64"/>
      <c r="M15" s="64"/>
      <c r="P15" s="60">
        <f>IF($A15&lt;&gt;"",INDEX(IDX_SPECS!$J$2:$J$89,MATCH($B15,IDX_SPECS!$B$2:$B$89,0)),"")</f>
        <v>1557.8342991221029</v>
      </c>
      <c r="Q15" s="8">
        <f>IF($A15&lt;&gt;"",SUMIF(NXT_COMPO!$P$2:$P$1048576,$G15,NXT_COMPO!$R$2:$R$1048576)/$V15,"")</f>
        <v>0</v>
      </c>
      <c r="V15" s="12">
        <f>IF(B15&lt;&gt;"",IF(D15=INDEX($D$2:$D$1048576,MATCH(G15,$B$2:$B$1048576,0)),1,IF(ISNA(INDEX(CUR_RATES!$D:$D,SUMPRODUCT(--(WORKDAY(K15,-1)=CUR_RATES!$E$1:$E$97),--($D15&amp;INDEX($D$2:$D$1048576,MATCH($G15,$B$2:$B$1048576,0))=CUR_RATES!$A$1:$A$97),ROW(CUR_RATES!$E$1:$E$97)))),"",INDEX(CUR_RATES!$D:$D,SUMPRODUCT(--(WORKDAY(K15,-1)=CUR_RATES!$E$1:$E$97),--(D15&amp;INDEX($D$2:$D$1048576,MATCH(G15,$B$2:$B$1048576,0))=CUR_RATES!$A$1:$A$97),ROW(CUR_RATES!$E$1:$E$97))))),"")</f>
        <v>21890</v>
      </c>
    </row>
    <row r="16" spans="1:22" x14ac:dyDescent="0.2">
      <c r="A16" s="21">
        <f>IF(ROW($B16)-ROW($B$1)&lt;=COUNTIF(IDX_SPECS!$B$2:$B$89,"*")-COUNTIF(IDX_SPECS!$B$2:$B$89,""),ROW($B16)-ROW($B$1),"")</f>
        <v>15</v>
      </c>
      <c r="B16" t="str">
        <f>IF(ROW($B16)-ROW($B$1)&lt;=COUNTIF(IDX_SPECS!$B$2:$B$89,"*")-COUNTIF(IDX_SPECS!$B$2:$B$89,""),INDEX(IDX_SPECS!$B$2:$B$89,ROW($B16)-ROW($B$1)),"")</f>
        <v>VNXASTRJPY</v>
      </c>
      <c r="D16" t="str">
        <f>IF($A16&lt;&gt;"",INDEX(IDX_SPECS!$D$2:$D$89,MATCH($B16,IDX_SPECS!$B$2:$B$89,0)),"")</f>
        <v>JPY</v>
      </c>
      <c r="F16" t="str">
        <f>IF($A16&lt;&gt;"",INDEX(IDX_SPECS!$F$2:$F$89,MATCH($B16,IDX_SPECS!$B$2:$B$89,0)),"")</f>
        <v>R</v>
      </c>
      <c r="G16" t="str">
        <f>IF($A16&lt;&gt;"",INDEX(IDX_SPECS!$G$2:$G$89,MATCH($B16,IDX_SPECS!$B$2:$B$89,0)),"")</f>
        <v>VNXASPRVND</v>
      </c>
      <c r="H16" s="70">
        <f>IF($A16&lt;&gt;"",IF(F16="P",$I16/INDEX(IDX_SPECS!$I$2:$I$89,MATCH($B16,IDX_SPECS!$B$2:$B$89,0))*INDEX(IDX_SPECS!$H$2:$H$89,MATCH($B16,IDX_SPECS!$B$2:$B$89,0)),IF(INDEX(IDX_SPECS!$Q$2:$Q$89,MATCH($B16,IDX_SPECS!$B$2:$B$89,0))=0,INDEX(IDX_SPECS!$H$2:$H$89,MATCH($B16,IDX_SPECS!$B$2:$B$89,0)),IF($Q16=0,INDEX(IDX_SPECS!$H$2:$H$89,MATCH($B16,IDX_SPECS!$B$2:$B$89,0)),$Q16/INDEX(IDX_SPECS!$Q$2:$Q$89,MATCH($B16,IDX_SPECS!$B$2:$B$89,0))*INDEX(IDX_SPECS!$H$2:$H$89,MATCH($B16,IDX_SPECS!$B$2:$B$89,0))))),"")</f>
        <v>132075471698.1132</v>
      </c>
      <c r="I16" s="8">
        <f>IF($A16&lt;&gt;"",SUMIF(NXT_COMPO!$P$2:$P$1048576,$G16,NXT_COMPO!$O$2:$O$1048576)/$V16,"")</f>
        <v>176184112874.82269</v>
      </c>
      <c r="K16" s="74">
        <f>IF($A16&lt;&gt;"",NXT_COMPO!$B$6,"")</f>
        <v>41166</v>
      </c>
      <c r="L16" s="64"/>
      <c r="M16" s="64"/>
      <c r="P16" s="60">
        <f>IF($A16&lt;&gt;"",INDEX(IDX_SPECS!$J$2:$J$89,MATCH($B16,IDX_SPECS!$B$2:$B$89,0)),"")</f>
        <v>2014.7384197797389</v>
      </c>
      <c r="Q16" s="8">
        <f>IF($A16&lt;&gt;"",SUMIF(NXT_COMPO!$P$2:$P$1048576,$G16,NXT_COMPO!$R$2:$R$1048576)/$V16,"")</f>
        <v>0</v>
      </c>
      <c r="V16" s="12">
        <f>IF(B16&lt;&gt;"",IF(D16=INDEX($D$2:$D$1048576,MATCH(G16,$B$2:$B$1048576,0)),1,IF(ISNA(INDEX(CUR_RATES!$D:$D,SUMPRODUCT(--(WORKDAY(K16,-1)=CUR_RATES!$E$1:$E$97),--($D16&amp;INDEX($D$2:$D$1048576,MATCH($G16,$B$2:$B$1048576,0))=CUR_RATES!$A$1:$A$97),ROW(CUR_RATES!$E$1:$E$97)))),"",INDEX(CUR_RATES!$D:$D,SUMPRODUCT(--(WORKDAY(K16,-1)=CUR_RATES!$E$1:$E$97),--(D16&amp;INDEX($D$2:$D$1048576,MATCH(G16,$B$2:$B$1048576,0))=CUR_RATES!$A$1:$A$97),ROW(CUR_RATES!$E$1:$E$97))))),"")</f>
        <v>282</v>
      </c>
    </row>
    <row r="17" spans="1:22" x14ac:dyDescent="0.2">
      <c r="A17" s="21">
        <f>IF(ROW($B17)-ROW($B$1)&lt;=COUNTIF(IDX_SPECS!$B$2:$B$89,"*")-COUNTIF(IDX_SPECS!$B$2:$B$89,""),ROW($B17)-ROW($B$1),"")</f>
        <v>16</v>
      </c>
      <c r="B17" t="str">
        <f>IF(ROW($B17)-ROW($B$1)&lt;=COUNTIF(IDX_SPECS!$B$2:$B$89,"*")-COUNTIF(IDX_SPECS!$B$2:$B$89,""),INDEX(IDX_SPECS!$B$2:$B$89,ROW($B17)-ROW($B$1)),"")</f>
        <v>VNXASTREUR</v>
      </c>
      <c r="D17" t="str">
        <f>IF($A17&lt;&gt;"",INDEX(IDX_SPECS!$D$2:$D$89,MATCH($B17,IDX_SPECS!$B$2:$B$89,0)),"")</f>
        <v>EUR</v>
      </c>
      <c r="F17" t="str">
        <f>IF($A17&lt;&gt;"",INDEX(IDX_SPECS!$F$2:$F$89,MATCH($B17,IDX_SPECS!$B$2:$B$89,0)),"")</f>
        <v>R</v>
      </c>
      <c r="G17" t="str">
        <f>IF($A17&lt;&gt;"",INDEX(IDX_SPECS!$G$2:$G$89,MATCH($B17,IDX_SPECS!$B$2:$B$89,0)),"")</f>
        <v>VNXASPRVND</v>
      </c>
      <c r="H17" s="70">
        <f>IF($A17&lt;&gt;"",IF(F17="P",$I17/INDEX(IDX_SPECS!$I$2:$I$89,MATCH($B17,IDX_SPECS!$B$2:$B$89,0))*INDEX(IDX_SPECS!$H$2:$H$89,MATCH($B17,IDX_SPECS!$B$2:$B$89,0)),IF(INDEX(IDX_SPECS!$Q$2:$Q$89,MATCH($B17,IDX_SPECS!$B$2:$B$89,0))=0,INDEX(IDX_SPECS!$H$2:$H$89,MATCH($B17,IDX_SPECS!$B$2:$B$89,0)),IF($Q17=0,INDEX(IDX_SPECS!$H$2:$H$89,MATCH($B17,IDX_SPECS!$B$2:$B$89,0)),$Q17/INDEX(IDX_SPECS!$Q$2:$Q$89,MATCH($B17,IDX_SPECS!$B$2:$B$89,0))*INDEX(IDX_SPECS!$H$2:$H$89,MATCH($B17,IDX_SPECS!$B$2:$B$89,0))))),"")</f>
        <v>1206896551724.1379</v>
      </c>
      <c r="I17" s="8">
        <f>IF($A17&lt;&gt;"",SUMIF(NXT_COMPO!$P$2:$P$1048576,$G17,NXT_COMPO!$O$2:$O$1048576)/$V17,"")</f>
        <v>1666648323.0406015</v>
      </c>
      <c r="K17" s="74">
        <f>IF($A17&lt;&gt;"",NXT_COMPO!$B$6,"")</f>
        <v>41166</v>
      </c>
      <c r="L17" s="64"/>
      <c r="M17" s="64"/>
      <c r="P17" s="60">
        <f>IF($A17&lt;&gt;"",INDEX(IDX_SPECS!$J$2:$J$89,MATCH($B17,IDX_SPECS!$B$2:$B$89,0)),"")</f>
        <v>1546.2228149140872</v>
      </c>
      <c r="Q17" s="8">
        <f>IF($A17&lt;&gt;"",SUMIF(NXT_COMPO!$P$2:$P$1048576,$G17,NXT_COMPO!$R$2:$R$1048576)/$V17,"")</f>
        <v>0</v>
      </c>
      <c r="V17" s="12">
        <f>IF(B17&lt;&gt;"",IF(D17=INDEX($D$2:$D$1048576,MATCH(G17,$B$2:$B$1048576,0)),1,IF(ISNA(INDEX(CUR_RATES!$D:$D,SUMPRODUCT(--(WORKDAY(K17,-1)=CUR_RATES!$E$1:$E$97),--($D17&amp;INDEX($D$2:$D$1048576,MATCH($G17,$B$2:$B$1048576,0))=CUR_RATES!$A$1:$A$97),ROW(CUR_RATES!$E$1:$E$97)))),"",INDEX(CUR_RATES!$D:$D,SUMPRODUCT(--(WORKDAY(K17,-1)=CUR_RATES!$E$1:$E$97),--(D17&amp;INDEX($D$2:$D$1048576,MATCH(G17,$B$2:$B$1048576,0))=CUR_RATES!$A$1:$A$97),ROW(CUR_RATES!$E$1:$E$97))))),"")</f>
        <v>29810.68</v>
      </c>
    </row>
    <row r="18" spans="1:22" x14ac:dyDescent="0.2">
      <c r="A18" s="21">
        <f>IF(ROW($B18)-ROW($B$1)&lt;=COUNTIF(IDX_SPECS!$B$2:$B$89,"*")-COUNTIF(IDX_SPECS!$B$2:$B$89,""),ROW($B18)-ROW($B$1),"")</f>
        <v>17</v>
      </c>
      <c r="B18" t="str">
        <f>IF(ROW($B18)-ROW($B$1)&lt;=COUNTIF(IDX_SPECS!$B$2:$B$89,"*")-COUNTIF(IDX_SPECS!$B$2:$B$89,""),INDEX(IDX_SPECS!$B$2:$B$89,ROW($B18)-ROW($B$1)),"")</f>
        <v>VNXCOPRVND</v>
      </c>
      <c r="D18" t="str">
        <f>IF($A18&lt;&gt;"",INDEX(IDX_SPECS!$D$2:$D$89,MATCH($B18,IDX_SPECS!$B$2:$B$89,0)),"")</f>
        <v>VND</v>
      </c>
      <c r="F18" t="str">
        <f>IF($A18&lt;&gt;"",INDEX(IDX_SPECS!$F$2:$F$89,MATCH($B18,IDX_SPECS!$B$2:$B$89,0)),"")</f>
        <v>P</v>
      </c>
      <c r="G18" t="str">
        <f>IF($A18&lt;&gt;"",INDEX(IDX_SPECS!$G$2:$G$89,MATCH($B18,IDX_SPECS!$B$2:$B$89,0)),"")</f>
        <v>VNXCOPRVND</v>
      </c>
      <c r="H18" s="70">
        <f>IF($A18&lt;&gt;"",IF(F18="P",$I18/INDEX(IDX_SPECS!$I$2:$I$89,MATCH($B18,IDX_SPECS!$B$2:$B$89,0))*INDEX(IDX_SPECS!$H$2:$H$89,MATCH($B18,IDX_SPECS!$B$2:$B$89,0)),IF(INDEX(IDX_SPECS!$Q$2:$Q$89,MATCH($B18,IDX_SPECS!$B$2:$B$89,0))=0,INDEX(IDX_SPECS!$H$2:$H$89,MATCH($B18,IDX_SPECS!$B$2:$B$89,0)),IF($Q18=0,INDEX(IDX_SPECS!$H$2:$H$89,MATCH($B18,IDX_SPECS!$B$2:$B$89,0)),$Q18/INDEX(IDX_SPECS!$Q$2:$Q$89,MATCH($B18,IDX_SPECS!$B$2:$B$89,0))*INDEX(IDX_SPECS!$H$2:$H$89,MATCH($B18,IDX_SPECS!$B$2:$B$89,0))))),"")</f>
        <v>30000000000000</v>
      </c>
      <c r="I18" s="8">
        <f>IF($A18&lt;&gt;"",SUMIF(NXT_COMPO!$P$2:$P$1048576,$G18,NXT_COMPO!$O$2:$O$1048576)/$V18,"")</f>
        <v>38273174294700</v>
      </c>
      <c r="K18" s="74">
        <f>IF($A18&lt;&gt;"",NXT_COMPO!$B$6,"")</f>
        <v>41166</v>
      </c>
      <c r="L18" s="64"/>
      <c r="M18" s="64"/>
      <c r="P18" s="60">
        <f>IF($A18&lt;&gt;"",INDEX(IDX_SPECS!$J$2:$J$89,MATCH($B18,IDX_SPECS!$B$2:$B$89,0)),"")</f>
        <v>1275.7724764899999</v>
      </c>
      <c r="Q18" s="8">
        <f>IF($A18&lt;&gt;"",SUMIF(NXT_COMPO!$P$2:$P$1048576,$G18,NXT_COMPO!$R$2:$R$1048576)/$V18,"")</f>
        <v>0</v>
      </c>
      <c r="V18" s="12">
        <f>IF(B18&lt;&gt;"",IF(D18=INDEX($D$2:$D$1048576,MATCH(G18,$B$2:$B$1048576,0)),1,IF(ISNA(INDEX(CUR_RATES!$D:$D,SUMPRODUCT(--(WORKDAY(K18,-1)=CUR_RATES!$E$1:$E$97),--($D18&amp;INDEX($D$2:$D$1048576,MATCH($G18,$B$2:$B$1048576,0))=CUR_RATES!$A$1:$A$97),ROW(CUR_RATES!$E$1:$E$97)))),"",INDEX(CUR_RATES!$D:$D,SUMPRODUCT(--(WORKDAY(K18,-1)=CUR_RATES!$E$1:$E$97),--(D18&amp;INDEX($D$2:$D$1048576,MATCH(G18,$B$2:$B$1048576,0))=CUR_RATES!$A$1:$A$97),ROW(CUR_RATES!$E$1:$E$97))))),"")</f>
        <v>1</v>
      </c>
    </row>
    <row r="19" spans="1:22" x14ac:dyDescent="0.2">
      <c r="A19" s="21">
        <f>IF(ROW($B19)-ROW($B$1)&lt;=COUNTIF(IDX_SPECS!$B$2:$B$89,"*")-COUNTIF(IDX_SPECS!$B$2:$B$89,""),ROW($B19)-ROW($B$1),"")</f>
        <v>18</v>
      </c>
      <c r="B19" t="str">
        <f>IF(ROW($B19)-ROW($B$1)&lt;=COUNTIF(IDX_SPECS!$B$2:$B$89,"*")-COUNTIF(IDX_SPECS!$B$2:$B$89,""),INDEX(IDX_SPECS!$B$2:$B$89,ROW($B19)-ROW($B$1)),"")</f>
        <v>VNXCOPRUSD</v>
      </c>
      <c r="D19" t="str">
        <f>IF($A19&lt;&gt;"",INDEX(IDX_SPECS!$D$2:$D$89,MATCH($B19,IDX_SPECS!$B$2:$B$89,0)),"")</f>
        <v>USD</v>
      </c>
      <c r="F19" t="str">
        <f>IF($A19&lt;&gt;"",INDEX(IDX_SPECS!$F$2:$F$89,MATCH($B19,IDX_SPECS!$B$2:$B$89,0)),"")</f>
        <v>P</v>
      </c>
      <c r="G19" t="str">
        <f>IF($A19&lt;&gt;"",INDEX(IDX_SPECS!$G$2:$G$89,MATCH($B19,IDX_SPECS!$B$2:$B$89,0)),"")</f>
        <v>VNXCOPRVND</v>
      </c>
      <c r="H19" s="70">
        <f>IF($A19&lt;&gt;"",IF(F19="P",$I19/INDEX(IDX_SPECS!$I$2:$I$89,MATCH($B19,IDX_SPECS!$B$2:$B$89,0))*INDEX(IDX_SPECS!$H$2:$H$89,MATCH($B19,IDX_SPECS!$B$2:$B$89,0)),IF(INDEX(IDX_SPECS!$Q$2:$Q$89,MATCH($B19,IDX_SPECS!$B$2:$B$89,0))=0,INDEX(IDX_SPECS!$H$2:$H$89,MATCH($B19,IDX_SPECS!$B$2:$B$89,0)),IF($Q19=0,INDEX(IDX_SPECS!$H$2:$H$89,MATCH($B19,IDX_SPECS!$B$2:$B$89,0)),$Q19/INDEX(IDX_SPECS!$Q$2:$Q$89,MATCH($B19,IDX_SPECS!$B$2:$B$89,0))*INDEX(IDX_SPECS!$H$2:$H$89,MATCH($B19,IDX_SPECS!$B$2:$B$89,0))))),"")</f>
        <v>1428571428.5714285</v>
      </c>
      <c r="I19" s="8">
        <f>IF($A19&lt;&gt;"",SUMIF(NXT_COMPO!$P$2:$P$1048576,$G19,NXT_COMPO!$O$2:$O$1048576)/$V19,"")</f>
        <v>1748431900.1690269</v>
      </c>
      <c r="K19" s="74">
        <f>IF($A19&lt;&gt;"",NXT_COMPO!$B$6,"")</f>
        <v>41166</v>
      </c>
      <c r="L19" s="64"/>
      <c r="M19" s="64"/>
      <c r="P19" s="60">
        <f>IF($A19&lt;&gt;"",INDEX(IDX_SPECS!$J$2:$J$89,MATCH($B19,IDX_SPECS!$B$2:$B$89,0)),"")</f>
        <v>1223.9023301183188</v>
      </c>
      <c r="Q19" s="8">
        <f>IF($A19&lt;&gt;"",SUMIF(NXT_COMPO!$P$2:$P$1048576,$G19,NXT_COMPO!$R$2:$R$1048576)/$V19,"")</f>
        <v>0</v>
      </c>
      <c r="V19" s="12">
        <f>IF(B19&lt;&gt;"",IF(D19=INDEX($D$2:$D$1048576,MATCH(G19,$B$2:$B$1048576,0)),1,IF(ISNA(INDEX(CUR_RATES!$D:$D,SUMPRODUCT(--(WORKDAY(K19,-1)=CUR_RATES!$E$1:$E$97),--($D19&amp;INDEX($D$2:$D$1048576,MATCH($G19,$B$2:$B$1048576,0))=CUR_RATES!$A$1:$A$97),ROW(CUR_RATES!$E$1:$E$97)))),"",INDEX(CUR_RATES!$D:$D,SUMPRODUCT(--(WORKDAY(K19,-1)=CUR_RATES!$E$1:$E$97),--(D19&amp;INDEX($D$2:$D$1048576,MATCH(G19,$B$2:$B$1048576,0))=CUR_RATES!$A$1:$A$97),ROW(CUR_RATES!$E$1:$E$97))))),"")</f>
        <v>21890</v>
      </c>
    </row>
    <row r="20" spans="1:22" x14ac:dyDescent="0.2">
      <c r="A20" s="21">
        <f>IF(ROW($B20)-ROW($B$1)&lt;=COUNTIF(IDX_SPECS!$B$2:$B$89,"*")-COUNTIF(IDX_SPECS!$B$2:$B$89,""),ROW($B20)-ROW($B$1),"")</f>
        <v>19</v>
      </c>
      <c r="B20" t="str">
        <f>IF(ROW($B20)-ROW($B$1)&lt;=COUNTIF(IDX_SPECS!$B$2:$B$89,"*")-COUNTIF(IDX_SPECS!$B$2:$B$89,""),INDEX(IDX_SPECS!$B$2:$B$89,ROW($B20)-ROW($B$1)),"")</f>
        <v>VNXCOPRJPY</v>
      </c>
      <c r="D20" t="str">
        <f>IF($A20&lt;&gt;"",INDEX(IDX_SPECS!$D$2:$D$89,MATCH($B20,IDX_SPECS!$B$2:$B$89,0)),"")</f>
        <v>JPY</v>
      </c>
      <c r="F20" t="str">
        <f>IF($A20&lt;&gt;"",INDEX(IDX_SPECS!$F$2:$F$89,MATCH($B20,IDX_SPECS!$B$2:$B$89,0)),"")</f>
        <v>P</v>
      </c>
      <c r="G20" t="str">
        <f>IF($A20&lt;&gt;"",INDEX(IDX_SPECS!$G$2:$G$89,MATCH($B20,IDX_SPECS!$B$2:$B$89,0)),"")</f>
        <v>VNXCOPRVND</v>
      </c>
      <c r="H20" s="70">
        <f>IF($A20&lt;&gt;"",IF(F20="P",$I20/INDEX(IDX_SPECS!$I$2:$I$89,MATCH($B20,IDX_SPECS!$B$2:$B$89,0))*INDEX(IDX_SPECS!$H$2:$H$89,MATCH($B20,IDX_SPECS!$B$2:$B$89,0)),IF(INDEX(IDX_SPECS!$Q$2:$Q$89,MATCH($B20,IDX_SPECS!$B$2:$B$89,0))=0,INDEX(IDX_SPECS!$H$2:$H$89,MATCH($B20,IDX_SPECS!$B$2:$B$89,0)),IF($Q20=0,INDEX(IDX_SPECS!$H$2:$H$89,MATCH($B20,IDX_SPECS!$B$2:$B$89,0)),$Q20/INDEX(IDX_SPECS!$Q$2:$Q$89,MATCH($B20,IDX_SPECS!$B$2:$B$89,0))*INDEX(IDX_SPECS!$H$2:$H$89,MATCH($B20,IDX_SPECS!$B$2:$B$89,0))))),"")</f>
        <v>113207547169.81133</v>
      </c>
      <c r="I20" s="8">
        <f>IF($A20&lt;&gt;"",SUMIF(NXT_COMPO!$P$2:$P$1048576,$G20,NXT_COMPO!$O$2:$O$1048576)/$V20,"")</f>
        <v>135720476222.34042</v>
      </c>
      <c r="K20" s="74">
        <f>IF($A20&lt;&gt;"",NXT_COMPO!$B$6,"")</f>
        <v>41166</v>
      </c>
      <c r="L20" s="64"/>
      <c r="M20" s="64"/>
      <c r="P20" s="60">
        <f>IF($A20&lt;&gt;"",INDEX(IDX_SPECS!$J$2:$J$89,MATCH($B20,IDX_SPECS!$B$2:$B$89,0)),"")</f>
        <v>1198.8642066306736</v>
      </c>
      <c r="Q20" s="8">
        <f>IF($A20&lt;&gt;"",SUMIF(NXT_COMPO!$P$2:$P$1048576,$G20,NXT_COMPO!$R$2:$R$1048576)/$V20,"")</f>
        <v>0</v>
      </c>
      <c r="V20" s="12">
        <f>IF(B20&lt;&gt;"",IF(D20=INDEX($D$2:$D$1048576,MATCH(G20,$B$2:$B$1048576,0)),1,IF(ISNA(INDEX(CUR_RATES!$D:$D,SUMPRODUCT(--(WORKDAY(K20,-1)=CUR_RATES!$E$1:$E$97),--($D20&amp;INDEX($D$2:$D$1048576,MATCH($G20,$B$2:$B$1048576,0))=CUR_RATES!$A$1:$A$97),ROW(CUR_RATES!$E$1:$E$97)))),"",INDEX(CUR_RATES!$D:$D,SUMPRODUCT(--(WORKDAY(K20,-1)=CUR_RATES!$E$1:$E$97),--(D20&amp;INDEX($D$2:$D$1048576,MATCH(G20,$B$2:$B$1048576,0))=CUR_RATES!$A$1:$A$97),ROW(CUR_RATES!$E$1:$E$97))))),"")</f>
        <v>282</v>
      </c>
    </row>
    <row r="21" spans="1:22" x14ac:dyDescent="0.2">
      <c r="A21" s="21">
        <f>IF(ROW($B21)-ROW($B$1)&lt;=COUNTIF(IDX_SPECS!$B$2:$B$89,"*")-COUNTIF(IDX_SPECS!$B$2:$B$89,""),ROW($B21)-ROW($B$1),"")</f>
        <v>20</v>
      </c>
      <c r="B21" t="str">
        <f>IF(ROW($B21)-ROW($B$1)&lt;=COUNTIF(IDX_SPECS!$B$2:$B$89,"*")-COUNTIF(IDX_SPECS!$B$2:$B$89,""),INDEX(IDX_SPECS!$B$2:$B$89,ROW($B21)-ROW($B$1)),"")</f>
        <v>VNXCOPREUR</v>
      </c>
      <c r="D21" t="str">
        <f>IF($A21&lt;&gt;"",INDEX(IDX_SPECS!$D$2:$D$89,MATCH($B21,IDX_SPECS!$B$2:$B$89,0)),"")</f>
        <v>EUR</v>
      </c>
      <c r="F21" t="str">
        <f>IF($A21&lt;&gt;"",INDEX(IDX_SPECS!$F$2:$F$89,MATCH($B21,IDX_SPECS!$B$2:$B$89,0)),"")</f>
        <v>P</v>
      </c>
      <c r="G21" t="str">
        <f>IF($A21&lt;&gt;"",INDEX(IDX_SPECS!$G$2:$G$89,MATCH($B21,IDX_SPECS!$B$2:$B$89,0)),"")</f>
        <v>VNXCOPRVND</v>
      </c>
      <c r="H21" s="70">
        <f>IF($A21&lt;&gt;"",IF(F21="P",$I21/INDEX(IDX_SPECS!$I$2:$I$89,MATCH($B21,IDX_SPECS!$B$2:$B$89,0))*INDEX(IDX_SPECS!$H$2:$H$89,MATCH($B21,IDX_SPECS!$B$2:$B$89,0)),IF(INDEX(IDX_SPECS!$Q$2:$Q$89,MATCH($B21,IDX_SPECS!$B$2:$B$89,0))=0,INDEX(IDX_SPECS!$H$2:$H$89,MATCH($B21,IDX_SPECS!$B$2:$B$89,0)),IF($Q21=0,INDEX(IDX_SPECS!$H$2:$H$89,MATCH($B21,IDX_SPECS!$B$2:$B$89,0)),$Q21/INDEX(IDX_SPECS!$Q$2:$Q$89,MATCH($B21,IDX_SPECS!$B$2:$B$89,0))*INDEX(IDX_SPECS!$H$2:$H$89,MATCH($B21,IDX_SPECS!$B$2:$B$89,0))))),"")</f>
        <v>1034482758.6206897</v>
      </c>
      <c r="I21" s="8">
        <f>IF($A21&lt;&gt;"",SUMIF(NXT_COMPO!$P$2:$P$1048576,$G21,NXT_COMPO!$O$2:$O$1048576)/$V21,"")</f>
        <v>1283874581.0125766</v>
      </c>
      <c r="K21" s="74">
        <f>IF($A21&lt;&gt;"",NXT_COMPO!$B$6,"")</f>
        <v>41166</v>
      </c>
      <c r="L21" s="64"/>
      <c r="M21" s="64"/>
      <c r="P21" s="60">
        <f>IF($A21&lt;&gt;"",INDEX(IDX_SPECS!$J$2:$J$89,MATCH($B21,IDX_SPECS!$B$2:$B$89,0)),"")</f>
        <v>1241.0787616454907</v>
      </c>
      <c r="Q21" s="8">
        <f>IF($A21&lt;&gt;"",SUMIF(NXT_COMPO!$P$2:$P$1048576,$G21,NXT_COMPO!$R$2:$R$1048576)/$V21,"")</f>
        <v>0</v>
      </c>
      <c r="V21" s="12">
        <f>IF(B21&lt;&gt;"",IF(D21=INDEX($D$2:$D$1048576,MATCH(G21,$B$2:$B$1048576,0)),1,IF(ISNA(INDEX(CUR_RATES!$D:$D,SUMPRODUCT(--(WORKDAY(K21,-1)=CUR_RATES!$E$1:$E$97),--($D21&amp;INDEX($D$2:$D$1048576,MATCH($G21,$B$2:$B$1048576,0))=CUR_RATES!$A$1:$A$97),ROW(CUR_RATES!$E$1:$E$97)))),"",INDEX(CUR_RATES!$D:$D,SUMPRODUCT(--(WORKDAY(K21,-1)=CUR_RATES!$E$1:$E$97),--(D21&amp;INDEX($D$2:$D$1048576,MATCH(G21,$B$2:$B$1048576,0))=CUR_RATES!$A$1:$A$97),ROW(CUR_RATES!$E$1:$E$97))))),"")</f>
        <v>29810.68</v>
      </c>
    </row>
    <row r="22" spans="1:22" x14ac:dyDescent="0.2">
      <c r="A22" s="21">
        <f>IF(ROW($B22)-ROW($B$1)&lt;=COUNTIF(IDX_SPECS!$B$2:$B$89,"*")-COUNTIF(IDX_SPECS!$B$2:$B$89,""),ROW($B22)-ROW($B$1),"")</f>
        <v>21</v>
      </c>
      <c r="B22" t="str">
        <f>IF(ROW($B22)-ROW($B$1)&lt;=COUNTIF(IDX_SPECS!$B$2:$B$89,"*")-COUNTIF(IDX_SPECS!$B$2:$B$89,""),INDEX(IDX_SPECS!$B$2:$B$89,ROW($B22)-ROW($B$1)),"")</f>
        <v>VNXCOTRVND</v>
      </c>
      <c r="D22" t="str">
        <f>IF($A22&lt;&gt;"",INDEX(IDX_SPECS!$D$2:$D$89,MATCH($B22,IDX_SPECS!$B$2:$B$89,0)),"")</f>
        <v>VND</v>
      </c>
      <c r="F22" t="str">
        <f>IF($A22&lt;&gt;"",INDEX(IDX_SPECS!$F$2:$F$89,MATCH($B22,IDX_SPECS!$B$2:$B$89,0)),"")</f>
        <v>R</v>
      </c>
      <c r="G22" t="str">
        <f>IF($A22&lt;&gt;"",INDEX(IDX_SPECS!$G$2:$G$89,MATCH($B22,IDX_SPECS!$B$2:$B$89,0)),"")</f>
        <v>VNXCOPRVND</v>
      </c>
      <c r="H22" s="70">
        <f>IF($A22&lt;&gt;"",IF(F22="P",$I22/INDEX(IDX_SPECS!$I$2:$I$89,MATCH($B22,IDX_SPECS!$B$2:$B$89,0))*INDEX(IDX_SPECS!$H$2:$H$89,MATCH($B22,IDX_SPECS!$B$2:$B$89,0)),IF(INDEX(IDX_SPECS!$Q$2:$Q$89,MATCH($B22,IDX_SPECS!$B$2:$B$89,0))=0,INDEX(IDX_SPECS!$H$2:$H$89,MATCH($B22,IDX_SPECS!$B$2:$B$89,0)),IF($Q22=0,INDEX(IDX_SPECS!$H$2:$H$89,MATCH($B22,IDX_SPECS!$B$2:$B$89,0)),$Q22/INDEX(IDX_SPECS!$Q$2:$Q$89,MATCH($B22,IDX_SPECS!$B$2:$B$89,0))*INDEX(IDX_SPECS!$H$2:$H$89,MATCH($B22,IDX_SPECS!$B$2:$B$89,0))))),"")</f>
        <v>30000000000000</v>
      </c>
      <c r="I22" s="8">
        <f>IF($A22&lt;&gt;"",SUMIF(NXT_COMPO!$P$2:$P$1048576,$G22,NXT_COMPO!$O$2:$O$1048576)/$V22,"")</f>
        <v>38273174294700</v>
      </c>
      <c r="K22" s="74">
        <f>IF($A22&lt;&gt;"",NXT_COMPO!$B$6,"")</f>
        <v>41166</v>
      </c>
      <c r="L22" s="64"/>
      <c r="M22" s="64"/>
      <c r="P22" s="60">
        <f>IF($A22&lt;&gt;"",INDEX(IDX_SPECS!$J$2:$J$89,MATCH($B22,IDX_SPECS!$B$2:$B$89,0)),"")</f>
        <v>1644.8222904142194</v>
      </c>
      <c r="Q22" s="8">
        <f>IF($A22&lt;&gt;"",SUMIF(NXT_COMPO!$P$2:$P$1048576,$G22,NXT_COMPO!$R$2:$R$1048576)/$V22,"")</f>
        <v>0</v>
      </c>
      <c r="V22" s="12">
        <f>IF(B22&lt;&gt;"",IF(D22=INDEX($D$2:$D$1048576,MATCH(G22,$B$2:$B$1048576,0)),1,IF(ISNA(INDEX(CUR_RATES!$D:$D,SUMPRODUCT(--(WORKDAY(K22,-1)=CUR_RATES!$E$1:$E$97),--($D22&amp;INDEX($D$2:$D$1048576,MATCH($G22,$B$2:$B$1048576,0))=CUR_RATES!$A$1:$A$97),ROW(CUR_RATES!$E$1:$E$97)))),"",INDEX(CUR_RATES!$D:$D,SUMPRODUCT(--(WORKDAY(K22,-1)=CUR_RATES!$E$1:$E$97),--(D22&amp;INDEX($D$2:$D$1048576,MATCH(G22,$B$2:$B$1048576,0))=CUR_RATES!$A$1:$A$97),ROW(CUR_RATES!$E$1:$E$97))))),"")</f>
        <v>1</v>
      </c>
    </row>
    <row r="23" spans="1:22" x14ac:dyDescent="0.2">
      <c r="A23" s="21">
        <f>IF(ROW($B23)-ROW($B$1)&lt;=COUNTIF(IDX_SPECS!$B$2:$B$89,"*")-COUNTIF(IDX_SPECS!$B$2:$B$89,""),ROW($B23)-ROW($B$1),"")</f>
        <v>22</v>
      </c>
      <c r="B23" t="str">
        <f>IF(ROW($B23)-ROW($B$1)&lt;=COUNTIF(IDX_SPECS!$B$2:$B$89,"*")-COUNTIF(IDX_SPECS!$B$2:$B$89,""),INDEX(IDX_SPECS!$B$2:$B$89,ROW($B23)-ROW($B$1)),"")</f>
        <v>VNXCOTRUSD</v>
      </c>
      <c r="D23" t="str">
        <f>IF($A23&lt;&gt;"",INDEX(IDX_SPECS!$D$2:$D$89,MATCH($B23,IDX_SPECS!$B$2:$B$89,0)),"")</f>
        <v>USD</v>
      </c>
      <c r="F23" t="str">
        <f>IF($A23&lt;&gt;"",INDEX(IDX_SPECS!$F$2:$F$89,MATCH($B23,IDX_SPECS!$B$2:$B$89,0)),"")</f>
        <v>R</v>
      </c>
      <c r="G23" t="str">
        <f>IF($A23&lt;&gt;"",INDEX(IDX_SPECS!$G$2:$G$89,MATCH($B23,IDX_SPECS!$B$2:$B$89,0)),"")</f>
        <v>VNXCOPRVND</v>
      </c>
      <c r="H23" s="70">
        <f>IF($A23&lt;&gt;"",IF(F23="P",$I23/INDEX(IDX_SPECS!$I$2:$I$89,MATCH($B23,IDX_SPECS!$B$2:$B$89,0))*INDEX(IDX_SPECS!$H$2:$H$89,MATCH($B23,IDX_SPECS!$B$2:$B$89,0)),IF(INDEX(IDX_SPECS!$Q$2:$Q$89,MATCH($B23,IDX_SPECS!$B$2:$B$89,0))=0,INDEX(IDX_SPECS!$H$2:$H$89,MATCH($B23,IDX_SPECS!$B$2:$B$89,0)),IF($Q23=0,INDEX(IDX_SPECS!$H$2:$H$89,MATCH($B23,IDX_SPECS!$B$2:$B$89,0)),$Q23/INDEX(IDX_SPECS!$Q$2:$Q$89,MATCH($B23,IDX_SPECS!$B$2:$B$89,0))*INDEX(IDX_SPECS!$H$2:$H$89,MATCH($B23,IDX_SPECS!$B$2:$B$89,0))))),"")</f>
        <v>1428571428571.4285</v>
      </c>
      <c r="I23" s="8">
        <f>IF($A23&lt;&gt;"",SUMIF(NXT_COMPO!$P$2:$P$1048576,$G23,NXT_COMPO!$O$2:$O$1048576)/$V23,"")</f>
        <v>1748431900.1690269</v>
      </c>
      <c r="K23" s="74">
        <f>IF($A23&lt;&gt;"",NXT_COMPO!$B$6,"")</f>
        <v>41166</v>
      </c>
      <c r="L23" s="64"/>
      <c r="M23" s="64"/>
      <c r="P23" s="60">
        <f>IF($A23&lt;&gt;"",INDEX(IDX_SPECS!$J$2:$J$89,MATCH($B23,IDX_SPECS!$B$2:$B$89,0)),"")</f>
        <v>1323.7669984795164</v>
      </c>
      <c r="Q23" s="8">
        <f>IF($A23&lt;&gt;"",SUMIF(NXT_COMPO!$P$2:$P$1048576,$G23,NXT_COMPO!$R$2:$R$1048576)/$V23,"")</f>
        <v>0</v>
      </c>
      <c r="V23" s="12">
        <f>IF(B23&lt;&gt;"",IF(D23=INDEX($D$2:$D$1048576,MATCH(G23,$B$2:$B$1048576,0)),1,IF(ISNA(INDEX(CUR_RATES!$D:$D,SUMPRODUCT(--(WORKDAY(K23,-1)=CUR_RATES!$E$1:$E$97),--($D23&amp;INDEX($D$2:$D$1048576,MATCH($G23,$B$2:$B$1048576,0))=CUR_RATES!$A$1:$A$97),ROW(CUR_RATES!$E$1:$E$97)))),"",INDEX(CUR_RATES!$D:$D,SUMPRODUCT(--(WORKDAY(K23,-1)=CUR_RATES!$E$1:$E$97),--(D23&amp;INDEX($D$2:$D$1048576,MATCH(G23,$B$2:$B$1048576,0))=CUR_RATES!$A$1:$A$97),ROW(CUR_RATES!$E$1:$E$97))))),"")</f>
        <v>21890</v>
      </c>
    </row>
    <row r="24" spans="1:22" x14ac:dyDescent="0.2">
      <c r="A24" s="21">
        <f>IF(ROW($B24)-ROW($B$1)&lt;=COUNTIF(IDX_SPECS!$B$2:$B$89,"*")-COUNTIF(IDX_SPECS!$B$2:$B$89,""),ROW($B24)-ROW($B$1),"")</f>
        <v>23</v>
      </c>
      <c r="B24" t="str">
        <f>IF(ROW($B24)-ROW($B$1)&lt;=COUNTIF(IDX_SPECS!$B$2:$B$89,"*")-COUNTIF(IDX_SPECS!$B$2:$B$89,""),INDEX(IDX_SPECS!$B$2:$B$89,ROW($B24)-ROW($B$1)),"")</f>
        <v>VNXCOTRJPY</v>
      </c>
      <c r="D24" t="str">
        <f>IF($A24&lt;&gt;"",INDEX(IDX_SPECS!$D$2:$D$89,MATCH($B24,IDX_SPECS!$B$2:$B$89,0)),"")</f>
        <v>JPY</v>
      </c>
      <c r="F24" t="str">
        <f>IF($A24&lt;&gt;"",INDEX(IDX_SPECS!$F$2:$F$89,MATCH($B24,IDX_SPECS!$B$2:$B$89,0)),"")</f>
        <v>R</v>
      </c>
      <c r="G24" t="str">
        <f>IF($A24&lt;&gt;"",INDEX(IDX_SPECS!$G$2:$G$89,MATCH($B24,IDX_SPECS!$B$2:$B$89,0)),"")</f>
        <v>VNXCOPRVND</v>
      </c>
      <c r="H24" s="70">
        <f>IF($A24&lt;&gt;"",IF(F24="P",$I24/INDEX(IDX_SPECS!$I$2:$I$89,MATCH($B24,IDX_SPECS!$B$2:$B$89,0))*INDEX(IDX_SPECS!$H$2:$H$89,MATCH($B24,IDX_SPECS!$B$2:$B$89,0)),IF(INDEX(IDX_SPECS!$Q$2:$Q$89,MATCH($B24,IDX_SPECS!$B$2:$B$89,0))=0,INDEX(IDX_SPECS!$H$2:$H$89,MATCH($B24,IDX_SPECS!$B$2:$B$89,0)),IF($Q24=0,INDEX(IDX_SPECS!$H$2:$H$89,MATCH($B24,IDX_SPECS!$B$2:$B$89,0)),$Q24/INDEX(IDX_SPECS!$Q$2:$Q$89,MATCH($B24,IDX_SPECS!$B$2:$B$89,0))*INDEX(IDX_SPECS!$H$2:$H$89,MATCH($B24,IDX_SPECS!$B$2:$B$89,0))))),"")</f>
        <v>113207547169.81133</v>
      </c>
      <c r="I24" s="8">
        <f>IF($A24&lt;&gt;"",SUMIF(NXT_COMPO!$P$2:$P$1048576,$G24,NXT_COMPO!$O$2:$O$1048576)/$V24,"")</f>
        <v>135720476222.34042</v>
      </c>
      <c r="K24" s="74">
        <f>IF($A24&lt;&gt;"",NXT_COMPO!$B$6,"")</f>
        <v>41166</v>
      </c>
      <c r="L24" s="64"/>
      <c r="M24" s="64"/>
      <c r="P24" s="60">
        <f>IF($A24&lt;&gt;"",INDEX(IDX_SPECS!$J$2:$J$89,MATCH($B24,IDX_SPECS!$B$2:$B$89,0)),"")</f>
        <v>1139.2963516575942</v>
      </c>
      <c r="Q24" s="8">
        <f>IF($A24&lt;&gt;"",SUMIF(NXT_COMPO!$P$2:$P$1048576,$G24,NXT_COMPO!$R$2:$R$1048576)/$V24,"")</f>
        <v>0</v>
      </c>
      <c r="V24" s="12">
        <f>IF(B24&lt;&gt;"",IF(D24=INDEX($D$2:$D$1048576,MATCH(G24,$B$2:$B$1048576,0)),1,IF(ISNA(INDEX(CUR_RATES!$D:$D,SUMPRODUCT(--(WORKDAY(K24,-1)=CUR_RATES!$E$1:$E$97),--($D24&amp;INDEX($D$2:$D$1048576,MATCH($G24,$B$2:$B$1048576,0))=CUR_RATES!$A$1:$A$97),ROW(CUR_RATES!$E$1:$E$97)))),"",INDEX(CUR_RATES!$D:$D,SUMPRODUCT(--(WORKDAY(K24,-1)=CUR_RATES!$E$1:$E$97),--(D24&amp;INDEX($D$2:$D$1048576,MATCH(G24,$B$2:$B$1048576,0))=CUR_RATES!$A$1:$A$97),ROW(CUR_RATES!$E$1:$E$97))))),"")</f>
        <v>282</v>
      </c>
    </row>
    <row r="25" spans="1:22" x14ac:dyDescent="0.2">
      <c r="A25" s="21">
        <f>IF(ROW($B25)-ROW($B$1)&lt;=COUNTIF(IDX_SPECS!$B$2:$B$89,"*")-COUNTIF(IDX_SPECS!$B$2:$B$89,""),ROW($B25)-ROW($B$1),"")</f>
        <v>24</v>
      </c>
      <c r="B25" t="str">
        <f>IF(ROW($B25)-ROW($B$1)&lt;=COUNTIF(IDX_SPECS!$B$2:$B$89,"*")-COUNTIF(IDX_SPECS!$B$2:$B$89,""),INDEX(IDX_SPECS!$B$2:$B$89,ROW($B25)-ROW($B$1)),"")</f>
        <v>VNXCOTREUR</v>
      </c>
      <c r="D25" t="str">
        <f>IF($A25&lt;&gt;"",INDEX(IDX_SPECS!$D$2:$D$89,MATCH($B25,IDX_SPECS!$B$2:$B$89,0)),"")</f>
        <v>EUR</v>
      </c>
      <c r="F25" t="str">
        <f>IF($A25&lt;&gt;"",INDEX(IDX_SPECS!$F$2:$F$89,MATCH($B25,IDX_SPECS!$B$2:$B$89,0)),"")</f>
        <v>R</v>
      </c>
      <c r="G25" t="str">
        <f>IF($A25&lt;&gt;"",INDEX(IDX_SPECS!$G$2:$G$89,MATCH($B25,IDX_SPECS!$B$2:$B$89,0)),"")</f>
        <v>VNXCOPRVND</v>
      </c>
      <c r="H25" s="70">
        <f>IF($A25&lt;&gt;"",IF(F25="P",$I25/INDEX(IDX_SPECS!$I$2:$I$89,MATCH($B25,IDX_SPECS!$B$2:$B$89,0))*INDEX(IDX_SPECS!$H$2:$H$89,MATCH($B25,IDX_SPECS!$B$2:$B$89,0)),IF(INDEX(IDX_SPECS!$Q$2:$Q$89,MATCH($B25,IDX_SPECS!$B$2:$B$89,0))=0,INDEX(IDX_SPECS!$H$2:$H$89,MATCH($B25,IDX_SPECS!$B$2:$B$89,0)),IF($Q25=0,INDEX(IDX_SPECS!$H$2:$H$89,MATCH($B25,IDX_SPECS!$B$2:$B$89,0)),$Q25/INDEX(IDX_SPECS!$Q$2:$Q$89,MATCH($B25,IDX_SPECS!$B$2:$B$89,0))*INDEX(IDX_SPECS!$H$2:$H$89,MATCH($B25,IDX_SPECS!$B$2:$B$89,0))))),"")</f>
        <v>1034482758620.6897</v>
      </c>
      <c r="I25" s="8">
        <f>IF($A25&lt;&gt;"",SUMIF(NXT_COMPO!$P$2:$P$1048576,$G25,NXT_COMPO!$O$2:$O$1048576)/$V25,"")</f>
        <v>1283874581.0125766</v>
      </c>
      <c r="K25" s="74">
        <f>IF($A25&lt;&gt;"",NXT_COMPO!$B$6,"")</f>
        <v>41166</v>
      </c>
      <c r="L25" s="64"/>
      <c r="M25" s="64"/>
      <c r="P25" s="60">
        <f>IF($A25&lt;&gt;"",INDEX(IDX_SPECS!$J$2:$J$89,MATCH($B25,IDX_SPECS!$B$2:$B$89,0)),"")</f>
        <v>1133.2807557345327</v>
      </c>
      <c r="Q25" s="8">
        <f>IF($A25&lt;&gt;"",SUMIF(NXT_COMPO!$P$2:$P$1048576,$G25,NXT_COMPO!$R$2:$R$1048576)/$V25,"")</f>
        <v>0</v>
      </c>
      <c r="V25" s="12">
        <f>IF(B25&lt;&gt;"",IF(D25=INDEX($D$2:$D$1048576,MATCH(G25,$B$2:$B$1048576,0)),1,IF(ISNA(INDEX(CUR_RATES!$D:$D,SUMPRODUCT(--(WORKDAY(K25,-1)=CUR_RATES!$E$1:$E$97),--($D25&amp;INDEX($D$2:$D$1048576,MATCH($G25,$B$2:$B$1048576,0))=CUR_RATES!$A$1:$A$97),ROW(CUR_RATES!$E$1:$E$97)))),"",INDEX(CUR_RATES!$D:$D,SUMPRODUCT(--(WORKDAY(K25,-1)=CUR_RATES!$E$1:$E$97),--(D25&amp;INDEX($D$2:$D$1048576,MATCH(G25,$B$2:$B$1048576,0))=CUR_RATES!$A$1:$A$97),ROW(CUR_RATES!$E$1:$E$97))))),"")</f>
        <v>29810.68</v>
      </c>
    </row>
    <row r="26" spans="1:22" x14ac:dyDescent="0.2">
      <c r="A26" s="21">
        <f>IF(ROW($B26)-ROW($B$1)&lt;=COUNTIF(IDX_SPECS!$B$2:$B$89,"*")-COUNTIF(IDX_SPECS!$B$2:$B$89,""),ROW($B26)-ROW($B$1),"")</f>
        <v>25</v>
      </c>
      <c r="B26" t="str">
        <f>IF(ROW($B26)-ROW($B$1)&lt;=COUNTIF(IDX_SPECS!$B$2:$B$89,"*")-COUNTIF(IDX_SPECS!$B$2:$B$89,""),INDEX(IDX_SPECS!$B$2:$B$89,ROW($B26)-ROW($B$1)),"")</f>
        <v>VNXHSXPRVND</v>
      </c>
      <c r="D26" t="str">
        <f>IF($A26&lt;&gt;"",INDEX(IDX_SPECS!$D$2:$D$89,MATCH($B26,IDX_SPECS!$B$2:$B$89,0)),"")</f>
        <v>VND</v>
      </c>
      <c r="F26" t="str">
        <f>IF($A26&lt;&gt;"",INDEX(IDX_SPECS!$F$2:$F$89,MATCH($B26,IDX_SPECS!$B$2:$B$89,0)),"")</f>
        <v>P</v>
      </c>
      <c r="G26" t="str">
        <f>IF($A26&lt;&gt;"",INDEX(IDX_SPECS!$G$2:$G$89,MATCH($B26,IDX_SPECS!$B$2:$B$89,0)),"")</f>
        <v>VNXHSXPRVND</v>
      </c>
      <c r="H26" s="70">
        <f>IF($A26&lt;&gt;"",IF(F26="P",$I26/INDEX(IDX_SPECS!$I$2:$I$89,MATCH($B26,IDX_SPECS!$B$2:$B$89,0))*INDEX(IDX_SPECS!$H$2:$H$89,MATCH($B26,IDX_SPECS!$B$2:$B$89,0)),IF(INDEX(IDX_SPECS!$Q$2:$Q$89,MATCH($B26,IDX_SPECS!$B$2:$B$89,0))=0,INDEX(IDX_SPECS!$H$2:$H$89,MATCH($B26,IDX_SPECS!$B$2:$B$89,0)),IF($Q26=0,INDEX(IDX_SPECS!$H$2:$H$89,MATCH($B26,IDX_SPECS!$B$2:$B$89,0)),$Q26/INDEX(IDX_SPECS!$Q$2:$Q$89,MATCH($B26,IDX_SPECS!$B$2:$B$89,0))*INDEX(IDX_SPECS!$H$2:$H$89,MATCH($B26,IDX_SPECS!$B$2:$B$89,0))))),"")</f>
        <v>25000000000000</v>
      </c>
      <c r="I26" s="8">
        <f>IF($A26&lt;&gt;"",SUMIF(NXT_COMPO!$P$2:$P$1048576,$G26,NXT_COMPO!$O$2:$O$1048576)/$V26,"")</f>
        <v>44040484805400</v>
      </c>
      <c r="K26" s="74">
        <f>IF($A26&lt;&gt;"",NXT_COMPO!$B$6,"")</f>
        <v>41166</v>
      </c>
      <c r="L26" s="64"/>
      <c r="M26" s="64"/>
      <c r="P26" s="60">
        <f>IF($A26&lt;&gt;"",INDEX(IDX_SPECS!$J$2:$J$89,MATCH($B26,IDX_SPECS!$B$2:$B$89,0)),"")</f>
        <v>1761.6193922160001</v>
      </c>
      <c r="Q26" s="8">
        <f>IF($A26&lt;&gt;"",SUMIF(NXT_COMPO!$P$2:$P$1048576,$G26,NXT_COMPO!$R$2:$R$1048576)/$V26,"")</f>
        <v>0</v>
      </c>
      <c r="V26" s="12">
        <f>IF(B26&lt;&gt;"",IF(D26=INDEX($D$2:$D$1048576,MATCH(G26,$B$2:$B$1048576,0)),1,IF(ISNA(INDEX(CUR_RATES!$D:$D,SUMPRODUCT(--(WORKDAY(K26,-1)=CUR_RATES!$E$1:$E$97),--($D26&amp;INDEX($D$2:$D$1048576,MATCH($G26,$B$2:$B$1048576,0))=CUR_RATES!$A$1:$A$97),ROW(CUR_RATES!$E$1:$E$97)))),"",INDEX(CUR_RATES!$D:$D,SUMPRODUCT(--(WORKDAY(K26,-1)=CUR_RATES!$E$1:$E$97),--(D26&amp;INDEX($D$2:$D$1048576,MATCH(G26,$B$2:$B$1048576,0))=CUR_RATES!$A$1:$A$97),ROW(CUR_RATES!$E$1:$E$97))))),"")</f>
        <v>1</v>
      </c>
    </row>
    <row r="27" spans="1:22" x14ac:dyDescent="0.2">
      <c r="A27" s="21">
        <f>IF(ROW($B27)-ROW($B$1)&lt;=COUNTIF(IDX_SPECS!$B$2:$B$89,"*")-COUNTIF(IDX_SPECS!$B$2:$B$89,""),ROW($B27)-ROW($B$1),"")</f>
        <v>26</v>
      </c>
      <c r="B27" t="str">
        <f>IF(ROW($B27)-ROW($B$1)&lt;=COUNTIF(IDX_SPECS!$B$2:$B$89,"*")-COUNTIF(IDX_SPECS!$B$2:$B$89,""),INDEX(IDX_SPECS!$B$2:$B$89,ROW($B27)-ROW($B$1)),"")</f>
        <v>VNXHSXPRUSD</v>
      </c>
      <c r="D27" t="str">
        <f>IF($A27&lt;&gt;"",INDEX(IDX_SPECS!$D$2:$D$89,MATCH($B27,IDX_SPECS!$B$2:$B$89,0)),"")</f>
        <v>USD</v>
      </c>
      <c r="F27" t="str">
        <f>IF($A27&lt;&gt;"",INDEX(IDX_SPECS!$F$2:$F$89,MATCH($B27,IDX_SPECS!$B$2:$B$89,0)),"")</f>
        <v>P</v>
      </c>
      <c r="G27" t="str">
        <f>IF($A27&lt;&gt;"",INDEX(IDX_SPECS!$G$2:$G$89,MATCH($B27,IDX_SPECS!$B$2:$B$89,0)),"")</f>
        <v>VNXHSXPRVND</v>
      </c>
      <c r="H27" s="70">
        <f>IF($A27&lt;&gt;"",IF(F27="P",$I27/INDEX(IDX_SPECS!$I$2:$I$89,MATCH($B27,IDX_SPECS!$B$2:$B$89,0))*INDEX(IDX_SPECS!$H$2:$H$89,MATCH($B27,IDX_SPECS!$B$2:$B$89,0)),IF(INDEX(IDX_SPECS!$Q$2:$Q$89,MATCH($B27,IDX_SPECS!$B$2:$B$89,0))=0,INDEX(IDX_SPECS!$H$2:$H$89,MATCH($B27,IDX_SPECS!$B$2:$B$89,0)),IF($Q27=0,INDEX(IDX_SPECS!$H$2:$H$89,MATCH($B27,IDX_SPECS!$B$2:$B$89,0)),$Q27/INDEX(IDX_SPECS!$Q$2:$Q$89,MATCH($B27,IDX_SPECS!$B$2:$B$89,0))*INDEX(IDX_SPECS!$H$2:$H$89,MATCH($B27,IDX_SPECS!$B$2:$B$89,0))))),"")</f>
        <v>1190476190.4761903</v>
      </c>
      <c r="I27" s="8">
        <f>IF($A27&lt;&gt;"",SUMIF(NXT_COMPO!$P$2:$P$1048576,$G27,NXT_COMPO!$O$2:$O$1048576)/$V27,"")</f>
        <v>2011899717.0123343</v>
      </c>
      <c r="K27" s="74">
        <f>IF($A27&lt;&gt;"",NXT_COMPO!$B$6,"")</f>
        <v>41166</v>
      </c>
      <c r="L27" s="64"/>
      <c r="M27" s="64"/>
      <c r="P27" s="60">
        <f>IF($A27&lt;&gt;"",INDEX(IDX_SPECS!$J$2:$J$89,MATCH($B27,IDX_SPECS!$B$2:$B$89,0)),"")</f>
        <v>1689.995762290361</v>
      </c>
      <c r="Q27" s="8">
        <f>IF($A27&lt;&gt;"",SUMIF(NXT_COMPO!$P$2:$P$1048576,$G27,NXT_COMPO!$R$2:$R$1048576)/$V27,"")</f>
        <v>0</v>
      </c>
      <c r="V27" s="12">
        <f>IF(B27&lt;&gt;"",IF(D27=INDEX($D$2:$D$1048576,MATCH(G27,$B$2:$B$1048576,0)),1,IF(ISNA(INDEX(CUR_RATES!$D:$D,SUMPRODUCT(--(WORKDAY(K27,-1)=CUR_RATES!$E$1:$E$97),--($D27&amp;INDEX($D$2:$D$1048576,MATCH($G27,$B$2:$B$1048576,0))=CUR_RATES!$A$1:$A$97),ROW(CUR_RATES!$E$1:$E$97)))),"",INDEX(CUR_RATES!$D:$D,SUMPRODUCT(--(WORKDAY(K27,-1)=CUR_RATES!$E$1:$E$97),--(D27&amp;INDEX($D$2:$D$1048576,MATCH(G27,$B$2:$B$1048576,0))=CUR_RATES!$A$1:$A$97),ROW(CUR_RATES!$E$1:$E$97))))),"")</f>
        <v>21890</v>
      </c>
    </row>
    <row r="28" spans="1:22" x14ac:dyDescent="0.2">
      <c r="A28" s="21">
        <f>IF(ROW($B28)-ROW($B$1)&lt;=COUNTIF(IDX_SPECS!$B$2:$B$89,"*")-COUNTIF(IDX_SPECS!$B$2:$B$89,""),ROW($B28)-ROW($B$1),"")</f>
        <v>27</v>
      </c>
      <c r="B28" t="str">
        <f>IF(ROW($B28)-ROW($B$1)&lt;=COUNTIF(IDX_SPECS!$B$2:$B$89,"*")-COUNTIF(IDX_SPECS!$B$2:$B$89,""),INDEX(IDX_SPECS!$B$2:$B$89,ROW($B28)-ROW($B$1)),"")</f>
        <v>VNXHSXPRJPY</v>
      </c>
      <c r="D28" t="str">
        <f>IF($A28&lt;&gt;"",INDEX(IDX_SPECS!$D$2:$D$89,MATCH($B28,IDX_SPECS!$B$2:$B$89,0)),"")</f>
        <v>JPY</v>
      </c>
      <c r="F28" t="str">
        <f>IF($A28&lt;&gt;"",INDEX(IDX_SPECS!$F$2:$F$89,MATCH($B28,IDX_SPECS!$B$2:$B$89,0)),"")</f>
        <v>P</v>
      </c>
      <c r="G28" t="str">
        <f>IF($A28&lt;&gt;"",INDEX(IDX_SPECS!$G$2:$G$89,MATCH($B28,IDX_SPECS!$B$2:$B$89,0)),"")</f>
        <v>VNXHSXPRVND</v>
      </c>
      <c r="H28" s="70">
        <f>IF($A28&lt;&gt;"",IF(F28="P",$I28/INDEX(IDX_SPECS!$I$2:$I$89,MATCH($B28,IDX_SPECS!$B$2:$B$89,0))*INDEX(IDX_SPECS!$H$2:$H$89,MATCH($B28,IDX_SPECS!$B$2:$B$89,0)),IF(INDEX(IDX_SPECS!$Q$2:$Q$89,MATCH($B28,IDX_SPECS!$B$2:$B$89,0))=0,INDEX(IDX_SPECS!$H$2:$H$89,MATCH($B28,IDX_SPECS!$B$2:$B$89,0)),IF($Q28=0,INDEX(IDX_SPECS!$H$2:$H$89,MATCH($B28,IDX_SPECS!$B$2:$B$89,0)),$Q28/INDEX(IDX_SPECS!$Q$2:$Q$89,MATCH($B28,IDX_SPECS!$B$2:$B$89,0))*INDEX(IDX_SPECS!$H$2:$H$89,MATCH($B28,IDX_SPECS!$B$2:$B$89,0))))),"")</f>
        <v>94339622641.50943</v>
      </c>
      <c r="I28" s="8">
        <f>IF($A28&lt;&gt;"",SUMIF(NXT_COMPO!$P$2:$P$1048576,$G28,NXT_COMPO!$O$2:$O$1048576)/$V28,"")</f>
        <v>156171931934.04254</v>
      </c>
      <c r="K28" s="74">
        <f>IF($A28&lt;&gt;"",NXT_COMPO!$B$6,"")</f>
        <v>41166</v>
      </c>
      <c r="L28" s="64"/>
      <c r="M28" s="64"/>
      <c r="P28" s="60">
        <f>IF($A28&lt;&gt;"",INDEX(IDX_SPECS!$J$2:$J$89,MATCH($B28,IDX_SPECS!$B$2:$B$89,0)),"")</f>
        <v>1655.422478500851</v>
      </c>
      <c r="Q28" s="8">
        <f>IF($A28&lt;&gt;"",SUMIF(NXT_COMPO!$P$2:$P$1048576,$G28,NXT_COMPO!$R$2:$R$1048576)/$V28,"")</f>
        <v>0</v>
      </c>
      <c r="V28" s="12">
        <f>IF(B28&lt;&gt;"",IF(D28=INDEX($D$2:$D$1048576,MATCH(G28,$B$2:$B$1048576,0)),1,IF(ISNA(INDEX(CUR_RATES!$D:$D,SUMPRODUCT(--(WORKDAY(K28,-1)=CUR_RATES!$E$1:$E$97),--($D28&amp;INDEX($D$2:$D$1048576,MATCH($G28,$B$2:$B$1048576,0))=CUR_RATES!$A$1:$A$97),ROW(CUR_RATES!$E$1:$E$97)))),"",INDEX(CUR_RATES!$D:$D,SUMPRODUCT(--(WORKDAY(K28,-1)=CUR_RATES!$E$1:$E$97),--(D28&amp;INDEX($D$2:$D$1048576,MATCH(G28,$B$2:$B$1048576,0))=CUR_RATES!$A$1:$A$97),ROW(CUR_RATES!$E$1:$E$97))))),"")</f>
        <v>282</v>
      </c>
    </row>
    <row r="29" spans="1:22" x14ac:dyDescent="0.2">
      <c r="A29" s="21">
        <f>IF(ROW($B29)-ROW($B$1)&lt;=COUNTIF(IDX_SPECS!$B$2:$B$89,"*")-COUNTIF(IDX_SPECS!$B$2:$B$89,""),ROW($B29)-ROW($B$1),"")</f>
        <v>28</v>
      </c>
      <c r="B29" t="str">
        <f>IF(ROW($B29)-ROW($B$1)&lt;=COUNTIF(IDX_SPECS!$B$2:$B$89,"*")-COUNTIF(IDX_SPECS!$B$2:$B$89,""),INDEX(IDX_SPECS!$B$2:$B$89,ROW($B29)-ROW($B$1)),"")</f>
        <v>VNXHSXPREUR</v>
      </c>
      <c r="D29" t="str">
        <f>IF($A29&lt;&gt;"",INDEX(IDX_SPECS!$D$2:$D$89,MATCH($B29,IDX_SPECS!$B$2:$B$89,0)),"")</f>
        <v>EUR</v>
      </c>
      <c r="F29" t="str">
        <f>IF($A29&lt;&gt;"",INDEX(IDX_SPECS!$F$2:$F$89,MATCH($B29,IDX_SPECS!$B$2:$B$89,0)),"")</f>
        <v>P</v>
      </c>
      <c r="G29" t="str">
        <f>IF($A29&lt;&gt;"",INDEX(IDX_SPECS!$G$2:$G$89,MATCH($B29,IDX_SPECS!$B$2:$B$89,0)),"")</f>
        <v>VNXHSXPRVND</v>
      </c>
      <c r="H29" s="70">
        <f>IF($A29&lt;&gt;"",IF(F29="P",$I29/INDEX(IDX_SPECS!$I$2:$I$89,MATCH($B29,IDX_SPECS!$B$2:$B$89,0))*INDEX(IDX_SPECS!$H$2:$H$89,MATCH($B29,IDX_SPECS!$B$2:$B$89,0)),IF(INDEX(IDX_SPECS!$Q$2:$Q$89,MATCH($B29,IDX_SPECS!$B$2:$B$89,0))=0,INDEX(IDX_SPECS!$H$2:$H$89,MATCH($B29,IDX_SPECS!$B$2:$B$89,0)),IF($Q29=0,INDEX(IDX_SPECS!$H$2:$H$89,MATCH($B29,IDX_SPECS!$B$2:$B$89,0)),$Q29/INDEX(IDX_SPECS!$Q$2:$Q$89,MATCH($B29,IDX_SPECS!$B$2:$B$89,0))*INDEX(IDX_SPECS!$H$2:$H$89,MATCH($B29,IDX_SPECS!$B$2:$B$89,0))))),"")</f>
        <v>862068965.51724136</v>
      </c>
      <c r="I29" s="8">
        <f>IF($A29&lt;&gt;"",SUMIF(NXT_COMPO!$P$2:$P$1048576,$G29,NXT_COMPO!$O$2:$O$1048576)/$V29,"")</f>
        <v>1477339155.1417143</v>
      </c>
      <c r="K29" s="74">
        <f>IF($A29&lt;&gt;"",NXT_COMPO!$B$6,"")</f>
        <v>41166</v>
      </c>
      <c r="L29" s="64"/>
      <c r="M29" s="64"/>
      <c r="P29" s="60">
        <f>IF($A29&lt;&gt;"",INDEX(IDX_SPECS!$J$2:$J$89,MATCH($B29,IDX_SPECS!$B$2:$B$89,0)),"")</f>
        <v>1713.7134199643888</v>
      </c>
      <c r="Q29" s="8">
        <f>IF($A29&lt;&gt;"",SUMIF(NXT_COMPO!$P$2:$P$1048576,$G29,NXT_COMPO!$R$2:$R$1048576)/$V29,"")</f>
        <v>0</v>
      </c>
      <c r="V29" s="12">
        <f>IF(B29&lt;&gt;"",IF(D29=INDEX($D$2:$D$1048576,MATCH(G29,$B$2:$B$1048576,0)),1,IF(ISNA(INDEX(CUR_RATES!$D:$D,SUMPRODUCT(--(WORKDAY(K29,-1)=CUR_RATES!$E$1:$E$97),--($D29&amp;INDEX($D$2:$D$1048576,MATCH($G29,$B$2:$B$1048576,0))=CUR_RATES!$A$1:$A$97),ROW(CUR_RATES!$E$1:$E$97)))),"",INDEX(CUR_RATES!$D:$D,SUMPRODUCT(--(WORKDAY(K29,-1)=CUR_RATES!$E$1:$E$97),--(D29&amp;INDEX($D$2:$D$1048576,MATCH(G29,$B$2:$B$1048576,0))=CUR_RATES!$A$1:$A$97),ROW(CUR_RATES!$E$1:$E$97))))),"")</f>
        <v>29810.68</v>
      </c>
    </row>
    <row r="30" spans="1:22" x14ac:dyDescent="0.2">
      <c r="A30" s="21">
        <f>IF(ROW($B30)-ROW($B$1)&lt;=COUNTIF(IDX_SPECS!$B$2:$B$89,"*")-COUNTIF(IDX_SPECS!$B$2:$B$89,""),ROW($B30)-ROW($B$1),"")</f>
        <v>29</v>
      </c>
      <c r="B30" t="str">
        <f>IF(ROW($B30)-ROW($B$1)&lt;=COUNTIF(IDX_SPECS!$B$2:$B$89,"*")-COUNTIF(IDX_SPECS!$B$2:$B$89,""),INDEX(IDX_SPECS!$B$2:$B$89,ROW($B30)-ROW($B$1)),"")</f>
        <v>VNXHSXTRVND</v>
      </c>
      <c r="D30" t="str">
        <f>IF($A30&lt;&gt;"",INDEX(IDX_SPECS!$D$2:$D$89,MATCH($B30,IDX_SPECS!$B$2:$B$89,0)),"")</f>
        <v>VND</v>
      </c>
      <c r="F30" t="str">
        <f>IF($A30&lt;&gt;"",INDEX(IDX_SPECS!$F$2:$F$89,MATCH($B30,IDX_SPECS!$B$2:$B$89,0)),"")</f>
        <v>R</v>
      </c>
      <c r="G30" t="str">
        <f>IF($A30&lt;&gt;"",INDEX(IDX_SPECS!$G$2:$G$89,MATCH($B30,IDX_SPECS!$B$2:$B$89,0)),"")</f>
        <v>VNXHSXPRVND</v>
      </c>
      <c r="H30" s="70">
        <f>IF($A30&lt;&gt;"",IF(F30="P",$I30/INDEX(IDX_SPECS!$I$2:$I$89,MATCH($B30,IDX_SPECS!$B$2:$B$89,0))*INDEX(IDX_SPECS!$H$2:$H$89,MATCH($B30,IDX_SPECS!$B$2:$B$89,0)),IF(INDEX(IDX_SPECS!$Q$2:$Q$89,MATCH($B30,IDX_SPECS!$B$2:$B$89,0))=0,INDEX(IDX_SPECS!$H$2:$H$89,MATCH($B30,IDX_SPECS!$B$2:$B$89,0)),IF($Q30=0,INDEX(IDX_SPECS!$H$2:$H$89,MATCH($B30,IDX_SPECS!$B$2:$B$89,0)),$Q30/INDEX(IDX_SPECS!$Q$2:$Q$89,MATCH($B30,IDX_SPECS!$B$2:$B$89,0))*INDEX(IDX_SPECS!$H$2:$H$89,MATCH($B30,IDX_SPECS!$B$2:$B$89,0))))),"")</f>
        <v>25000000000000</v>
      </c>
      <c r="I30" s="8">
        <f>IF($A30&lt;&gt;"",SUMIF(NXT_COMPO!$P$2:$P$1048576,$G30,NXT_COMPO!$O$2:$O$1048576)/$V30,"")</f>
        <v>44040484805400</v>
      </c>
      <c r="K30" s="74">
        <f>IF($A30&lt;&gt;"",NXT_COMPO!$B$6,"")</f>
        <v>41166</v>
      </c>
      <c r="L30" s="64"/>
      <c r="M30" s="64"/>
      <c r="P30" s="60">
        <f>IF($A30&lt;&gt;"",INDEX(IDX_SPECS!$J$2:$J$89,MATCH($B30,IDX_SPECS!$B$2:$B$89,0)),"")</f>
        <v>2204.4734585328124</v>
      </c>
      <c r="Q30" s="8">
        <f>IF($A30&lt;&gt;"",SUMIF(NXT_COMPO!$P$2:$P$1048576,$G30,NXT_COMPO!$R$2:$R$1048576)/$V30,"")</f>
        <v>0</v>
      </c>
      <c r="V30" s="12">
        <f>IF(B30&lt;&gt;"",IF(D30=INDEX($D$2:$D$1048576,MATCH(G30,$B$2:$B$1048576,0)),1,IF(ISNA(INDEX(CUR_RATES!$D:$D,SUMPRODUCT(--(WORKDAY(K30,-1)=CUR_RATES!$E$1:$E$97),--($D30&amp;INDEX($D$2:$D$1048576,MATCH($G30,$B$2:$B$1048576,0))=CUR_RATES!$A$1:$A$97),ROW(CUR_RATES!$E$1:$E$97)))),"",INDEX(CUR_RATES!$D:$D,SUMPRODUCT(--(WORKDAY(K30,-1)=CUR_RATES!$E$1:$E$97),--(D30&amp;INDEX($D$2:$D$1048576,MATCH(G30,$B$2:$B$1048576,0))=CUR_RATES!$A$1:$A$97),ROW(CUR_RATES!$E$1:$E$97))))),"")</f>
        <v>1</v>
      </c>
    </row>
    <row r="31" spans="1:22" x14ac:dyDescent="0.2">
      <c r="A31" s="21">
        <f>IF(ROW($B31)-ROW($B$1)&lt;=COUNTIF(IDX_SPECS!$B$2:$B$89,"*")-COUNTIF(IDX_SPECS!$B$2:$B$89,""),ROW($B31)-ROW($B$1),"")</f>
        <v>30</v>
      </c>
      <c r="B31" t="str">
        <f>IF(ROW($B31)-ROW($B$1)&lt;=COUNTIF(IDX_SPECS!$B$2:$B$89,"*")-COUNTIF(IDX_SPECS!$B$2:$B$89,""),INDEX(IDX_SPECS!$B$2:$B$89,ROW($B31)-ROW($B$1)),"")</f>
        <v>VNXHSXTRUSD</v>
      </c>
      <c r="D31" t="str">
        <f>IF($A31&lt;&gt;"",INDEX(IDX_SPECS!$D$2:$D$89,MATCH($B31,IDX_SPECS!$B$2:$B$89,0)),"")</f>
        <v>USD</v>
      </c>
      <c r="F31" t="str">
        <f>IF($A31&lt;&gt;"",INDEX(IDX_SPECS!$F$2:$F$89,MATCH($B31,IDX_SPECS!$B$2:$B$89,0)),"")</f>
        <v>R</v>
      </c>
      <c r="G31" t="str">
        <f>IF($A31&lt;&gt;"",INDEX(IDX_SPECS!$G$2:$G$89,MATCH($B31,IDX_SPECS!$B$2:$B$89,0)),"")</f>
        <v>VNXHSXPRVND</v>
      </c>
      <c r="H31" s="70">
        <f>IF($A31&lt;&gt;"",IF(F31="P",$I31/INDEX(IDX_SPECS!$I$2:$I$89,MATCH($B31,IDX_SPECS!$B$2:$B$89,0))*INDEX(IDX_SPECS!$H$2:$H$89,MATCH($B31,IDX_SPECS!$B$2:$B$89,0)),IF(INDEX(IDX_SPECS!$Q$2:$Q$89,MATCH($B31,IDX_SPECS!$B$2:$B$89,0))=0,INDEX(IDX_SPECS!$H$2:$H$89,MATCH($B31,IDX_SPECS!$B$2:$B$89,0)),IF($Q31=0,INDEX(IDX_SPECS!$H$2:$H$89,MATCH($B31,IDX_SPECS!$B$2:$B$89,0)),$Q31/INDEX(IDX_SPECS!$Q$2:$Q$89,MATCH($B31,IDX_SPECS!$B$2:$B$89,0))*INDEX(IDX_SPECS!$H$2:$H$89,MATCH($B31,IDX_SPECS!$B$2:$B$89,0))))),"")</f>
        <v>1190476190476.1904</v>
      </c>
      <c r="I31" s="8">
        <f>IF($A31&lt;&gt;"",SUMIF(NXT_COMPO!$P$2:$P$1048576,$G31,NXT_COMPO!$O$2:$O$1048576)/$V31,"")</f>
        <v>2011899717.0123343</v>
      </c>
      <c r="K31" s="74">
        <f>IF($A31&lt;&gt;"",NXT_COMPO!$B$6,"")</f>
        <v>41166</v>
      </c>
      <c r="L31" s="64"/>
      <c r="M31" s="64"/>
      <c r="P31" s="60">
        <f>IF($A31&lt;&gt;"",INDEX(IDX_SPECS!$J$2:$J$89,MATCH($B31,IDX_SPECS!$B$2:$B$89,0)),"")</f>
        <v>1492.9148559022706</v>
      </c>
      <c r="Q31" s="8">
        <f>IF($A31&lt;&gt;"",SUMIF(NXT_COMPO!$P$2:$P$1048576,$G31,NXT_COMPO!$R$2:$R$1048576)/$V31,"")</f>
        <v>0</v>
      </c>
      <c r="V31" s="12">
        <f>IF(B31&lt;&gt;"",IF(D31=INDEX($D$2:$D$1048576,MATCH(G31,$B$2:$B$1048576,0)),1,IF(ISNA(INDEX(CUR_RATES!$D:$D,SUMPRODUCT(--(WORKDAY(K31,-1)=CUR_RATES!$E$1:$E$97),--($D31&amp;INDEX($D$2:$D$1048576,MATCH($G31,$B$2:$B$1048576,0))=CUR_RATES!$A$1:$A$97),ROW(CUR_RATES!$E$1:$E$97)))),"",INDEX(CUR_RATES!$D:$D,SUMPRODUCT(--(WORKDAY(K31,-1)=CUR_RATES!$E$1:$E$97),--(D31&amp;INDEX($D$2:$D$1048576,MATCH(G31,$B$2:$B$1048576,0))=CUR_RATES!$A$1:$A$97),ROW(CUR_RATES!$E$1:$E$97))))),"")</f>
        <v>21890</v>
      </c>
    </row>
    <row r="32" spans="1:22" x14ac:dyDescent="0.2">
      <c r="A32" s="21">
        <f>IF(ROW($B32)-ROW($B$1)&lt;=COUNTIF(IDX_SPECS!$B$2:$B$89,"*")-COUNTIF(IDX_SPECS!$B$2:$B$89,""),ROW($B32)-ROW($B$1),"")</f>
        <v>31</v>
      </c>
      <c r="B32" t="str">
        <f>IF(ROW($B32)-ROW($B$1)&lt;=COUNTIF(IDX_SPECS!$B$2:$B$89,"*")-COUNTIF(IDX_SPECS!$B$2:$B$89,""),INDEX(IDX_SPECS!$B$2:$B$89,ROW($B32)-ROW($B$1)),"")</f>
        <v>VNXHSXTRJPY</v>
      </c>
      <c r="D32" t="str">
        <f>IF($A32&lt;&gt;"",INDEX(IDX_SPECS!$D$2:$D$89,MATCH($B32,IDX_SPECS!$B$2:$B$89,0)),"")</f>
        <v>JPY</v>
      </c>
      <c r="F32" t="str">
        <f>IF($A32&lt;&gt;"",INDEX(IDX_SPECS!$F$2:$F$89,MATCH($B32,IDX_SPECS!$B$2:$B$89,0)),"")</f>
        <v>R</v>
      </c>
      <c r="G32" t="str">
        <f>IF($A32&lt;&gt;"",INDEX(IDX_SPECS!$G$2:$G$89,MATCH($B32,IDX_SPECS!$B$2:$B$89,0)),"")</f>
        <v>VNXHSXPRVND</v>
      </c>
      <c r="H32" s="70">
        <f>IF($A32&lt;&gt;"",IF(F32="P",$I32/INDEX(IDX_SPECS!$I$2:$I$89,MATCH($B32,IDX_SPECS!$B$2:$B$89,0))*INDEX(IDX_SPECS!$H$2:$H$89,MATCH($B32,IDX_SPECS!$B$2:$B$89,0)),IF(INDEX(IDX_SPECS!$Q$2:$Q$89,MATCH($B32,IDX_SPECS!$B$2:$B$89,0))=0,INDEX(IDX_SPECS!$H$2:$H$89,MATCH($B32,IDX_SPECS!$B$2:$B$89,0)),IF($Q32=0,INDEX(IDX_SPECS!$H$2:$H$89,MATCH($B32,IDX_SPECS!$B$2:$B$89,0)),$Q32/INDEX(IDX_SPECS!$Q$2:$Q$89,MATCH($B32,IDX_SPECS!$B$2:$B$89,0))*INDEX(IDX_SPECS!$H$2:$H$89,MATCH($B32,IDX_SPECS!$B$2:$B$89,0))))),"")</f>
        <v>94339622641.50943</v>
      </c>
      <c r="I32" s="8">
        <f>IF($A32&lt;&gt;"",SUMIF(NXT_COMPO!$P$2:$P$1048576,$G32,NXT_COMPO!$O$2:$O$1048576)/$V32,"")</f>
        <v>156171931934.04254</v>
      </c>
      <c r="K32" s="74">
        <f>IF($A32&lt;&gt;"",NXT_COMPO!$B$6,"")</f>
        <v>41166</v>
      </c>
      <c r="L32" s="64"/>
      <c r="M32" s="64"/>
      <c r="P32" s="60">
        <f>IF($A32&lt;&gt;"",INDEX(IDX_SPECS!$J$2:$J$89,MATCH($B32,IDX_SPECS!$B$2:$B$89,0)),"")</f>
        <v>1765.4137113391678</v>
      </c>
      <c r="Q32" s="8">
        <f>IF($A32&lt;&gt;"",SUMIF(NXT_COMPO!$P$2:$P$1048576,$G32,NXT_COMPO!$R$2:$R$1048576)/$V32,"")</f>
        <v>0</v>
      </c>
      <c r="V32" s="12">
        <f>IF(B32&lt;&gt;"",IF(D32=INDEX($D$2:$D$1048576,MATCH(G32,$B$2:$B$1048576,0)),1,IF(ISNA(INDEX(CUR_RATES!$D:$D,SUMPRODUCT(--(WORKDAY(K32,-1)=CUR_RATES!$E$1:$E$97),--($D32&amp;INDEX($D$2:$D$1048576,MATCH($G32,$B$2:$B$1048576,0))=CUR_RATES!$A$1:$A$97),ROW(CUR_RATES!$E$1:$E$97)))),"",INDEX(CUR_RATES!$D:$D,SUMPRODUCT(--(WORKDAY(K32,-1)=CUR_RATES!$E$1:$E$97),--(D32&amp;INDEX($D$2:$D$1048576,MATCH(G32,$B$2:$B$1048576,0))=CUR_RATES!$A$1:$A$97),ROW(CUR_RATES!$E$1:$E$97))))),"")</f>
        <v>282</v>
      </c>
    </row>
    <row r="33" spans="1:22" x14ac:dyDescent="0.2">
      <c r="A33" s="21">
        <f>IF(ROW($B33)-ROW($B$1)&lt;=COUNTIF(IDX_SPECS!$B$2:$B$89,"*")-COUNTIF(IDX_SPECS!$B$2:$B$89,""),ROW($B33)-ROW($B$1),"")</f>
        <v>32</v>
      </c>
      <c r="B33" t="str">
        <f>IF(ROW($B33)-ROW($B$1)&lt;=COUNTIF(IDX_SPECS!$B$2:$B$89,"*")-COUNTIF(IDX_SPECS!$B$2:$B$89,""),INDEX(IDX_SPECS!$B$2:$B$89,ROW($B33)-ROW($B$1)),"")</f>
        <v>VNXHSXTREUR</v>
      </c>
      <c r="D33" t="str">
        <f>IF($A33&lt;&gt;"",INDEX(IDX_SPECS!$D$2:$D$89,MATCH($B33,IDX_SPECS!$B$2:$B$89,0)),"")</f>
        <v>EUR</v>
      </c>
      <c r="F33" t="str">
        <f>IF($A33&lt;&gt;"",INDEX(IDX_SPECS!$F$2:$F$89,MATCH($B33,IDX_SPECS!$B$2:$B$89,0)),"")</f>
        <v>R</v>
      </c>
      <c r="G33" t="str">
        <f>IF($A33&lt;&gt;"",INDEX(IDX_SPECS!$G$2:$G$89,MATCH($B33,IDX_SPECS!$B$2:$B$89,0)),"")</f>
        <v>VNXHSXPRVND</v>
      </c>
      <c r="H33" s="70">
        <f>IF($A33&lt;&gt;"",IF(F33="P",$I33/INDEX(IDX_SPECS!$I$2:$I$89,MATCH($B33,IDX_SPECS!$B$2:$B$89,0))*INDEX(IDX_SPECS!$H$2:$H$89,MATCH($B33,IDX_SPECS!$B$2:$B$89,0)),IF(INDEX(IDX_SPECS!$Q$2:$Q$89,MATCH($B33,IDX_SPECS!$B$2:$B$89,0))=0,INDEX(IDX_SPECS!$H$2:$H$89,MATCH($B33,IDX_SPECS!$B$2:$B$89,0)),IF($Q33=0,INDEX(IDX_SPECS!$H$2:$H$89,MATCH($B33,IDX_SPECS!$B$2:$B$89,0)),$Q33/INDEX(IDX_SPECS!$Q$2:$Q$89,MATCH($B33,IDX_SPECS!$B$2:$B$89,0))*INDEX(IDX_SPECS!$H$2:$H$89,MATCH($B33,IDX_SPECS!$B$2:$B$89,0))))),"")</f>
        <v>862068965517.24133</v>
      </c>
      <c r="I33" s="8">
        <f>IF($A33&lt;&gt;"",SUMIF(NXT_COMPO!$P$2:$P$1048576,$G33,NXT_COMPO!$O$2:$O$1048576)/$V33,"")</f>
        <v>1477339155.1417143</v>
      </c>
      <c r="K33" s="74">
        <f>IF($A33&lt;&gt;"",NXT_COMPO!$B$6,"")</f>
        <v>41166</v>
      </c>
      <c r="L33" s="64"/>
      <c r="M33" s="64"/>
      <c r="P33" s="60">
        <f>IF($A33&lt;&gt;"",INDEX(IDX_SPECS!$J$2:$J$89,MATCH($B33,IDX_SPECS!$B$2:$B$89,0)),"")</f>
        <v>1985.5796213796684</v>
      </c>
      <c r="Q33" s="8">
        <f>IF($A33&lt;&gt;"",SUMIF(NXT_COMPO!$P$2:$P$1048576,$G33,NXT_COMPO!$R$2:$R$1048576)/$V33,"")</f>
        <v>0</v>
      </c>
      <c r="V33" s="12">
        <f>IF(B33&lt;&gt;"",IF(D33=INDEX($D$2:$D$1048576,MATCH(G33,$B$2:$B$1048576,0)),1,IF(ISNA(INDEX(CUR_RATES!$D:$D,SUMPRODUCT(--(WORKDAY(K33,-1)=CUR_RATES!$E$1:$E$97),--($D33&amp;INDEX($D$2:$D$1048576,MATCH($G33,$B$2:$B$1048576,0))=CUR_RATES!$A$1:$A$97),ROW(CUR_RATES!$E$1:$E$97)))),"",INDEX(CUR_RATES!$D:$D,SUMPRODUCT(--(WORKDAY(K33,-1)=CUR_RATES!$E$1:$E$97),--(D33&amp;INDEX($D$2:$D$1048576,MATCH(G33,$B$2:$B$1048576,0))=CUR_RATES!$A$1:$A$97),ROW(CUR_RATES!$E$1:$E$97))))),"")</f>
        <v>29810.68</v>
      </c>
    </row>
    <row r="34" spans="1:22" x14ac:dyDescent="0.2">
      <c r="A34" s="21">
        <f>IF(ROW($B34)-ROW($B$1)&lt;=COUNTIF(IDX_SPECS!$B$2:$B$89,"*")-COUNTIF(IDX_SPECS!$B$2:$B$89,""),ROW($B34)-ROW($B$1),"")</f>
        <v>33</v>
      </c>
      <c r="B34" t="str">
        <f>IF(ROW($B34)-ROW($B$1)&lt;=COUNTIF(IDX_SPECS!$B$2:$B$89,"*")-COUNTIF(IDX_SPECS!$B$2:$B$89,""),INDEX(IDX_SPECS!$B$2:$B$89,ROW($B34)-ROW($B$1)),"")</f>
        <v>VNXHNXPRVND</v>
      </c>
      <c r="D34" t="str">
        <f>IF($A34&lt;&gt;"",INDEX(IDX_SPECS!$D$2:$D$89,MATCH($B34,IDX_SPECS!$B$2:$B$89,0)),"")</f>
        <v>VND</v>
      </c>
      <c r="F34" t="str">
        <f>IF($A34&lt;&gt;"",INDEX(IDX_SPECS!$F$2:$F$89,MATCH($B34,IDX_SPECS!$B$2:$B$89,0)),"")</f>
        <v>P</v>
      </c>
      <c r="G34" t="str">
        <f>IF($A34&lt;&gt;"",INDEX(IDX_SPECS!$G$2:$G$89,MATCH($B34,IDX_SPECS!$B$2:$B$89,0)),"")</f>
        <v>VNXHNXPRVND</v>
      </c>
      <c r="H34" s="70">
        <f>IF($A34&lt;&gt;"",IF(F34="P",$I34/INDEX(IDX_SPECS!$I$2:$I$89,MATCH($B34,IDX_SPECS!$B$2:$B$89,0))*INDEX(IDX_SPECS!$H$2:$H$89,MATCH($B34,IDX_SPECS!$B$2:$B$89,0)),IF(INDEX(IDX_SPECS!$Q$2:$Q$89,MATCH($B34,IDX_SPECS!$B$2:$B$89,0))=0,INDEX(IDX_SPECS!$H$2:$H$89,MATCH($B34,IDX_SPECS!$B$2:$B$89,0)),IF($Q34=0,INDEX(IDX_SPECS!$H$2:$H$89,MATCH($B34,IDX_SPECS!$B$2:$B$89,0)),$Q34/INDEX(IDX_SPECS!$Q$2:$Q$89,MATCH($B34,IDX_SPECS!$B$2:$B$89,0))*INDEX(IDX_SPECS!$H$2:$H$89,MATCH($B34,IDX_SPECS!$B$2:$B$89,0))))),"")</f>
        <v>8000000000000</v>
      </c>
      <c r="I34" s="8">
        <f>IF($A34&lt;&gt;"",SUMIF(NXT_COMPO!$P$2:$P$1048576,$G34,NXT_COMPO!$O$2:$O$1048576)/$V34,"")</f>
        <v>8168944913000</v>
      </c>
      <c r="K34" s="74">
        <f>IF($A34&lt;&gt;"",NXT_COMPO!$B$6,"")</f>
        <v>41166</v>
      </c>
      <c r="L34" s="64"/>
      <c r="M34" s="64"/>
      <c r="P34" s="60">
        <f>IF($A34&lt;&gt;"",INDEX(IDX_SPECS!$J$2:$J$89,MATCH($B34,IDX_SPECS!$B$2:$B$89,0)),"")</f>
        <v>1021.118114125</v>
      </c>
      <c r="Q34" s="8">
        <f>IF($A34&lt;&gt;"",SUMIF(NXT_COMPO!$P$2:$P$1048576,$G34,NXT_COMPO!$R$2:$R$1048576)/$V34,"")</f>
        <v>0</v>
      </c>
      <c r="V34" s="12">
        <f>IF(B34&lt;&gt;"",IF(D34=INDEX($D$2:$D$1048576,MATCH(G34,$B$2:$B$1048576,0)),1,IF(ISNA(INDEX(CUR_RATES!$D:$D,SUMPRODUCT(--(WORKDAY(K34,-1)=CUR_RATES!$E$1:$E$97),--($D34&amp;INDEX($D$2:$D$1048576,MATCH($G34,$B$2:$B$1048576,0))=CUR_RATES!$A$1:$A$97),ROW(CUR_RATES!$E$1:$E$97)))),"",INDEX(CUR_RATES!$D:$D,SUMPRODUCT(--(WORKDAY(K34,-1)=CUR_RATES!$E$1:$E$97),--(D34&amp;INDEX($D$2:$D$1048576,MATCH(G34,$B$2:$B$1048576,0))=CUR_RATES!$A$1:$A$97),ROW(CUR_RATES!$E$1:$E$97))))),"")</f>
        <v>1</v>
      </c>
    </row>
    <row r="35" spans="1:22" x14ac:dyDescent="0.2">
      <c r="A35" s="21">
        <f>IF(ROW($B35)-ROW($B$1)&lt;=COUNTIF(IDX_SPECS!$B$2:$B$89,"*")-COUNTIF(IDX_SPECS!$B$2:$B$89,""),ROW($B35)-ROW($B$1),"")</f>
        <v>34</v>
      </c>
      <c r="B35" t="str">
        <f>IF(ROW($B35)-ROW($B$1)&lt;=COUNTIF(IDX_SPECS!$B$2:$B$89,"*")-COUNTIF(IDX_SPECS!$B$2:$B$89,""),INDEX(IDX_SPECS!$B$2:$B$89,ROW($B35)-ROW($B$1)),"")</f>
        <v>VNXHNXPRUSD</v>
      </c>
      <c r="D35" t="str">
        <f>IF($A35&lt;&gt;"",INDEX(IDX_SPECS!$D$2:$D$89,MATCH($B35,IDX_SPECS!$B$2:$B$89,0)),"")</f>
        <v>USD</v>
      </c>
      <c r="F35" t="str">
        <f>IF($A35&lt;&gt;"",INDEX(IDX_SPECS!$F$2:$F$89,MATCH($B35,IDX_SPECS!$B$2:$B$89,0)),"")</f>
        <v>P</v>
      </c>
      <c r="G35" t="str">
        <f>IF($A35&lt;&gt;"",INDEX(IDX_SPECS!$G$2:$G$89,MATCH($B35,IDX_SPECS!$B$2:$B$89,0)),"")</f>
        <v>VNXHNXPRVND</v>
      </c>
      <c r="H35" s="70">
        <f>IF($A35&lt;&gt;"",IF(F35="P",$I35/INDEX(IDX_SPECS!$I$2:$I$89,MATCH($B35,IDX_SPECS!$B$2:$B$89,0))*INDEX(IDX_SPECS!$H$2:$H$89,MATCH($B35,IDX_SPECS!$B$2:$B$89,0)),IF(INDEX(IDX_SPECS!$Q$2:$Q$89,MATCH($B35,IDX_SPECS!$B$2:$B$89,0))=0,INDEX(IDX_SPECS!$H$2:$H$89,MATCH($B35,IDX_SPECS!$B$2:$B$89,0)),IF($Q35=0,INDEX(IDX_SPECS!$H$2:$H$89,MATCH($B35,IDX_SPECS!$B$2:$B$89,0)),$Q35/INDEX(IDX_SPECS!$Q$2:$Q$89,MATCH($B35,IDX_SPECS!$B$2:$B$89,0))*INDEX(IDX_SPECS!$H$2:$H$89,MATCH($B35,IDX_SPECS!$B$2:$B$89,0))))),"")</f>
        <v>380952380.95238096</v>
      </c>
      <c r="I35" s="8">
        <f>IF($A35&lt;&gt;"",SUMIF(NXT_COMPO!$P$2:$P$1048576,$G35,NXT_COMPO!$O$2:$O$1048576)/$V35,"")</f>
        <v>373181585.79259938</v>
      </c>
      <c r="K35" s="74">
        <f>IF($A35&lt;&gt;"",NXT_COMPO!$B$6,"")</f>
        <v>41166</v>
      </c>
      <c r="L35" s="64"/>
      <c r="M35" s="64"/>
      <c r="P35" s="60">
        <f>IF($A35&lt;&gt;"",INDEX(IDX_SPECS!$J$2:$J$89,MATCH($B35,IDX_SPECS!$B$2:$B$89,0)),"")</f>
        <v>979.60166270557329</v>
      </c>
      <c r="Q35" s="8">
        <f>IF($A35&lt;&gt;"",SUMIF(NXT_COMPO!$P$2:$P$1048576,$G35,NXT_COMPO!$R$2:$R$1048576)/$V35,"")</f>
        <v>0</v>
      </c>
      <c r="V35" s="12">
        <f>IF(B35&lt;&gt;"",IF(D35=INDEX($D$2:$D$1048576,MATCH(G35,$B$2:$B$1048576,0)),1,IF(ISNA(INDEX(CUR_RATES!$D:$D,SUMPRODUCT(--(WORKDAY(K35,-1)=CUR_RATES!$E$1:$E$97),--($D35&amp;INDEX($D$2:$D$1048576,MATCH($G35,$B$2:$B$1048576,0))=CUR_RATES!$A$1:$A$97),ROW(CUR_RATES!$E$1:$E$97)))),"",INDEX(CUR_RATES!$D:$D,SUMPRODUCT(--(WORKDAY(K35,-1)=CUR_RATES!$E$1:$E$97),--(D35&amp;INDEX($D$2:$D$1048576,MATCH(G35,$B$2:$B$1048576,0))=CUR_RATES!$A$1:$A$97),ROW(CUR_RATES!$E$1:$E$97))))),"")</f>
        <v>21890</v>
      </c>
    </row>
    <row r="36" spans="1:22" x14ac:dyDescent="0.2">
      <c r="A36" s="21">
        <f>IF(ROW($B36)-ROW($B$1)&lt;=COUNTIF(IDX_SPECS!$B$2:$B$89,"*")-COUNTIF(IDX_SPECS!$B$2:$B$89,""),ROW($B36)-ROW($B$1),"")</f>
        <v>35</v>
      </c>
      <c r="B36" t="str">
        <f>IF(ROW($B36)-ROW($B$1)&lt;=COUNTIF(IDX_SPECS!$B$2:$B$89,"*")-COUNTIF(IDX_SPECS!$B$2:$B$89,""),INDEX(IDX_SPECS!$B$2:$B$89,ROW($B36)-ROW($B$1)),"")</f>
        <v>VNXHNXPRJPY</v>
      </c>
      <c r="D36" t="str">
        <f>IF($A36&lt;&gt;"",INDEX(IDX_SPECS!$D$2:$D$89,MATCH($B36,IDX_SPECS!$B$2:$B$89,0)),"")</f>
        <v>JPY</v>
      </c>
      <c r="F36" t="str">
        <f>IF($A36&lt;&gt;"",INDEX(IDX_SPECS!$F$2:$F$89,MATCH($B36,IDX_SPECS!$B$2:$B$89,0)),"")</f>
        <v>P</v>
      </c>
      <c r="G36" t="str">
        <f>IF($A36&lt;&gt;"",INDEX(IDX_SPECS!$G$2:$G$89,MATCH($B36,IDX_SPECS!$B$2:$B$89,0)),"")</f>
        <v>VNXHNXPRVND</v>
      </c>
      <c r="H36" s="70">
        <f>IF($A36&lt;&gt;"",IF(F36="P",$I36/INDEX(IDX_SPECS!$I$2:$I$89,MATCH($B36,IDX_SPECS!$B$2:$B$89,0))*INDEX(IDX_SPECS!$H$2:$H$89,MATCH($B36,IDX_SPECS!$B$2:$B$89,0)),IF(INDEX(IDX_SPECS!$Q$2:$Q$89,MATCH($B36,IDX_SPECS!$B$2:$B$89,0))=0,INDEX(IDX_SPECS!$H$2:$H$89,MATCH($B36,IDX_SPECS!$B$2:$B$89,0)),IF($Q36=0,INDEX(IDX_SPECS!$H$2:$H$89,MATCH($B36,IDX_SPECS!$B$2:$B$89,0)),$Q36/INDEX(IDX_SPECS!$Q$2:$Q$89,MATCH($B36,IDX_SPECS!$B$2:$B$89,0))*INDEX(IDX_SPECS!$H$2:$H$89,MATCH($B36,IDX_SPECS!$B$2:$B$89,0))))),"")</f>
        <v>30188679245.28302</v>
      </c>
      <c r="I36" s="8">
        <f>IF($A36&lt;&gt;"",SUMIF(NXT_COMPO!$P$2:$P$1048576,$G36,NXT_COMPO!$O$2:$O$1048576)/$V36,"")</f>
        <v>28967889762.411346</v>
      </c>
      <c r="K36" s="74">
        <f>IF($A36&lt;&gt;"",NXT_COMPO!$B$6,"")</f>
        <v>41166</v>
      </c>
      <c r="L36" s="64"/>
      <c r="M36" s="64"/>
      <c r="P36" s="60">
        <f>IF($A36&lt;&gt;"",INDEX(IDX_SPECS!$J$2:$J$89,MATCH($B36,IDX_SPECS!$B$2:$B$89,0)),"")</f>
        <v>959.56134837987588</v>
      </c>
      <c r="Q36" s="8">
        <f>IF($A36&lt;&gt;"",SUMIF(NXT_COMPO!$P$2:$P$1048576,$G36,NXT_COMPO!$R$2:$R$1048576)/$V36,"")</f>
        <v>0</v>
      </c>
      <c r="V36" s="12">
        <f>IF(B36&lt;&gt;"",IF(D36=INDEX($D$2:$D$1048576,MATCH(G36,$B$2:$B$1048576,0)),1,IF(ISNA(INDEX(CUR_RATES!$D:$D,SUMPRODUCT(--(WORKDAY(K36,-1)=CUR_RATES!$E$1:$E$97),--($D36&amp;INDEX($D$2:$D$1048576,MATCH($G36,$B$2:$B$1048576,0))=CUR_RATES!$A$1:$A$97),ROW(CUR_RATES!$E$1:$E$97)))),"",INDEX(CUR_RATES!$D:$D,SUMPRODUCT(--(WORKDAY(K36,-1)=CUR_RATES!$E$1:$E$97),--(D36&amp;INDEX($D$2:$D$1048576,MATCH(G36,$B$2:$B$1048576,0))=CUR_RATES!$A$1:$A$97),ROW(CUR_RATES!$E$1:$E$97))))),"")</f>
        <v>282</v>
      </c>
    </row>
    <row r="37" spans="1:22" x14ac:dyDescent="0.2">
      <c r="A37" s="21">
        <f>IF(ROW($B37)-ROW($B$1)&lt;=COUNTIF(IDX_SPECS!$B$2:$B$89,"*")-COUNTIF(IDX_SPECS!$B$2:$B$89,""),ROW($B37)-ROW($B$1),"")</f>
        <v>36</v>
      </c>
      <c r="B37" t="str">
        <f>IF(ROW($B37)-ROW($B$1)&lt;=COUNTIF(IDX_SPECS!$B$2:$B$89,"*")-COUNTIF(IDX_SPECS!$B$2:$B$89,""),INDEX(IDX_SPECS!$B$2:$B$89,ROW($B37)-ROW($B$1)),"")</f>
        <v>VNXHNXPREUR</v>
      </c>
      <c r="D37" t="str">
        <f>IF($A37&lt;&gt;"",INDEX(IDX_SPECS!$D$2:$D$89,MATCH($B37,IDX_SPECS!$B$2:$B$89,0)),"")</f>
        <v>EUR</v>
      </c>
      <c r="F37" t="str">
        <f>IF($A37&lt;&gt;"",INDEX(IDX_SPECS!$F$2:$F$89,MATCH($B37,IDX_SPECS!$B$2:$B$89,0)),"")</f>
        <v>P</v>
      </c>
      <c r="G37" t="str">
        <f>IF($A37&lt;&gt;"",INDEX(IDX_SPECS!$G$2:$G$89,MATCH($B37,IDX_SPECS!$B$2:$B$89,0)),"")</f>
        <v>VNXHNXPRVND</v>
      </c>
      <c r="H37" s="70">
        <f>IF($A37&lt;&gt;"",IF(F37="P",$I37/INDEX(IDX_SPECS!$I$2:$I$89,MATCH($B37,IDX_SPECS!$B$2:$B$89,0))*INDEX(IDX_SPECS!$H$2:$H$89,MATCH($B37,IDX_SPECS!$B$2:$B$89,0)),IF(INDEX(IDX_SPECS!$Q$2:$Q$89,MATCH($B37,IDX_SPECS!$B$2:$B$89,0))=0,INDEX(IDX_SPECS!$H$2:$H$89,MATCH($B37,IDX_SPECS!$B$2:$B$89,0)),IF($Q37=0,INDEX(IDX_SPECS!$H$2:$H$89,MATCH($B37,IDX_SPECS!$B$2:$B$89,0)),$Q37/INDEX(IDX_SPECS!$Q$2:$Q$89,MATCH($B37,IDX_SPECS!$B$2:$B$89,0))*INDEX(IDX_SPECS!$H$2:$H$89,MATCH($B37,IDX_SPECS!$B$2:$B$89,0))))),"")</f>
        <v>275862068.96551722</v>
      </c>
      <c r="I37" s="8">
        <f>IF($A37&lt;&gt;"",SUMIF(NXT_COMPO!$P$2:$P$1048576,$G37,NXT_COMPO!$O$2:$O$1048576)/$V37,"")</f>
        <v>274027459.7224887</v>
      </c>
      <c r="K37" s="74">
        <f>IF($A37&lt;&gt;"",NXT_COMPO!$B$6,"")</f>
        <v>41166</v>
      </c>
      <c r="L37" s="64"/>
      <c r="M37" s="64"/>
      <c r="P37" s="60">
        <f>IF($A37&lt;&gt;"",INDEX(IDX_SPECS!$J$2:$J$89,MATCH($B37,IDX_SPECS!$B$2:$B$89,0)),"")</f>
        <v>993.34954149402165</v>
      </c>
      <c r="Q37" s="8">
        <f>IF($A37&lt;&gt;"",SUMIF(NXT_COMPO!$P$2:$P$1048576,$G37,NXT_COMPO!$R$2:$R$1048576)/$V37,"")</f>
        <v>0</v>
      </c>
      <c r="V37" s="12">
        <f>IF(B37&lt;&gt;"",IF(D37=INDEX($D$2:$D$1048576,MATCH(G37,$B$2:$B$1048576,0)),1,IF(ISNA(INDEX(CUR_RATES!$D:$D,SUMPRODUCT(--(WORKDAY(K37,-1)=CUR_RATES!$E$1:$E$97),--($D37&amp;INDEX($D$2:$D$1048576,MATCH($G37,$B$2:$B$1048576,0))=CUR_RATES!$A$1:$A$97),ROW(CUR_RATES!$E$1:$E$97)))),"",INDEX(CUR_RATES!$D:$D,SUMPRODUCT(--(WORKDAY(K37,-1)=CUR_RATES!$E$1:$E$97),--(D37&amp;INDEX($D$2:$D$1048576,MATCH(G37,$B$2:$B$1048576,0))=CUR_RATES!$A$1:$A$97),ROW(CUR_RATES!$E$1:$E$97))))),"")</f>
        <v>29810.68</v>
      </c>
    </row>
    <row r="38" spans="1:22" x14ac:dyDescent="0.2">
      <c r="A38" s="21">
        <f>IF(ROW($B38)-ROW($B$1)&lt;=COUNTIF(IDX_SPECS!$B$2:$B$89,"*")-COUNTIF(IDX_SPECS!$B$2:$B$89,""),ROW($B38)-ROW($B$1),"")</f>
        <v>37</v>
      </c>
      <c r="B38" t="str">
        <f>IF(ROW($B38)-ROW($B$1)&lt;=COUNTIF(IDX_SPECS!$B$2:$B$89,"*")-COUNTIF(IDX_SPECS!$B$2:$B$89,""),INDEX(IDX_SPECS!$B$2:$B$89,ROW($B38)-ROW($B$1)),"")</f>
        <v>VNXHNXTRVND</v>
      </c>
      <c r="D38" t="str">
        <f>IF($A38&lt;&gt;"",INDEX(IDX_SPECS!$D$2:$D$89,MATCH($B38,IDX_SPECS!$B$2:$B$89,0)),"")</f>
        <v>VND</v>
      </c>
      <c r="F38" t="str">
        <f>IF($A38&lt;&gt;"",INDEX(IDX_SPECS!$F$2:$F$89,MATCH($B38,IDX_SPECS!$B$2:$B$89,0)),"")</f>
        <v>R</v>
      </c>
      <c r="G38" t="str">
        <f>IF($A38&lt;&gt;"",INDEX(IDX_SPECS!$G$2:$G$89,MATCH($B38,IDX_SPECS!$B$2:$B$89,0)),"")</f>
        <v>VNXHNXPRVND</v>
      </c>
      <c r="H38" s="70">
        <f>IF($A38&lt;&gt;"",IF(F38="P",$I38/INDEX(IDX_SPECS!$I$2:$I$89,MATCH($B38,IDX_SPECS!$B$2:$B$89,0))*INDEX(IDX_SPECS!$H$2:$H$89,MATCH($B38,IDX_SPECS!$B$2:$B$89,0)),IF(INDEX(IDX_SPECS!$Q$2:$Q$89,MATCH($B38,IDX_SPECS!$B$2:$B$89,0))=0,INDEX(IDX_SPECS!$H$2:$H$89,MATCH($B38,IDX_SPECS!$B$2:$B$89,0)),IF($Q38=0,INDEX(IDX_SPECS!$H$2:$H$89,MATCH($B38,IDX_SPECS!$B$2:$B$89,0)),$Q38/INDEX(IDX_SPECS!$Q$2:$Q$89,MATCH($B38,IDX_SPECS!$B$2:$B$89,0))*INDEX(IDX_SPECS!$H$2:$H$89,MATCH($B38,IDX_SPECS!$B$2:$B$89,0))))),"")</f>
        <v>8000000000000</v>
      </c>
      <c r="I38" s="8">
        <f>IF($A38&lt;&gt;"",SUMIF(NXT_COMPO!$P$2:$P$1048576,$G38,NXT_COMPO!$O$2:$O$1048576)/$V38,"")</f>
        <v>8168944913000</v>
      </c>
      <c r="K38" s="74">
        <f>IF($A38&lt;&gt;"",NXT_COMPO!$B$6,"")</f>
        <v>41166</v>
      </c>
      <c r="L38" s="64"/>
      <c r="M38" s="64"/>
      <c r="P38" s="60">
        <f>IF($A38&lt;&gt;"",INDEX(IDX_SPECS!$J$2:$J$89,MATCH($B38,IDX_SPECS!$B$2:$B$89,0)),"")</f>
        <v>1118.0212727002502</v>
      </c>
      <c r="Q38" s="8">
        <f>IF($A38&lt;&gt;"",SUMIF(NXT_COMPO!$P$2:$P$1048576,$G38,NXT_COMPO!$R$2:$R$1048576)/$V38,"")</f>
        <v>0</v>
      </c>
      <c r="V38" s="12">
        <f>IF(B38&lt;&gt;"",IF(D38=INDEX($D$2:$D$1048576,MATCH(G38,$B$2:$B$1048576,0)),1,IF(ISNA(INDEX(CUR_RATES!$D:$D,SUMPRODUCT(--(WORKDAY(K38,-1)=CUR_RATES!$E$1:$E$97),--($D38&amp;INDEX($D$2:$D$1048576,MATCH($G38,$B$2:$B$1048576,0))=CUR_RATES!$A$1:$A$97),ROW(CUR_RATES!$E$1:$E$97)))),"",INDEX(CUR_RATES!$D:$D,SUMPRODUCT(--(WORKDAY(K38,-1)=CUR_RATES!$E$1:$E$97),--(D38&amp;INDEX($D$2:$D$1048576,MATCH(G38,$B$2:$B$1048576,0))=CUR_RATES!$A$1:$A$97),ROW(CUR_RATES!$E$1:$E$97))))),"")</f>
        <v>1</v>
      </c>
    </row>
    <row r="39" spans="1:22" x14ac:dyDescent="0.2">
      <c r="A39" s="21">
        <f>IF(ROW($B39)-ROW($B$1)&lt;=COUNTIF(IDX_SPECS!$B$2:$B$89,"*")-COUNTIF(IDX_SPECS!$B$2:$B$89,""),ROW($B39)-ROW($B$1),"")</f>
        <v>38</v>
      </c>
      <c r="B39" t="str">
        <f>IF(ROW($B39)-ROW($B$1)&lt;=COUNTIF(IDX_SPECS!$B$2:$B$89,"*")-COUNTIF(IDX_SPECS!$B$2:$B$89,""),INDEX(IDX_SPECS!$B$2:$B$89,ROW($B39)-ROW($B$1)),"")</f>
        <v>VNXHNXTRUSD</v>
      </c>
      <c r="D39" t="str">
        <f>IF($A39&lt;&gt;"",INDEX(IDX_SPECS!$D$2:$D$89,MATCH($B39,IDX_SPECS!$B$2:$B$89,0)),"")</f>
        <v>USD</v>
      </c>
      <c r="F39" t="str">
        <f>IF($A39&lt;&gt;"",INDEX(IDX_SPECS!$F$2:$F$89,MATCH($B39,IDX_SPECS!$B$2:$B$89,0)),"")</f>
        <v>R</v>
      </c>
      <c r="G39" t="str">
        <f>IF($A39&lt;&gt;"",INDEX(IDX_SPECS!$G$2:$G$89,MATCH($B39,IDX_SPECS!$B$2:$B$89,0)),"")</f>
        <v>VNXHNXPRVND</v>
      </c>
      <c r="H39" s="70">
        <f>IF($A39&lt;&gt;"",IF(F39="P",$I39/INDEX(IDX_SPECS!$I$2:$I$89,MATCH($B39,IDX_SPECS!$B$2:$B$89,0))*INDEX(IDX_SPECS!$H$2:$H$89,MATCH($B39,IDX_SPECS!$B$2:$B$89,0)),IF(INDEX(IDX_SPECS!$Q$2:$Q$89,MATCH($B39,IDX_SPECS!$B$2:$B$89,0))=0,INDEX(IDX_SPECS!$H$2:$H$89,MATCH($B39,IDX_SPECS!$B$2:$B$89,0)),IF($Q39=0,INDEX(IDX_SPECS!$H$2:$H$89,MATCH($B39,IDX_SPECS!$B$2:$B$89,0)),$Q39/INDEX(IDX_SPECS!$Q$2:$Q$89,MATCH($B39,IDX_SPECS!$B$2:$B$89,0))*INDEX(IDX_SPECS!$H$2:$H$89,MATCH($B39,IDX_SPECS!$B$2:$B$89,0))))),"")</f>
        <v>380952380952.38098</v>
      </c>
      <c r="I39" s="8">
        <f>IF($A39&lt;&gt;"",SUMIF(NXT_COMPO!$P$2:$P$1048576,$G39,NXT_COMPO!$O$2:$O$1048576)/$V39,"")</f>
        <v>373181585.79259938</v>
      </c>
      <c r="K39" s="74">
        <f>IF($A39&lt;&gt;"",NXT_COMPO!$B$6,"")</f>
        <v>41166</v>
      </c>
      <c r="L39" s="64"/>
      <c r="M39" s="64"/>
      <c r="P39" s="60">
        <f>IF($A39&lt;&gt;"",INDEX(IDX_SPECS!$J$2:$J$89,MATCH($B39,IDX_SPECS!$B$2:$B$89,0)),"")</f>
        <v>1010.0718405599533</v>
      </c>
      <c r="Q39" s="8">
        <f>IF($A39&lt;&gt;"",SUMIF(NXT_COMPO!$P$2:$P$1048576,$G39,NXT_COMPO!$R$2:$R$1048576)/$V39,"")</f>
        <v>0</v>
      </c>
      <c r="V39" s="12">
        <f>IF(B39&lt;&gt;"",IF(D39=INDEX($D$2:$D$1048576,MATCH(G39,$B$2:$B$1048576,0)),1,IF(ISNA(INDEX(CUR_RATES!$D:$D,SUMPRODUCT(--(WORKDAY(K39,-1)=CUR_RATES!$E$1:$E$97),--($D39&amp;INDEX($D$2:$D$1048576,MATCH($G39,$B$2:$B$1048576,0))=CUR_RATES!$A$1:$A$97),ROW(CUR_RATES!$E$1:$E$97)))),"",INDEX(CUR_RATES!$D:$D,SUMPRODUCT(--(WORKDAY(K39,-1)=CUR_RATES!$E$1:$E$97),--(D39&amp;INDEX($D$2:$D$1048576,MATCH(G39,$B$2:$B$1048576,0))=CUR_RATES!$A$1:$A$97),ROW(CUR_RATES!$E$1:$E$97))))),"")</f>
        <v>21890</v>
      </c>
    </row>
    <row r="40" spans="1:22" x14ac:dyDescent="0.2">
      <c r="A40" s="21">
        <f>IF(ROW($B40)-ROW($B$1)&lt;=COUNTIF(IDX_SPECS!$B$2:$B$89,"*")-COUNTIF(IDX_SPECS!$B$2:$B$89,""),ROW($B40)-ROW($B$1),"")</f>
        <v>39</v>
      </c>
      <c r="B40" t="str">
        <f>IF(ROW($B40)-ROW($B$1)&lt;=COUNTIF(IDX_SPECS!$B$2:$B$89,"*")-COUNTIF(IDX_SPECS!$B$2:$B$89,""),INDEX(IDX_SPECS!$B$2:$B$89,ROW($B40)-ROW($B$1)),"")</f>
        <v>VNXHNXTRJPY</v>
      </c>
      <c r="D40" t="str">
        <f>IF($A40&lt;&gt;"",INDEX(IDX_SPECS!$D$2:$D$89,MATCH($B40,IDX_SPECS!$B$2:$B$89,0)),"")</f>
        <v>JPY</v>
      </c>
      <c r="F40" t="str">
        <f>IF($A40&lt;&gt;"",INDEX(IDX_SPECS!$F$2:$F$89,MATCH($B40,IDX_SPECS!$B$2:$B$89,0)),"")</f>
        <v>R</v>
      </c>
      <c r="G40" t="str">
        <f>IF($A40&lt;&gt;"",INDEX(IDX_SPECS!$G$2:$G$89,MATCH($B40,IDX_SPECS!$B$2:$B$89,0)),"")</f>
        <v>VNXHNXPRVND</v>
      </c>
      <c r="H40" s="70">
        <f>IF($A40&lt;&gt;"",IF(F40="P",$I40/INDEX(IDX_SPECS!$I$2:$I$89,MATCH($B40,IDX_SPECS!$B$2:$B$89,0))*INDEX(IDX_SPECS!$H$2:$H$89,MATCH($B40,IDX_SPECS!$B$2:$B$89,0)),IF(INDEX(IDX_SPECS!$Q$2:$Q$89,MATCH($B40,IDX_SPECS!$B$2:$B$89,0))=0,INDEX(IDX_SPECS!$H$2:$H$89,MATCH($B40,IDX_SPECS!$B$2:$B$89,0)),IF($Q40=0,INDEX(IDX_SPECS!$H$2:$H$89,MATCH($B40,IDX_SPECS!$B$2:$B$89,0)),$Q40/INDEX(IDX_SPECS!$Q$2:$Q$89,MATCH($B40,IDX_SPECS!$B$2:$B$89,0))*INDEX(IDX_SPECS!$H$2:$H$89,MATCH($B40,IDX_SPECS!$B$2:$B$89,0))))),"")</f>
        <v>30188679245.28302</v>
      </c>
      <c r="I40" s="8">
        <f>IF($A40&lt;&gt;"",SUMIF(NXT_COMPO!$P$2:$P$1048576,$G40,NXT_COMPO!$O$2:$O$1048576)/$V40,"")</f>
        <v>28967889762.411346</v>
      </c>
      <c r="K40" s="74">
        <f>IF($A40&lt;&gt;"",NXT_COMPO!$B$6,"")</f>
        <v>41166</v>
      </c>
      <c r="L40" s="64"/>
      <c r="M40" s="64"/>
      <c r="P40" s="60">
        <f>IF($A40&lt;&gt;"",INDEX(IDX_SPECS!$J$2:$J$89,MATCH($B40,IDX_SPECS!$B$2:$B$89,0)),"")</f>
        <v>1058.8598561126505</v>
      </c>
      <c r="Q40" s="8">
        <f>IF($A40&lt;&gt;"",SUMIF(NXT_COMPO!$P$2:$P$1048576,$G40,NXT_COMPO!$R$2:$R$1048576)/$V40,"")</f>
        <v>0</v>
      </c>
      <c r="V40" s="12">
        <f>IF(B40&lt;&gt;"",IF(D40=INDEX($D$2:$D$1048576,MATCH(G40,$B$2:$B$1048576,0)),1,IF(ISNA(INDEX(CUR_RATES!$D:$D,SUMPRODUCT(--(WORKDAY(K40,-1)=CUR_RATES!$E$1:$E$97),--($D40&amp;INDEX($D$2:$D$1048576,MATCH($G40,$B$2:$B$1048576,0))=CUR_RATES!$A$1:$A$97),ROW(CUR_RATES!$E$1:$E$97)))),"",INDEX(CUR_RATES!$D:$D,SUMPRODUCT(--(WORKDAY(K40,-1)=CUR_RATES!$E$1:$E$97),--(D40&amp;INDEX($D$2:$D$1048576,MATCH(G40,$B$2:$B$1048576,0))=CUR_RATES!$A$1:$A$97),ROW(CUR_RATES!$E$1:$E$97))))),"")</f>
        <v>282</v>
      </c>
    </row>
    <row r="41" spans="1:22" x14ac:dyDescent="0.2">
      <c r="A41" s="21">
        <f>IF(ROW($B41)-ROW($B$1)&lt;=COUNTIF(IDX_SPECS!$B$2:$B$89,"*")-COUNTIF(IDX_SPECS!$B$2:$B$89,""),ROW($B41)-ROW($B$1),"")</f>
        <v>40</v>
      </c>
      <c r="B41" t="str">
        <f>IF(ROW($B41)-ROW($B$1)&lt;=COUNTIF(IDX_SPECS!$B$2:$B$89,"*")-COUNTIF(IDX_SPECS!$B$2:$B$89,""),INDEX(IDX_SPECS!$B$2:$B$89,ROW($B41)-ROW($B$1)),"")</f>
        <v>VNXHNXTREUR</v>
      </c>
      <c r="D41" t="str">
        <f>IF($A41&lt;&gt;"",INDEX(IDX_SPECS!$D$2:$D$89,MATCH($B41,IDX_SPECS!$B$2:$B$89,0)),"")</f>
        <v>EUR</v>
      </c>
      <c r="F41" t="str">
        <f>IF($A41&lt;&gt;"",INDEX(IDX_SPECS!$F$2:$F$89,MATCH($B41,IDX_SPECS!$B$2:$B$89,0)),"")</f>
        <v>R</v>
      </c>
      <c r="G41" t="str">
        <f>IF($A41&lt;&gt;"",INDEX(IDX_SPECS!$G$2:$G$89,MATCH($B41,IDX_SPECS!$B$2:$B$89,0)),"")</f>
        <v>VNXHNXPRVND</v>
      </c>
      <c r="H41" s="70">
        <f>IF($A41&lt;&gt;"",IF(F41="P",$I41/INDEX(IDX_SPECS!$I$2:$I$89,MATCH($B41,IDX_SPECS!$B$2:$B$89,0))*INDEX(IDX_SPECS!$H$2:$H$89,MATCH($B41,IDX_SPECS!$B$2:$B$89,0)),IF(INDEX(IDX_SPECS!$Q$2:$Q$89,MATCH($B41,IDX_SPECS!$B$2:$B$89,0))=0,INDEX(IDX_SPECS!$H$2:$H$89,MATCH($B41,IDX_SPECS!$B$2:$B$89,0)),IF($Q41=0,INDEX(IDX_SPECS!$H$2:$H$89,MATCH($B41,IDX_SPECS!$B$2:$B$89,0)),$Q41/INDEX(IDX_SPECS!$Q$2:$Q$89,MATCH($B41,IDX_SPECS!$B$2:$B$89,0))*INDEX(IDX_SPECS!$H$2:$H$89,MATCH($B41,IDX_SPECS!$B$2:$B$89,0))))),"")</f>
        <v>275862068965.51721</v>
      </c>
      <c r="I41" s="8">
        <f>IF($A41&lt;&gt;"",SUMIF(NXT_COMPO!$P$2:$P$1048576,$G41,NXT_COMPO!$O$2:$O$1048576)/$V41,"")</f>
        <v>274027459.7224887</v>
      </c>
      <c r="K41" s="74">
        <f>IF($A41&lt;&gt;"",NXT_COMPO!$B$6,"")</f>
        <v>41166</v>
      </c>
      <c r="L41" s="64"/>
      <c r="M41" s="64"/>
      <c r="P41" s="60">
        <f>IF($A41&lt;&gt;"",INDEX(IDX_SPECS!$J$2:$J$89,MATCH($B41,IDX_SPECS!$B$2:$B$89,0)),"")</f>
        <v>1149.8696347562116</v>
      </c>
      <c r="Q41" s="8">
        <f>IF($A41&lt;&gt;"",SUMIF(NXT_COMPO!$P$2:$P$1048576,$G41,NXT_COMPO!$R$2:$R$1048576)/$V41,"")</f>
        <v>0</v>
      </c>
      <c r="V41" s="12">
        <f>IF(B41&lt;&gt;"",IF(D41=INDEX($D$2:$D$1048576,MATCH(G41,$B$2:$B$1048576,0)),1,IF(ISNA(INDEX(CUR_RATES!$D:$D,SUMPRODUCT(--(WORKDAY(K41,-1)=CUR_RATES!$E$1:$E$97),--($D41&amp;INDEX($D$2:$D$1048576,MATCH($G41,$B$2:$B$1048576,0))=CUR_RATES!$A$1:$A$97),ROW(CUR_RATES!$E$1:$E$97)))),"",INDEX(CUR_RATES!$D:$D,SUMPRODUCT(--(WORKDAY(K41,-1)=CUR_RATES!$E$1:$E$97),--(D41&amp;INDEX($D$2:$D$1048576,MATCH(G41,$B$2:$B$1048576,0))=CUR_RATES!$A$1:$A$97),ROW(CUR_RATES!$E$1:$E$97))))),"")</f>
        <v>29810.68</v>
      </c>
    </row>
    <row r="42" spans="1:22" x14ac:dyDescent="0.2">
      <c r="A42" s="21">
        <f>IF(ROW($B42)-ROW($B$1)&lt;=COUNTIF(IDX_SPECS!$B$2:$B$89,"*")-COUNTIF(IDX_SPECS!$B$2:$B$89,""),ROW($B42)-ROW($B$1),"")</f>
        <v>41</v>
      </c>
      <c r="B42" t="str">
        <f>IF(ROW($B42)-ROW($B$1)&lt;=COUNTIF(IDX_SPECS!$B$2:$B$89,"*")-COUNTIF(IDX_SPECS!$B$2:$B$89,""),INDEX(IDX_SPECS!$B$2:$B$89,ROW($B42)-ROW($B$1)),"")</f>
        <v>VNXBMPRVND</v>
      </c>
      <c r="D42" t="str">
        <f>IF($A42&lt;&gt;"",INDEX(IDX_SPECS!$D$2:$D$89,MATCH($B42,IDX_SPECS!$B$2:$B$89,0)),"")</f>
        <v>VND</v>
      </c>
      <c r="F42" t="str">
        <f>IF($A42&lt;&gt;"",INDEX(IDX_SPECS!$F$2:$F$89,MATCH($B42,IDX_SPECS!$B$2:$B$89,0)),"")</f>
        <v>P</v>
      </c>
      <c r="G42" t="str">
        <f>IF($A42&lt;&gt;"",INDEX(IDX_SPECS!$G$2:$G$89,MATCH($B42,IDX_SPECS!$B$2:$B$89,0)),"")</f>
        <v>VNXBMPRVND</v>
      </c>
      <c r="H42" s="70">
        <f>IF($A42&lt;&gt;"",IF(F42="P",$I42/INDEX(IDX_SPECS!$I$2:$I$89,MATCH($B42,IDX_SPECS!$B$2:$B$89,0))*INDEX(IDX_SPECS!$H$2:$H$89,MATCH($B42,IDX_SPECS!$B$2:$B$89,0)),IF(INDEX(IDX_SPECS!$Q$2:$Q$89,MATCH($B42,IDX_SPECS!$B$2:$B$89,0))=0,INDEX(IDX_SPECS!$H$2:$H$89,MATCH($B42,IDX_SPECS!$B$2:$B$89,0)),IF($Q42=0,INDEX(IDX_SPECS!$H$2:$H$89,MATCH($B42,IDX_SPECS!$B$2:$B$89,0)),$Q42/INDEX(IDX_SPECS!$Q$2:$Q$89,MATCH($B42,IDX_SPECS!$B$2:$B$89,0))*INDEX(IDX_SPECS!$H$2:$H$89,MATCH($B42,IDX_SPECS!$B$2:$B$89,0))))),"")</f>
        <v>10000000000000</v>
      </c>
      <c r="I42" s="8">
        <f>IF($A42&lt;&gt;"",SUMIF(NXT_COMPO!$P$2:$P$1048576,$G42,NXT_COMPO!$O$2:$O$1048576)/$V42,"")</f>
        <v>14803791408000</v>
      </c>
      <c r="K42" s="74">
        <f>IF($A42&lt;&gt;"",NXT_COMPO!$B$6,"")</f>
        <v>41166</v>
      </c>
      <c r="L42" s="64"/>
      <c r="M42" s="64"/>
      <c r="P42" s="60">
        <f>IF($A42&lt;&gt;"",INDEX(IDX_SPECS!$J$2:$J$89,MATCH($B42,IDX_SPECS!$B$2:$B$89,0)),"")</f>
        <v>1480.3791408</v>
      </c>
      <c r="Q42" s="8">
        <f>IF($A42&lt;&gt;"",SUMIF(NXT_COMPO!$P$2:$P$1048576,$G42,NXT_COMPO!$R$2:$R$1048576)/$V42,"")</f>
        <v>0</v>
      </c>
      <c r="V42" s="12">
        <f>IF(B42&lt;&gt;"",IF(D42=INDEX($D$2:$D$1048576,MATCH(G42,$B$2:$B$1048576,0)),1,IF(ISNA(INDEX(CUR_RATES!$D:$D,SUMPRODUCT(--(WORKDAY(K42,-1)=CUR_RATES!$E$1:$E$97),--($D42&amp;INDEX($D$2:$D$1048576,MATCH($G42,$B$2:$B$1048576,0))=CUR_RATES!$A$1:$A$97),ROW(CUR_RATES!$E$1:$E$97)))),"",INDEX(CUR_RATES!$D:$D,SUMPRODUCT(--(WORKDAY(K42,-1)=CUR_RATES!$E$1:$E$97),--(D42&amp;INDEX($D$2:$D$1048576,MATCH(G42,$B$2:$B$1048576,0))=CUR_RATES!$A$1:$A$97),ROW(CUR_RATES!$E$1:$E$97))))),"")</f>
        <v>1</v>
      </c>
    </row>
    <row r="43" spans="1:22" x14ac:dyDescent="0.2">
      <c r="A43" s="21">
        <f>IF(ROW($B43)-ROW($B$1)&lt;=COUNTIF(IDX_SPECS!$B$2:$B$89,"*")-COUNTIF(IDX_SPECS!$B$2:$B$89,""),ROW($B43)-ROW($B$1),"")</f>
        <v>42</v>
      </c>
      <c r="B43" t="str">
        <f>IF(ROW($B43)-ROW($B$1)&lt;=COUNTIF(IDX_SPECS!$B$2:$B$89,"*")-COUNTIF(IDX_SPECS!$B$2:$B$89,""),INDEX(IDX_SPECS!$B$2:$B$89,ROW($B43)-ROW($B$1)),"")</f>
        <v>VNXBMPRUSD</v>
      </c>
      <c r="D43" t="str">
        <f>IF($A43&lt;&gt;"",INDEX(IDX_SPECS!$D$2:$D$89,MATCH($B43,IDX_SPECS!$B$2:$B$89,0)),"")</f>
        <v>USD</v>
      </c>
      <c r="F43" t="str">
        <f>IF($A43&lt;&gt;"",INDEX(IDX_SPECS!$F$2:$F$89,MATCH($B43,IDX_SPECS!$B$2:$B$89,0)),"")</f>
        <v>P</v>
      </c>
      <c r="G43" t="str">
        <f>IF($A43&lt;&gt;"",INDEX(IDX_SPECS!$G$2:$G$89,MATCH($B43,IDX_SPECS!$B$2:$B$89,0)),"")</f>
        <v>VNXBMPRVND</v>
      </c>
      <c r="H43" s="70">
        <f>IF($A43&lt;&gt;"",IF(F43="P",$I43/INDEX(IDX_SPECS!$I$2:$I$89,MATCH($B43,IDX_SPECS!$B$2:$B$89,0))*INDEX(IDX_SPECS!$H$2:$H$89,MATCH($B43,IDX_SPECS!$B$2:$B$89,0)),IF(INDEX(IDX_SPECS!$Q$2:$Q$89,MATCH($B43,IDX_SPECS!$B$2:$B$89,0))=0,INDEX(IDX_SPECS!$H$2:$H$89,MATCH($B43,IDX_SPECS!$B$2:$B$89,0)),IF($Q43=0,INDEX(IDX_SPECS!$H$2:$H$89,MATCH($B43,IDX_SPECS!$B$2:$B$89,0)),$Q43/INDEX(IDX_SPECS!$Q$2:$Q$89,MATCH($B43,IDX_SPECS!$B$2:$B$89,0))*INDEX(IDX_SPECS!$H$2:$H$89,MATCH($B43,IDX_SPECS!$B$2:$B$89,0))))),"")</f>
        <v>476190476.19047618</v>
      </c>
      <c r="I43" s="8">
        <f>IF($A43&lt;&gt;"",SUMIF(NXT_COMPO!$P$2:$P$1048576,$G43,NXT_COMPO!$O$2:$O$1048576)/$V43,"")</f>
        <v>676281014.52718139</v>
      </c>
      <c r="K43" s="74">
        <f>IF($A43&lt;&gt;"",NXT_COMPO!$B$6,"")</f>
        <v>41166</v>
      </c>
      <c r="L43" s="64"/>
      <c r="M43" s="64"/>
      <c r="P43" s="60">
        <f>IF($A43&lt;&gt;"",INDEX(IDX_SPECS!$J$2:$J$89,MATCH($B43,IDX_SPECS!$B$2:$B$89,0)),"")</f>
        <v>1420.190130507081</v>
      </c>
      <c r="Q43" s="8">
        <f>IF($A43&lt;&gt;"",SUMIF(NXT_COMPO!$P$2:$P$1048576,$G43,NXT_COMPO!$R$2:$R$1048576)/$V43,"")</f>
        <v>0</v>
      </c>
      <c r="V43" s="12">
        <f>IF(B43&lt;&gt;"",IF(D43=INDEX($D$2:$D$1048576,MATCH(G43,$B$2:$B$1048576,0)),1,IF(ISNA(INDEX(CUR_RATES!$D:$D,SUMPRODUCT(--(WORKDAY(K43,-1)=CUR_RATES!$E$1:$E$97),--($D43&amp;INDEX($D$2:$D$1048576,MATCH($G43,$B$2:$B$1048576,0))=CUR_RATES!$A$1:$A$97),ROW(CUR_RATES!$E$1:$E$97)))),"",INDEX(CUR_RATES!$D:$D,SUMPRODUCT(--(WORKDAY(K43,-1)=CUR_RATES!$E$1:$E$97),--(D43&amp;INDEX($D$2:$D$1048576,MATCH(G43,$B$2:$B$1048576,0))=CUR_RATES!$A$1:$A$97),ROW(CUR_RATES!$E$1:$E$97))))),"")</f>
        <v>21890</v>
      </c>
    </row>
    <row r="44" spans="1:22" x14ac:dyDescent="0.2">
      <c r="A44" s="21">
        <f>IF(ROW($B44)-ROW($B$1)&lt;=COUNTIF(IDX_SPECS!$B$2:$B$89,"*")-COUNTIF(IDX_SPECS!$B$2:$B$89,""),ROW($B44)-ROW($B$1),"")</f>
        <v>43</v>
      </c>
      <c r="B44" t="str">
        <f>IF(ROW($B44)-ROW($B$1)&lt;=COUNTIF(IDX_SPECS!$B$2:$B$89,"*")-COUNTIF(IDX_SPECS!$B$2:$B$89,""),INDEX(IDX_SPECS!$B$2:$B$89,ROW($B44)-ROW($B$1)),"")</f>
        <v>VNXBMPRJPY</v>
      </c>
      <c r="D44" t="str">
        <f>IF($A44&lt;&gt;"",INDEX(IDX_SPECS!$D$2:$D$89,MATCH($B44,IDX_SPECS!$B$2:$B$89,0)),"")</f>
        <v>JPY</v>
      </c>
      <c r="F44" t="str">
        <f>IF($A44&lt;&gt;"",INDEX(IDX_SPECS!$F$2:$F$89,MATCH($B44,IDX_SPECS!$B$2:$B$89,0)),"")</f>
        <v>P</v>
      </c>
      <c r="G44" t="str">
        <f>IF($A44&lt;&gt;"",INDEX(IDX_SPECS!$G$2:$G$89,MATCH($B44,IDX_SPECS!$B$2:$B$89,0)),"")</f>
        <v>VNXBMPRVND</v>
      </c>
      <c r="H44" s="70">
        <f>IF($A44&lt;&gt;"",IF(F44="P",$I44/INDEX(IDX_SPECS!$I$2:$I$89,MATCH($B44,IDX_SPECS!$B$2:$B$89,0))*INDEX(IDX_SPECS!$H$2:$H$89,MATCH($B44,IDX_SPECS!$B$2:$B$89,0)),IF(INDEX(IDX_SPECS!$Q$2:$Q$89,MATCH($B44,IDX_SPECS!$B$2:$B$89,0))=0,INDEX(IDX_SPECS!$H$2:$H$89,MATCH($B44,IDX_SPECS!$B$2:$B$89,0)),IF($Q44=0,INDEX(IDX_SPECS!$H$2:$H$89,MATCH($B44,IDX_SPECS!$B$2:$B$89,0)),$Q44/INDEX(IDX_SPECS!$Q$2:$Q$89,MATCH($B44,IDX_SPECS!$B$2:$B$89,0))*INDEX(IDX_SPECS!$H$2:$H$89,MATCH($B44,IDX_SPECS!$B$2:$B$89,0))))),"")</f>
        <v>37735849056.603775</v>
      </c>
      <c r="I44" s="8">
        <f>IF($A44&lt;&gt;"",SUMIF(NXT_COMPO!$P$2:$P$1048576,$G44,NXT_COMPO!$O$2:$O$1048576)/$V44,"")</f>
        <v>52495714212.765961</v>
      </c>
      <c r="K44" s="74">
        <f>IF($A44&lt;&gt;"",NXT_COMPO!$B$6,"")</f>
        <v>41166</v>
      </c>
      <c r="L44" s="64"/>
      <c r="M44" s="64"/>
      <c r="P44" s="60">
        <f>IF($A44&lt;&gt;"",INDEX(IDX_SPECS!$J$2:$J$89,MATCH($B44,IDX_SPECS!$B$2:$B$89,0)),"")</f>
        <v>1391.136426638298</v>
      </c>
      <c r="Q44" s="8">
        <f>IF($A44&lt;&gt;"",SUMIF(NXT_COMPO!$P$2:$P$1048576,$G44,NXT_COMPO!$R$2:$R$1048576)/$V44,"")</f>
        <v>0</v>
      </c>
      <c r="V44" s="12">
        <f>IF(B44&lt;&gt;"",IF(D44=INDEX($D$2:$D$1048576,MATCH(G44,$B$2:$B$1048576,0)),1,IF(ISNA(INDEX(CUR_RATES!$D:$D,SUMPRODUCT(--(WORKDAY(K44,-1)=CUR_RATES!$E$1:$E$97),--($D44&amp;INDEX($D$2:$D$1048576,MATCH($G44,$B$2:$B$1048576,0))=CUR_RATES!$A$1:$A$97),ROW(CUR_RATES!$E$1:$E$97)))),"",INDEX(CUR_RATES!$D:$D,SUMPRODUCT(--(WORKDAY(K44,-1)=CUR_RATES!$E$1:$E$97),--(D44&amp;INDEX($D$2:$D$1048576,MATCH(G44,$B$2:$B$1048576,0))=CUR_RATES!$A$1:$A$97),ROW(CUR_RATES!$E$1:$E$97))))),"")</f>
        <v>282</v>
      </c>
    </row>
    <row r="45" spans="1:22" x14ac:dyDescent="0.2">
      <c r="A45" s="21">
        <f>IF(ROW($B45)-ROW($B$1)&lt;=COUNTIF(IDX_SPECS!$B$2:$B$89,"*")-COUNTIF(IDX_SPECS!$B$2:$B$89,""),ROW($B45)-ROW($B$1),"")</f>
        <v>44</v>
      </c>
      <c r="B45" t="str">
        <f>IF(ROW($B45)-ROW($B$1)&lt;=COUNTIF(IDX_SPECS!$B$2:$B$89,"*")-COUNTIF(IDX_SPECS!$B$2:$B$89,""),INDEX(IDX_SPECS!$B$2:$B$89,ROW($B45)-ROW($B$1)),"")</f>
        <v>VNXBMPREUR</v>
      </c>
      <c r="D45" t="str">
        <f>IF($A45&lt;&gt;"",INDEX(IDX_SPECS!$D$2:$D$89,MATCH($B45,IDX_SPECS!$B$2:$B$89,0)),"")</f>
        <v>EUR</v>
      </c>
      <c r="F45" t="str">
        <f>IF($A45&lt;&gt;"",INDEX(IDX_SPECS!$F$2:$F$89,MATCH($B45,IDX_SPECS!$B$2:$B$89,0)),"")</f>
        <v>P</v>
      </c>
      <c r="G45" t="str">
        <f>IF($A45&lt;&gt;"",INDEX(IDX_SPECS!$G$2:$G$89,MATCH($B45,IDX_SPECS!$B$2:$B$89,0)),"")</f>
        <v>VNXBMPRVND</v>
      </c>
      <c r="H45" s="70">
        <f>IF($A45&lt;&gt;"",IF(F45="P",$I45/INDEX(IDX_SPECS!$I$2:$I$89,MATCH($B45,IDX_SPECS!$B$2:$B$89,0))*INDEX(IDX_SPECS!$H$2:$H$89,MATCH($B45,IDX_SPECS!$B$2:$B$89,0)),IF(INDEX(IDX_SPECS!$Q$2:$Q$89,MATCH($B45,IDX_SPECS!$B$2:$B$89,0))=0,INDEX(IDX_SPECS!$H$2:$H$89,MATCH($B45,IDX_SPECS!$B$2:$B$89,0)),IF($Q45=0,INDEX(IDX_SPECS!$H$2:$H$89,MATCH($B45,IDX_SPECS!$B$2:$B$89,0)),$Q45/INDEX(IDX_SPECS!$Q$2:$Q$89,MATCH($B45,IDX_SPECS!$B$2:$B$89,0))*INDEX(IDX_SPECS!$H$2:$H$89,MATCH($B45,IDX_SPECS!$B$2:$B$89,0))))),"")</f>
        <v>344827586.20689654</v>
      </c>
      <c r="I45" s="8">
        <f>IF($A45&lt;&gt;"",SUMIF(NXT_COMPO!$P$2:$P$1048576,$G45,NXT_COMPO!$O$2:$O$1048576)/$V45,"")</f>
        <v>496593549.96263081</v>
      </c>
      <c r="K45" s="74">
        <f>IF($A45&lt;&gt;"",NXT_COMPO!$B$6,"")</f>
        <v>41166</v>
      </c>
      <c r="L45" s="64"/>
      <c r="M45" s="64"/>
      <c r="P45" s="60">
        <f>IF($A45&lt;&gt;"",INDEX(IDX_SPECS!$J$2:$J$89,MATCH($B45,IDX_SPECS!$B$2:$B$89,0)),"")</f>
        <v>1440.1212948916293</v>
      </c>
      <c r="Q45" s="8">
        <f>IF($A45&lt;&gt;"",SUMIF(NXT_COMPO!$P$2:$P$1048576,$G45,NXT_COMPO!$R$2:$R$1048576)/$V45,"")</f>
        <v>0</v>
      </c>
      <c r="V45" s="12">
        <f>IF(B45&lt;&gt;"",IF(D45=INDEX($D$2:$D$1048576,MATCH(G45,$B$2:$B$1048576,0)),1,IF(ISNA(INDEX(CUR_RATES!$D:$D,SUMPRODUCT(--(WORKDAY(K45,-1)=CUR_RATES!$E$1:$E$97),--($D45&amp;INDEX($D$2:$D$1048576,MATCH($G45,$B$2:$B$1048576,0))=CUR_RATES!$A$1:$A$97),ROW(CUR_RATES!$E$1:$E$97)))),"",INDEX(CUR_RATES!$D:$D,SUMPRODUCT(--(WORKDAY(K45,-1)=CUR_RATES!$E$1:$E$97),--(D45&amp;INDEX($D$2:$D$1048576,MATCH(G45,$B$2:$B$1048576,0))=CUR_RATES!$A$1:$A$97),ROW(CUR_RATES!$E$1:$E$97))))),"")</f>
        <v>29810.68</v>
      </c>
    </row>
    <row r="46" spans="1:22" x14ac:dyDescent="0.2">
      <c r="A46" s="21">
        <f>IF(ROW($B46)-ROW($B$1)&lt;=COUNTIF(IDX_SPECS!$B$2:$B$89,"*")-COUNTIF(IDX_SPECS!$B$2:$B$89,""),ROW($B46)-ROW($B$1),"")</f>
        <v>45</v>
      </c>
      <c r="B46" t="str">
        <f>IF(ROW($B46)-ROW($B$1)&lt;=COUNTIF(IDX_SPECS!$B$2:$B$89,"*")-COUNTIF(IDX_SPECS!$B$2:$B$89,""),INDEX(IDX_SPECS!$B$2:$B$89,ROW($B46)-ROW($B$1)),"")</f>
        <v>VNXCSPRVND</v>
      </c>
      <c r="D46" t="str">
        <f>IF($A46&lt;&gt;"",INDEX(IDX_SPECS!$D$2:$D$89,MATCH($B46,IDX_SPECS!$B$2:$B$89,0)),"")</f>
        <v>VND</v>
      </c>
      <c r="F46" t="str">
        <f>IF($A46&lt;&gt;"",INDEX(IDX_SPECS!$F$2:$F$89,MATCH($B46,IDX_SPECS!$B$2:$B$89,0)),"")</f>
        <v>P</v>
      </c>
      <c r="G46" t="str">
        <f>IF($A46&lt;&gt;"",INDEX(IDX_SPECS!$G$2:$G$89,MATCH($B46,IDX_SPECS!$B$2:$B$89,0)),"")</f>
        <v>VNXCSPRVND</v>
      </c>
      <c r="H46" s="70">
        <f>IF($A46&lt;&gt;"",IF(F46="P",$I46/INDEX(IDX_SPECS!$I$2:$I$89,MATCH($B46,IDX_SPECS!$B$2:$B$89,0))*INDEX(IDX_SPECS!$H$2:$H$89,MATCH($B46,IDX_SPECS!$B$2:$B$89,0)),IF(INDEX(IDX_SPECS!$Q$2:$Q$89,MATCH($B46,IDX_SPECS!$B$2:$B$89,0))=0,INDEX(IDX_SPECS!$H$2:$H$89,MATCH($B46,IDX_SPECS!$B$2:$B$89,0)),IF($Q46=0,INDEX(IDX_SPECS!$H$2:$H$89,MATCH($B46,IDX_SPECS!$B$2:$B$89,0)),$Q46/INDEX(IDX_SPECS!$Q$2:$Q$89,MATCH($B46,IDX_SPECS!$B$2:$B$89,0))*INDEX(IDX_SPECS!$H$2:$H$89,MATCH($B46,IDX_SPECS!$B$2:$B$89,0))))),"")</f>
        <v>10000000000000</v>
      </c>
      <c r="I46" s="8">
        <f>IF($A46&lt;&gt;"",SUMIF(NXT_COMPO!$P$2:$P$1048576,$G46,NXT_COMPO!$O$2:$O$1048576)/$V46,"")</f>
        <v>788158560000</v>
      </c>
      <c r="K46" s="74">
        <f>IF($A46&lt;&gt;"",NXT_COMPO!$B$6,"")</f>
        <v>41166</v>
      </c>
      <c r="L46" s="64"/>
      <c r="M46" s="64"/>
      <c r="P46" s="60">
        <f>IF($A46&lt;&gt;"",INDEX(IDX_SPECS!$J$2:$J$89,MATCH($B46,IDX_SPECS!$B$2:$B$89,0)),"")</f>
        <v>78.815855999999997</v>
      </c>
      <c r="Q46" s="8">
        <f>IF($A46&lt;&gt;"",SUMIF(NXT_COMPO!$P$2:$P$1048576,$G46,NXT_COMPO!$R$2:$R$1048576)/$V46,"")</f>
        <v>0</v>
      </c>
      <c r="V46" s="12">
        <f>IF(B46&lt;&gt;"",IF(D46=INDEX($D$2:$D$1048576,MATCH(G46,$B$2:$B$1048576,0)),1,IF(ISNA(INDEX(CUR_RATES!$D:$D,SUMPRODUCT(--(WORKDAY(K46,-1)=CUR_RATES!$E$1:$E$97),--($D46&amp;INDEX($D$2:$D$1048576,MATCH($G46,$B$2:$B$1048576,0))=CUR_RATES!$A$1:$A$97),ROW(CUR_RATES!$E$1:$E$97)))),"",INDEX(CUR_RATES!$D:$D,SUMPRODUCT(--(WORKDAY(K46,-1)=CUR_RATES!$E$1:$E$97),--(D46&amp;INDEX($D$2:$D$1048576,MATCH(G46,$B$2:$B$1048576,0))=CUR_RATES!$A$1:$A$97),ROW(CUR_RATES!$E$1:$E$97))))),"")</f>
        <v>1</v>
      </c>
    </row>
    <row r="47" spans="1:22" x14ac:dyDescent="0.2">
      <c r="A47" s="21">
        <f>IF(ROW($B47)-ROW($B$1)&lt;=COUNTIF(IDX_SPECS!$B$2:$B$89,"*")-COUNTIF(IDX_SPECS!$B$2:$B$89,""),ROW($B47)-ROW($B$1),"")</f>
        <v>46</v>
      </c>
      <c r="B47" t="str">
        <f>IF(ROW($B47)-ROW($B$1)&lt;=COUNTIF(IDX_SPECS!$B$2:$B$89,"*")-COUNTIF(IDX_SPECS!$B$2:$B$89,""),INDEX(IDX_SPECS!$B$2:$B$89,ROW($B47)-ROW($B$1)),"")</f>
        <v>VNXCSPRUSD</v>
      </c>
      <c r="D47" t="str">
        <f>IF($A47&lt;&gt;"",INDEX(IDX_SPECS!$D$2:$D$89,MATCH($B47,IDX_SPECS!$B$2:$B$89,0)),"")</f>
        <v>USD</v>
      </c>
      <c r="F47" t="str">
        <f>IF($A47&lt;&gt;"",INDEX(IDX_SPECS!$F$2:$F$89,MATCH($B47,IDX_SPECS!$B$2:$B$89,0)),"")</f>
        <v>P</v>
      </c>
      <c r="G47" t="str">
        <f>IF($A47&lt;&gt;"",INDEX(IDX_SPECS!$G$2:$G$89,MATCH($B47,IDX_SPECS!$B$2:$B$89,0)),"")</f>
        <v>VNXCSPRVND</v>
      </c>
      <c r="H47" s="70">
        <f>IF($A47&lt;&gt;"",IF(F47="P",$I47/INDEX(IDX_SPECS!$I$2:$I$89,MATCH($B47,IDX_SPECS!$B$2:$B$89,0))*INDEX(IDX_SPECS!$H$2:$H$89,MATCH($B47,IDX_SPECS!$B$2:$B$89,0)),IF(INDEX(IDX_SPECS!$Q$2:$Q$89,MATCH($B47,IDX_SPECS!$B$2:$B$89,0))=0,INDEX(IDX_SPECS!$H$2:$H$89,MATCH($B47,IDX_SPECS!$B$2:$B$89,0)),IF($Q47=0,INDEX(IDX_SPECS!$H$2:$H$89,MATCH($B47,IDX_SPECS!$B$2:$B$89,0)),$Q47/INDEX(IDX_SPECS!$Q$2:$Q$89,MATCH($B47,IDX_SPECS!$B$2:$B$89,0))*INDEX(IDX_SPECS!$H$2:$H$89,MATCH($B47,IDX_SPECS!$B$2:$B$89,0))))),"")</f>
        <v>476190476.19047618</v>
      </c>
      <c r="I47" s="8">
        <f>IF($A47&lt;&gt;"",SUMIF(NXT_COMPO!$P$2:$P$1048576,$G47,NXT_COMPO!$O$2:$O$1048576)/$V47,"")</f>
        <v>36005416.171767928</v>
      </c>
      <c r="K47" s="74">
        <f>IF($A47&lt;&gt;"",NXT_COMPO!$B$6,"")</f>
        <v>41166</v>
      </c>
      <c r="L47" s="64"/>
      <c r="M47" s="64"/>
      <c r="P47" s="60">
        <f>IF($A47&lt;&gt;"",INDEX(IDX_SPECS!$J$2:$J$89,MATCH($B47,IDX_SPECS!$B$2:$B$89,0)),"")</f>
        <v>75.611373960712655</v>
      </c>
      <c r="Q47" s="8">
        <f>IF($A47&lt;&gt;"",SUMIF(NXT_COMPO!$P$2:$P$1048576,$G47,NXT_COMPO!$R$2:$R$1048576)/$V47,"")</f>
        <v>0</v>
      </c>
      <c r="V47" s="12">
        <f>IF(B47&lt;&gt;"",IF(D47=INDEX($D$2:$D$1048576,MATCH(G47,$B$2:$B$1048576,0)),1,IF(ISNA(INDEX(CUR_RATES!$D:$D,SUMPRODUCT(--(WORKDAY(K47,-1)=CUR_RATES!$E$1:$E$97),--($D47&amp;INDEX($D$2:$D$1048576,MATCH($G47,$B$2:$B$1048576,0))=CUR_RATES!$A$1:$A$97),ROW(CUR_RATES!$E$1:$E$97)))),"",INDEX(CUR_RATES!$D:$D,SUMPRODUCT(--(WORKDAY(K47,-1)=CUR_RATES!$E$1:$E$97),--(D47&amp;INDEX($D$2:$D$1048576,MATCH(G47,$B$2:$B$1048576,0))=CUR_RATES!$A$1:$A$97),ROW(CUR_RATES!$E$1:$E$97))))),"")</f>
        <v>21890</v>
      </c>
    </row>
    <row r="48" spans="1:22" x14ac:dyDescent="0.2">
      <c r="A48" s="21">
        <f>IF(ROW($B48)-ROW($B$1)&lt;=COUNTIF(IDX_SPECS!$B$2:$B$89,"*")-COUNTIF(IDX_SPECS!$B$2:$B$89,""),ROW($B48)-ROW($B$1),"")</f>
        <v>47</v>
      </c>
      <c r="B48" t="str">
        <f>IF(ROW($B48)-ROW($B$1)&lt;=COUNTIF(IDX_SPECS!$B$2:$B$89,"*")-COUNTIF(IDX_SPECS!$B$2:$B$89,""),INDEX(IDX_SPECS!$B$2:$B$89,ROW($B48)-ROW($B$1)),"")</f>
        <v>VNXCSPRJPY</v>
      </c>
      <c r="D48" t="str">
        <f>IF($A48&lt;&gt;"",INDEX(IDX_SPECS!$D$2:$D$89,MATCH($B48,IDX_SPECS!$B$2:$B$89,0)),"")</f>
        <v>JPY</v>
      </c>
      <c r="F48" t="str">
        <f>IF($A48&lt;&gt;"",INDEX(IDX_SPECS!$F$2:$F$89,MATCH($B48,IDX_SPECS!$B$2:$B$89,0)),"")</f>
        <v>P</v>
      </c>
      <c r="G48" t="str">
        <f>IF($A48&lt;&gt;"",INDEX(IDX_SPECS!$G$2:$G$89,MATCH($B48,IDX_SPECS!$B$2:$B$89,0)),"")</f>
        <v>VNXCSPRVND</v>
      </c>
      <c r="H48" s="70">
        <f>IF($A48&lt;&gt;"",IF(F48="P",$I48/INDEX(IDX_SPECS!$I$2:$I$89,MATCH($B48,IDX_SPECS!$B$2:$B$89,0))*INDEX(IDX_SPECS!$H$2:$H$89,MATCH($B48,IDX_SPECS!$B$2:$B$89,0)),IF(INDEX(IDX_SPECS!$Q$2:$Q$89,MATCH($B48,IDX_SPECS!$B$2:$B$89,0))=0,INDEX(IDX_SPECS!$H$2:$H$89,MATCH($B48,IDX_SPECS!$B$2:$B$89,0)),IF($Q48=0,INDEX(IDX_SPECS!$H$2:$H$89,MATCH($B48,IDX_SPECS!$B$2:$B$89,0)),$Q48/INDEX(IDX_SPECS!$Q$2:$Q$89,MATCH($B48,IDX_SPECS!$B$2:$B$89,0))*INDEX(IDX_SPECS!$H$2:$H$89,MATCH($B48,IDX_SPECS!$B$2:$B$89,0))))),"")</f>
        <v>37735849056.603775</v>
      </c>
      <c r="I48" s="8">
        <f>IF($A48&lt;&gt;"",SUMIF(NXT_COMPO!$P$2:$P$1048576,$G48,NXT_COMPO!$O$2:$O$1048576)/$V48,"")</f>
        <v>2794888510.638298</v>
      </c>
      <c r="K48" s="74">
        <f>IF($A48&lt;&gt;"",NXT_COMPO!$B$6,"")</f>
        <v>41166</v>
      </c>
      <c r="L48" s="64"/>
      <c r="M48" s="64"/>
      <c r="P48" s="60">
        <f>IF($A48&lt;&gt;"",INDEX(IDX_SPECS!$J$2:$J$89,MATCH($B48,IDX_SPECS!$B$2:$B$89,0)),"")</f>
        <v>74.064545531914888</v>
      </c>
      <c r="Q48" s="8">
        <f>IF($A48&lt;&gt;"",SUMIF(NXT_COMPO!$P$2:$P$1048576,$G48,NXT_COMPO!$R$2:$R$1048576)/$V48,"")</f>
        <v>0</v>
      </c>
      <c r="V48" s="12">
        <f>IF(B48&lt;&gt;"",IF(D48=INDEX($D$2:$D$1048576,MATCH(G48,$B$2:$B$1048576,0)),1,IF(ISNA(INDEX(CUR_RATES!$D:$D,SUMPRODUCT(--(WORKDAY(K48,-1)=CUR_RATES!$E$1:$E$97),--($D48&amp;INDEX($D$2:$D$1048576,MATCH($G48,$B$2:$B$1048576,0))=CUR_RATES!$A$1:$A$97),ROW(CUR_RATES!$E$1:$E$97)))),"",INDEX(CUR_RATES!$D:$D,SUMPRODUCT(--(WORKDAY(K48,-1)=CUR_RATES!$E$1:$E$97),--(D48&amp;INDEX($D$2:$D$1048576,MATCH(G48,$B$2:$B$1048576,0))=CUR_RATES!$A$1:$A$97),ROW(CUR_RATES!$E$1:$E$97))))),"")</f>
        <v>282</v>
      </c>
    </row>
    <row r="49" spans="1:22" x14ac:dyDescent="0.2">
      <c r="A49" s="21">
        <f>IF(ROW($B49)-ROW($B$1)&lt;=COUNTIF(IDX_SPECS!$B$2:$B$89,"*")-COUNTIF(IDX_SPECS!$B$2:$B$89,""),ROW($B49)-ROW($B$1),"")</f>
        <v>48</v>
      </c>
      <c r="B49" t="str">
        <f>IF(ROW($B49)-ROW($B$1)&lt;=COUNTIF(IDX_SPECS!$B$2:$B$89,"*")-COUNTIF(IDX_SPECS!$B$2:$B$89,""),INDEX(IDX_SPECS!$B$2:$B$89,ROW($B49)-ROW($B$1)),"")</f>
        <v>VNXCSPREUR</v>
      </c>
      <c r="D49" t="str">
        <f>IF($A49&lt;&gt;"",INDEX(IDX_SPECS!$D$2:$D$89,MATCH($B49,IDX_SPECS!$B$2:$B$89,0)),"")</f>
        <v>EUR</v>
      </c>
      <c r="F49" t="str">
        <f>IF($A49&lt;&gt;"",INDEX(IDX_SPECS!$F$2:$F$89,MATCH($B49,IDX_SPECS!$B$2:$B$89,0)),"")</f>
        <v>P</v>
      </c>
      <c r="G49" t="str">
        <f>IF($A49&lt;&gt;"",INDEX(IDX_SPECS!$G$2:$G$89,MATCH($B49,IDX_SPECS!$B$2:$B$89,0)),"")</f>
        <v>VNXCSPRVND</v>
      </c>
      <c r="H49" s="70">
        <f>IF($A49&lt;&gt;"",IF(F49="P",$I49/INDEX(IDX_SPECS!$I$2:$I$89,MATCH($B49,IDX_SPECS!$B$2:$B$89,0))*INDEX(IDX_SPECS!$H$2:$H$89,MATCH($B49,IDX_SPECS!$B$2:$B$89,0)),IF(INDEX(IDX_SPECS!$Q$2:$Q$89,MATCH($B49,IDX_SPECS!$B$2:$B$89,0))=0,INDEX(IDX_SPECS!$H$2:$H$89,MATCH($B49,IDX_SPECS!$B$2:$B$89,0)),IF($Q49=0,INDEX(IDX_SPECS!$H$2:$H$89,MATCH($B49,IDX_SPECS!$B$2:$B$89,0)),$Q49/INDEX(IDX_SPECS!$Q$2:$Q$89,MATCH($B49,IDX_SPECS!$B$2:$B$89,0))*INDEX(IDX_SPECS!$H$2:$H$89,MATCH($B49,IDX_SPECS!$B$2:$B$89,0))))),"")</f>
        <v>344827586.20689654</v>
      </c>
      <c r="I49" s="8">
        <f>IF($A49&lt;&gt;"",SUMIF(NXT_COMPO!$P$2:$P$1048576,$G49,NXT_COMPO!$O$2:$O$1048576)/$V49,"")</f>
        <v>26438798.44404757</v>
      </c>
      <c r="K49" s="74">
        <f>IF($A49&lt;&gt;"",NXT_COMPO!$B$6,"")</f>
        <v>41166</v>
      </c>
      <c r="L49" s="64"/>
      <c r="M49" s="64"/>
      <c r="P49" s="60">
        <f>IF($A49&lt;&gt;"",INDEX(IDX_SPECS!$J$2:$J$89,MATCH($B49,IDX_SPECS!$B$2:$B$89,0)),"")</f>
        <v>76.672515487737954</v>
      </c>
      <c r="Q49" s="8">
        <f>IF($A49&lt;&gt;"",SUMIF(NXT_COMPO!$P$2:$P$1048576,$G49,NXT_COMPO!$R$2:$R$1048576)/$V49,"")</f>
        <v>0</v>
      </c>
      <c r="V49" s="12">
        <f>IF(B49&lt;&gt;"",IF(D49=INDEX($D$2:$D$1048576,MATCH(G49,$B$2:$B$1048576,0)),1,IF(ISNA(INDEX(CUR_RATES!$D:$D,SUMPRODUCT(--(WORKDAY(K49,-1)=CUR_RATES!$E$1:$E$97),--($D49&amp;INDEX($D$2:$D$1048576,MATCH($G49,$B$2:$B$1048576,0))=CUR_RATES!$A$1:$A$97),ROW(CUR_RATES!$E$1:$E$97)))),"",INDEX(CUR_RATES!$D:$D,SUMPRODUCT(--(WORKDAY(K49,-1)=CUR_RATES!$E$1:$E$97),--(D49&amp;INDEX($D$2:$D$1048576,MATCH(G49,$B$2:$B$1048576,0))=CUR_RATES!$A$1:$A$97),ROW(CUR_RATES!$E$1:$E$97))))),"")</f>
        <v>29810.68</v>
      </c>
    </row>
    <row r="50" spans="1:22" x14ac:dyDescent="0.2">
      <c r="A50" s="21">
        <f>IF(ROW($B50)-ROW($B$1)&lt;=COUNTIF(IDX_SPECS!$B$2:$B$89,"*")-COUNTIF(IDX_SPECS!$B$2:$B$89,""),ROW($B50)-ROW($B$1),"")</f>
        <v>49</v>
      </c>
      <c r="B50" t="str">
        <f>IF(ROW($B50)-ROW($B$1)&lt;=COUNTIF(IDX_SPECS!$B$2:$B$89,"*")-COUNTIF(IDX_SPECS!$B$2:$B$89,""),INDEX(IDX_SPECS!$B$2:$B$89,ROW($B50)-ROW($B$1)),"")</f>
        <v>VNXFIPRVND</v>
      </c>
      <c r="D50" t="str">
        <f>IF($A50&lt;&gt;"",INDEX(IDX_SPECS!$D$2:$D$89,MATCH($B50,IDX_SPECS!$B$2:$B$89,0)),"")</f>
        <v>VND</v>
      </c>
      <c r="F50" t="str">
        <f>IF($A50&lt;&gt;"",INDEX(IDX_SPECS!$F$2:$F$89,MATCH($B50,IDX_SPECS!$B$2:$B$89,0)),"")</f>
        <v>P</v>
      </c>
      <c r="G50" t="str">
        <f>IF($A50&lt;&gt;"",INDEX(IDX_SPECS!$G$2:$G$89,MATCH($B50,IDX_SPECS!$B$2:$B$89,0)),"")</f>
        <v>VNXFIPRVND</v>
      </c>
      <c r="H50" s="70">
        <f>IF($A50&lt;&gt;"",IF(F50="P",$I50/INDEX(IDX_SPECS!$I$2:$I$89,MATCH($B50,IDX_SPECS!$B$2:$B$89,0))*INDEX(IDX_SPECS!$H$2:$H$89,MATCH($B50,IDX_SPECS!$B$2:$B$89,0)),IF(INDEX(IDX_SPECS!$Q$2:$Q$89,MATCH($B50,IDX_SPECS!$B$2:$B$89,0))=0,INDEX(IDX_SPECS!$H$2:$H$89,MATCH($B50,IDX_SPECS!$B$2:$B$89,0)),IF($Q50=0,INDEX(IDX_SPECS!$H$2:$H$89,MATCH($B50,IDX_SPECS!$B$2:$B$89,0)),$Q50/INDEX(IDX_SPECS!$Q$2:$Q$89,MATCH($B50,IDX_SPECS!$B$2:$B$89,0))*INDEX(IDX_SPECS!$H$2:$H$89,MATCH($B50,IDX_SPECS!$B$2:$B$89,0))))),"")</f>
        <v>10000000000000</v>
      </c>
      <c r="I50" s="8">
        <f>IF($A50&lt;&gt;"",SUMIF(NXT_COMPO!$P$2:$P$1048576,$G50,NXT_COMPO!$O$2:$O$1048576)/$V50,"")</f>
        <v>10683771510000</v>
      </c>
      <c r="K50" s="74">
        <f>IF($A50&lt;&gt;"",NXT_COMPO!$B$6,"")</f>
        <v>41166</v>
      </c>
      <c r="L50" s="64"/>
      <c r="M50" s="64"/>
      <c r="P50" s="60">
        <f>IF($A50&lt;&gt;"",INDEX(IDX_SPECS!$J$2:$J$89,MATCH($B50,IDX_SPECS!$B$2:$B$89,0)),"")</f>
        <v>1068.3771509999999</v>
      </c>
      <c r="Q50" s="8">
        <f>IF($A50&lt;&gt;"",SUMIF(NXT_COMPO!$P$2:$P$1048576,$G50,NXT_COMPO!$R$2:$R$1048576)/$V50,"")</f>
        <v>0</v>
      </c>
      <c r="V50" s="12">
        <f>IF(B50&lt;&gt;"",IF(D50=INDEX($D$2:$D$1048576,MATCH(G50,$B$2:$B$1048576,0)),1,IF(ISNA(INDEX(CUR_RATES!$D:$D,SUMPRODUCT(--(WORKDAY(K50,-1)=CUR_RATES!$E$1:$E$97),--($D50&amp;INDEX($D$2:$D$1048576,MATCH($G50,$B$2:$B$1048576,0))=CUR_RATES!$A$1:$A$97),ROW(CUR_RATES!$E$1:$E$97)))),"",INDEX(CUR_RATES!$D:$D,SUMPRODUCT(--(WORKDAY(K50,-1)=CUR_RATES!$E$1:$E$97),--(D50&amp;INDEX($D$2:$D$1048576,MATCH(G50,$B$2:$B$1048576,0))=CUR_RATES!$A$1:$A$97),ROW(CUR_RATES!$E$1:$E$97))))),"")</f>
        <v>1</v>
      </c>
    </row>
    <row r="51" spans="1:22" x14ac:dyDescent="0.2">
      <c r="A51" s="21">
        <f>IF(ROW($B51)-ROW($B$1)&lt;=COUNTIF(IDX_SPECS!$B$2:$B$89,"*")-COUNTIF(IDX_SPECS!$B$2:$B$89,""),ROW($B51)-ROW($B$1),"")</f>
        <v>50</v>
      </c>
      <c r="B51" t="str">
        <f>IF(ROW($B51)-ROW($B$1)&lt;=COUNTIF(IDX_SPECS!$B$2:$B$89,"*")-COUNTIF(IDX_SPECS!$B$2:$B$89,""),INDEX(IDX_SPECS!$B$2:$B$89,ROW($B51)-ROW($B$1)),"")</f>
        <v>VNXFIPRUSD</v>
      </c>
      <c r="D51" t="str">
        <f>IF($A51&lt;&gt;"",INDEX(IDX_SPECS!$D$2:$D$89,MATCH($B51,IDX_SPECS!$B$2:$B$89,0)),"")</f>
        <v>USD</v>
      </c>
      <c r="F51" t="str">
        <f>IF($A51&lt;&gt;"",INDEX(IDX_SPECS!$F$2:$F$89,MATCH($B51,IDX_SPECS!$B$2:$B$89,0)),"")</f>
        <v>P</v>
      </c>
      <c r="G51" t="str">
        <f>IF($A51&lt;&gt;"",INDEX(IDX_SPECS!$G$2:$G$89,MATCH($B51,IDX_SPECS!$B$2:$B$89,0)),"")</f>
        <v>VNXFIPRVND</v>
      </c>
      <c r="H51" s="70">
        <f>IF($A51&lt;&gt;"",IF(F51="P",$I51/INDEX(IDX_SPECS!$I$2:$I$89,MATCH($B51,IDX_SPECS!$B$2:$B$89,0))*INDEX(IDX_SPECS!$H$2:$H$89,MATCH($B51,IDX_SPECS!$B$2:$B$89,0)),IF(INDEX(IDX_SPECS!$Q$2:$Q$89,MATCH($B51,IDX_SPECS!$B$2:$B$89,0))=0,INDEX(IDX_SPECS!$H$2:$H$89,MATCH($B51,IDX_SPECS!$B$2:$B$89,0)),IF($Q51=0,INDEX(IDX_SPECS!$H$2:$H$89,MATCH($B51,IDX_SPECS!$B$2:$B$89,0)),$Q51/INDEX(IDX_SPECS!$Q$2:$Q$89,MATCH($B51,IDX_SPECS!$B$2:$B$89,0))*INDEX(IDX_SPECS!$H$2:$H$89,MATCH($B51,IDX_SPECS!$B$2:$B$89,0))))),"")</f>
        <v>476190476.19047618</v>
      </c>
      <c r="I51" s="8">
        <f>IF($A51&lt;&gt;"",SUMIF(NXT_COMPO!$P$2:$P$1048576,$G51,NXT_COMPO!$O$2:$O$1048576)/$V51,"")</f>
        <v>488066309.27364093</v>
      </c>
      <c r="K51" s="74">
        <f>IF($A51&lt;&gt;"",NXT_COMPO!$B$6,"")</f>
        <v>41166</v>
      </c>
      <c r="L51" s="64"/>
      <c r="M51" s="64"/>
      <c r="P51" s="60">
        <f>IF($A51&lt;&gt;"",INDEX(IDX_SPECS!$J$2:$J$89,MATCH($B51,IDX_SPECS!$B$2:$B$89,0)),"")</f>
        <v>1024.939249474646</v>
      </c>
      <c r="Q51" s="8">
        <f>IF($A51&lt;&gt;"",SUMIF(NXT_COMPO!$P$2:$P$1048576,$G51,NXT_COMPO!$R$2:$R$1048576)/$V51,"")</f>
        <v>0</v>
      </c>
      <c r="V51" s="12">
        <f>IF(B51&lt;&gt;"",IF(D51=INDEX($D$2:$D$1048576,MATCH(G51,$B$2:$B$1048576,0)),1,IF(ISNA(INDEX(CUR_RATES!$D:$D,SUMPRODUCT(--(WORKDAY(K51,-1)=CUR_RATES!$E$1:$E$97),--($D51&amp;INDEX($D$2:$D$1048576,MATCH($G51,$B$2:$B$1048576,0))=CUR_RATES!$A$1:$A$97),ROW(CUR_RATES!$E$1:$E$97)))),"",INDEX(CUR_RATES!$D:$D,SUMPRODUCT(--(WORKDAY(K51,-1)=CUR_RATES!$E$1:$E$97),--(D51&amp;INDEX($D$2:$D$1048576,MATCH(G51,$B$2:$B$1048576,0))=CUR_RATES!$A$1:$A$97),ROW(CUR_RATES!$E$1:$E$97))))),"")</f>
        <v>21890</v>
      </c>
    </row>
    <row r="52" spans="1:22" x14ac:dyDescent="0.2">
      <c r="A52" s="21">
        <f>IF(ROW($B52)-ROW($B$1)&lt;=COUNTIF(IDX_SPECS!$B$2:$B$89,"*")-COUNTIF(IDX_SPECS!$B$2:$B$89,""),ROW($B52)-ROW($B$1),"")</f>
        <v>51</v>
      </c>
      <c r="B52" t="str">
        <f>IF(ROW($B52)-ROW($B$1)&lt;=COUNTIF(IDX_SPECS!$B$2:$B$89,"*")-COUNTIF(IDX_SPECS!$B$2:$B$89,""),INDEX(IDX_SPECS!$B$2:$B$89,ROW($B52)-ROW($B$1)),"")</f>
        <v>VNXFIPRJPY</v>
      </c>
      <c r="D52" t="str">
        <f>IF($A52&lt;&gt;"",INDEX(IDX_SPECS!$D$2:$D$89,MATCH($B52,IDX_SPECS!$B$2:$B$89,0)),"")</f>
        <v>JPY</v>
      </c>
      <c r="F52" t="str">
        <f>IF($A52&lt;&gt;"",INDEX(IDX_SPECS!$F$2:$F$89,MATCH($B52,IDX_SPECS!$B$2:$B$89,0)),"")</f>
        <v>P</v>
      </c>
      <c r="G52" t="str">
        <f>IF($A52&lt;&gt;"",INDEX(IDX_SPECS!$G$2:$G$89,MATCH($B52,IDX_SPECS!$B$2:$B$89,0)),"")</f>
        <v>VNXFIPRVND</v>
      </c>
      <c r="H52" s="70">
        <f>IF($A52&lt;&gt;"",IF(F52="P",$I52/INDEX(IDX_SPECS!$I$2:$I$89,MATCH($B52,IDX_SPECS!$B$2:$B$89,0))*INDEX(IDX_SPECS!$H$2:$H$89,MATCH($B52,IDX_SPECS!$B$2:$B$89,0)),IF(INDEX(IDX_SPECS!$Q$2:$Q$89,MATCH($B52,IDX_SPECS!$B$2:$B$89,0))=0,INDEX(IDX_SPECS!$H$2:$H$89,MATCH($B52,IDX_SPECS!$B$2:$B$89,0)),IF($Q52=0,INDEX(IDX_SPECS!$H$2:$H$89,MATCH($B52,IDX_SPECS!$B$2:$B$89,0)),$Q52/INDEX(IDX_SPECS!$Q$2:$Q$89,MATCH($B52,IDX_SPECS!$B$2:$B$89,0))*INDEX(IDX_SPECS!$H$2:$H$89,MATCH($B52,IDX_SPECS!$B$2:$B$89,0))))),"")</f>
        <v>37735849056.603775</v>
      </c>
      <c r="I52" s="8">
        <f>IF($A52&lt;&gt;"",SUMIF(NXT_COMPO!$P$2:$P$1048576,$G52,NXT_COMPO!$O$2:$O$1048576)/$V52,"")</f>
        <v>37885714574.468086</v>
      </c>
      <c r="K52" s="74">
        <f>IF($A52&lt;&gt;"",NXT_COMPO!$B$6,"")</f>
        <v>41166</v>
      </c>
      <c r="L52" s="64"/>
      <c r="M52" s="64"/>
      <c r="P52" s="60">
        <f>IF($A52&lt;&gt;"",INDEX(IDX_SPECS!$J$2:$J$89,MATCH($B52,IDX_SPECS!$B$2:$B$89,0)),"")</f>
        <v>1003.9714362234042</v>
      </c>
      <c r="Q52" s="8">
        <f>IF($A52&lt;&gt;"",SUMIF(NXT_COMPO!$P$2:$P$1048576,$G52,NXT_COMPO!$R$2:$R$1048576)/$V52,"")</f>
        <v>0</v>
      </c>
      <c r="V52" s="12">
        <f>IF(B52&lt;&gt;"",IF(D52=INDEX($D$2:$D$1048576,MATCH(G52,$B$2:$B$1048576,0)),1,IF(ISNA(INDEX(CUR_RATES!$D:$D,SUMPRODUCT(--(WORKDAY(K52,-1)=CUR_RATES!$E$1:$E$97),--($D52&amp;INDEX($D$2:$D$1048576,MATCH($G52,$B$2:$B$1048576,0))=CUR_RATES!$A$1:$A$97),ROW(CUR_RATES!$E$1:$E$97)))),"",INDEX(CUR_RATES!$D:$D,SUMPRODUCT(--(WORKDAY(K52,-1)=CUR_RATES!$E$1:$E$97),--(D52&amp;INDEX($D$2:$D$1048576,MATCH(G52,$B$2:$B$1048576,0))=CUR_RATES!$A$1:$A$97),ROW(CUR_RATES!$E$1:$E$97))))),"")</f>
        <v>282</v>
      </c>
    </row>
    <row r="53" spans="1:22" x14ac:dyDescent="0.2">
      <c r="A53" s="21">
        <f>IF(ROW($B53)-ROW($B$1)&lt;=COUNTIF(IDX_SPECS!$B$2:$B$89,"*")-COUNTIF(IDX_SPECS!$B$2:$B$89,""),ROW($B53)-ROW($B$1),"")</f>
        <v>52</v>
      </c>
      <c r="B53" t="str">
        <f>IF(ROW($B53)-ROW($B$1)&lt;=COUNTIF(IDX_SPECS!$B$2:$B$89,"*")-COUNTIF(IDX_SPECS!$B$2:$B$89,""),INDEX(IDX_SPECS!$B$2:$B$89,ROW($B53)-ROW($B$1)),"")</f>
        <v>VNXFIPREUR</v>
      </c>
      <c r="D53" t="str">
        <f>IF($A53&lt;&gt;"",INDEX(IDX_SPECS!$D$2:$D$89,MATCH($B53,IDX_SPECS!$B$2:$B$89,0)),"")</f>
        <v>EUR</v>
      </c>
      <c r="F53" t="str">
        <f>IF($A53&lt;&gt;"",INDEX(IDX_SPECS!$F$2:$F$89,MATCH($B53,IDX_SPECS!$B$2:$B$89,0)),"")</f>
        <v>P</v>
      </c>
      <c r="G53" t="str">
        <f>IF($A53&lt;&gt;"",INDEX(IDX_SPECS!$G$2:$G$89,MATCH($B53,IDX_SPECS!$B$2:$B$89,0)),"")</f>
        <v>VNXFIPRVND</v>
      </c>
      <c r="H53" s="70">
        <f>IF($A53&lt;&gt;"",IF(F53="P",$I53/INDEX(IDX_SPECS!$I$2:$I$89,MATCH($B53,IDX_SPECS!$B$2:$B$89,0))*INDEX(IDX_SPECS!$H$2:$H$89,MATCH($B53,IDX_SPECS!$B$2:$B$89,0)),IF(INDEX(IDX_SPECS!$Q$2:$Q$89,MATCH($B53,IDX_SPECS!$B$2:$B$89,0))=0,INDEX(IDX_SPECS!$H$2:$H$89,MATCH($B53,IDX_SPECS!$B$2:$B$89,0)),IF($Q53=0,INDEX(IDX_SPECS!$H$2:$H$89,MATCH($B53,IDX_SPECS!$B$2:$B$89,0)),$Q53/INDEX(IDX_SPECS!$Q$2:$Q$89,MATCH($B53,IDX_SPECS!$B$2:$B$89,0))*INDEX(IDX_SPECS!$H$2:$H$89,MATCH($B53,IDX_SPECS!$B$2:$B$89,0))))),"")</f>
        <v>344827586.20689654</v>
      </c>
      <c r="I53" s="8">
        <f>IF($A53&lt;&gt;"",SUMIF(NXT_COMPO!$P$2:$P$1048576,$G53,NXT_COMPO!$O$2:$O$1048576)/$V53,"")</f>
        <v>358387380.29457897</v>
      </c>
      <c r="K53" s="74">
        <f>IF($A53&lt;&gt;"",NXT_COMPO!$B$6,"")</f>
        <v>41166</v>
      </c>
      <c r="L53" s="64"/>
      <c r="M53" s="64"/>
      <c r="P53" s="60">
        <f>IF($A53&lt;&gt;"",INDEX(IDX_SPECS!$J$2:$J$89,MATCH($B53,IDX_SPECS!$B$2:$B$89,0)),"")</f>
        <v>1039.323402854279</v>
      </c>
      <c r="Q53" s="8">
        <f>IF($A53&lt;&gt;"",SUMIF(NXT_COMPO!$P$2:$P$1048576,$G53,NXT_COMPO!$R$2:$R$1048576)/$V53,"")</f>
        <v>0</v>
      </c>
      <c r="V53" s="12">
        <f>IF(B53&lt;&gt;"",IF(D53=INDEX($D$2:$D$1048576,MATCH(G53,$B$2:$B$1048576,0)),1,IF(ISNA(INDEX(CUR_RATES!$D:$D,SUMPRODUCT(--(WORKDAY(K53,-1)=CUR_RATES!$E$1:$E$97),--($D53&amp;INDEX($D$2:$D$1048576,MATCH($G53,$B$2:$B$1048576,0))=CUR_RATES!$A$1:$A$97),ROW(CUR_RATES!$E$1:$E$97)))),"",INDEX(CUR_RATES!$D:$D,SUMPRODUCT(--(WORKDAY(K53,-1)=CUR_RATES!$E$1:$E$97),--(D53&amp;INDEX($D$2:$D$1048576,MATCH(G53,$B$2:$B$1048576,0))=CUR_RATES!$A$1:$A$97),ROW(CUR_RATES!$E$1:$E$97))))),"")</f>
        <v>29810.68</v>
      </c>
    </row>
    <row r="54" spans="1:22" x14ac:dyDescent="0.2">
      <c r="A54" s="21">
        <f>IF(ROW($B54)-ROW($B$1)&lt;=COUNTIF(IDX_SPECS!$B$2:$B$89,"*")-COUNTIF(IDX_SPECS!$B$2:$B$89,""),ROW($B54)-ROW($B$1),"")</f>
        <v>53</v>
      </c>
      <c r="B54" t="str">
        <f>IF(ROW($B54)-ROW($B$1)&lt;=COUNTIF(IDX_SPECS!$B$2:$B$89,"*")-COUNTIF(IDX_SPECS!$B$2:$B$89,""),INDEX(IDX_SPECS!$B$2:$B$89,ROW($B54)-ROW($B$1)),"")</f>
        <v>VNXINPRVND</v>
      </c>
      <c r="D54" t="str">
        <f>IF($A54&lt;&gt;"",INDEX(IDX_SPECS!$D$2:$D$89,MATCH($B54,IDX_SPECS!$B$2:$B$89,0)),"")</f>
        <v>VND</v>
      </c>
      <c r="F54" t="str">
        <f>IF($A54&lt;&gt;"",INDEX(IDX_SPECS!$F$2:$F$89,MATCH($B54,IDX_SPECS!$B$2:$B$89,0)),"")</f>
        <v>P</v>
      </c>
      <c r="G54" t="str">
        <f>IF($A54&lt;&gt;"",INDEX(IDX_SPECS!$G$2:$G$89,MATCH($B54,IDX_SPECS!$B$2:$B$89,0)),"")</f>
        <v>VNXINPRVND</v>
      </c>
      <c r="H54" s="70">
        <f>IF($A54&lt;&gt;"",IF(F54="P",$I54/INDEX(IDX_SPECS!$I$2:$I$89,MATCH($B54,IDX_SPECS!$B$2:$B$89,0))*INDEX(IDX_SPECS!$H$2:$H$89,MATCH($B54,IDX_SPECS!$B$2:$B$89,0)),IF(INDEX(IDX_SPECS!$Q$2:$Q$89,MATCH($B54,IDX_SPECS!$B$2:$B$89,0))=0,INDEX(IDX_SPECS!$H$2:$H$89,MATCH($B54,IDX_SPECS!$B$2:$B$89,0)),IF($Q54=0,INDEX(IDX_SPECS!$H$2:$H$89,MATCH($B54,IDX_SPECS!$B$2:$B$89,0)),$Q54/INDEX(IDX_SPECS!$Q$2:$Q$89,MATCH($B54,IDX_SPECS!$B$2:$B$89,0))*INDEX(IDX_SPECS!$H$2:$H$89,MATCH($B54,IDX_SPECS!$B$2:$B$89,0))))),"")</f>
        <v>10000000000000</v>
      </c>
      <c r="I54" s="8">
        <f>IF($A54&lt;&gt;"",SUMIF(NXT_COMPO!$P$2:$P$1048576,$G54,NXT_COMPO!$O$2:$O$1048576)/$V54,"")</f>
        <v>12555633734400</v>
      </c>
      <c r="K54" s="74">
        <f>IF($A54&lt;&gt;"",NXT_COMPO!$B$6,"")</f>
        <v>41166</v>
      </c>
      <c r="L54" s="64"/>
      <c r="M54" s="64"/>
      <c r="P54" s="60">
        <f>IF($A54&lt;&gt;"",INDEX(IDX_SPECS!$J$2:$J$89,MATCH($B54,IDX_SPECS!$B$2:$B$89,0)),"")</f>
        <v>1255.5633734400001</v>
      </c>
      <c r="Q54" s="8">
        <f>IF($A54&lt;&gt;"",SUMIF(NXT_COMPO!$P$2:$P$1048576,$G54,NXT_COMPO!$R$2:$R$1048576)/$V54,"")</f>
        <v>0</v>
      </c>
      <c r="V54" s="12">
        <f>IF(B54&lt;&gt;"",IF(D54=INDEX($D$2:$D$1048576,MATCH(G54,$B$2:$B$1048576,0)),1,IF(ISNA(INDEX(CUR_RATES!$D:$D,SUMPRODUCT(--(WORKDAY(K54,-1)=CUR_RATES!$E$1:$E$97),--($D54&amp;INDEX($D$2:$D$1048576,MATCH($G54,$B$2:$B$1048576,0))=CUR_RATES!$A$1:$A$97),ROW(CUR_RATES!$E$1:$E$97)))),"",INDEX(CUR_RATES!$D:$D,SUMPRODUCT(--(WORKDAY(K54,-1)=CUR_RATES!$E$1:$E$97),--(D54&amp;INDEX($D$2:$D$1048576,MATCH(G54,$B$2:$B$1048576,0))=CUR_RATES!$A$1:$A$97),ROW(CUR_RATES!$E$1:$E$97))))),"")</f>
        <v>1</v>
      </c>
    </row>
    <row r="55" spans="1:22" x14ac:dyDescent="0.2">
      <c r="A55" s="21">
        <f>IF(ROW($B55)-ROW($B$1)&lt;=COUNTIF(IDX_SPECS!$B$2:$B$89,"*")-COUNTIF(IDX_SPECS!$B$2:$B$89,""),ROW($B55)-ROW($B$1),"")</f>
        <v>54</v>
      </c>
      <c r="B55" t="str">
        <f>IF(ROW($B55)-ROW($B$1)&lt;=COUNTIF(IDX_SPECS!$B$2:$B$89,"*")-COUNTIF(IDX_SPECS!$B$2:$B$89,""),INDEX(IDX_SPECS!$B$2:$B$89,ROW($B55)-ROW($B$1)),"")</f>
        <v>VNXINPRUSD</v>
      </c>
      <c r="D55" t="str">
        <f>IF($A55&lt;&gt;"",INDEX(IDX_SPECS!$D$2:$D$89,MATCH($B55,IDX_SPECS!$B$2:$B$89,0)),"")</f>
        <v>USD</v>
      </c>
      <c r="F55" t="str">
        <f>IF($A55&lt;&gt;"",INDEX(IDX_SPECS!$F$2:$F$89,MATCH($B55,IDX_SPECS!$B$2:$B$89,0)),"")</f>
        <v>P</v>
      </c>
      <c r="G55" t="str">
        <f>IF($A55&lt;&gt;"",INDEX(IDX_SPECS!$G$2:$G$89,MATCH($B55,IDX_SPECS!$B$2:$B$89,0)),"")</f>
        <v>VNXINPRVND</v>
      </c>
      <c r="H55" s="70">
        <f>IF($A55&lt;&gt;"",IF(F55="P",$I55/INDEX(IDX_SPECS!$I$2:$I$89,MATCH($B55,IDX_SPECS!$B$2:$B$89,0))*INDEX(IDX_SPECS!$H$2:$H$89,MATCH($B55,IDX_SPECS!$B$2:$B$89,0)),IF(INDEX(IDX_SPECS!$Q$2:$Q$89,MATCH($B55,IDX_SPECS!$B$2:$B$89,0))=0,INDEX(IDX_SPECS!$H$2:$H$89,MATCH($B55,IDX_SPECS!$B$2:$B$89,0)),IF($Q55=0,INDEX(IDX_SPECS!$H$2:$H$89,MATCH($B55,IDX_SPECS!$B$2:$B$89,0)),$Q55/INDEX(IDX_SPECS!$Q$2:$Q$89,MATCH($B55,IDX_SPECS!$B$2:$B$89,0))*INDEX(IDX_SPECS!$H$2:$H$89,MATCH($B55,IDX_SPECS!$B$2:$B$89,0))))),"")</f>
        <v>476190476.19047618</v>
      </c>
      <c r="I55" s="8">
        <f>IF($A55&lt;&gt;"",SUMIF(NXT_COMPO!$P$2:$P$1048576,$G55,NXT_COMPO!$O$2:$O$1048576)/$V55,"")</f>
        <v>573578516.87528551</v>
      </c>
      <c r="K55" s="74">
        <f>IF($A55&lt;&gt;"",NXT_COMPO!$B$6,"")</f>
        <v>41166</v>
      </c>
      <c r="L55" s="64"/>
      <c r="M55" s="64"/>
      <c r="P55" s="60">
        <f>IF($A55&lt;&gt;"",INDEX(IDX_SPECS!$J$2:$J$89,MATCH($B55,IDX_SPECS!$B$2:$B$89,0)),"")</f>
        <v>1204.5148854380996</v>
      </c>
      <c r="Q55" s="8">
        <f>IF($A55&lt;&gt;"",SUMIF(NXT_COMPO!$P$2:$P$1048576,$G55,NXT_COMPO!$R$2:$R$1048576)/$V55,"")</f>
        <v>0</v>
      </c>
      <c r="V55" s="12">
        <f>IF(B55&lt;&gt;"",IF(D55=INDEX($D$2:$D$1048576,MATCH(G55,$B$2:$B$1048576,0)),1,IF(ISNA(INDEX(CUR_RATES!$D:$D,SUMPRODUCT(--(WORKDAY(K55,-1)=CUR_RATES!$E$1:$E$97),--($D55&amp;INDEX($D$2:$D$1048576,MATCH($G55,$B$2:$B$1048576,0))=CUR_RATES!$A$1:$A$97),ROW(CUR_RATES!$E$1:$E$97)))),"",INDEX(CUR_RATES!$D:$D,SUMPRODUCT(--(WORKDAY(K55,-1)=CUR_RATES!$E$1:$E$97),--(D55&amp;INDEX($D$2:$D$1048576,MATCH(G55,$B$2:$B$1048576,0))=CUR_RATES!$A$1:$A$97),ROW(CUR_RATES!$E$1:$E$97))))),"")</f>
        <v>21890</v>
      </c>
    </row>
    <row r="56" spans="1:22" x14ac:dyDescent="0.2">
      <c r="A56" s="21">
        <f>IF(ROW($B56)-ROW($B$1)&lt;=COUNTIF(IDX_SPECS!$B$2:$B$89,"*")-COUNTIF(IDX_SPECS!$B$2:$B$89,""),ROW($B56)-ROW($B$1),"")</f>
        <v>55</v>
      </c>
      <c r="B56" t="str">
        <f>IF(ROW($B56)-ROW($B$1)&lt;=COUNTIF(IDX_SPECS!$B$2:$B$89,"*")-COUNTIF(IDX_SPECS!$B$2:$B$89,""),INDEX(IDX_SPECS!$B$2:$B$89,ROW($B56)-ROW($B$1)),"")</f>
        <v>VNXINPRJPY</v>
      </c>
      <c r="D56" t="str">
        <f>IF($A56&lt;&gt;"",INDEX(IDX_SPECS!$D$2:$D$89,MATCH($B56,IDX_SPECS!$B$2:$B$89,0)),"")</f>
        <v>JPY</v>
      </c>
      <c r="F56" t="str">
        <f>IF($A56&lt;&gt;"",INDEX(IDX_SPECS!$F$2:$F$89,MATCH($B56,IDX_SPECS!$B$2:$B$89,0)),"")</f>
        <v>P</v>
      </c>
      <c r="G56" t="str">
        <f>IF($A56&lt;&gt;"",INDEX(IDX_SPECS!$G$2:$G$89,MATCH($B56,IDX_SPECS!$B$2:$B$89,0)),"")</f>
        <v>VNXINPRVND</v>
      </c>
      <c r="H56" s="70">
        <f>IF($A56&lt;&gt;"",IF(F56="P",$I56/INDEX(IDX_SPECS!$I$2:$I$89,MATCH($B56,IDX_SPECS!$B$2:$B$89,0))*INDEX(IDX_SPECS!$H$2:$H$89,MATCH($B56,IDX_SPECS!$B$2:$B$89,0)),IF(INDEX(IDX_SPECS!$Q$2:$Q$89,MATCH($B56,IDX_SPECS!$B$2:$B$89,0))=0,INDEX(IDX_SPECS!$H$2:$H$89,MATCH($B56,IDX_SPECS!$B$2:$B$89,0)),IF($Q56=0,INDEX(IDX_SPECS!$H$2:$H$89,MATCH($B56,IDX_SPECS!$B$2:$B$89,0)),$Q56/INDEX(IDX_SPECS!$Q$2:$Q$89,MATCH($B56,IDX_SPECS!$B$2:$B$89,0))*INDEX(IDX_SPECS!$H$2:$H$89,MATCH($B56,IDX_SPECS!$B$2:$B$89,0))))),"")</f>
        <v>37735849056.603775</v>
      </c>
      <c r="I56" s="8">
        <f>IF($A56&lt;&gt;"",SUMIF(NXT_COMPO!$P$2:$P$1048576,$G56,NXT_COMPO!$O$2:$O$1048576)/$V56,"")</f>
        <v>44523523880.851067</v>
      </c>
      <c r="K56" s="74">
        <f>IF($A56&lt;&gt;"",NXT_COMPO!$B$6,"")</f>
        <v>41166</v>
      </c>
      <c r="L56" s="64"/>
      <c r="M56" s="64"/>
      <c r="P56" s="60">
        <f>IF($A56&lt;&gt;"",INDEX(IDX_SPECS!$J$2:$J$89,MATCH($B56,IDX_SPECS!$B$2:$B$89,0)),"")</f>
        <v>1179.8733828425534</v>
      </c>
      <c r="Q56" s="8">
        <f>IF($A56&lt;&gt;"",SUMIF(NXT_COMPO!$P$2:$P$1048576,$G56,NXT_COMPO!$R$2:$R$1048576)/$V56,"")</f>
        <v>0</v>
      </c>
      <c r="V56" s="12">
        <f>IF(B56&lt;&gt;"",IF(D56=INDEX($D$2:$D$1048576,MATCH(G56,$B$2:$B$1048576,0)),1,IF(ISNA(INDEX(CUR_RATES!$D:$D,SUMPRODUCT(--(WORKDAY(K56,-1)=CUR_RATES!$E$1:$E$97),--($D56&amp;INDEX($D$2:$D$1048576,MATCH($G56,$B$2:$B$1048576,0))=CUR_RATES!$A$1:$A$97),ROW(CUR_RATES!$E$1:$E$97)))),"",INDEX(CUR_RATES!$D:$D,SUMPRODUCT(--(WORKDAY(K56,-1)=CUR_RATES!$E$1:$E$97),--(D56&amp;INDEX($D$2:$D$1048576,MATCH(G56,$B$2:$B$1048576,0))=CUR_RATES!$A$1:$A$97),ROW(CUR_RATES!$E$1:$E$97))))),"")</f>
        <v>282</v>
      </c>
    </row>
    <row r="57" spans="1:22" x14ac:dyDescent="0.2">
      <c r="A57" s="21">
        <f>IF(ROW($B57)-ROW($B$1)&lt;=COUNTIF(IDX_SPECS!$B$2:$B$89,"*")-COUNTIF(IDX_SPECS!$B$2:$B$89,""),ROW($B57)-ROW($B$1),"")</f>
        <v>56</v>
      </c>
      <c r="B57" t="str">
        <f>IF(ROW($B57)-ROW($B$1)&lt;=COUNTIF(IDX_SPECS!$B$2:$B$89,"*")-COUNTIF(IDX_SPECS!$B$2:$B$89,""),INDEX(IDX_SPECS!$B$2:$B$89,ROW($B57)-ROW($B$1)),"")</f>
        <v>VNXINPREUR</v>
      </c>
      <c r="D57" t="str">
        <f>IF($A57&lt;&gt;"",INDEX(IDX_SPECS!$D$2:$D$89,MATCH($B57,IDX_SPECS!$B$2:$B$89,0)),"")</f>
        <v>EUR</v>
      </c>
      <c r="F57" t="str">
        <f>IF($A57&lt;&gt;"",INDEX(IDX_SPECS!$F$2:$F$89,MATCH($B57,IDX_SPECS!$B$2:$B$89,0)),"")</f>
        <v>P</v>
      </c>
      <c r="G57" t="str">
        <f>IF($A57&lt;&gt;"",INDEX(IDX_SPECS!$G$2:$G$89,MATCH($B57,IDX_SPECS!$B$2:$B$89,0)),"")</f>
        <v>VNXINPRVND</v>
      </c>
      <c r="H57" s="70">
        <f>IF($A57&lt;&gt;"",IF(F57="P",$I57/INDEX(IDX_SPECS!$I$2:$I$89,MATCH($B57,IDX_SPECS!$B$2:$B$89,0))*INDEX(IDX_SPECS!$H$2:$H$89,MATCH($B57,IDX_SPECS!$B$2:$B$89,0)),IF(INDEX(IDX_SPECS!$Q$2:$Q$89,MATCH($B57,IDX_SPECS!$B$2:$B$89,0))=0,INDEX(IDX_SPECS!$H$2:$H$89,MATCH($B57,IDX_SPECS!$B$2:$B$89,0)),IF($Q57=0,INDEX(IDX_SPECS!$H$2:$H$89,MATCH($B57,IDX_SPECS!$B$2:$B$89,0)),$Q57/INDEX(IDX_SPECS!$Q$2:$Q$89,MATCH($B57,IDX_SPECS!$B$2:$B$89,0))*INDEX(IDX_SPECS!$H$2:$H$89,MATCH($B57,IDX_SPECS!$B$2:$B$89,0))))),"")</f>
        <v>344827586.20689654</v>
      </c>
      <c r="I57" s="8">
        <f>IF($A57&lt;&gt;"",SUMIF(NXT_COMPO!$P$2:$P$1048576,$G57,NXT_COMPO!$O$2:$O$1048576)/$V57,"")</f>
        <v>421179045.04023391</v>
      </c>
      <c r="K57" s="74">
        <f>IF($A57&lt;&gt;"",NXT_COMPO!$B$6,"")</f>
        <v>41166</v>
      </c>
      <c r="L57" s="64"/>
      <c r="M57" s="64"/>
      <c r="P57" s="60">
        <f>IF($A57&lt;&gt;"",INDEX(IDX_SPECS!$J$2:$J$89,MATCH($B57,IDX_SPECS!$B$2:$B$89,0)),"")</f>
        <v>1221.4192306166783</v>
      </c>
      <c r="Q57" s="8">
        <f>IF($A57&lt;&gt;"",SUMIF(NXT_COMPO!$P$2:$P$1048576,$G57,NXT_COMPO!$R$2:$R$1048576)/$V57,"")</f>
        <v>0</v>
      </c>
      <c r="V57" s="12">
        <f>IF(B57&lt;&gt;"",IF(D57=INDEX($D$2:$D$1048576,MATCH(G57,$B$2:$B$1048576,0)),1,IF(ISNA(INDEX(CUR_RATES!$D:$D,SUMPRODUCT(--(WORKDAY(K57,-1)=CUR_RATES!$E$1:$E$97),--($D57&amp;INDEX($D$2:$D$1048576,MATCH($G57,$B$2:$B$1048576,0))=CUR_RATES!$A$1:$A$97),ROW(CUR_RATES!$E$1:$E$97)))),"",INDEX(CUR_RATES!$D:$D,SUMPRODUCT(--(WORKDAY(K57,-1)=CUR_RATES!$E$1:$E$97),--(D57&amp;INDEX($D$2:$D$1048576,MATCH(G57,$B$2:$B$1048576,0))=CUR_RATES!$A$1:$A$97),ROW(CUR_RATES!$E$1:$E$97))))),"")</f>
        <v>29810.68</v>
      </c>
    </row>
    <row r="58" spans="1:22" x14ac:dyDescent="0.2">
      <c r="A58" s="21">
        <f>IF(ROW($B58)-ROW($B$1)&lt;=COUNTIF(IDX_SPECS!$B$2:$B$89,"*")-COUNTIF(IDX_SPECS!$B$2:$B$89,""),ROW($B58)-ROW($B$1),"")</f>
        <v>57</v>
      </c>
      <c r="B58" t="str">
        <f>IF(ROW($B58)-ROW($B$1)&lt;=COUNTIF(IDX_SPECS!$B$2:$B$89,"*")-COUNTIF(IDX_SPECS!$B$2:$B$89,""),INDEX(IDX_SPECS!$B$2:$B$89,ROW($B58)-ROW($B$1)),"")</f>
        <v>VNXOGPRVND</v>
      </c>
      <c r="D58" t="str">
        <f>IF($A58&lt;&gt;"",INDEX(IDX_SPECS!$D$2:$D$89,MATCH($B58,IDX_SPECS!$B$2:$B$89,0)),"")</f>
        <v>VND</v>
      </c>
      <c r="F58" t="str">
        <f>IF($A58&lt;&gt;"",INDEX(IDX_SPECS!$F$2:$F$89,MATCH($B58,IDX_SPECS!$B$2:$B$89,0)),"")</f>
        <v>P</v>
      </c>
      <c r="G58" t="str">
        <f>IF($A58&lt;&gt;"",INDEX(IDX_SPECS!$G$2:$G$89,MATCH($B58,IDX_SPECS!$B$2:$B$89,0)),"")</f>
        <v>VNXOGPRVND</v>
      </c>
      <c r="H58" s="70">
        <f>IF($A58&lt;&gt;"",IF(F58="P",$I58/INDEX(IDX_SPECS!$I$2:$I$89,MATCH($B58,IDX_SPECS!$B$2:$B$89,0))*INDEX(IDX_SPECS!$H$2:$H$89,MATCH($B58,IDX_SPECS!$B$2:$B$89,0)),IF(INDEX(IDX_SPECS!$Q$2:$Q$89,MATCH($B58,IDX_SPECS!$B$2:$B$89,0))=0,INDEX(IDX_SPECS!$H$2:$H$89,MATCH($B58,IDX_SPECS!$B$2:$B$89,0)),IF($Q58=0,INDEX(IDX_SPECS!$H$2:$H$89,MATCH($B58,IDX_SPECS!$B$2:$B$89,0)),$Q58/INDEX(IDX_SPECS!$Q$2:$Q$89,MATCH($B58,IDX_SPECS!$B$2:$B$89,0))*INDEX(IDX_SPECS!$H$2:$H$89,MATCH($B58,IDX_SPECS!$B$2:$B$89,0))))),"")</f>
        <v>10000000000000</v>
      </c>
      <c r="I58" s="8">
        <f>IF($A58&lt;&gt;"",SUMIF(NXT_COMPO!$P$2:$P$1048576,$G58,NXT_COMPO!$O$2:$O$1048576)/$V58,"")</f>
        <v>13957715385000</v>
      </c>
      <c r="K58" s="74">
        <f>IF($A58&lt;&gt;"",NXT_COMPO!$B$6,"")</f>
        <v>41166</v>
      </c>
      <c r="L58" s="64"/>
      <c r="M58" s="64"/>
      <c r="P58" s="60">
        <f>IF($A58&lt;&gt;"",INDEX(IDX_SPECS!$J$2:$J$89,MATCH($B58,IDX_SPECS!$B$2:$B$89,0)),"")</f>
        <v>1395.7715384999999</v>
      </c>
      <c r="Q58" s="8">
        <f>IF($A58&lt;&gt;"",SUMIF(NXT_COMPO!$P$2:$P$1048576,$G58,NXT_COMPO!$R$2:$R$1048576)/$V58,"")</f>
        <v>0</v>
      </c>
      <c r="V58" s="12">
        <f>IF(B58&lt;&gt;"",IF(D58=INDEX($D$2:$D$1048576,MATCH(G58,$B$2:$B$1048576,0)),1,IF(ISNA(INDEX(CUR_RATES!$D:$D,SUMPRODUCT(--(WORKDAY(K58,-1)=CUR_RATES!$E$1:$E$97),--($D58&amp;INDEX($D$2:$D$1048576,MATCH($G58,$B$2:$B$1048576,0))=CUR_RATES!$A$1:$A$97),ROW(CUR_RATES!$E$1:$E$97)))),"",INDEX(CUR_RATES!$D:$D,SUMPRODUCT(--(WORKDAY(K58,-1)=CUR_RATES!$E$1:$E$97),--(D58&amp;INDEX($D$2:$D$1048576,MATCH(G58,$B$2:$B$1048576,0))=CUR_RATES!$A$1:$A$97),ROW(CUR_RATES!$E$1:$E$97))))),"")</f>
        <v>1</v>
      </c>
    </row>
    <row r="59" spans="1:22" x14ac:dyDescent="0.2">
      <c r="A59" s="21">
        <f>IF(ROW($B59)-ROW($B$1)&lt;=COUNTIF(IDX_SPECS!$B$2:$B$89,"*")-COUNTIF(IDX_SPECS!$B$2:$B$89,""),ROW($B59)-ROW($B$1),"")</f>
        <v>58</v>
      </c>
      <c r="B59" t="str">
        <f>IF(ROW($B59)-ROW($B$1)&lt;=COUNTIF(IDX_SPECS!$B$2:$B$89,"*")-COUNTIF(IDX_SPECS!$B$2:$B$89,""),INDEX(IDX_SPECS!$B$2:$B$89,ROW($B59)-ROW($B$1)),"")</f>
        <v>VNXOGPRUSD</v>
      </c>
      <c r="D59" t="str">
        <f>IF($A59&lt;&gt;"",INDEX(IDX_SPECS!$D$2:$D$89,MATCH($B59,IDX_SPECS!$B$2:$B$89,0)),"")</f>
        <v>USD</v>
      </c>
      <c r="F59" t="str">
        <f>IF($A59&lt;&gt;"",INDEX(IDX_SPECS!$F$2:$F$89,MATCH($B59,IDX_SPECS!$B$2:$B$89,0)),"")</f>
        <v>P</v>
      </c>
      <c r="G59" t="str">
        <f>IF($A59&lt;&gt;"",INDEX(IDX_SPECS!$G$2:$G$89,MATCH($B59,IDX_SPECS!$B$2:$B$89,0)),"")</f>
        <v>VNXOGPRVND</v>
      </c>
      <c r="H59" s="70">
        <f>IF($A59&lt;&gt;"",IF(F59="P",$I59/INDEX(IDX_SPECS!$I$2:$I$89,MATCH($B59,IDX_SPECS!$B$2:$B$89,0))*INDEX(IDX_SPECS!$H$2:$H$89,MATCH($B59,IDX_SPECS!$B$2:$B$89,0)),IF(INDEX(IDX_SPECS!$Q$2:$Q$89,MATCH($B59,IDX_SPECS!$B$2:$B$89,0))=0,INDEX(IDX_SPECS!$H$2:$H$89,MATCH($B59,IDX_SPECS!$B$2:$B$89,0)),IF($Q59=0,INDEX(IDX_SPECS!$H$2:$H$89,MATCH($B59,IDX_SPECS!$B$2:$B$89,0)),$Q59/INDEX(IDX_SPECS!$Q$2:$Q$89,MATCH($B59,IDX_SPECS!$B$2:$B$89,0))*INDEX(IDX_SPECS!$H$2:$H$89,MATCH($B59,IDX_SPECS!$B$2:$B$89,0))))),"")</f>
        <v>476190476.19047618</v>
      </c>
      <c r="I59" s="8">
        <f>IF($A59&lt;&gt;"",SUMIF(NXT_COMPO!$P$2:$P$1048576,$G59,NXT_COMPO!$O$2:$O$1048576)/$V59,"")</f>
        <v>637629757.19506621</v>
      </c>
      <c r="K59" s="74">
        <f>IF($A59&lt;&gt;"",NXT_COMPO!$B$6,"")</f>
        <v>41166</v>
      </c>
      <c r="L59" s="64"/>
      <c r="M59" s="64"/>
      <c r="P59" s="60">
        <f>IF($A59&lt;&gt;"",INDEX(IDX_SPECS!$J$2:$J$89,MATCH($B59,IDX_SPECS!$B$2:$B$89,0)),"")</f>
        <v>1339.022490109639</v>
      </c>
      <c r="Q59" s="8">
        <f>IF($A59&lt;&gt;"",SUMIF(NXT_COMPO!$P$2:$P$1048576,$G59,NXT_COMPO!$R$2:$R$1048576)/$V59,"")</f>
        <v>0</v>
      </c>
      <c r="V59" s="12">
        <f>IF(B59&lt;&gt;"",IF(D59=INDEX($D$2:$D$1048576,MATCH(G59,$B$2:$B$1048576,0)),1,IF(ISNA(INDEX(CUR_RATES!$D:$D,SUMPRODUCT(--(WORKDAY(K59,-1)=CUR_RATES!$E$1:$E$97),--($D59&amp;INDEX($D$2:$D$1048576,MATCH($G59,$B$2:$B$1048576,0))=CUR_RATES!$A$1:$A$97),ROW(CUR_RATES!$E$1:$E$97)))),"",INDEX(CUR_RATES!$D:$D,SUMPRODUCT(--(WORKDAY(K59,-1)=CUR_RATES!$E$1:$E$97),--(D59&amp;INDEX($D$2:$D$1048576,MATCH(G59,$B$2:$B$1048576,0))=CUR_RATES!$A$1:$A$97),ROW(CUR_RATES!$E$1:$E$97))))),"")</f>
        <v>21890</v>
      </c>
    </row>
    <row r="60" spans="1:22" x14ac:dyDescent="0.2">
      <c r="A60" s="21">
        <f>IF(ROW($B60)-ROW($B$1)&lt;=COUNTIF(IDX_SPECS!$B$2:$B$89,"*")-COUNTIF(IDX_SPECS!$B$2:$B$89,""),ROW($B60)-ROW($B$1),"")</f>
        <v>59</v>
      </c>
      <c r="B60" t="str">
        <f>IF(ROW($B60)-ROW($B$1)&lt;=COUNTIF(IDX_SPECS!$B$2:$B$89,"*")-COUNTIF(IDX_SPECS!$B$2:$B$89,""),INDEX(IDX_SPECS!$B$2:$B$89,ROW($B60)-ROW($B$1)),"")</f>
        <v>VNXOGPRJPY</v>
      </c>
      <c r="D60" t="str">
        <f>IF($A60&lt;&gt;"",INDEX(IDX_SPECS!$D$2:$D$89,MATCH($B60,IDX_SPECS!$B$2:$B$89,0)),"")</f>
        <v>JPY</v>
      </c>
      <c r="F60" t="str">
        <f>IF($A60&lt;&gt;"",INDEX(IDX_SPECS!$F$2:$F$89,MATCH($B60,IDX_SPECS!$B$2:$B$89,0)),"")</f>
        <v>P</v>
      </c>
      <c r="G60" t="str">
        <f>IF($A60&lt;&gt;"",INDEX(IDX_SPECS!$G$2:$G$89,MATCH($B60,IDX_SPECS!$B$2:$B$89,0)),"")</f>
        <v>VNXOGPRVND</v>
      </c>
      <c r="H60" s="70">
        <f>IF($A60&lt;&gt;"",IF(F60="P",$I60/INDEX(IDX_SPECS!$I$2:$I$89,MATCH($B60,IDX_SPECS!$B$2:$B$89,0))*INDEX(IDX_SPECS!$H$2:$H$89,MATCH($B60,IDX_SPECS!$B$2:$B$89,0)),IF(INDEX(IDX_SPECS!$Q$2:$Q$89,MATCH($B60,IDX_SPECS!$B$2:$B$89,0))=0,INDEX(IDX_SPECS!$H$2:$H$89,MATCH($B60,IDX_SPECS!$B$2:$B$89,0)),IF($Q60=0,INDEX(IDX_SPECS!$H$2:$H$89,MATCH($B60,IDX_SPECS!$B$2:$B$89,0)),$Q60/INDEX(IDX_SPECS!$Q$2:$Q$89,MATCH($B60,IDX_SPECS!$B$2:$B$89,0))*INDEX(IDX_SPECS!$H$2:$H$89,MATCH($B60,IDX_SPECS!$B$2:$B$89,0))))),"")</f>
        <v>37735849056.603775</v>
      </c>
      <c r="I60" s="8">
        <f>IF($A60&lt;&gt;"",SUMIF(NXT_COMPO!$P$2:$P$1048576,$G60,NXT_COMPO!$O$2:$O$1048576)/$V60,"")</f>
        <v>49495444627.659576</v>
      </c>
      <c r="K60" s="74">
        <f>IF($A60&lt;&gt;"",NXT_COMPO!$B$6,"")</f>
        <v>41166</v>
      </c>
      <c r="L60" s="64"/>
      <c r="M60" s="64"/>
      <c r="P60" s="60">
        <f>IF($A60&lt;&gt;"",INDEX(IDX_SPECS!$J$2:$J$89,MATCH($B60,IDX_SPECS!$B$2:$B$89,0)),"")</f>
        <v>1311.6292826329789</v>
      </c>
      <c r="Q60" s="8">
        <f>IF($A60&lt;&gt;"",SUMIF(NXT_COMPO!$P$2:$P$1048576,$G60,NXT_COMPO!$R$2:$R$1048576)/$V60,"")</f>
        <v>0</v>
      </c>
      <c r="V60" s="12">
        <f>IF(B60&lt;&gt;"",IF(D60=INDEX($D$2:$D$1048576,MATCH(G60,$B$2:$B$1048576,0)),1,IF(ISNA(INDEX(CUR_RATES!$D:$D,SUMPRODUCT(--(WORKDAY(K60,-1)=CUR_RATES!$E$1:$E$97),--($D60&amp;INDEX($D$2:$D$1048576,MATCH($G60,$B$2:$B$1048576,0))=CUR_RATES!$A$1:$A$97),ROW(CUR_RATES!$E$1:$E$97)))),"",INDEX(CUR_RATES!$D:$D,SUMPRODUCT(--(WORKDAY(K60,-1)=CUR_RATES!$E$1:$E$97),--(D60&amp;INDEX($D$2:$D$1048576,MATCH(G60,$B$2:$B$1048576,0))=CUR_RATES!$A$1:$A$97),ROW(CUR_RATES!$E$1:$E$97))))),"")</f>
        <v>282</v>
      </c>
    </row>
    <row r="61" spans="1:22" x14ac:dyDescent="0.2">
      <c r="A61" s="21">
        <f>IF(ROW($B61)-ROW($B$1)&lt;=COUNTIF(IDX_SPECS!$B$2:$B$89,"*")-COUNTIF(IDX_SPECS!$B$2:$B$89,""),ROW($B61)-ROW($B$1),"")</f>
        <v>60</v>
      </c>
      <c r="B61" t="str">
        <f>IF(ROW($B61)-ROW($B$1)&lt;=COUNTIF(IDX_SPECS!$B$2:$B$89,"*")-COUNTIF(IDX_SPECS!$B$2:$B$89,""),INDEX(IDX_SPECS!$B$2:$B$89,ROW($B61)-ROW($B$1)),"")</f>
        <v>VNXOGPREUR</v>
      </c>
      <c r="D61" t="str">
        <f>IF($A61&lt;&gt;"",INDEX(IDX_SPECS!$D$2:$D$89,MATCH($B61,IDX_SPECS!$B$2:$B$89,0)),"")</f>
        <v>EUR</v>
      </c>
      <c r="F61" t="str">
        <f>IF($A61&lt;&gt;"",INDEX(IDX_SPECS!$F$2:$F$89,MATCH($B61,IDX_SPECS!$B$2:$B$89,0)),"")</f>
        <v>P</v>
      </c>
      <c r="G61" t="str">
        <f>IF($A61&lt;&gt;"",INDEX(IDX_SPECS!$G$2:$G$89,MATCH($B61,IDX_SPECS!$B$2:$B$89,0)),"")</f>
        <v>VNXOGPRVND</v>
      </c>
      <c r="H61" s="70">
        <f>IF($A61&lt;&gt;"",IF(F61="P",$I61/INDEX(IDX_SPECS!$I$2:$I$89,MATCH($B61,IDX_SPECS!$B$2:$B$89,0))*INDEX(IDX_SPECS!$H$2:$H$89,MATCH($B61,IDX_SPECS!$B$2:$B$89,0)),IF(INDEX(IDX_SPECS!$Q$2:$Q$89,MATCH($B61,IDX_SPECS!$B$2:$B$89,0))=0,INDEX(IDX_SPECS!$H$2:$H$89,MATCH($B61,IDX_SPECS!$B$2:$B$89,0)),IF($Q61=0,INDEX(IDX_SPECS!$H$2:$H$89,MATCH($B61,IDX_SPECS!$B$2:$B$89,0)),$Q61/INDEX(IDX_SPECS!$Q$2:$Q$89,MATCH($B61,IDX_SPECS!$B$2:$B$89,0))*INDEX(IDX_SPECS!$H$2:$H$89,MATCH($B61,IDX_SPECS!$B$2:$B$89,0))))),"")</f>
        <v>344827586.20689654</v>
      </c>
      <c r="I61" s="8">
        <f>IF($A61&lt;&gt;"",SUMIF(NXT_COMPO!$P$2:$P$1048576,$G61,NXT_COMPO!$O$2:$O$1048576)/$V61,"")</f>
        <v>468211908.78571033</v>
      </c>
      <c r="K61" s="74">
        <f>IF($A61&lt;&gt;"",NXT_COMPO!$B$6,"")</f>
        <v>41166</v>
      </c>
      <c r="L61" s="64"/>
      <c r="M61" s="64"/>
      <c r="P61" s="60">
        <f>IF($A61&lt;&gt;"",INDEX(IDX_SPECS!$J$2:$J$89,MATCH($B61,IDX_SPECS!$B$2:$B$89,0)),"")</f>
        <v>1357.8145354785599</v>
      </c>
      <c r="Q61" s="8">
        <f>IF($A61&lt;&gt;"",SUMIF(NXT_COMPO!$P$2:$P$1048576,$G61,NXT_COMPO!$R$2:$R$1048576)/$V61,"")</f>
        <v>0</v>
      </c>
      <c r="V61" s="12">
        <f>IF(B61&lt;&gt;"",IF(D61=INDEX($D$2:$D$1048576,MATCH(G61,$B$2:$B$1048576,0)),1,IF(ISNA(INDEX(CUR_RATES!$D:$D,SUMPRODUCT(--(WORKDAY(K61,-1)=CUR_RATES!$E$1:$E$97),--($D61&amp;INDEX($D$2:$D$1048576,MATCH($G61,$B$2:$B$1048576,0))=CUR_RATES!$A$1:$A$97),ROW(CUR_RATES!$E$1:$E$97)))),"",INDEX(CUR_RATES!$D:$D,SUMPRODUCT(--(WORKDAY(K61,-1)=CUR_RATES!$E$1:$E$97),--(D61&amp;INDEX($D$2:$D$1048576,MATCH(G61,$B$2:$B$1048576,0))=CUR_RATES!$A$1:$A$97),ROW(CUR_RATES!$E$1:$E$97))))),"")</f>
        <v>29810.68</v>
      </c>
    </row>
    <row r="62" spans="1:22" x14ac:dyDescent="0.2">
      <c r="A62" s="21">
        <f>IF(ROW($B62)-ROW($B$1)&lt;=COUNTIF(IDX_SPECS!$B$2:$B$89,"*")-COUNTIF(IDX_SPECS!$B$2:$B$89,""),ROW($B62)-ROW($B$1),"")</f>
        <v>61</v>
      </c>
      <c r="B62" t="str">
        <f>IF(ROW($B62)-ROW($B$1)&lt;=COUNTIF(IDX_SPECS!$B$2:$B$89,"*")-COUNTIF(IDX_SPECS!$B$2:$B$89,""),INDEX(IDX_SPECS!$B$2:$B$89,ROW($B62)-ROW($B$1)),"")</f>
        <v>VNXUTPRVND</v>
      </c>
      <c r="D62" t="str">
        <f>IF($A62&lt;&gt;"",INDEX(IDX_SPECS!$D$2:$D$89,MATCH($B62,IDX_SPECS!$B$2:$B$89,0)),"")</f>
        <v>VND</v>
      </c>
      <c r="F62" t="str">
        <f>IF($A62&lt;&gt;"",INDEX(IDX_SPECS!$F$2:$F$89,MATCH($B62,IDX_SPECS!$B$2:$B$89,0)),"")</f>
        <v>P</v>
      </c>
      <c r="G62" t="str">
        <f>IF($A62&lt;&gt;"",INDEX(IDX_SPECS!$G$2:$G$89,MATCH($B62,IDX_SPECS!$B$2:$B$89,0)),"")</f>
        <v>VNXUTPRVND</v>
      </c>
      <c r="H62" s="70">
        <f>IF($A62&lt;&gt;"",IF(F62="P",$I62/INDEX(IDX_SPECS!$I$2:$I$89,MATCH($B62,IDX_SPECS!$B$2:$B$89,0))*INDEX(IDX_SPECS!$H$2:$H$89,MATCH($B62,IDX_SPECS!$B$2:$B$89,0)),IF(INDEX(IDX_SPECS!$Q$2:$Q$89,MATCH($B62,IDX_SPECS!$B$2:$B$89,0))=0,INDEX(IDX_SPECS!$H$2:$H$89,MATCH($B62,IDX_SPECS!$B$2:$B$89,0)),IF($Q62=0,INDEX(IDX_SPECS!$H$2:$H$89,MATCH($B62,IDX_SPECS!$B$2:$B$89,0)),$Q62/INDEX(IDX_SPECS!$Q$2:$Q$89,MATCH($B62,IDX_SPECS!$B$2:$B$89,0))*INDEX(IDX_SPECS!$H$2:$H$89,MATCH($B62,IDX_SPECS!$B$2:$B$89,0))))),"")</f>
        <v>10000000000000</v>
      </c>
      <c r="I62" s="8">
        <f>IF($A62&lt;&gt;"",SUMIF(NXT_COMPO!$P$2:$P$1048576,$G62,NXT_COMPO!$O$2:$O$1048576)/$V62,"")</f>
        <v>2957227000000</v>
      </c>
      <c r="K62" s="74">
        <f>IF($A62&lt;&gt;"",NXT_COMPO!$B$6,"")</f>
        <v>41166</v>
      </c>
      <c r="L62" s="64"/>
      <c r="M62" s="64"/>
      <c r="P62" s="60">
        <f>IF($A62&lt;&gt;"",INDEX(IDX_SPECS!$J$2:$J$89,MATCH($B62,IDX_SPECS!$B$2:$B$89,0)),"")</f>
        <v>295.72269999999997</v>
      </c>
      <c r="Q62" s="8">
        <f>IF($A62&lt;&gt;"",SUMIF(NXT_COMPO!$P$2:$P$1048576,$G62,NXT_COMPO!$R$2:$R$1048576)/$V62,"")</f>
        <v>0</v>
      </c>
      <c r="V62" s="12">
        <f>IF(B62&lt;&gt;"",IF(D62=INDEX($D$2:$D$1048576,MATCH(G62,$B$2:$B$1048576,0)),1,IF(ISNA(INDEX(CUR_RATES!$D:$D,SUMPRODUCT(--(WORKDAY(K62,-1)=CUR_RATES!$E$1:$E$97),--($D62&amp;INDEX($D$2:$D$1048576,MATCH($G62,$B$2:$B$1048576,0))=CUR_RATES!$A$1:$A$97),ROW(CUR_RATES!$E$1:$E$97)))),"",INDEX(CUR_RATES!$D:$D,SUMPRODUCT(--(WORKDAY(K62,-1)=CUR_RATES!$E$1:$E$97),--(D62&amp;INDEX($D$2:$D$1048576,MATCH(G62,$B$2:$B$1048576,0))=CUR_RATES!$A$1:$A$97),ROW(CUR_RATES!$E$1:$E$97))))),"")</f>
        <v>1</v>
      </c>
    </row>
    <row r="63" spans="1:22" x14ac:dyDescent="0.2">
      <c r="A63" s="21">
        <f>IF(ROW($B63)-ROW($B$1)&lt;=COUNTIF(IDX_SPECS!$B$2:$B$89,"*")-COUNTIF(IDX_SPECS!$B$2:$B$89,""),ROW($B63)-ROW($B$1),"")</f>
        <v>62</v>
      </c>
      <c r="B63" t="str">
        <f>IF(ROW($B63)-ROW($B$1)&lt;=COUNTIF(IDX_SPECS!$B$2:$B$89,"*")-COUNTIF(IDX_SPECS!$B$2:$B$89,""),INDEX(IDX_SPECS!$B$2:$B$89,ROW($B63)-ROW($B$1)),"")</f>
        <v>VNXUTPRUSD</v>
      </c>
      <c r="D63" t="str">
        <f>IF($A63&lt;&gt;"",INDEX(IDX_SPECS!$D$2:$D$89,MATCH($B63,IDX_SPECS!$B$2:$B$89,0)),"")</f>
        <v>USD</v>
      </c>
      <c r="F63" t="str">
        <f>IF($A63&lt;&gt;"",INDEX(IDX_SPECS!$F$2:$F$89,MATCH($B63,IDX_SPECS!$B$2:$B$89,0)),"")</f>
        <v>P</v>
      </c>
      <c r="G63" t="str">
        <f>IF($A63&lt;&gt;"",INDEX(IDX_SPECS!$G$2:$G$89,MATCH($B63,IDX_SPECS!$B$2:$B$89,0)),"")</f>
        <v>VNXUTPRVND</v>
      </c>
      <c r="H63" s="70">
        <f>IF($A63&lt;&gt;"",IF(F63="P",$I63/INDEX(IDX_SPECS!$I$2:$I$89,MATCH($B63,IDX_SPECS!$B$2:$B$89,0))*INDEX(IDX_SPECS!$H$2:$H$89,MATCH($B63,IDX_SPECS!$B$2:$B$89,0)),IF(INDEX(IDX_SPECS!$Q$2:$Q$89,MATCH($B63,IDX_SPECS!$B$2:$B$89,0))=0,INDEX(IDX_SPECS!$H$2:$H$89,MATCH($B63,IDX_SPECS!$B$2:$B$89,0)),IF($Q63=0,INDEX(IDX_SPECS!$H$2:$H$89,MATCH($B63,IDX_SPECS!$B$2:$B$89,0)),$Q63/INDEX(IDX_SPECS!$Q$2:$Q$89,MATCH($B63,IDX_SPECS!$B$2:$B$89,0))*INDEX(IDX_SPECS!$H$2:$H$89,MATCH($B63,IDX_SPECS!$B$2:$B$89,0))))),"")</f>
        <v>476190476.19047618</v>
      </c>
      <c r="I63" s="8">
        <f>IF($A63&lt;&gt;"",SUMIF(NXT_COMPO!$P$2:$P$1048576,$G63,NXT_COMPO!$O$2:$O$1048576)/$V63,"")</f>
        <v>135094883.50845134</v>
      </c>
      <c r="K63" s="74">
        <f>IF($A63&lt;&gt;"",NXT_COMPO!$B$6,"")</f>
        <v>41166</v>
      </c>
      <c r="L63" s="64"/>
      <c r="M63" s="64"/>
      <c r="P63" s="60">
        <f>IF($A63&lt;&gt;"",INDEX(IDX_SPECS!$J$2:$J$89,MATCH($B63,IDX_SPECS!$B$2:$B$89,0)),"")</f>
        <v>283.69925536774781</v>
      </c>
      <c r="Q63" s="8">
        <f>IF($A63&lt;&gt;"",SUMIF(NXT_COMPO!$P$2:$P$1048576,$G63,NXT_COMPO!$R$2:$R$1048576)/$V63,"")</f>
        <v>0</v>
      </c>
      <c r="V63" s="12">
        <f>IF(B63&lt;&gt;"",IF(D63=INDEX($D$2:$D$1048576,MATCH(G63,$B$2:$B$1048576,0)),1,IF(ISNA(INDEX(CUR_RATES!$D:$D,SUMPRODUCT(--(WORKDAY(K63,-1)=CUR_RATES!$E$1:$E$97),--($D63&amp;INDEX($D$2:$D$1048576,MATCH($G63,$B$2:$B$1048576,0))=CUR_RATES!$A$1:$A$97),ROW(CUR_RATES!$E$1:$E$97)))),"",INDEX(CUR_RATES!$D:$D,SUMPRODUCT(--(WORKDAY(K63,-1)=CUR_RATES!$E$1:$E$97),--(D63&amp;INDEX($D$2:$D$1048576,MATCH(G63,$B$2:$B$1048576,0))=CUR_RATES!$A$1:$A$97),ROW(CUR_RATES!$E$1:$E$97))))),"")</f>
        <v>21890</v>
      </c>
    </row>
    <row r="64" spans="1:22" x14ac:dyDescent="0.2">
      <c r="A64" s="21">
        <f>IF(ROW($B64)-ROW($B$1)&lt;=COUNTIF(IDX_SPECS!$B$2:$B$89,"*")-COUNTIF(IDX_SPECS!$B$2:$B$89,""),ROW($B64)-ROW($B$1),"")</f>
        <v>63</v>
      </c>
      <c r="B64" t="str">
        <f>IF(ROW($B64)-ROW($B$1)&lt;=COUNTIF(IDX_SPECS!$B$2:$B$89,"*")-COUNTIF(IDX_SPECS!$B$2:$B$89,""),INDEX(IDX_SPECS!$B$2:$B$89,ROW($B64)-ROW($B$1)),"")</f>
        <v>VNXUTPRJPY</v>
      </c>
      <c r="D64" t="str">
        <f>IF($A64&lt;&gt;"",INDEX(IDX_SPECS!$D$2:$D$89,MATCH($B64,IDX_SPECS!$B$2:$B$89,0)),"")</f>
        <v>JPY</v>
      </c>
      <c r="F64" t="str">
        <f>IF($A64&lt;&gt;"",INDEX(IDX_SPECS!$F$2:$F$89,MATCH($B64,IDX_SPECS!$B$2:$B$89,0)),"")</f>
        <v>P</v>
      </c>
      <c r="G64" t="str">
        <f>IF($A64&lt;&gt;"",INDEX(IDX_SPECS!$G$2:$G$89,MATCH($B64,IDX_SPECS!$B$2:$B$89,0)),"")</f>
        <v>VNXUTPRVND</v>
      </c>
      <c r="H64" s="70">
        <f>IF($A64&lt;&gt;"",IF(F64="P",$I64/INDEX(IDX_SPECS!$I$2:$I$89,MATCH($B64,IDX_SPECS!$B$2:$B$89,0))*INDEX(IDX_SPECS!$H$2:$H$89,MATCH($B64,IDX_SPECS!$B$2:$B$89,0)),IF(INDEX(IDX_SPECS!$Q$2:$Q$89,MATCH($B64,IDX_SPECS!$B$2:$B$89,0))=0,INDEX(IDX_SPECS!$H$2:$H$89,MATCH($B64,IDX_SPECS!$B$2:$B$89,0)),IF($Q64=0,INDEX(IDX_SPECS!$H$2:$H$89,MATCH($B64,IDX_SPECS!$B$2:$B$89,0)),$Q64/INDEX(IDX_SPECS!$Q$2:$Q$89,MATCH($B64,IDX_SPECS!$B$2:$B$89,0))*INDEX(IDX_SPECS!$H$2:$H$89,MATCH($B64,IDX_SPECS!$B$2:$B$89,0))))),"")</f>
        <v>37735849056.603775</v>
      </c>
      <c r="I64" s="8">
        <f>IF($A64&lt;&gt;"",SUMIF(NXT_COMPO!$P$2:$P$1048576,$G64,NXT_COMPO!$O$2:$O$1048576)/$V64,"")</f>
        <v>10486620567.375887</v>
      </c>
      <c r="K64" s="74">
        <f>IF($A64&lt;&gt;"",NXT_COMPO!$B$6,"")</f>
        <v>41166</v>
      </c>
      <c r="L64" s="64"/>
      <c r="M64" s="64"/>
      <c r="P64" s="60">
        <f>IF($A64&lt;&gt;"",INDEX(IDX_SPECS!$J$2:$J$89,MATCH($B64,IDX_SPECS!$B$2:$B$89,0)),"")</f>
        <v>277.89544503546097</v>
      </c>
      <c r="Q64" s="8">
        <f>IF($A64&lt;&gt;"",SUMIF(NXT_COMPO!$P$2:$P$1048576,$G64,NXT_COMPO!$R$2:$R$1048576)/$V64,"")</f>
        <v>0</v>
      </c>
      <c r="V64" s="12">
        <f>IF(B64&lt;&gt;"",IF(D64=INDEX($D$2:$D$1048576,MATCH(G64,$B$2:$B$1048576,0)),1,IF(ISNA(INDEX(CUR_RATES!$D:$D,SUMPRODUCT(--(WORKDAY(K64,-1)=CUR_RATES!$E$1:$E$97),--($D64&amp;INDEX($D$2:$D$1048576,MATCH($G64,$B$2:$B$1048576,0))=CUR_RATES!$A$1:$A$97),ROW(CUR_RATES!$E$1:$E$97)))),"",INDEX(CUR_RATES!$D:$D,SUMPRODUCT(--(WORKDAY(K64,-1)=CUR_RATES!$E$1:$E$97),--(D64&amp;INDEX($D$2:$D$1048576,MATCH(G64,$B$2:$B$1048576,0))=CUR_RATES!$A$1:$A$97),ROW(CUR_RATES!$E$1:$E$97))))),"")</f>
        <v>282</v>
      </c>
    </row>
    <row r="65" spans="1:22" x14ac:dyDescent="0.2">
      <c r="A65" s="21">
        <f>IF(ROW($B65)-ROW($B$1)&lt;=COUNTIF(IDX_SPECS!$B$2:$B$89,"*")-COUNTIF(IDX_SPECS!$B$2:$B$89,""),ROW($B65)-ROW($B$1),"")</f>
        <v>64</v>
      </c>
      <c r="B65" t="str">
        <f>IF(ROW($B65)-ROW($B$1)&lt;=COUNTIF(IDX_SPECS!$B$2:$B$89,"*")-COUNTIF(IDX_SPECS!$B$2:$B$89,""),INDEX(IDX_SPECS!$B$2:$B$89,ROW($B65)-ROW($B$1)),"")</f>
        <v>VNXUTPREUR</v>
      </c>
      <c r="D65" t="str">
        <f>IF($A65&lt;&gt;"",INDEX(IDX_SPECS!$D$2:$D$89,MATCH($B65,IDX_SPECS!$B$2:$B$89,0)),"")</f>
        <v>EUR</v>
      </c>
      <c r="F65" t="str">
        <f>IF($A65&lt;&gt;"",INDEX(IDX_SPECS!$F$2:$F$89,MATCH($B65,IDX_SPECS!$B$2:$B$89,0)),"")</f>
        <v>P</v>
      </c>
      <c r="G65" t="str">
        <f>IF($A65&lt;&gt;"",INDEX(IDX_SPECS!$G$2:$G$89,MATCH($B65,IDX_SPECS!$B$2:$B$89,0)),"")</f>
        <v>VNXUTPRVND</v>
      </c>
      <c r="H65" s="70">
        <f>IF($A65&lt;&gt;"",IF(F65="P",$I65/INDEX(IDX_SPECS!$I$2:$I$89,MATCH($B65,IDX_SPECS!$B$2:$B$89,0))*INDEX(IDX_SPECS!$H$2:$H$89,MATCH($B65,IDX_SPECS!$B$2:$B$89,0)),IF(INDEX(IDX_SPECS!$Q$2:$Q$89,MATCH($B65,IDX_SPECS!$B$2:$B$89,0))=0,INDEX(IDX_SPECS!$H$2:$H$89,MATCH($B65,IDX_SPECS!$B$2:$B$89,0)),IF($Q65=0,INDEX(IDX_SPECS!$H$2:$H$89,MATCH($B65,IDX_SPECS!$B$2:$B$89,0)),$Q65/INDEX(IDX_SPECS!$Q$2:$Q$89,MATCH($B65,IDX_SPECS!$B$2:$B$89,0))*INDEX(IDX_SPECS!$H$2:$H$89,MATCH($B65,IDX_SPECS!$B$2:$B$89,0))))),"")</f>
        <v>344827586.20689654</v>
      </c>
      <c r="I65" s="8">
        <f>IF($A65&lt;&gt;"",SUMIF(NXT_COMPO!$P$2:$P$1048576,$G65,NXT_COMPO!$O$2:$O$1048576)/$V65,"")</f>
        <v>99200253.063667119</v>
      </c>
      <c r="K65" s="74">
        <f>IF($A65&lt;&gt;"",NXT_COMPO!$B$6,"")</f>
        <v>41166</v>
      </c>
      <c r="L65" s="64"/>
      <c r="M65" s="64"/>
      <c r="P65" s="60">
        <f>IF($A65&lt;&gt;"",INDEX(IDX_SPECS!$J$2:$J$89,MATCH($B65,IDX_SPECS!$B$2:$B$89,0)),"")</f>
        <v>287.68073388463466</v>
      </c>
      <c r="Q65" s="8">
        <f>IF($A65&lt;&gt;"",SUMIF(NXT_COMPO!$P$2:$P$1048576,$G65,NXT_COMPO!$R$2:$R$1048576)/$V65,"")</f>
        <v>0</v>
      </c>
      <c r="V65" s="12">
        <f>IF(B65&lt;&gt;"",IF(D65=INDEX($D$2:$D$1048576,MATCH(G65,$B$2:$B$1048576,0)),1,IF(ISNA(INDEX(CUR_RATES!$D:$D,SUMPRODUCT(--(WORKDAY(K65,-1)=CUR_RATES!$E$1:$E$97),--($D65&amp;INDEX($D$2:$D$1048576,MATCH($G65,$B$2:$B$1048576,0))=CUR_RATES!$A$1:$A$97),ROW(CUR_RATES!$E$1:$E$97)))),"",INDEX(CUR_RATES!$D:$D,SUMPRODUCT(--(WORKDAY(K65,-1)=CUR_RATES!$E$1:$E$97),--(D65&amp;INDEX($D$2:$D$1048576,MATCH(G65,$B$2:$B$1048576,0))=CUR_RATES!$A$1:$A$97),ROW(CUR_RATES!$E$1:$E$97))))),"")</f>
        <v>29810.68</v>
      </c>
    </row>
    <row r="66" spans="1:22" x14ac:dyDescent="0.2">
      <c r="A66" s="21">
        <f>IF(ROW($B66)-ROW($B$1)&lt;=COUNTIF(IDX_SPECS!$B$2:$B$89,"*")-COUNTIF(IDX_SPECS!$B$2:$B$89,""),ROW($B66)-ROW($B$1),"")</f>
        <v>65</v>
      </c>
      <c r="B66" t="str">
        <f>IF(ROW($B66)-ROW($B$1)&lt;=COUNTIF(IDX_SPECS!$B$2:$B$89,"*")-COUNTIF(IDX_SPECS!$B$2:$B$89,""),INDEX(IDX_SPECS!$B$2:$B$89,ROW($B66)-ROW($B$1)),"")</f>
        <v>VNXBMTRVND</v>
      </c>
      <c r="D66" t="str">
        <f>IF($A66&lt;&gt;"",INDEX(IDX_SPECS!$D$2:$D$89,MATCH($B66,IDX_SPECS!$B$2:$B$89,0)),"")</f>
        <v>VND</v>
      </c>
      <c r="F66" t="str">
        <f>IF($A66&lt;&gt;"",INDEX(IDX_SPECS!$F$2:$F$89,MATCH($B66,IDX_SPECS!$B$2:$B$89,0)),"")</f>
        <v>R</v>
      </c>
      <c r="G66" t="str">
        <f>IF($A66&lt;&gt;"",INDEX(IDX_SPECS!$G$2:$G$89,MATCH($B66,IDX_SPECS!$B$2:$B$89,0)),"")</f>
        <v>VNXBMPRVND</v>
      </c>
      <c r="H66" s="70">
        <f>IF($A66&lt;&gt;"",IF(F66="P",$I66/INDEX(IDX_SPECS!$I$2:$I$89,MATCH($B66,IDX_SPECS!$B$2:$B$89,0))*INDEX(IDX_SPECS!$H$2:$H$89,MATCH($B66,IDX_SPECS!$B$2:$B$89,0)),IF(INDEX(IDX_SPECS!$Q$2:$Q$89,MATCH($B66,IDX_SPECS!$B$2:$B$89,0))=0,INDEX(IDX_SPECS!$H$2:$H$89,MATCH($B66,IDX_SPECS!$B$2:$B$89,0)),IF($Q66=0,INDEX(IDX_SPECS!$H$2:$H$89,MATCH($B66,IDX_SPECS!$B$2:$B$89,0)),$Q66/INDEX(IDX_SPECS!$Q$2:$Q$89,MATCH($B66,IDX_SPECS!$B$2:$B$89,0))*INDEX(IDX_SPECS!$H$2:$H$89,MATCH($B66,IDX_SPECS!$B$2:$B$89,0))))),"")</f>
        <v>10000000000000</v>
      </c>
      <c r="I66" s="8">
        <f>IF($A66&lt;&gt;"",SUMIF(NXT_COMPO!$P$2:$P$1048576,$G66,NXT_COMPO!$O$2:$O$1048576)/$V66,"")</f>
        <v>14803791408000</v>
      </c>
      <c r="K66" s="74">
        <f>IF($A66&lt;&gt;"",NXT_COMPO!$B$6,"")</f>
        <v>41166</v>
      </c>
      <c r="L66" s="64"/>
      <c r="M66" s="64"/>
      <c r="P66" s="60">
        <f>IF($A66&lt;&gt;"",INDEX(IDX_SPECS!$J$2:$J$89,MATCH($B66,IDX_SPECS!$B$2:$B$89,0)),"")</f>
        <v>1572.0839193562765</v>
      </c>
      <c r="Q66" s="8">
        <f>IF($A66&lt;&gt;"",SUMIF(NXT_COMPO!$P$2:$P$1048576,$G66,NXT_COMPO!$R$2:$R$1048576)/$V66,"")</f>
        <v>0</v>
      </c>
      <c r="V66" s="12">
        <f>IF(B66&lt;&gt;"",IF(D66=INDEX($D$2:$D$1048576,MATCH(G66,$B$2:$B$1048576,0)),1,IF(ISNA(INDEX(CUR_RATES!$D:$D,SUMPRODUCT(--(WORKDAY(K66,-1)=CUR_RATES!$E$1:$E$97),--($D66&amp;INDEX($D$2:$D$1048576,MATCH($G66,$B$2:$B$1048576,0))=CUR_RATES!$A$1:$A$97),ROW(CUR_RATES!$E$1:$E$97)))),"",INDEX(CUR_RATES!$D:$D,SUMPRODUCT(--(WORKDAY(K66,-1)=CUR_RATES!$E$1:$E$97),--(D66&amp;INDEX($D$2:$D$1048576,MATCH(G66,$B$2:$B$1048576,0))=CUR_RATES!$A$1:$A$97),ROW(CUR_RATES!$E$1:$E$97))))),"")</f>
        <v>1</v>
      </c>
    </row>
    <row r="67" spans="1:22" x14ac:dyDescent="0.2">
      <c r="A67" s="21">
        <f>IF(ROW($B67)-ROW($B$1)&lt;=COUNTIF(IDX_SPECS!$B$2:$B$89,"*")-COUNTIF(IDX_SPECS!$B$2:$B$89,""),ROW($B67)-ROW($B$1),"")</f>
        <v>66</v>
      </c>
      <c r="B67" t="str">
        <f>IF(ROW($B67)-ROW($B$1)&lt;=COUNTIF(IDX_SPECS!$B$2:$B$89,"*")-COUNTIF(IDX_SPECS!$B$2:$B$89,""),INDEX(IDX_SPECS!$B$2:$B$89,ROW($B67)-ROW($B$1)),"")</f>
        <v>VNXBMTRUSD</v>
      </c>
      <c r="D67" t="str">
        <f>IF($A67&lt;&gt;"",INDEX(IDX_SPECS!$D$2:$D$89,MATCH($B67,IDX_SPECS!$B$2:$B$89,0)),"")</f>
        <v>USD</v>
      </c>
      <c r="F67" t="str">
        <f>IF($A67&lt;&gt;"",INDEX(IDX_SPECS!$F$2:$F$89,MATCH($B67,IDX_SPECS!$B$2:$B$89,0)),"")</f>
        <v>R</v>
      </c>
      <c r="G67" t="str">
        <f>IF($A67&lt;&gt;"",INDEX(IDX_SPECS!$G$2:$G$89,MATCH($B67,IDX_SPECS!$B$2:$B$89,0)),"")</f>
        <v>VNXBMPRVND</v>
      </c>
      <c r="H67" s="70">
        <f>IF($A67&lt;&gt;"",IF(F67="P",$I67/INDEX(IDX_SPECS!$I$2:$I$89,MATCH($B67,IDX_SPECS!$B$2:$B$89,0))*INDEX(IDX_SPECS!$H$2:$H$89,MATCH($B67,IDX_SPECS!$B$2:$B$89,0)),IF(INDEX(IDX_SPECS!$Q$2:$Q$89,MATCH($B67,IDX_SPECS!$B$2:$B$89,0))=0,INDEX(IDX_SPECS!$H$2:$H$89,MATCH($B67,IDX_SPECS!$B$2:$B$89,0)),IF($Q67=0,INDEX(IDX_SPECS!$H$2:$H$89,MATCH($B67,IDX_SPECS!$B$2:$B$89,0)),$Q67/INDEX(IDX_SPECS!$Q$2:$Q$89,MATCH($B67,IDX_SPECS!$B$2:$B$89,0))*INDEX(IDX_SPECS!$H$2:$H$89,MATCH($B67,IDX_SPECS!$B$2:$B$89,0))))),"")</f>
        <v>476190476190.4762</v>
      </c>
      <c r="I67" s="8">
        <f>IF($A67&lt;&gt;"",SUMIF(NXT_COMPO!$P$2:$P$1048576,$G67,NXT_COMPO!$O$2:$O$1048576)/$V67,"")</f>
        <v>676281014.52718139</v>
      </c>
      <c r="K67" s="74">
        <f>IF($A67&lt;&gt;"",NXT_COMPO!$B$6,"")</f>
        <v>41166</v>
      </c>
      <c r="L67" s="64"/>
      <c r="M67" s="64"/>
      <c r="P67" s="60">
        <f>IF($A67&lt;&gt;"",INDEX(IDX_SPECS!$J$2:$J$89,MATCH($B67,IDX_SPECS!$B$2:$B$89,0)),"")</f>
        <v>1414.0902087916224</v>
      </c>
      <c r="Q67" s="8">
        <f>IF($A67&lt;&gt;"",SUMIF(NXT_COMPO!$P$2:$P$1048576,$G67,NXT_COMPO!$R$2:$R$1048576)/$V67,"")</f>
        <v>0</v>
      </c>
      <c r="V67" s="12">
        <f>IF(B67&lt;&gt;"",IF(D67=INDEX($D$2:$D$1048576,MATCH(G67,$B$2:$B$1048576,0)),1,IF(ISNA(INDEX(CUR_RATES!$D:$D,SUMPRODUCT(--(WORKDAY(K67,-1)=CUR_RATES!$E$1:$E$97),--($D67&amp;INDEX($D$2:$D$1048576,MATCH($G67,$B$2:$B$1048576,0))=CUR_RATES!$A$1:$A$97),ROW(CUR_RATES!$E$1:$E$97)))),"",INDEX(CUR_RATES!$D:$D,SUMPRODUCT(--(WORKDAY(K67,-1)=CUR_RATES!$E$1:$E$97),--(D67&amp;INDEX($D$2:$D$1048576,MATCH(G67,$B$2:$B$1048576,0))=CUR_RATES!$A$1:$A$97),ROW(CUR_RATES!$E$1:$E$97))))),"")</f>
        <v>21890</v>
      </c>
    </row>
    <row r="68" spans="1:22" x14ac:dyDescent="0.2">
      <c r="A68" s="21">
        <f>IF(ROW($B68)-ROW($B$1)&lt;=COUNTIF(IDX_SPECS!$B$2:$B$89,"*")-COUNTIF(IDX_SPECS!$B$2:$B$89,""),ROW($B68)-ROW($B$1),"")</f>
        <v>67</v>
      </c>
      <c r="B68" t="str">
        <f>IF(ROW($B68)-ROW($B$1)&lt;=COUNTIF(IDX_SPECS!$B$2:$B$89,"*")-COUNTIF(IDX_SPECS!$B$2:$B$89,""),INDEX(IDX_SPECS!$B$2:$B$89,ROW($B68)-ROW($B$1)),"")</f>
        <v>VNXBMTRJPY</v>
      </c>
      <c r="D68" t="str">
        <f>IF($A68&lt;&gt;"",INDEX(IDX_SPECS!$D$2:$D$89,MATCH($B68,IDX_SPECS!$B$2:$B$89,0)),"")</f>
        <v>JPY</v>
      </c>
      <c r="F68" t="str">
        <f>IF($A68&lt;&gt;"",INDEX(IDX_SPECS!$F$2:$F$89,MATCH($B68,IDX_SPECS!$B$2:$B$89,0)),"")</f>
        <v>R</v>
      </c>
      <c r="G68" t="str">
        <f>IF($A68&lt;&gt;"",INDEX(IDX_SPECS!$G$2:$G$89,MATCH($B68,IDX_SPECS!$B$2:$B$89,0)),"")</f>
        <v>VNXBMPRVND</v>
      </c>
      <c r="H68" s="70">
        <f>IF($A68&lt;&gt;"",IF(F68="P",$I68/INDEX(IDX_SPECS!$I$2:$I$89,MATCH($B68,IDX_SPECS!$B$2:$B$89,0))*INDEX(IDX_SPECS!$H$2:$H$89,MATCH($B68,IDX_SPECS!$B$2:$B$89,0)),IF(INDEX(IDX_SPECS!$Q$2:$Q$89,MATCH($B68,IDX_SPECS!$B$2:$B$89,0))=0,INDEX(IDX_SPECS!$H$2:$H$89,MATCH($B68,IDX_SPECS!$B$2:$B$89,0)),IF($Q68=0,INDEX(IDX_SPECS!$H$2:$H$89,MATCH($B68,IDX_SPECS!$B$2:$B$89,0)),$Q68/INDEX(IDX_SPECS!$Q$2:$Q$89,MATCH($B68,IDX_SPECS!$B$2:$B$89,0))*INDEX(IDX_SPECS!$H$2:$H$89,MATCH($B68,IDX_SPECS!$B$2:$B$89,0))))),"")</f>
        <v>37735849056.603775</v>
      </c>
      <c r="I68" s="8">
        <f>IF($A68&lt;&gt;"",SUMIF(NXT_COMPO!$P$2:$P$1048576,$G68,NXT_COMPO!$O$2:$O$1048576)/$V68,"")</f>
        <v>52495714212.765961</v>
      </c>
      <c r="K68" s="74">
        <f>IF($A68&lt;&gt;"",NXT_COMPO!$B$6,"")</f>
        <v>41166</v>
      </c>
      <c r="L68" s="64"/>
      <c r="M68" s="64"/>
      <c r="P68" s="60">
        <f>IF($A68&lt;&gt;"",INDEX(IDX_SPECS!$J$2:$J$89,MATCH($B68,IDX_SPECS!$B$2:$B$89,0)),"")</f>
        <v>1689.9633314358146</v>
      </c>
      <c r="Q68" s="8">
        <f>IF($A68&lt;&gt;"",SUMIF(NXT_COMPO!$P$2:$P$1048576,$G68,NXT_COMPO!$R$2:$R$1048576)/$V68,"")</f>
        <v>0</v>
      </c>
      <c r="V68" s="12">
        <f>IF(B68&lt;&gt;"",IF(D68=INDEX($D$2:$D$1048576,MATCH(G68,$B$2:$B$1048576,0)),1,IF(ISNA(INDEX(CUR_RATES!$D:$D,SUMPRODUCT(--(WORKDAY(K68,-1)=CUR_RATES!$E$1:$E$97),--($D68&amp;INDEX($D$2:$D$1048576,MATCH($G68,$B$2:$B$1048576,0))=CUR_RATES!$A$1:$A$97),ROW(CUR_RATES!$E$1:$E$97)))),"",INDEX(CUR_RATES!$D:$D,SUMPRODUCT(--(WORKDAY(K68,-1)=CUR_RATES!$E$1:$E$97),--(D68&amp;INDEX($D$2:$D$1048576,MATCH(G68,$B$2:$B$1048576,0))=CUR_RATES!$A$1:$A$97),ROW(CUR_RATES!$E$1:$E$97))))),"")</f>
        <v>282</v>
      </c>
    </row>
    <row r="69" spans="1:22" x14ac:dyDescent="0.2">
      <c r="A69" s="21">
        <f>IF(ROW($B69)-ROW($B$1)&lt;=COUNTIF(IDX_SPECS!$B$2:$B$89,"*")-COUNTIF(IDX_SPECS!$B$2:$B$89,""),ROW($B69)-ROW($B$1),"")</f>
        <v>68</v>
      </c>
      <c r="B69" t="str">
        <f>IF(ROW($B69)-ROW($B$1)&lt;=COUNTIF(IDX_SPECS!$B$2:$B$89,"*")-COUNTIF(IDX_SPECS!$B$2:$B$89,""),INDEX(IDX_SPECS!$B$2:$B$89,ROW($B69)-ROW($B$1)),"")</f>
        <v>VNXBMTREUR</v>
      </c>
      <c r="D69" t="str">
        <f>IF($A69&lt;&gt;"",INDEX(IDX_SPECS!$D$2:$D$89,MATCH($B69,IDX_SPECS!$B$2:$B$89,0)),"")</f>
        <v>EUR</v>
      </c>
      <c r="F69" t="str">
        <f>IF($A69&lt;&gt;"",INDEX(IDX_SPECS!$F$2:$F$89,MATCH($B69,IDX_SPECS!$B$2:$B$89,0)),"")</f>
        <v>R</v>
      </c>
      <c r="G69" t="str">
        <f>IF($A69&lt;&gt;"",INDEX(IDX_SPECS!$G$2:$G$89,MATCH($B69,IDX_SPECS!$B$2:$B$89,0)),"")</f>
        <v>VNXBMPRVND</v>
      </c>
      <c r="H69" s="70">
        <f>IF($A69&lt;&gt;"",IF(F69="P",$I69/INDEX(IDX_SPECS!$I$2:$I$89,MATCH($B69,IDX_SPECS!$B$2:$B$89,0))*INDEX(IDX_SPECS!$H$2:$H$89,MATCH($B69,IDX_SPECS!$B$2:$B$89,0)),IF(INDEX(IDX_SPECS!$Q$2:$Q$89,MATCH($B69,IDX_SPECS!$B$2:$B$89,0))=0,INDEX(IDX_SPECS!$H$2:$H$89,MATCH($B69,IDX_SPECS!$B$2:$B$89,0)),IF($Q69=0,INDEX(IDX_SPECS!$H$2:$H$89,MATCH($B69,IDX_SPECS!$B$2:$B$89,0)),$Q69/INDEX(IDX_SPECS!$Q$2:$Q$89,MATCH($B69,IDX_SPECS!$B$2:$B$89,0))*INDEX(IDX_SPECS!$H$2:$H$89,MATCH($B69,IDX_SPECS!$B$2:$B$89,0))))),"")</f>
        <v>344827586206.89655</v>
      </c>
      <c r="I69" s="8">
        <f>IF($A69&lt;&gt;"",SUMIF(NXT_COMPO!$P$2:$P$1048576,$G69,NXT_COMPO!$O$2:$O$1048576)/$V69,"")</f>
        <v>496593549.96263081</v>
      </c>
      <c r="K69" s="74">
        <f>IF($A69&lt;&gt;"",NXT_COMPO!$B$6,"")</f>
        <v>41166</v>
      </c>
      <c r="L69" s="64"/>
      <c r="M69" s="64"/>
      <c r="P69" s="60">
        <f>IF($A69&lt;&gt;"",INDEX(IDX_SPECS!$J$2:$J$89,MATCH($B69,IDX_SPECS!$B$2:$B$89,0)),"")</f>
        <v>1356.2927077094992</v>
      </c>
      <c r="Q69" s="8">
        <f>IF($A69&lt;&gt;"",SUMIF(NXT_COMPO!$P$2:$P$1048576,$G69,NXT_COMPO!$R$2:$R$1048576)/$V69,"")</f>
        <v>0</v>
      </c>
      <c r="V69" s="12">
        <f>IF(B69&lt;&gt;"",IF(D69=INDEX($D$2:$D$1048576,MATCH(G69,$B$2:$B$1048576,0)),1,IF(ISNA(INDEX(CUR_RATES!$D:$D,SUMPRODUCT(--(WORKDAY(K69,-1)=CUR_RATES!$E$1:$E$97),--($D69&amp;INDEX($D$2:$D$1048576,MATCH($G69,$B$2:$B$1048576,0))=CUR_RATES!$A$1:$A$97),ROW(CUR_RATES!$E$1:$E$97)))),"",INDEX(CUR_RATES!$D:$D,SUMPRODUCT(--(WORKDAY(K69,-1)=CUR_RATES!$E$1:$E$97),--(D69&amp;INDEX($D$2:$D$1048576,MATCH(G69,$B$2:$B$1048576,0))=CUR_RATES!$A$1:$A$97),ROW(CUR_RATES!$E$1:$E$97))))),"")</f>
        <v>29810.68</v>
      </c>
    </row>
    <row r="70" spans="1:22" x14ac:dyDescent="0.2">
      <c r="A70" s="21">
        <f>IF(ROW($B70)-ROW($B$1)&lt;=COUNTIF(IDX_SPECS!$B$2:$B$89,"*")-COUNTIF(IDX_SPECS!$B$2:$B$89,""),ROW($B70)-ROW($B$1),"")</f>
        <v>69</v>
      </c>
      <c r="B70" t="str">
        <f>IF(ROW($B70)-ROW($B$1)&lt;=COUNTIF(IDX_SPECS!$B$2:$B$89,"*")-COUNTIF(IDX_SPECS!$B$2:$B$89,""),INDEX(IDX_SPECS!$B$2:$B$89,ROW($B70)-ROW($B$1)),"")</f>
        <v>VNXCSTRVND</v>
      </c>
      <c r="D70" t="str">
        <f>IF($A70&lt;&gt;"",INDEX(IDX_SPECS!$D$2:$D$89,MATCH($B70,IDX_SPECS!$B$2:$B$89,0)),"")</f>
        <v>VND</v>
      </c>
      <c r="F70" t="str">
        <f>IF($A70&lt;&gt;"",INDEX(IDX_SPECS!$F$2:$F$89,MATCH($B70,IDX_SPECS!$B$2:$B$89,0)),"")</f>
        <v>R</v>
      </c>
      <c r="G70" t="str">
        <f>IF($A70&lt;&gt;"",INDEX(IDX_SPECS!$G$2:$G$89,MATCH($B70,IDX_SPECS!$B$2:$B$89,0)),"")</f>
        <v>VNXCSPRVND</v>
      </c>
      <c r="H70" s="70">
        <f>IF($A70&lt;&gt;"",IF(F70="P",$I70/INDEX(IDX_SPECS!$I$2:$I$89,MATCH($B70,IDX_SPECS!$B$2:$B$89,0))*INDEX(IDX_SPECS!$H$2:$H$89,MATCH($B70,IDX_SPECS!$B$2:$B$89,0)),IF(INDEX(IDX_SPECS!$Q$2:$Q$89,MATCH($B70,IDX_SPECS!$B$2:$B$89,0))=0,INDEX(IDX_SPECS!$H$2:$H$89,MATCH($B70,IDX_SPECS!$B$2:$B$89,0)),IF($Q70=0,INDEX(IDX_SPECS!$H$2:$H$89,MATCH($B70,IDX_SPECS!$B$2:$B$89,0)),$Q70/INDEX(IDX_SPECS!$Q$2:$Q$89,MATCH($B70,IDX_SPECS!$B$2:$B$89,0))*INDEX(IDX_SPECS!$H$2:$H$89,MATCH($B70,IDX_SPECS!$B$2:$B$89,0))))),"")</f>
        <v>10000000000000</v>
      </c>
      <c r="I70" s="8">
        <f>IF($A70&lt;&gt;"",SUMIF(NXT_COMPO!$P$2:$P$1048576,$G70,NXT_COMPO!$O$2:$O$1048576)/$V70,"")</f>
        <v>788158560000</v>
      </c>
      <c r="K70" s="74">
        <f>IF($A70&lt;&gt;"",NXT_COMPO!$B$6,"")</f>
        <v>41166</v>
      </c>
      <c r="L70" s="64"/>
      <c r="M70" s="64"/>
      <c r="P70" s="60">
        <f>IF($A70&lt;&gt;"",INDEX(IDX_SPECS!$J$2:$J$89,MATCH($B70,IDX_SPECS!$B$2:$B$89,0)),"")</f>
        <v>115.6852126298579</v>
      </c>
      <c r="Q70" s="8">
        <f>IF($A70&lt;&gt;"",SUMIF(NXT_COMPO!$P$2:$P$1048576,$G70,NXT_COMPO!$R$2:$R$1048576)/$V70,"")</f>
        <v>0</v>
      </c>
      <c r="V70" s="12">
        <f>IF(B70&lt;&gt;"",IF(D70=INDEX($D$2:$D$1048576,MATCH(G70,$B$2:$B$1048576,0)),1,IF(ISNA(INDEX(CUR_RATES!$D:$D,SUMPRODUCT(--(WORKDAY(K70,-1)=CUR_RATES!$E$1:$E$97),--($D70&amp;INDEX($D$2:$D$1048576,MATCH($G70,$B$2:$B$1048576,0))=CUR_RATES!$A$1:$A$97),ROW(CUR_RATES!$E$1:$E$97)))),"",INDEX(CUR_RATES!$D:$D,SUMPRODUCT(--(WORKDAY(K70,-1)=CUR_RATES!$E$1:$E$97),--(D70&amp;INDEX($D$2:$D$1048576,MATCH(G70,$B$2:$B$1048576,0))=CUR_RATES!$A$1:$A$97),ROW(CUR_RATES!$E$1:$E$97))))),"")</f>
        <v>1</v>
      </c>
    </row>
    <row r="71" spans="1:22" x14ac:dyDescent="0.2">
      <c r="A71" s="21">
        <f>IF(ROW($B71)-ROW($B$1)&lt;=COUNTIF(IDX_SPECS!$B$2:$B$89,"*")-COUNTIF(IDX_SPECS!$B$2:$B$89,""),ROW($B71)-ROW($B$1),"")</f>
        <v>70</v>
      </c>
      <c r="B71" t="str">
        <f>IF(ROW($B71)-ROW($B$1)&lt;=COUNTIF(IDX_SPECS!$B$2:$B$89,"*")-COUNTIF(IDX_SPECS!$B$2:$B$89,""),INDEX(IDX_SPECS!$B$2:$B$89,ROW($B71)-ROW($B$1)),"")</f>
        <v>VNXCSTRUSD</v>
      </c>
      <c r="D71" t="str">
        <f>IF($A71&lt;&gt;"",INDEX(IDX_SPECS!$D$2:$D$89,MATCH($B71,IDX_SPECS!$B$2:$B$89,0)),"")</f>
        <v>USD</v>
      </c>
      <c r="F71" t="str">
        <f>IF($A71&lt;&gt;"",INDEX(IDX_SPECS!$F$2:$F$89,MATCH($B71,IDX_SPECS!$B$2:$B$89,0)),"")</f>
        <v>R</v>
      </c>
      <c r="G71" t="str">
        <f>IF($A71&lt;&gt;"",INDEX(IDX_SPECS!$G$2:$G$89,MATCH($B71,IDX_SPECS!$B$2:$B$89,0)),"")</f>
        <v>VNXCSPRVND</v>
      </c>
      <c r="H71" s="70">
        <f>IF($A71&lt;&gt;"",IF(F71="P",$I71/INDEX(IDX_SPECS!$I$2:$I$89,MATCH($B71,IDX_SPECS!$B$2:$B$89,0))*INDEX(IDX_SPECS!$H$2:$H$89,MATCH($B71,IDX_SPECS!$B$2:$B$89,0)),IF(INDEX(IDX_SPECS!$Q$2:$Q$89,MATCH($B71,IDX_SPECS!$B$2:$B$89,0))=0,INDEX(IDX_SPECS!$H$2:$H$89,MATCH($B71,IDX_SPECS!$B$2:$B$89,0)),IF($Q71=0,INDEX(IDX_SPECS!$H$2:$H$89,MATCH($B71,IDX_SPECS!$B$2:$B$89,0)),$Q71/INDEX(IDX_SPECS!$Q$2:$Q$89,MATCH($B71,IDX_SPECS!$B$2:$B$89,0))*INDEX(IDX_SPECS!$H$2:$H$89,MATCH($B71,IDX_SPECS!$B$2:$B$89,0))))),"")</f>
        <v>476190476190.4762</v>
      </c>
      <c r="I71" s="8">
        <f>IF($A71&lt;&gt;"",SUMIF(NXT_COMPO!$P$2:$P$1048576,$G71,NXT_COMPO!$O$2:$O$1048576)/$V71,"")</f>
        <v>36005416.171767928</v>
      </c>
      <c r="K71" s="74">
        <f>IF($A71&lt;&gt;"",NXT_COMPO!$B$6,"")</f>
        <v>41166</v>
      </c>
      <c r="L71" s="64"/>
      <c r="M71" s="64"/>
      <c r="P71" s="60">
        <f>IF($A71&lt;&gt;"",INDEX(IDX_SPECS!$J$2:$J$89,MATCH($B71,IDX_SPECS!$B$2:$B$89,0)),"")</f>
        <v>69.269659572267813</v>
      </c>
      <c r="Q71" s="8">
        <f>IF($A71&lt;&gt;"",SUMIF(NXT_COMPO!$P$2:$P$1048576,$G71,NXT_COMPO!$R$2:$R$1048576)/$V71,"")</f>
        <v>0</v>
      </c>
      <c r="V71" s="12">
        <f>IF(B71&lt;&gt;"",IF(D71=INDEX($D$2:$D$1048576,MATCH(G71,$B$2:$B$1048576,0)),1,IF(ISNA(INDEX(CUR_RATES!$D:$D,SUMPRODUCT(--(WORKDAY(K71,-1)=CUR_RATES!$E$1:$E$97),--($D71&amp;INDEX($D$2:$D$1048576,MATCH($G71,$B$2:$B$1048576,0))=CUR_RATES!$A$1:$A$97),ROW(CUR_RATES!$E$1:$E$97)))),"",INDEX(CUR_RATES!$D:$D,SUMPRODUCT(--(WORKDAY(K71,-1)=CUR_RATES!$E$1:$E$97),--(D71&amp;INDEX($D$2:$D$1048576,MATCH(G71,$B$2:$B$1048576,0))=CUR_RATES!$A$1:$A$97),ROW(CUR_RATES!$E$1:$E$97))))),"")</f>
        <v>21890</v>
      </c>
    </row>
    <row r="72" spans="1:22" x14ac:dyDescent="0.2">
      <c r="A72" s="21">
        <f>IF(ROW($B72)-ROW($B$1)&lt;=COUNTIF(IDX_SPECS!$B$2:$B$89,"*")-COUNTIF(IDX_SPECS!$B$2:$B$89,""),ROW($B72)-ROW($B$1),"")</f>
        <v>71</v>
      </c>
      <c r="B72" t="str">
        <f>IF(ROW($B72)-ROW($B$1)&lt;=COUNTIF(IDX_SPECS!$B$2:$B$89,"*")-COUNTIF(IDX_SPECS!$B$2:$B$89,""),INDEX(IDX_SPECS!$B$2:$B$89,ROW($B72)-ROW($B$1)),"")</f>
        <v>VNXCSTRJPY</v>
      </c>
      <c r="D72" t="str">
        <f>IF($A72&lt;&gt;"",INDEX(IDX_SPECS!$D$2:$D$89,MATCH($B72,IDX_SPECS!$B$2:$B$89,0)),"")</f>
        <v>JPY</v>
      </c>
      <c r="F72" t="str">
        <f>IF($A72&lt;&gt;"",INDEX(IDX_SPECS!$F$2:$F$89,MATCH($B72,IDX_SPECS!$B$2:$B$89,0)),"")</f>
        <v>R</v>
      </c>
      <c r="G72" t="str">
        <f>IF($A72&lt;&gt;"",INDEX(IDX_SPECS!$G$2:$G$89,MATCH($B72,IDX_SPECS!$B$2:$B$89,0)),"")</f>
        <v>VNXCSPRVND</v>
      </c>
      <c r="H72" s="70">
        <f>IF($A72&lt;&gt;"",IF(F72="P",$I72/INDEX(IDX_SPECS!$I$2:$I$89,MATCH($B72,IDX_SPECS!$B$2:$B$89,0))*INDEX(IDX_SPECS!$H$2:$H$89,MATCH($B72,IDX_SPECS!$B$2:$B$89,0)),IF(INDEX(IDX_SPECS!$Q$2:$Q$89,MATCH($B72,IDX_SPECS!$B$2:$B$89,0))=0,INDEX(IDX_SPECS!$H$2:$H$89,MATCH($B72,IDX_SPECS!$B$2:$B$89,0)),IF($Q72=0,INDEX(IDX_SPECS!$H$2:$H$89,MATCH($B72,IDX_SPECS!$B$2:$B$89,0)),$Q72/INDEX(IDX_SPECS!$Q$2:$Q$89,MATCH($B72,IDX_SPECS!$B$2:$B$89,0))*INDEX(IDX_SPECS!$H$2:$H$89,MATCH($B72,IDX_SPECS!$B$2:$B$89,0))))),"")</f>
        <v>37735849056.603775</v>
      </c>
      <c r="I72" s="8">
        <f>IF($A72&lt;&gt;"",SUMIF(NXT_COMPO!$P$2:$P$1048576,$G72,NXT_COMPO!$O$2:$O$1048576)/$V72,"")</f>
        <v>2794888510.638298</v>
      </c>
      <c r="K72" s="74">
        <f>IF($A72&lt;&gt;"",NXT_COMPO!$B$6,"")</f>
        <v>41166</v>
      </c>
      <c r="L72" s="64"/>
      <c r="M72" s="64"/>
      <c r="P72" s="60">
        <f>IF($A72&lt;&gt;"",INDEX(IDX_SPECS!$J$2:$J$89,MATCH($B72,IDX_SPECS!$B$2:$B$89,0)),"")</f>
        <v>103.21278182429221</v>
      </c>
      <c r="Q72" s="8">
        <f>IF($A72&lt;&gt;"",SUMIF(NXT_COMPO!$P$2:$P$1048576,$G72,NXT_COMPO!$R$2:$R$1048576)/$V72,"")</f>
        <v>0</v>
      </c>
      <c r="V72" s="12">
        <f>IF(B72&lt;&gt;"",IF(D72=INDEX($D$2:$D$1048576,MATCH(G72,$B$2:$B$1048576,0)),1,IF(ISNA(INDEX(CUR_RATES!$D:$D,SUMPRODUCT(--(WORKDAY(K72,-1)=CUR_RATES!$E$1:$E$97),--($D72&amp;INDEX($D$2:$D$1048576,MATCH($G72,$B$2:$B$1048576,0))=CUR_RATES!$A$1:$A$97),ROW(CUR_RATES!$E$1:$E$97)))),"",INDEX(CUR_RATES!$D:$D,SUMPRODUCT(--(WORKDAY(K72,-1)=CUR_RATES!$E$1:$E$97),--(D72&amp;INDEX($D$2:$D$1048576,MATCH(G72,$B$2:$B$1048576,0))=CUR_RATES!$A$1:$A$97),ROW(CUR_RATES!$E$1:$E$97))))),"")</f>
        <v>282</v>
      </c>
    </row>
    <row r="73" spans="1:22" x14ac:dyDescent="0.2">
      <c r="A73" s="21">
        <f>IF(ROW($B73)-ROW($B$1)&lt;=COUNTIF(IDX_SPECS!$B$2:$B$89,"*")-COUNTIF(IDX_SPECS!$B$2:$B$89,""),ROW($B73)-ROW($B$1),"")</f>
        <v>72</v>
      </c>
      <c r="B73" t="str">
        <f>IF(ROW($B73)-ROW($B$1)&lt;=COUNTIF(IDX_SPECS!$B$2:$B$89,"*")-COUNTIF(IDX_SPECS!$B$2:$B$89,""),INDEX(IDX_SPECS!$B$2:$B$89,ROW($B73)-ROW($B$1)),"")</f>
        <v>VNXCSTREUR</v>
      </c>
      <c r="D73" t="str">
        <f>IF($A73&lt;&gt;"",INDEX(IDX_SPECS!$D$2:$D$89,MATCH($B73,IDX_SPECS!$B$2:$B$89,0)),"")</f>
        <v>EUR</v>
      </c>
      <c r="F73" t="str">
        <f>IF($A73&lt;&gt;"",INDEX(IDX_SPECS!$F$2:$F$89,MATCH($B73,IDX_SPECS!$B$2:$B$89,0)),"")</f>
        <v>R</v>
      </c>
      <c r="G73" t="str">
        <f>IF($A73&lt;&gt;"",INDEX(IDX_SPECS!$G$2:$G$89,MATCH($B73,IDX_SPECS!$B$2:$B$89,0)),"")</f>
        <v>VNXCSPRVND</v>
      </c>
      <c r="H73" s="70">
        <f>IF($A73&lt;&gt;"",IF(F73="P",$I73/INDEX(IDX_SPECS!$I$2:$I$89,MATCH($B73,IDX_SPECS!$B$2:$B$89,0))*INDEX(IDX_SPECS!$H$2:$H$89,MATCH($B73,IDX_SPECS!$B$2:$B$89,0)),IF(INDEX(IDX_SPECS!$Q$2:$Q$89,MATCH($B73,IDX_SPECS!$B$2:$B$89,0))=0,INDEX(IDX_SPECS!$H$2:$H$89,MATCH($B73,IDX_SPECS!$B$2:$B$89,0)),IF($Q73=0,INDEX(IDX_SPECS!$H$2:$H$89,MATCH($B73,IDX_SPECS!$B$2:$B$89,0)),$Q73/INDEX(IDX_SPECS!$Q$2:$Q$89,MATCH($B73,IDX_SPECS!$B$2:$B$89,0))*INDEX(IDX_SPECS!$H$2:$H$89,MATCH($B73,IDX_SPECS!$B$2:$B$89,0))))),"")</f>
        <v>344827586206.89655</v>
      </c>
      <c r="I73" s="8">
        <f>IF($A73&lt;&gt;"",SUMIF(NXT_COMPO!$P$2:$P$1048576,$G73,NXT_COMPO!$O$2:$O$1048576)/$V73,"")</f>
        <v>26438798.44404757</v>
      </c>
      <c r="K73" s="74">
        <f>IF($A73&lt;&gt;"",NXT_COMPO!$B$6,"")</f>
        <v>41166</v>
      </c>
      <c r="L73" s="64"/>
      <c r="M73" s="64"/>
      <c r="P73" s="60">
        <f>IF($A73&lt;&gt;"",INDEX(IDX_SPECS!$J$2:$J$89,MATCH($B73,IDX_SPECS!$B$2:$B$89,0)),"")</f>
        <v>78.735701970086367</v>
      </c>
      <c r="Q73" s="8">
        <f>IF($A73&lt;&gt;"",SUMIF(NXT_COMPO!$P$2:$P$1048576,$G73,NXT_COMPO!$R$2:$R$1048576)/$V73,"")</f>
        <v>0</v>
      </c>
      <c r="V73" s="12">
        <f>IF(B73&lt;&gt;"",IF(D73=INDEX($D$2:$D$1048576,MATCH(G73,$B$2:$B$1048576,0)),1,IF(ISNA(INDEX(CUR_RATES!$D:$D,SUMPRODUCT(--(WORKDAY(K73,-1)=CUR_RATES!$E$1:$E$97),--($D73&amp;INDEX($D$2:$D$1048576,MATCH($G73,$B$2:$B$1048576,0))=CUR_RATES!$A$1:$A$97),ROW(CUR_RATES!$E$1:$E$97)))),"",INDEX(CUR_RATES!$D:$D,SUMPRODUCT(--(WORKDAY(K73,-1)=CUR_RATES!$E$1:$E$97),--(D73&amp;INDEX($D$2:$D$1048576,MATCH(G73,$B$2:$B$1048576,0))=CUR_RATES!$A$1:$A$97),ROW(CUR_RATES!$E$1:$E$97))))),"")</f>
        <v>29810.68</v>
      </c>
    </row>
    <row r="74" spans="1:22" x14ac:dyDescent="0.2">
      <c r="A74" s="21">
        <f>IF(ROW($B74)-ROW($B$1)&lt;=COUNTIF(IDX_SPECS!$B$2:$B$89,"*")-COUNTIF(IDX_SPECS!$B$2:$B$89,""),ROW($B74)-ROW($B$1),"")</f>
        <v>73</v>
      </c>
      <c r="B74" t="str">
        <f>IF(ROW($B74)-ROW($B$1)&lt;=COUNTIF(IDX_SPECS!$B$2:$B$89,"*")-COUNTIF(IDX_SPECS!$B$2:$B$89,""),INDEX(IDX_SPECS!$B$2:$B$89,ROW($B74)-ROW($B$1)),"")</f>
        <v>VNXFITRVND</v>
      </c>
      <c r="D74" t="str">
        <f>IF($A74&lt;&gt;"",INDEX(IDX_SPECS!$D$2:$D$89,MATCH($B74,IDX_SPECS!$B$2:$B$89,0)),"")</f>
        <v>VND</v>
      </c>
      <c r="F74" t="str">
        <f>IF($A74&lt;&gt;"",INDEX(IDX_SPECS!$F$2:$F$89,MATCH($B74,IDX_SPECS!$B$2:$B$89,0)),"")</f>
        <v>R</v>
      </c>
      <c r="G74" t="str">
        <f>IF($A74&lt;&gt;"",INDEX(IDX_SPECS!$G$2:$G$89,MATCH($B74,IDX_SPECS!$B$2:$B$89,0)),"")</f>
        <v>VNXFIPRVND</v>
      </c>
      <c r="H74" s="70">
        <f>IF($A74&lt;&gt;"",IF(F74="P",$I74/INDEX(IDX_SPECS!$I$2:$I$89,MATCH($B74,IDX_SPECS!$B$2:$B$89,0))*INDEX(IDX_SPECS!$H$2:$H$89,MATCH($B74,IDX_SPECS!$B$2:$B$89,0)),IF(INDEX(IDX_SPECS!$Q$2:$Q$89,MATCH($B74,IDX_SPECS!$B$2:$B$89,0))=0,INDEX(IDX_SPECS!$H$2:$H$89,MATCH($B74,IDX_SPECS!$B$2:$B$89,0)),IF($Q74=0,INDEX(IDX_SPECS!$H$2:$H$89,MATCH($B74,IDX_SPECS!$B$2:$B$89,0)),$Q74/INDEX(IDX_SPECS!$Q$2:$Q$89,MATCH($B74,IDX_SPECS!$B$2:$B$89,0))*INDEX(IDX_SPECS!$H$2:$H$89,MATCH($B74,IDX_SPECS!$B$2:$B$89,0))))),"")</f>
        <v>10000000000000</v>
      </c>
      <c r="I74" s="8">
        <f>IF($A74&lt;&gt;"",SUMIF(NXT_COMPO!$P$2:$P$1048576,$G74,NXT_COMPO!$O$2:$O$1048576)/$V74,"")</f>
        <v>10683771510000</v>
      </c>
      <c r="K74" s="74">
        <f>IF($A74&lt;&gt;"",NXT_COMPO!$B$6,"")</f>
        <v>41166</v>
      </c>
      <c r="L74" s="64"/>
      <c r="M74" s="64"/>
      <c r="P74" s="60">
        <f>IF($A74&lt;&gt;"",INDEX(IDX_SPECS!$J$2:$J$89,MATCH($B74,IDX_SPECS!$B$2:$B$89,0)),"")</f>
        <v>927.5800824124118</v>
      </c>
      <c r="Q74" s="8">
        <f>IF($A74&lt;&gt;"",SUMIF(NXT_COMPO!$P$2:$P$1048576,$G74,NXT_COMPO!$R$2:$R$1048576)/$V74,"")</f>
        <v>0</v>
      </c>
      <c r="V74" s="12">
        <f>IF(B74&lt;&gt;"",IF(D74=INDEX($D$2:$D$1048576,MATCH(G74,$B$2:$B$1048576,0)),1,IF(ISNA(INDEX(CUR_RATES!$D:$D,SUMPRODUCT(--(WORKDAY(K74,-1)=CUR_RATES!$E$1:$E$97),--($D74&amp;INDEX($D$2:$D$1048576,MATCH($G74,$B$2:$B$1048576,0))=CUR_RATES!$A$1:$A$97),ROW(CUR_RATES!$E$1:$E$97)))),"",INDEX(CUR_RATES!$D:$D,SUMPRODUCT(--(WORKDAY(K74,-1)=CUR_RATES!$E$1:$E$97),--(D74&amp;INDEX($D$2:$D$1048576,MATCH(G74,$B$2:$B$1048576,0))=CUR_RATES!$A$1:$A$97),ROW(CUR_RATES!$E$1:$E$97))))),"")</f>
        <v>1</v>
      </c>
    </row>
    <row r="75" spans="1:22" x14ac:dyDescent="0.2">
      <c r="A75" s="21">
        <f>IF(ROW($B75)-ROW($B$1)&lt;=COUNTIF(IDX_SPECS!$B$2:$B$89,"*")-COUNTIF(IDX_SPECS!$B$2:$B$89,""),ROW($B75)-ROW($B$1),"")</f>
        <v>74</v>
      </c>
      <c r="B75" t="str">
        <f>IF(ROW($B75)-ROW($B$1)&lt;=COUNTIF(IDX_SPECS!$B$2:$B$89,"*")-COUNTIF(IDX_SPECS!$B$2:$B$89,""),INDEX(IDX_SPECS!$B$2:$B$89,ROW($B75)-ROW($B$1)),"")</f>
        <v>VNXFITRUSD</v>
      </c>
      <c r="D75" t="str">
        <f>IF($A75&lt;&gt;"",INDEX(IDX_SPECS!$D$2:$D$89,MATCH($B75,IDX_SPECS!$B$2:$B$89,0)),"")</f>
        <v>USD</v>
      </c>
      <c r="F75" t="str">
        <f>IF($A75&lt;&gt;"",INDEX(IDX_SPECS!$F$2:$F$89,MATCH($B75,IDX_SPECS!$B$2:$B$89,0)),"")</f>
        <v>R</v>
      </c>
      <c r="G75" t="str">
        <f>IF($A75&lt;&gt;"",INDEX(IDX_SPECS!$G$2:$G$89,MATCH($B75,IDX_SPECS!$B$2:$B$89,0)),"")</f>
        <v>VNXFIPRVND</v>
      </c>
      <c r="H75" s="70">
        <f>IF($A75&lt;&gt;"",IF(F75="P",$I75/INDEX(IDX_SPECS!$I$2:$I$89,MATCH($B75,IDX_SPECS!$B$2:$B$89,0))*INDEX(IDX_SPECS!$H$2:$H$89,MATCH($B75,IDX_SPECS!$B$2:$B$89,0)),IF(INDEX(IDX_SPECS!$Q$2:$Q$89,MATCH($B75,IDX_SPECS!$B$2:$B$89,0))=0,INDEX(IDX_SPECS!$H$2:$H$89,MATCH($B75,IDX_SPECS!$B$2:$B$89,0)),IF($Q75=0,INDEX(IDX_SPECS!$H$2:$H$89,MATCH($B75,IDX_SPECS!$B$2:$B$89,0)),$Q75/INDEX(IDX_SPECS!$Q$2:$Q$89,MATCH($B75,IDX_SPECS!$B$2:$B$89,0))*INDEX(IDX_SPECS!$H$2:$H$89,MATCH($B75,IDX_SPECS!$B$2:$B$89,0))))),"")</f>
        <v>476190476190.4762</v>
      </c>
      <c r="I75" s="8">
        <f>IF($A75&lt;&gt;"",SUMIF(NXT_COMPO!$P$2:$P$1048576,$G75,NXT_COMPO!$O$2:$O$1048576)/$V75,"")</f>
        <v>488066309.27364093</v>
      </c>
      <c r="K75" s="74">
        <f>IF($A75&lt;&gt;"",NXT_COMPO!$B$6,"")</f>
        <v>41166</v>
      </c>
      <c r="L75" s="64"/>
      <c r="M75" s="64"/>
      <c r="P75" s="60">
        <f>IF($A75&lt;&gt;"",INDEX(IDX_SPECS!$J$2:$J$89,MATCH($B75,IDX_SPECS!$B$2:$B$89,0)),"")</f>
        <v>964.58011019817411</v>
      </c>
      <c r="Q75" s="8">
        <f>IF($A75&lt;&gt;"",SUMIF(NXT_COMPO!$P$2:$P$1048576,$G75,NXT_COMPO!$R$2:$R$1048576)/$V75,"")</f>
        <v>0</v>
      </c>
      <c r="V75" s="12">
        <f>IF(B75&lt;&gt;"",IF(D75=INDEX($D$2:$D$1048576,MATCH(G75,$B$2:$B$1048576,0)),1,IF(ISNA(INDEX(CUR_RATES!$D:$D,SUMPRODUCT(--(WORKDAY(K75,-1)=CUR_RATES!$E$1:$E$97),--($D75&amp;INDEX($D$2:$D$1048576,MATCH($G75,$B$2:$B$1048576,0))=CUR_RATES!$A$1:$A$97),ROW(CUR_RATES!$E$1:$E$97)))),"",INDEX(CUR_RATES!$D:$D,SUMPRODUCT(--(WORKDAY(K75,-1)=CUR_RATES!$E$1:$E$97),--(D75&amp;INDEX($D$2:$D$1048576,MATCH(G75,$B$2:$B$1048576,0))=CUR_RATES!$A$1:$A$97),ROW(CUR_RATES!$E$1:$E$97))))),"")</f>
        <v>21890</v>
      </c>
    </row>
    <row r="76" spans="1:22" x14ac:dyDescent="0.2">
      <c r="A76" s="21">
        <f>IF(ROW($B76)-ROW($B$1)&lt;=COUNTIF(IDX_SPECS!$B$2:$B$89,"*")-COUNTIF(IDX_SPECS!$B$2:$B$89,""),ROW($B76)-ROW($B$1),"")</f>
        <v>75</v>
      </c>
      <c r="B76" t="str">
        <f>IF(ROW($B76)-ROW($B$1)&lt;=COUNTIF(IDX_SPECS!$B$2:$B$89,"*")-COUNTIF(IDX_SPECS!$B$2:$B$89,""),INDEX(IDX_SPECS!$B$2:$B$89,ROW($B76)-ROW($B$1)),"")</f>
        <v>VNXFITRJPY</v>
      </c>
      <c r="D76" t="str">
        <f>IF($A76&lt;&gt;"",INDEX(IDX_SPECS!$D$2:$D$89,MATCH($B76,IDX_SPECS!$B$2:$B$89,0)),"")</f>
        <v>JPY</v>
      </c>
      <c r="F76" t="str">
        <f>IF($A76&lt;&gt;"",INDEX(IDX_SPECS!$F$2:$F$89,MATCH($B76,IDX_SPECS!$B$2:$B$89,0)),"")</f>
        <v>R</v>
      </c>
      <c r="G76" t="str">
        <f>IF($A76&lt;&gt;"",INDEX(IDX_SPECS!$G$2:$G$89,MATCH($B76,IDX_SPECS!$B$2:$B$89,0)),"")</f>
        <v>VNXFIPRVND</v>
      </c>
      <c r="H76" s="70">
        <f>IF($A76&lt;&gt;"",IF(F76="P",$I76/INDEX(IDX_SPECS!$I$2:$I$89,MATCH($B76,IDX_SPECS!$B$2:$B$89,0))*INDEX(IDX_SPECS!$H$2:$H$89,MATCH($B76,IDX_SPECS!$B$2:$B$89,0)),IF(INDEX(IDX_SPECS!$Q$2:$Q$89,MATCH($B76,IDX_SPECS!$B$2:$B$89,0))=0,INDEX(IDX_SPECS!$H$2:$H$89,MATCH($B76,IDX_SPECS!$B$2:$B$89,0)),IF($Q76=0,INDEX(IDX_SPECS!$H$2:$H$89,MATCH($B76,IDX_SPECS!$B$2:$B$89,0)),$Q76/INDEX(IDX_SPECS!$Q$2:$Q$89,MATCH($B76,IDX_SPECS!$B$2:$B$89,0))*INDEX(IDX_SPECS!$H$2:$H$89,MATCH($B76,IDX_SPECS!$B$2:$B$89,0))))),"")</f>
        <v>37735849056.603775</v>
      </c>
      <c r="I76" s="8">
        <f>IF($A76&lt;&gt;"",SUMIF(NXT_COMPO!$P$2:$P$1048576,$G76,NXT_COMPO!$O$2:$O$1048576)/$V76,"")</f>
        <v>37885714574.468086</v>
      </c>
      <c r="K76" s="74">
        <f>IF($A76&lt;&gt;"",NXT_COMPO!$B$6,"")</f>
        <v>41166</v>
      </c>
      <c r="L76" s="64"/>
      <c r="M76" s="64"/>
      <c r="P76" s="60">
        <f>IF($A76&lt;&gt;"",INDEX(IDX_SPECS!$J$2:$J$89,MATCH($B76,IDX_SPECS!$B$2:$B$89,0)),"")</f>
        <v>1052.7193752526596</v>
      </c>
      <c r="Q76" s="8">
        <f>IF($A76&lt;&gt;"",SUMIF(NXT_COMPO!$P$2:$P$1048576,$G76,NXT_COMPO!$R$2:$R$1048576)/$V76,"")</f>
        <v>0</v>
      </c>
      <c r="V76" s="12">
        <f>IF(B76&lt;&gt;"",IF(D76=INDEX($D$2:$D$1048576,MATCH(G76,$B$2:$B$1048576,0)),1,IF(ISNA(INDEX(CUR_RATES!$D:$D,SUMPRODUCT(--(WORKDAY(K76,-1)=CUR_RATES!$E$1:$E$97),--($D76&amp;INDEX($D$2:$D$1048576,MATCH($G76,$B$2:$B$1048576,0))=CUR_RATES!$A$1:$A$97),ROW(CUR_RATES!$E$1:$E$97)))),"",INDEX(CUR_RATES!$D:$D,SUMPRODUCT(--(WORKDAY(K76,-1)=CUR_RATES!$E$1:$E$97),--(D76&amp;INDEX($D$2:$D$1048576,MATCH(G76,$B$2:$B$1048576,0))=CUR_RATES!$A$1:$A$97),ROW(CUR_RATES!$E$1:$E$97))))),"")</f>
        <v>282</v>
      </c>
    </row>
    <row r="77" spans="1:22" x14ac:dyDescent="0.2">
      <c r="A77" s="21">
        <f>IF(ROW($B77)-ROW($B$1)&lt;=COUNTIF(IDX_SPECS!$B$2:$B$89,"*")-COUNTIF(IDX_SPECS!$B$2:$B$89,""),ROW($B77)-ROW($B$1),"")</f>
        <v>76</v>
      </c>
      <c r="B77" t="str">
        <f>IF(ROW($B77)-ROW($B$1)&lt;=COUNTIF(IDX_SPECS!$B$2:$B$89,"*")-COUNTIF(IDX_SPECS!$B$2:$B$89,""),INDEX(IDX_SPECS!$B$2:$B$89,ROW($B77)-ROW($B$1)),"")</f>
        <v>VNXFITREUR</v>
      </c>
      <c r="D77" t="str">
        <f>IF($A77&lt;&gt;"",INDEX(IDX_SPECS!$D$2:$D$89,MATCH($B77,IDX_SPECS!$B$2:$B$89,0)),"")</f>
        <v>EUR</v>
      </c>
      <c r="F77" t="str">
        <f>IF($A77&lt;&gt;"",INDEX(IDX_SPECS!$F$2:$F$89,MATCH($B77,IDX_SPECS!$B$2:$B$89,0)),"")</f>
        <v>R</v>
      </c>
      <c r="G77" t="str">
        <f>IF($A77&lt;&gt;"",INDEX(IDX_SPECS!$G$2:$G$89,MATCH($B77,IDX_SPECS!$B$2:$B$89,0)),"")</f>
        <v>VNXFIPRVND</v>
      </c>
      <c r="H77" s="70">
        <f>IF($A77&lt;&gt;"",IF(F77="P",$I77/INDEX(IDX_SPECS!$I$2:$I$89,MATCH($B77,IDX_SPECS!$B$2:$B$89,0))*INDEX(IDX_SPECS!$H$2:$H$89,MATCH($B77,IDX_SPECS!$B$2:$B$89,0)),IF(INDEX(IDX_SPECS!$Q$2:$Q$89,MATCH($B77,IDX_SPECS!$B$2:$B$89,0))=0,INDEX(IDX_SPECS!$H$2:$H$89,MATCH($B77,IDX_SPECS!$B$2:$B$89,0)),IF($Q77=0,INDEX(IDX_SPECS!$H$2:$H$89,MATCH($B77,IDX_SPECS!$B$2:$B$89,0)),$Q77/INDEX(IDX_SPECS!$Q$2:$Q$89,MATCH($B77,IDX_SPECS!$B$2:$B$89,0))*INDEX(IDX_SPECS!$H$2:$H$89,MATCH($B77,IDX_SPECS!$B$2:$B$89,0))))),"")</f>
        <v>344827586206.89655</v>
      </c>
      <c r="I77" s="8">
        <f>IF($A77&lt;&gt;"",SUMIF(NXT_COMPO!$P$2:$P$1048576,$G77,NXT_COMPO!$O$2:$O$1048576)/$V77,"")</f>
        <v>358387380.29457897</v>
      </c>
      <c r="K77" s="74">
        <f>IF($A77&lt;&gt;"",NXT_COMPO!$B$6,"")</f>
        <v>41166</v>
      </c>
      <c r="L77" s="64"/>
      <c r="M77" s="64"/>
      <c r="P77" s="60">
        <f>IF($A77&lt;&gt;"",INDEX(IDX_SPECS!$J$2:$J$89,MATCH($B77,IDX_SPECS!$B$2:$B$89,0)),"")</f>
        <v>987.53597135832672</v>
      </c>
      <c r="Q77" s="8">
        <f>IF($A77&lt;&gt;"",SUMIF(NXT_COMPO!$P$2:$P$1048576,$G77,NXT_COMPO!$R$2:$R$1048576)/$V77,"")</f>
        <v>0</v>
      </c>
      <c r="V77" s="12">
        <f>IF(B77&lt;&gt;"",IF(D77=INDEX($D$2:$D$1048576,MATCH(G77,$B$2:$B$1048576,0)),1,IF(ISNA(INDEX(CUR_RATES!$D:$D,SUMPRODUCT(--(WORKDAY(K77,-1)=CUR_RATES!$E$1:$E$97),--($D77&amp;INDEX($D$2:$D$1048576,MATCH($G77,$B$2:$B$1048576,0))=CUR_RATES!$A$1:$A$97),ROW(CUR_RATES!$E$1:$E$97)))),"",INDEX(CUR_RATES!$D:$D,SUMPRODUCT(--(WORKDAY(K77,-1)=CUR_RATES!$E$1:$E$97),--(D77&amp;INDEX($D$2:$D$1048576,MATCH(G77,$B$2:$B$1048576,0))=CUR_RATES!$A$1:$A$97),ROW(CUR_RATES!$E$1:$E$97))))),"")</f>
        <v>29810.68</v>
      </c>
    </row>
    <row r="78" spans="1:22" x14ac:dyDescent="0.2">
      <c r="A78" s="21">
        <f>IF(ROW($B78)-ROW($B$1)&lt;=COUNTIF(IDX_SPECS!$B$2:$B$89,"*")-COUNTIF(IDX_SPECS!$B$2:$B$89,""),ROW($B78)-ROW($B$1),"")</f>
        <v>77</v>
      </c>
      <c r="B78" t="str">
        <f>IF(ROW($B78)-ROW($B$1)&lt;=COUNTIF(IDX_SPECS!$B$2:$B$89,"*")-COUNTIF(IDX_SPECS!$B$2:$B$89,""),INDEX(IDX_SPECS!$B$2:$B$89,ROW($B78)-ROW($B$1)),"")</f>
        <v>VNXINTRVND</v>
      </c>
      <c r="D78" t="str">
        <f>IF($A78&lt;&gt;"",INDEX(IDX_SPECS!$D$2:$D$89,MATCH($B78,IDX_SPECS!$B$2:$B$89,0)),"")</f>
        <v>VND</v>
      </c>
      <c r="F78" t="str">
        <f>IF($A78&lt;&gt;"",INDEX(IDX_SPECS!$F$2:$F$89,MATCH($B78,IDX_SPECS!$B$2:$B$89,0)),"")</f>
        <v>R</v>
      </c>
      <c r="G78" t="str">
        <f>IF($A78&lt;&gt;"",INDEX(IDX_SPECS!$G$2:$G$89,MATCH($B78,IDX_SPECS!$B$2:$B$89,0)),"")</f>
        <v>VNXINPRVND</v>
      </c>
      <c r="H78" s="70">
        <f>IF($A78&lt;&gt;"",IF(F78="P",$I78/INDEX(IDX_SPECS!$I$2:$I$89,MATCH($B78,IDX_SPECS!$B$2:$B$89,0))*INDEX(IDX_SPECS!$H$2:$H$89,MATCH($B78,IDX_SPECS!$B$2:$B$89,0)),IF(INDEX(IDX_SPECS!$Q$2:$Q$89,MATCH($B78,IDX_SPECS!$B$2:$B$89,0))=0,INDEX(IDX_SPECS!$H$2:$H$89,MATCH($B78,IDX_SPECS!$B$2:$B$89,0)),IF($Q78=0,INDEX(IDX_SPECS!$H$2:$H$89,MATCH($B78,IDX_SPECS!$B$2:$B$89,0)),$Q78/INDEX(IDX_SPECS!$Q$2:$Q$89,MATCH($B78,IDX_SPECS!$B$2:$B$89,0))*INDEX(IDX_SPECS!$H$2:$H$89,MATCH($B78,IDX_SPECS!$B$2:$B$89,0))))),"")</f>
        <v>10000000000000</v>
      </c>
      <c r="I78" s="8">
        <f>IF($A78&lt;&gt;"",SUMIF(NXT_COMPO!$P$2:$P$1048576,$G78,NXT_COMPO!$O$2:$O$1048576)/$V78,"")</f>
        <v>12555633734400</v>
      </c>
      <c r="K78" s="74">
        <f>IF($A78&lt;&gt;"",NXT_COMPO!$B$6,"")</f>
        <v>41166</v>
      </c>
      <c r="L78" s="64"/>
      <c r="M78" s="64"/>
      <c r="P78" s="60">
        <f>IF($A78&lt;&gt;"",INDEX(IDX_SPECS!$J$2:$J$89,MATCH($B78,IDX_SPECS!$B$2:$B$89,0)),"")</f>
        <v>1457.7818717248695</v>
      </c>
      <c r="Q78" s="8">
        <f>IF($A78&lt;&gt;"",SUMIF(NXT_COMPO!$P$2:$P$1048576,$G78,NXT_COMPO!$R$2:$R$1048576)/$V78,"")</f>
        <v>0</v>
      </c>
      <c r="V78" s="12">
        <f>IF(B78&lt;&gt;"",IF(D78=INDEX($D$2:$D$1048576,MATCH(G78,$B$2:$B$1048576,0)),1,IF(ISNA(INDEX(CUR_RATES!$D:$D,SUMPRODUCT(--(WORKDAY(K78,-1)=CUR_RATES!$E$1:$E$97),--($D78&amp;INDEX($D$2:$D$1048576,MATCH($G78,$B$2:$B$1048576,0))=CUR_RATES!$A$1:$A$97),ROW(CUR_RATES!$E$1:$E$97)))),"",INDEX(CUR_RATES!$D:$D,SUMPRODUCT(--(WORKDAY(K78,-1)=CUR_RATES!$E$1:$E$97),--(D78&amp;INDEX($D$2:$D$1048576,MATCH(G78,$B$2:$B$1048576,0))=CUR_RATES!$A$1:$A$97),ROW(CUR_RATES!$E$1:$E$97))))),"")</f>
        <v>1</v>
      </c>
    </row>
    <row r="79" spans="1:22" x14ac:dyDescent="0.2">
      <c r="A79" s="21">
        <f>IF(ROW($B79)-ROW($B$1)&lt;=COUNTIF(IDX_SPECS!$B$2:$B$89,"*")-COUNTIF(IDX_SPECS!$B$2:$B$89,""),ROW($B79)-ROW($B$1),"")</f>
        <v>78</v>
      </c>
      <c r="B79" t="str">
        <f>IF(ROW($B79)-ROW($B$1)&lt;=COUNTIF(IDX_SPECS!$B$2:$B$89,"*")-COUNTIF(IDX_SPECS!$B$2:$B$89,""),INDEX(IDX_SPECS!$B$2:$B$89,ROW($B79)-ROW($B$1)),"")</f>
        <v>VNXINTRUSD</v>
      </c>
      <c r="D79" t="str">
        <f>IF($A79&lt;&gt;"",INDEX(IDX_SPECS!$D$2:$D$89,MATCH($B79,IDX_SPECS!$B$2:$B$89,0)),"")</f>
        <v>USD</v>
      </c>
      <c r="F79" t="str">
        <f>IF($A79&lt;&gt;"",INDEX(IDX_SPECS!$F$2:$F$89,MATCH($B79,IDX_SPECS!$B$2:$B$89,0)),"")</f>
        <v>R</v>
      </c>
      <c r="G79" t="str">
        <f>IF($A79&lt;&gt;"",INDEX(IDX_SPECS!$G$2:$G$89,MATCH($B79,IDX_SPECS!$B$2:$B$89,0)),"")</f>
        <v>VNXINPRVND</v>
      </c>
      <c r="H79" s="70">
        <f>IF($A79&lt;&gt;"",IF(F79="P",$I79/INDEX(IDX_SPECS!$I$2:$I$89,MATCH($B79,IDX_SPECS!$B$2:$B$89,0))*INDEX(IDX_SPECS!$H$2:$H$89,MATCH($B79,IDX_SPECS!$B$2:$B$89,0)),IF(INDEX(IDX_SPECS!$Q$2:$Q$89,MATCH($B79,IDX_SPECS!$B$2:$B$89,0))=0,INDEX(IDX_SPECS!$H$2:$H$89,MATCH($B79,IDX_SPECS!$B$2:$B$89,0)),IF($Q79=0,INDEX(IDX_SPECS!$H$2:$H$89,MATCH($B79,IDX_SPECS!$B$2:$B$89,0)),$Q79/INDEX(IDX_SPECS!$Q$2:$Q$89,MATCH($B79,IDX_SPECS!$B$2:$B$89,0))*INDEX(IDX_SPECS!$H$2:$H$89,MATCH($B79,IDX_SPECS!$B$2:$B$89,0))))),"")</f>
        <v>476190476190.4762</v>
      </c>
      <c r="I79" s="8">
        <f>IF($A79&lt;&gt;"",SUMIF(NXT_COMPO!$P$2:$P$1048576,$G79,NXT_COMPO!$O$2:$O$1048576)/$V79,"")</f>
        <v>573578516.87528551</v>
      </c>
      <c r="K79" s="74">
        <f>IF($A79&lt;&gt;"",NXT_COMPO!$B$6,"")</f>
        <v>41166</v>
      </c>
      <c r="L79" s="64"/>
      <c r="M79" s="64"/>
      <c r="P79" s="60">
        <f>IF($A79&lt;&gt;"",INDEX(IDX_SPECS!$J$2:$J$89,MATCH($B79,IDX_SPECS!$B$2:$B$89,0)),"")</f>
        <v>1131.7934850458964</v>
      </c>
      <c r="Q79" s="8">
        <f>IF($A79&lt;&gt;"",SUMIF(NXT_COMPO!$P$2:$P$1048576,$G79,NXT_COMPO!$R$2:$R$1048576)/$V79,"")</f>
        <v>0</v>
      </c>
      <c r="V79" s="12">
        <f>IF(B79&lt;&gt;"",IF(D79=INDEX($D$2:$D$1048576,MATCH(G79,$B$2:$B$1048576,0)),1,IF(ISNA(INDEX(CUR_RATES!$D:$D,SUMPRODUCT(--(WORKDAY(K79,-1)=CUR_RATES!$E$1:$E$97),--($D79&amp;INDEX($D$2:$D$1048576,MATCH($G79,$B$2:$B$1048576,0))=CUR_RATES!$A$1:$A$97),ROW(CUR_RATES!$E$1:$E$97)))),"",INDEX(CUR_RATES!$D:$D,SUMPRODUCT(--(WORKDAY(K79,-1)=CUR_RATES!$E$1:$E$97),--(D79&amp;INDEX($D$2:$D$1048576,MATCH(G79,$B$2:$B$1048576,0))=CUR_RATES!$A$1:$A$97),ROW(CUR_RATES!$E$1:$E$97))))),"")</f>
        <v>21890</v>
      </c>
    </row>
    <row r="80" spans="1:22" x14ac:dyDescent="0.2">
      <c r="A80" s="21">
        <f>IF(ROW($B80)-ROW($B$1)&lt;=COUNTIF(IDX_SPECS!$B$2:$B$89,"*")-COUNTIF(IDX_SPECS!$B$2:$B$89,""),ROW($B80)-ROW($B$1),"")</f>
        <v>79</v>
      </c>
      <c r="B80" t="str">
        <f>IF(ROW($B80)-ROW($B$1)&lt;=COUNTIF(IDX_SPECS!$B$2:$B$89,"*")-COUNTIF(IDX_SPECS!$B$2:$B$89,""),INDEX(IDX_SPECS!$B$2:$B$89,ROW($B80)-ROW($B$1)),"")</f>
        <v>VNXINTRJPY</v>
      </c>
      <c r="D80" t="str">
        <f>IF($A80&lt;&gt;"",INDEX(IDX_SPECS!$D$2:$D$89,MATCH($B80,IDX_SPECS!$B$2:$B$89,0)),"")</f>
        <v>JPY</v>
      </c>
      <c r="F80" t="str">
        <f>IF($A80&lt;&gt;"",INDEX(IDX_SPECS!$F$2:$F$89,MATCH($B80,IDX_SPECS!$B$2:$B$89,0)),"")</f>
        <v>R</v>
      </c>
      <c r="G80" t="str">
        <f>IF($A80&lt;&gt;"",INDEX(IDX_SPECS!$G$2:$G$89,MATCH($B80,IDX_SPECS!$B$2:$B$89,0)),"")</f>
        <v>VNXINPRVND</v>
      </c>
      <c r="H80" s="70">
        <f>IF($A80&lt;&gt;"",IF(F80="P",$I80/INDEX(IDX_SPECS!$I$2:$I$89,MATCH($B80,IDX_SPECS!$B$2:$B$89,0))*INDEX(IDX_SPECS!$H$2:$H$89,MATCH($B80,IDX_SPECS!$B$2:$B$89,0)),IF(INDEX(IDX_SPECS!$Q$2:$Q$89,MATCH($B80,IDX_SPECS!$B$2:$B$89,0))=0,INDEX(IDX_SPECS!$H$2:$H$89,MATCH($B80,IDX_SPECS!$B$2:$B$89,0)),IF($Q80=0,INDEX(IDX_SPECS!$H$2:$H$89,MATCH($B80,IDX_SPECS!$B$2:$B$89,0)),$Q80/INDEX(IDX_SPECS!$Q$2:$Q$89,MATCH($B80,IDX_SPECS!$B$2:$B$89,0))*INDEX(IDX_SPECS!$H$2:$H$89,MATCH($B80,IDX_SPECS!$B$2:$B$89,0))))),"")</f>
        <v>37735849056.603775</v>
      </c>
      <c r="I80" s="8">
        <f>IF($A80&lt;&gt;"",SUMIF(NXT_COMPO!$P$2:$P$1048576,$G80,NXT_COMPO!$O$2:$O$1048576)/$V80,"")</f>
        <v>44523523880.851067</v>
      </c>
      <c r="K80" s="74">
        <f>IF($A80&lt;&gt;"",NXT_COMPO!$B$6,"")</f>
        <v>41166</v>
      </c>
      <c r="L80" s="64"/>
      <c r="M80" s="64"/>
      <c r="P80" s="60">
        <f>IF($A80&lt;&gt;"",INDEX(IDX_SPECS!$J$2:$J$89,MATCH($B80,IDX_SPECS!$B$2:$B$89,0)),"")</f>
        <v>1403.1581352681933</v>
      </c>
      <c r="Q80" s="8">
        <f>IF($A80&lt;&gt;"",SUMIF(NXT_COMPO!$P$2:$P$1048576,$G80,NXT_COMPO!$R$2:$R$1048576)/$V80,"")</f>
        <v>0</v>
      </c>
      <c r="V80" s="12">
        <f>IF(B80&lt;&gt;"",IF(D80=INDEX($D$2:$D$1048576,MATCH(G80,$B$2:$B$1048576,0)),1,IF(ISNA(INDEX(CUR_RATES!$D:$D,SUMPRODUCT(--(WORKDAY(K80,-1)=CUR_RATES!$E$1:$E$97),--($D80&amp;INDEX($D$2:$D$1048576,MATCH($G80,$B$2:$B$1048576,0))=CUR_RATES!$A$1:$A$97),ROW(CUR_RATES!$E$1:$E$97)))),"",INDEX(CUR_RATES!$D:$D,SUMPRODUCT(--(WORKDAY(K80,-1)=CUR_RATES!$E$1:$E$97),--(D80&amp;INDEX($D$2:$D$1048576,MATCH(G80,$B$2:$B$1048576,0))=CUR_RATES!$A$1:$A$97),ROW(CUR_RATES!$E$1:$E$97))))),"")</f>
        <v>282</v>
      </c>
    </row>
    <row r="81" spans="1:22" x14ac:dyDescent="0.2">
      <c r="A81" s="21">
        <f>IF(ROW($B81)-ROW($B$1)&lt;=COUNTIF(IDX_SPECS!$B$2:$B$89,"*")-COUNTIF(IDX_SPECS!$B$2:$B$89,""),ROW($B81)-ROW($B$1),"")</f>
        <v>80</v>
      </c>
      <c r="B81" t="str">
        <f>IF(ROW($B81)-ROW($B$1)&lt;=COUNTIF(IDX_SPECS!$B$2:$B$89,"*")-COUNTIF(IDX_SPECS!$B$2:$B$89,""),INDEX(IDX_SPECS!$B$2:$B$89,ROW($B81)-ROW($B$1)),"")</f>
        <v>VNXINTREUR</v>
      </c>
      <c r="D81" t="str">
        <f>IF($A81&lt;&gt;"",INDEX(IDX_SPECS!$D$2:$D$89,MATCH($B81,IDX_SPECS!$B$2:$B$89,0)),"")</f>
        <v>EUR</v>
      </c>
      <c r="F81" t="str">
        <f>IF($A81&lt;&gt;"",INDEX(IDX_SPECS!$F$2:$F$89,MATCH($B81,IDX_SPECS!$B$2:$B$89,0)),"")</f>
        <v>R</v>
      </c>
      <c r="G81" t="str">
        <f>IF($A81&lt;&gt;"",INDEX(IDX_SPECS!$G$2:$G$89,MATCH($B81,IDX_SPECS!$B$2:$B$89,0)),"")</f>
        <v>VNXINPRVND</v>
      </c>
      <c r="H81" s="70">
        <f>IF($A81&lt;&gt;"",IF(F81="P",$I81/INDEX(IDX_SPECS!$I$2:$I$89,MATCH($B81,IDX_SPECS!$B$2:$B$89,0))*INDEX(IDX_SPECS!$H$2:$H$89,MATCH($B81,IDX_SPECS!$B$2:$B$89,0)),IF(INDEX(IDX_SPECS!$Q$2:$Q$89,MATCH($B81,IDX_SPECS!$B$2:$B$89,0))=0,INDEX(IDX_SPECS!$H$2:$H$89,MATCH($B81,IDX_SPECS!$B$2:$B$89,0)),IF($Q81=0,INDEX(IDX_SPECS!$H$2:$H$89,MATCH($B81,IDX_SPECS!$B$2:$B$89,0)),$Q81/INDEX(IDX_SPECS!$Q$2:$Q$89,MATCH($B81,IDX_SPECS!$B$2:$B$89,0))*INDEX(IDX_SPECS!$H$2:$H$89,MATCH($B81,IDX_SPECS!$B$2:$B$89,0))))),"")</f>
        <v>344827586206.89655</v>
      </c>
      <c r="I81" s="8">
        <f>IF($A81&lt;&gt;"",SUMIF(NXT_COMPO!$P$2:$P$1048576,$G81,NXT_COMPO!$O$2:$O$1048576)/$V81,"")</f>
        <v>421179045.04023391</v>
      </c>
      <c r="K81" s="74">
        <f>IF($A81&lt;&gt;"",NXT_COMPO!$B$6,"")</f>
        <v>41166</v>
      </c>
      <c r="L81" s="64"/>
      <c r="M81" s="64"/>
      <c r="P81" s="60">
        <f>IF($A81&lt;&gt;"",INDEX(IDX_SPECS!$J$2:$J$89,MATCH($B81,IDX_SPECS!$B$2:$B$89,0)),"")</f>
        <v>1111.7890674473633</v>
      </c>
      <c r="Q81" s="8">
        <f>IF($A81&lt;&gt;"",SUMIF(NXT_COMPO!$P$2:$P$1048576,$G81,NXT_COMPO!$R$2:$R$1048576)/$V81,"")</f>
        <v>0</v>
      </c>
      <c r="V81" s="12">
        <f>IF(B81&lt;&gt;"",IF(D81=INDEX($D$2:$D$1048576,MATCH(G81,$B$2:$B$1048576,0)),1,IF(ISNA(INDEX(CUR_RATES!$D:$D,SUMPRODUCT(--(WORKDAY(K81,-1)=CUR_RATES!$E$1:$E$97),--($D81&amp;INDEX($D$2:$D$1048576,MATCH($G81,$B$2:$B$1048576,0))=CUR_RATES!$A$1:$A$97),ROW(CUR_RATES!$E$1:$E$97)))),"",INDEX(CUR_RATES!$D:$D,SUMPRODUCT(--(WORKDAY(K81,-1)=CUR_RATES!$E$1:$E$97),--(D81&amp;INDEX($D$2:$D$1048576,MATCH(G81,$B$2:$B$1048576,0))=CUR_RATES!$A$1:$A$97),ROW(CUR_RATES!$E$1:$E$97))))),"")</f>
        <v>29810.68</v>
      </c>
    </row>
    <row r="82" spans="1:22" x14ac:dyDescent="0.2">
      <c r="A82" s="21">
        <f>IF(ROW($B82)-ROW($B$1)&lt;=COUNTIF(IDX_SPECS!$B$2:$B$89,"*")-COUNTIF(IDX_SPECS!$B$2:$B$89,""),ROW($B82)-ROW($B$1),"")</f>
        <v>81</v>
      </c>
      <c r="B82" t="str">
        <f>IF(ROW($B82)-ROW($B$1)&lt;=COUNTIF(IDX_SPECS!$B$2:$B$89,"*")-COUNTIF(IDX_SPECS!$B$2:$B$89,""),INDEX(IDX_SPECS!$B$2:$B$89,ROW($B82)-ROW($B$1)),"")</f>
        <v>VNXOGTRVND</v>
      </c>
      <c r="D82" t="str">
        <f>IF($A82&lt;&gt;"",INDEX(IDX_SPECS!$D$2:$D$89,MATCH($B82,IDX_SPECS!$B$2:$B$89,0)),"")</f>
        <v>VND</v>
      </c>
      <c r="F82" t="str">
        <f>IF($A82&lt;&gt;"",INDEX(IDX_SPECS!$F$2:$F$89,MATCH($B82,IDX_SPECS!$B$2:$B$89,0)),"")</f>
        <v>R</v>
      </c>
      <c r="G82" t="str">
        <f>IF($A82&lt;&gt;"",INDEX(IDX_SPECS!$G$2:$G$89,MATCH($B82,IDX_SPECS!$B$2:$B$89,0)),"")</f>
        <v>VNXOGPRVND</v>
      </c>
      <c r="H82" s="70">
        <f>IF($A82&lt;&gt;"",IF(F82="P",$I82/INDEX(IDX_SPECS!$I$2:$I$89,MATCH($B82,IDX_SPECS!$B$2:$B$89,0))*INDEX(IDX_SPECS!$H$2:$H$89,MATCH($B82,IDX_SPECS!$B$2:$B$89,0)),IF(INDEX(IDX_SPECS!$Q$2:$Q$89,MATCH($B82,IDX_SPECS!$B$2:$B$89,0))=0,INDEX(IDX_SPECS!$H$2:$H$89,MATCH($B82,IDX_SPECS!$B$2:$B$89,0)),IF($Q82=0,INDEX(IDX_SPECS!$H$2:$H$89,MATCH($B82,IDX_SPECS!$B$2:$B$89,0)),$Q82/INDEX(IDX_SPECS!$Q$2:$Q$89,MATCH($B82,IDX_SPECS!$B$2:$B$89,0))*INDEX(IDX_SPECS!$H$2:$H$89,MATCH($B82,IDX_SPECS!$B$2:$B$89,0))))),"")</f>
        <v>10000000000000</v>
      </c>
      <c r="I82" s="8">
        <f>IF($A82&lt;&gt;"",SUMIF(NXT_COMPO!$P$2:$P$1048576,$G82,NXT_COMPO!$O$2:$O$1048576)/$V82,"")</f>
        <v>13957715385000</v>
      </c>
      <c r="K82" s="74">
        <f>IF($A82&lt;&gt;"",NXT_COMPO!$B$6,"")</f>
        <v>41166</v>
      </c>
      <c r="L82" s="64"/>
      <c r="M82" s="64"/>
      <c r="P82" s="60">
        <f>IF($A82&lt;&gt;"",INDEX(IDX_SPECS!$J$2:$J$89,MATCH($B82,IDX_SPECS!$B$2:$B$89,0)),"")</f>
        <v>1627.2731777104718</v>
      </c>
      <c r="Q82" s="8">
        <f>IF($A82&lt;&gt;"",SUMIF(NXT_COMPO!$P$2:$P$1048576,$G82,NXT_COMPO!$R$2:$R$1048576)/$V82,"")</f>
        <v>0</v>
      </c>
      <c r="V82" s="12">
        <f>IF(B82&lt;&gt;"",IF(D82=INDEX($D$2:$D$1048576,MATCH(G82,$B$2:$B$1048576,0)),1,IF(ISNA(INDEX(CUR_RATES!$D:$D,SUMPRODUCT(--(WORKDAY(K82,-1)=CUR_RATES!$E$1:$E$97),--($D82&amp;INDEX($D$2:$D$1048576,MATCH($G82,$B$2:$B$1048576,0))=CUR_RATES!$A$1:$A$97),ROW(CUR_RATES!$E$1:$E$97)))),"",INDEX(CUR_RATES!$D:$D,SUMPRODUCT(--(WORKDAY(K82,-1)=CUR_RATES!$E$1:$E$97),--(D82&amp;INDEX($D$2:$D$1048576,MATCH(G82,$B$2:$B$1048576,0))=CUR_RATES!$A$1:$A$97),ROW(CUR_RATES!$E$1:$E$97))))),"")</f>
        <v>1</v>
      </c>
    </row>
    <row r="83" spans="1:22" x14ac:dyDescent="0.2">
      <c r="A83" s="21">
        <f>IF(ROW($B83)-ROW($B$1)&lt;=COUNTIF(IDX_SPECS!$B$2:$B$89,"*")-COUNTIF(IDX_SPECS!$B$2:$B$89,""),ROW($B83)-ROW($B$1),"")</f>
        <v>82</v>
      </c>
      <c r="B83" t="str">
        <f>IF(ROW($B83)-ROW($B$1)&lt;=COUNTIF(IDX_SPECS!$B$2:$B$89,"*")-COUNTIF(IDX_SPECS!$B$2:$B$89,""),INDEX(IDX_SPECS!$B$2:$B$89,ROW($B83)-ROW($B$1)),"")</f>
        <v>VNXOGTRUSD</v>
      </c>
      <c r="D83" t="str">
        <f>IF($A83&lt;&gt;"",INDEX(IDX_SPECS!$D$2:$D$89,MATCH($B83,IDX_SPECS!$B$2:$B$89,0)),"")</f>
        <v>USD</v>
      </c>
      <c r="F83" t="str">
        <f>IF($A83&lt;&gt;"",INDEX(IDX_SPECS!$F$2:$F$89,MATCH($B83,IDX_SPECS!$B$2:$B$89,0)),"")</f>
        <v>R</v>
      </c>
      <c r="G83" t="str">
        <f>IF($A83&lt;&gt;"",INDEX(IDX_SPECS!$G$2:$G$89,MATCH($B83,IDX_SPECS!$B$2:$B$89,0)),"")</f>
        <v>VNXOGPRVND</v>
      </c>
      <c r="H83" s="70">
        <f>IF($A83&lt;&gt;"",IF(F83="P",$I83/INDEX(IDX_SPECS!$I$2:$I$89,MATCH($B83,IDX_SPECS!$B$2:$B$89,0))*INDEX(IDX_SPECS!$H$2:$H$89,MATCH($B83,IDX_SPECS!$B$2:$B$89,0)),IF(INDEX(IDX_SPECS!$Q$2:$Q$89,MATCH($B83,IDX_SPECS!$B$2:$B$89,0))=0,INDEX(IDX_SPECS!$H$2:$H$89,MATCH($B83,IDX_SPECS!$B$2:$B$89,0)),IF($Q83=0,INDEX(IDX_SPECS!$H$2:$H$89,MATCH($B83,IDX_SPECS!$B$2:$B$89,0)),$Q83/INDEX(IDX_SPECS!$Q$2:$Q$89,MATCH($B83,IDX_SPECS!$B$2:$B$89,0))*INDEX(IDX_SPECS!$H$2:$H$89,MATCH($B83,IDX_SPECS!$B$2:$B$89,0))))),"")</f>
        <v>476190476190.4762</v>
      </c>
      <c r="I83" s="8">
        <f>IF($A83&lt;&gt;"",SUMIF(NXT_COMPO!$P$2:$P$1048576,$G83,NXT_COMPO!$O$2:$O$1048576)/$V83,"")</f>
        <v>637629757.19506621</v>
      </c>
      <c r="K83" s="74">
        <f>IF($A83&lt;&gt;"",NXT_COMPO!$B$6,"")</f>
        <v>41166</v>
      </c>
      <c r="L83" s="64"/>
      <c r="M83" s="64"/>
      <c r="P83" s="60">
        <f>IF($A83&lt;&gt;"",INDEX(IDX_SPECS!$J$2:$J$89,MATCH($B83,IDX_SPECS!$B$2:$B$89,0)),"")</f>
        <v>1416.4518888936013</v>
      </c>
      <c r="Q83" s="8">
        <f>IF($A83&lt;&gt;"",SUMIF(NXT_COMPO!$P$2:$P$1048576,$G83,NXT_COMPO!$R$2:$R$1048576)/$V83,"")</f>
        <v>0</v>
      </c>
      <c r="V83" s="12">
        <f>IF(B83&lt;&gt;"",IF(D83=INDEX($D$2:$D$1048576,MATCH(G83,$B$2:$B$1048576,0)),1,IF(ISNA(INDEX(CUR_RATES!$D:$D,SUMPRODUCT(--(WORKDAY(K83,-1)=CUR_RATES!$E$1:$E$97),--($D83&amp;INDEX($D$2:$D$1048576,MATCH($G83,$B$2:$B$1048576,0))=CUR_RATES!$A$1:$A$97),ROW(CUR_RATES!$E$1:$E$97)))),"",INDEX(CUR_RATES!$D:$D,SUMPRODUCT(--(WORKDAY(K83,-1)=CUR_RATES!$E$1:$E$97),--(D83&amp;INDEX($D$2:$D$1048576,MATCH(G83,$B$2:$B$1048576,0))=CUR_RATES!$A$1:$A$97),ROW(CUR_RATES!$E$1:$E$97))))),"")</f>
        <v>21890</v>
      </c>
    </row>
    <row r="84" spans="1:22" x14ac:dyDescent="0.2">
      <c r="A84" s="21">
        <f>IF(ROW($B84)-ROW($B$1)&lt;=COUNTIF(IDX_SPECS!$B$2:$B$89,"*")-COUNTIF(IDX_SPECS!$B$2:$B$89,""),ROW($B84)-ROW($B$1),"")</f>
        <v>83</v>
      </c>
      <c r="B84" t="str">
        <f>IF(ROW($B84)-ROW($B$1)&lt;=COUNTIF(IDX_SPECS!$B$2:$B$89,"*")-COUNTIF(IDX_SPECS!$B$2:$B$89,""),INDEX(IDX_SPECS!$B$2:$B$89,ROW($B84)-ROW($B$1)),"")</f>
        <v>VNXOGTRJPY</v>
      </c>
      <c r="D84" t="str">
        <f>IF($A84&lt;&gt;"",INDEX(IDX_SPECS!$D$2:$D$89,MATCH($B84,IDX_SPECS!$B$2:$B$89,0)),"")</f>
        <v>JPY</v>
      </c>
      <c r="F84" t="str">
        <f>IF($A84&lt;&gt;"",INDEX(IDX_SPECS!$F$2:$F$89,MATCH($B84,IDX_SPECS!$B$2:$B$89,0)),"")</f>
        <v>R</v>
      </c>
      <c r="G84" t="str">
        <f>IF($A84&lt;&gt;"",INDEX(IDX_SPECS!$G$2:$G$89,MATCH($B84,IDX_SPECS!$B$2:$B$89,0)),"")</f>
        <v>VNXOGPRVND</v>
      </c>
      <c r="H84" s="70">
        <f>IF($A84&lt;&gt;"",IF(F84="P",$I84/INDEX(IDX_SPECS!$I$2:$I$89,MATCH($B84,IDX_SPECS!$B$2:$B$89,0))*INDEX(IDX_SPECS!$H$2:$H$89,MATCH($B84,IDX_SPECS!$B$2:$B$89,0)),IF(INDEX(IDX_SPECS!$Q$2:$Q$89,MATCH($B84,IDX_SPECS!$B$2:$B$89,0))=0,INDEX(IDX_SPECS!$H$2:$H$89,MATCH($B84,IDX_SPECS!$B$2:$B$89,0)),IF($Q84=0,INDEX(IDX_SPECS!$H$2:$H$89,MATCH($B84,IDX_SPECS!$B$2:$B$89,0)),$Q84/INDEX(IDX_SPECS!$Q$2:$Q$89,MATCH($B84,IDX_SPECS!$B$2:$B$89,0))*INDEX(IDX_SPECS!$H$2:$H$89,MATCH($B84,IDX_SPECS!$B$2:$B$89,0))))),"")</f>
        <v>37735849056.603775</v>
      </c>
      <c r="I84" s="8">
        <f>IF($A84&lt;&gt;"",SUMIF(NXT_COMPO!$P$2:$P$1048576,$G84,NXT_COMPO!$O$2:$O$1048576)/$V84,"")</f>
        <v>49495444627.659576</v>
      </c>
      <c r="K84" s="74">
        <f>IF($A84&lt;&gt;"",NXT_COMPO!$B$6,"")</f>
        <v>41166</v>
      </c>
      <c r="L84" s="64"/>
      <c r="M84" s="64"/>
      <c r="P84" s="60">
        <f>IF($A84&lt;&gt;"",INDEX(IDX_SPECS!$J$2:$J$89,MATCH($B84,IDX_SPECS!$B$2:$B$89,0)),"")</f>
        <v>1726.7871142710751</v>
      </c>
      <c r="Q84" s="8">
        <f>IF($A84&lt;&gt;"",SUMIF(NXT_COMPO!$P$2:$P$1048576,$G84,NXT_COMPO!$R$2:$R$1048576)/$V84,"")</f>
        <v>0</v>
      </c>
      <c r="V84" s="12">
        <f>IF(B84&lt;&gt;"",IF(D84=INDEX($D$2:$D$1048576,MATCH(G84,$B$2:$B$1048576,0)),1,IF(ISNA(INDEX(CUR_RATES!$D:$D,SUMPRODUCT(--(WORKDAY(K84,-1)=CUR_RATES!$E$1:$E$97),--($D84&amp;INDEX($D$2:$D$1048576,MATCH($G84,$B$2:$B$1048576,0))=CUR_RATES!$A$1:$A$97),ROW(CUR_RATES!$E$1:$E$97)))),"",INDEX(CUR_RATES!$D:$D,SUMPRODUCT(--(WORKDAY(K84,-1)=CUR_RATES!$E$1:$E$97),--(D84&amp;INDEX($D$2:$D$1048576,MATCH(G84,$B$2:$B$1048576,0))=CUR_RATES!$A$1:$A$97),ROW(CUR_RATES!$E$1:$E$97))))),"")</f>
        <v>282</v>
      </c>
    </row>
    <row r="85" spans="1:22" x14ac:dyDescent="0.2">
      <c r="A85" s="21">
        <f>IF(ROW($B85)-ROW($B$1)&lt;=COUNTIF(IDX_SPECS!$B$2:$B$89,"*")-COUNTIF(IDX_SPECS!$B$2:$B$89,""),ROW($B85)-ROW($B$1),"")</f>
        <v>84</v>
      </c>
      <c r="B85" t="str">
        <f>IF(ROW($B85)-ROW($B$1)&lt;=COUNTIF(IDX_SPECS!$B$2:$B$89,"*")-COUNTIF(IDX_SPECS!$B$2:$B$89,""),INDEX(IDX_SPECS!$B$2:$B$89,ROW($B85)-ROW($B$1)),"")</f>
        <v>VNXOGTREUR</v>
      </c>
      <c r="D85" t="str">
        <f>IF($A85&lt;&gt;"",INDEX(IDX_SPECS!$D$2:$D$89,MATCH($B85,IDX_SPECS!$B$2:$B$89,0)),"")</f>
        <v>EUR</v>
      </c>
      <c r="F85" t="str">
        <f>IF($A85&lt;&gt;"",INDEX(IDX_SPECS!$F$2:$F$89,MATCH($B85,IDX_SPECS!$B$2:$B$89,0)),"")</f>
        <v>R</v>
      </c>
      <c r="G85" t="str">
        <f>IF($A85&lt;&gt;"",INDEX(IDX_SPECS!$G$2:$G$89,MATCH($B85,IDX_SPECS!$B$2:$B$89,0)),"")</f>
        <v>VNXOGPRVND</v>
      </c>
      <c r="H85" s="70">
        <f>IF($A85&lt;&gt;"",IF(F85="P",$I85/INDEX(IDX_SPECS!$I$2:$I$89,MATCH($B85,IDX_SPECS!$B$2:$B$89,0))*INDEX(IDX_SPECS!$H$2:$H$89,MATCH($B85,IDX_SPECS!$B$2:$B$89,0)),IF(INDEX(IDX_SPECS!$Q$2:$Q$89,MATCH($B85,IDX_SPECS!$B$2:$B$89,0))=0,INDEX(IDX_SPECS!$H$2:$H$89,MATCH($B85,IDX_SPECS!$B$2:$B$89,0)),IF($Q85=0,INDEX(IDX_SPECS!$H$2:$H$89,MATCH($B85,IDX_SPECS!$B$2:$B$89,0)),$Q85/INDEX(IDX_SPECS!$Q$2:$Q$89,MATCH($B85,IDX_SPECS!$B$2:$B$89,0))*INDEX(IDX_SPECS!$H$2:$H$89,MATCH($B85,IDX_SPECS!$B$2:$B$89,0))))),"")</f>
        <v>344827586206.89655</v>
      </c>
      <c r="I85" s="8">
        <f>IF($A85&lt;&gt;"",SUMIF(NXT_COMPO!$P$2:$P$1048576,$G85,NXT_COMPO!$O$2:$O$1048576)/$V85,"")</f>
        <v>468211908.78571033</v>
      </c>
      <c r="K85" s="74">
        <f>IF($A85&lt;&gt;"",NXT_COMPO!$B$6,"")</f>
        <v>41166</v>
      </c>
      <c r="L85" s="64"/>
      <c r="M85" s="64"/>
      <c r="P85" s="60">
        <f>IF($A85&lt;&gt;"",INDEX(IDX_SPECS!$J$2:$J$89,MATCH($B85,IDX_SPECS!$B$2:$B$89,0)),"")</f>
        <v>1407.6676750953329</v>
      </c>
      <c r="Q85" s="8">
        <f>IF($A85&lt;&gt;"",SUMIF(NXT_COMPO!$P$2:$P$1048576,$G85,NXT_COMPO!$R$2:$R$1048576)/$V85,"")</f>
        <v>0</v>
      </c>
      <c r="V85" s="12">
        <f>IF(B85&lt;&gt;"",IF(D85=INDEX($D$2:$D$1048576,MATCH(G85,$B$2:$B$1048576,0)),1,IF(ISNA(INDEX(CUR_RATES!$D:$D,SUMPRODUCT(--(WORKDAY(K85,-1)=CUR_RATES!$E$1:$E$97),--($D85&amp;INDEX($D$2:$D$1048576,MATCH($G85,$B$2:$B$1048576,0))=CUR_RATES!$A$1:$A$97),ROW(CUR_RATES!$E$1:$E$97)))),"",INDEX(CUR_RATES!$D:$D,SUMPRODUCT(--(WORKDAY(K85,-1)=CUR_RATES!$E$1:$E$97),--(D85&amp;INDEX($D$2:$D$1048576,MATCH(G85,$B$2:$B$1048576,0))=CUR_RATES!$A$1:$A$97),ROW(CUR_RATES!$E$1:$E$97))))),"")</f>
        <v>29810.68</v>
      </c>
    </row>
    <row r="86" spans="1:22" x14ac:dyDescent="0.2">
      <c r="A86" s="21">
        <f>IF(ROW($B86)-ROW($B$1)&lt;=COUNTIF(IDX_SPECS!$B$2:$B$89,"*")-COUNTIF(IDX_SPECS!$B$2:$B$89,""),ROW($B86)-ROW($B$1),"")</f>
        <v>85</v>
      </c>
      <c r="B86" t="str">
        <f>IF(ROW($B86)-ROW($B$1)&lt;=COUNTIF(IDX_SPECS!$B$2:$B$89,"*")-COUNTIF(IDX_SPECS!$B$2:$B$89,""),INDEX(IDX_SPECS!$B$2:$B$89,ROW($B86)-ROW($B$1)),"")</f>
        <v>VNXUTTRVND</v>
      </c>
      <c r="D86" t="str">
        <f>IF($A86&lt;&gt;"",INDEX(IDX_SPECS!$D$2:$D$89,MATCH($B86,IDX_SPECS!$B$2:$B$89,0)),"")</f>
        <v>VND</v>
      </c>
      <c r="F86" t="str">
        <f>IF($A86&lt;&gt;"",INDEX(IDX_SPECS!$F$2:$F$89,MATCH($B86,IDX_SPECS!$B$2:$B$89,0)),"")</f>
        <v>R</v>
      </c>
      <c r="G86" t="str">
        <f>IF($A86&lt;&gt;"",INDEX(IDX_SPECS!$G$2:$G$89,MATCH($B86,IDX_SPECS!$B$2:$B$89,0)),"")</f>
        <v>VNXUTPRVND</v>
      </c>
      <c r="H86" s="70">
        <f>IF($A86&lt;&gt;"",IF(F86="P",$I86/INDEX(IDX_SPECS!$I$2:$I$89,MATCH($B86,IDX_SPECS!$B$2:$B$89,0))*INDEX(IDX_SPECS!$H$2:$H$89,MATCH($B86,IDX_SPECS!$B$2:$B$89,0)),IF(INDEX(IDX_SPECS!$Q$2:$Q$89,MATCH($B86,IDX_SPECS!$B$2:$B$89,0))=0,INDEX(IDX_SPECS!$H$2:$H$89,MATCH($B86,IDX_SPECS!$B$2:$B$89,0)),IF($Q86=0,INDEX(IDX_SPECS!$H$2:$H$89,MATCH($B86,IDX_SPECS!$B$2:$B$89,0)),$Q86/INDEX(IDX_SPECS!$Q$2:$Q$89,MATCH($B86,IDX_SPECS!$B$2:$B$89,0))*INDEX(IDX_SPECS!$H$2:$H$89,MATCH($B86,IDX_SPECS!$B$2:$B$89,0))))),"")</f>
        <v>10000000000000</v>
      </c>
      <c r="I86" s="8">
        <f>IF($A86&lt;&gt;"",SUMIF(NXT_COMPO!$P$2:$P$1048576,$G86,NXT_COMPO!$O$2:$O$1048576)/$V86,"")</f>
        <v>2957227000000</v>
      </c>
      <c r="K86" s="74">
        <f>IF($A86&lt;&gt;"",NXT_COMPO!$B$6,"")</f>
        <v>41166</v>
      </c>
      <c r="L86" s="64"/>
      <c r="M86" s="64"/>
      <c r="P86" s="60">
        <f>IF($A86&lt;&gt;"",INDEX(IDX_SPECS!$J$2:$J$89,MATCH($B86,IDX_SPECS!$B$2:$B$89,0)),"")</f>
        <v>293.8777</v>
      </c>
      <c r="Q86" s="8">
        <f>IF($A86&lt;&gt;"",SUMIF(NXT_COMPO!$P$2:$P$1048576,$G86,NXT_COMPO!$R$2:$R$1048576)/$V86,"")</f>
        <v>0</v>
      </c>
      <c r="V86" s="12">
        <f>IF(B86&lt;&gt;"",IF(D86=INDEX($D$2:$D$1048576,MATCH(G86,$B$2:$B$1048576,0)),1,IF(ISNA(INDEX(CUR_RATES!$D:$D,SUMPRODUCT(--(WORKDAY(K86,-1)=CUR_RATES!$E$1:$E$97),--($D86&amp;INDEX($D$2:$D$1048576,MATCH($G86,$B$2:$B$1048576,0))=CUR_RATES!$A$1:$A$97),ROW(CUR_RATES!$E$1:$E$97)))),"",INDEX(CUR_RATES!$D:$D,SUMPRODUCT(--(WORKDAY(K86,-1)=CUR_RATES!$E$1:$E$97),--(D86&amp;INDEX($D$2:$D$1048576,MATCH(G86,$B$2:$B$1048576,0))=CUR_RATES!$A$1:$A$97),ROW(CUR_RATES!$E$1:$E$97))))),"")</f>
        <v>1</v>
      </c>
    </row>
    <row r="87" spans="1:22" x14ac:dyDescent="0.2">
      <c r="A87" s="21">
        <f>IF(ROW($B87)-ROW($B$1)&lt;=COUNTIF(IDX_SPECS!$B$2:$B$89,"*")-COUNTIF(IDX_SPECS!$B$2:$B$89,""),ROW($B87)-ROW($B$1),"")</f>
        <v>86</v>
      </c>
      <c r="B87" t="str">
        <f>IF(ROW($B87)-ROW($B$1)&lt;=COUNTIF(IDX_SPECS!$B$2:$B$89,"*")-COUNTIF(IDX_SPECS!$B$2:$B$89,""),INDEX(IDX_SPECS!$B$2:$B$89,ROW($B87)-ROW($B$1)),"")</f>
        <v>VNXUTTRUSD</v>
      </c>
      <c r="D87" t="str">
        <f>IF($A87&lt;&gt;"",INDEX(IDX_SPECS!$D$2:$D$89,MATCH($B87,IDX_SPECS!$B$2:$B$89,0)),"")</f>
        <v>USD</v>
      </c>
      <c r="F87" t="str">
        <f>IF($A87&lt;&gt;"",INDEX(IDX_SPECS!$F$2:$F$89,MATCH($B87,IDX_SPECS!$B$2:$B$89,0)),"")</f>
        <v>R</v>
      </c>
      <c r="G87" t="str">
        <f>IF($A87&lt;&gt;"",INDEX(IDX_SPECS!$G$2:$G$89,MATCH($B87,IDX_SPECS!$B$2:$B$89,0)),"")</f>
        <v>VNXUTPRVND</v>
      </c>
      <c r="H87" s="70">
        <f>IF($A87&lt;&gt;"",IF(F87="P",$I87/INDEX(IDX_SPECS!$I$2:$I$89,MATCH($B87,IDX_SPECS!$B$2:$B$89,0))*INDEX(IDX_SPECS!$H$2:$H$89,MATCH($B87,IDX_SPECS!$B$2:$B$89,0)),IF(INDEX(IDX_SPECS!$Q$2:$Q$89,MATCH($B87,IDX_SPECS!$B$2:$B$89,0))=0,INDEX(IDX_SPECS!$H$2:$H$89,MATCH($B87,IDX_SPECS!$B$2:$B$89,0)),IF($Q87=0,INDEX(IDX_SPECS!$H$2:$H$89,MATCH($B87,IDX_SPECS!$B$2:$B$89,0)),$Q87/INDEX(IDX_SPECS!$Q$2:$Q$89,MATCH($B87,IDX_SPECS!$B$2:$B$89,0))*INDEX(IDX_SPECS!$H$2:$H$89,MATCH($B87,IDX_SPECS!$B$2:$B$89,0))))),"")</f>
        <v>476190476190.4762</v>
      </c>
      <c r="I87" s="8">
        <f>IF($A87&lt;&gt;"",SUMIF(NXT_COMPO!$P$2:$P$1048576,$G87,NXT_COMPO!$O$2:$O$1048576)/$V87,"")</f>
        <v>135094883.50845134</v>
      </c>
      <c r="K87" s="74">
        <f>IF($A87&lt;&gt;"",NXT_COMPO!$B$6,"")</f>
        <v>41166</v>
      </c>
      <c r="L87" s="64"/>
      <c r="M87" s="64"/>
      <c r="P87" s="60">
        <f>IF($A87&lt;&gt;"",INDEX(IDX_SPECS!$J$2:$J$89,MATCH($B87,IDX_SPECS!$B$2:$B$89,0)),"")</f>
        <v>318.25601412739678</v>
      </c>
      <c r="Q87" s="8">
        <f>IF($A87&lt;&gt;"",SUMIF(NXT_COMPO!$P$2:$P$1048576,$G87,NXT_COMPO!$R$2:$R$1048576)/$V87,"")</f>
        <v>0</v>
      </c>
      <c r="V87" s="12">
        <f>IF(B87&lt;&gt;"",IF(D87=INDEX($D$2:$D$1048576,MATCH(G87,$B$2:$B$1048576,0)),1,IF(ISNA(INDEX(CUR_RATES!$D:$D,SUMPRODUCT(--(WORKDAY(K87,-1)=CUR_RATES!$E$1:$E$97),--($D87&amp;INDEX($D$2:$D$1048576,MATCH($G87,$B$2:$B$1048576,0))=CUR_RATES!$A$1:$A$97),ROW(CUR_RATES!$E$1:$E$97)))),"",INDEX(CUR_RATES!$D:$D,SUMPRODUCT(--(WORKDAY(K87,-1)=CUR_RATES!$E$1:$E$97),--(D87&amp;INDEX($D$2:$D$1048576,MATCH(G87,$B$2:$B$1048576,0))=CUR_RATES!$A$1:$A$97),ROW(CUR_RATES!$E$1:$E$97))))),"")</f>
        <v>21890</v>
      </c>
    </row>
    <row r="88" spans="1:22" x14ac:dyDescent="0.2">
      <c r="A88" s="21">
        <f>IF(ROW($B88)-ROW($B$1)&lt;=COUNTIF(IDX_SPECS!$B$2:$B$89,"*")-COUNTIF(IDX_SPECS!$B$2:$B$89,""),ROW($B88)-ROW($B$1),"")</f>
        <v>87</v>
      </c>
      <c r="B88" t="str">
        <f>IF(ROW($B88)-ROW($B$1)&lt;=COUNTIF(IDX_SPECS!$B$2:$B$89,"*")-COUNTIF(IDX_SPECS!$B$2:$B$89,""),INDEX(IDX_SPECS!$B$2:$B$89,ROW($B88)-ROW($B$1)),"")</f>
        <v>VNXUTTRJPY</v>
      </c>
      <c r="D88" t="str">
        <f>IF($A88&lt;&gt;"",INDEX(IDX_SPECS!$D$2:$D$89,MATCH($B88,IDX_SPECS!$B$2:$B$89,0)),"")</f>
        <v>JPY</v>
      </c>
      <c r="F88" t="str">
        <f>IF($A88&lt;&gt;"",INDEX(IDX_SPECS!$F$2:$F$89,MATCH($B88,IDX_SPECS!$B$2:$B$89,0)),"")</f>
        <v>R</v>
      </c>
      <c r="G88" t="str">
        <f>IF($A88&lt;&gt;"",INDEX(IDX_SPECS!$G$2:$G$89,MATCH($B88,IDX_SPECS!$B$2:$B$89,0)),"")</f>
        <v>VNXUTPRVND</v>
      </c>
      <c r="H88" s="70">
        <f>IF($A88&lt;&gt;"",IF(F88="P",$I88/INDEX(IDX_SPECS!$I$2:$I$89,MATCH($B88,IDX_SPECS!$B$2:$B$89,0))*INDEX(IDX_SPECS!$H$2:$H$89,MATCH($B88,IDX_SPECS!$B$2:$B$89,0)),IF(INDEX(IDX_SPECS!$Q$2:$Q$89,MATCH($B88,IDX_SPECS!$B$2:$B$89,0))=0,INDEX(IDX_SPECS!$H$2:$H$89,MATCH($B88,IDX_SPECS!$B$2:$B$89,0)),IF($Q88=0,INDEX(IDX_SPECS!$H$2:$H$89,MATCH($B88,IDX_SPECS!$B$2:$B$89,0)),$Q88/INDEX(IDX_SPECS!$Q$2:$Q$89,MATCH($B88,IDX_SPECS!$B$2:$B$89,0))*INDEX(IDX_SPECS!$H$2:$H$89,MATCH($B88,IDX_SPECS!$B$2:$B$89,0))))),"")</f>
        <v>37735849056.603775</v>
      </c>
      <c r="I88" s="8">
        <f>IF($A88&lt;&gt;"",SUMIF(NXT_COMPO!$P$2:$P$1048576,$G88,NXT_COMPO!$O$2:$O$1048576)/$V88,"")</f>
        <v>10486620567.375887</v>
      </c>
      <c r="K88" s="74">
        <f>IF($A88&lt;&gt;"",NXT_COMPO!$B$6,"")</f>
        <v>41166</v>
      </c>
      <c r="L88" s="64"/>
      <c r="M88" s="64"/>
      <c r="P88" s="60">
        <f>IF($A88&lt;&gt;"",INDEX(IDX_SPECS!$J$2:$J$89,MATCH($B88,IDX_SPECS!$B$2:$B$89,0)),"")</f>
        <v>244.27569022088505</v>
      </c>
      <c r="Q88" s="8">
        <f>IF($A88&lt;&gt;"",SUMIF(NXT_COMPO!$P$2:$P$1048576,$G88,NXT_COMPO!$R$2:$R$1048576)/$V88,"")</f>
        <v>0</v>
      </c>
      <c r="V88" s="12">
        <f>IF(B88&lt;&gt;"",IF(D88=INDEX($D$2:$D$1048576,MATCH(G88,$B$2:$B$1048576,0)),1,IF(ISNA(INDEX(CUR_RATES!$D:$D,SUMPRODUCT(--(WORKDAY(K88,-1)=CUR_RATES!$E$1:$E$97),--($D88&amp;INDEX($D$2:$D$1048576,MATCH($G88,$B$2:$B$1048576,0))=CUR_RATES!$A$1:$A$97),ROW(CUR_RATES!$E$1:$E$97)))),"",INDEX(CUR_RATES!$D:$D,SUMPRODUCT(--(WORKDAY(K88,-1)=CUR_RATES!$E$1:$E$97),--(D88&amp;INDEX($D$2:$D$1048576,MATCH(G88,$B$2:$B$1048576,0))=CUR_RATES!$A$1:$A$97),ROW(CUR_RATES!$E$1:$E$97))))),"")</f>
        <v>282</v>
      </c>
    </row>
    <row r="89" spans="1:22" x14ac:dyDescent="0.2">
      <c r="A89" s="21">
        <f>IF(ROW($B89)-ROW($B$1)&lt;=COUNTIF(IDX_SPECS!$B$2:$B$89,"*")-COUNTIF(IDX_SPECS!$B$2:$B$89,""),ROW($B89)-ROW($B$1),"")</f>
        <v>88</v>
      </c>
      <c r="B89" t="str">
        <f>IF(ROW($B89)-ROW($B$1)&lt;=COUNTIF(IDX_SPECS!$B$2:$B$89,"*")-COUNTIF(IDX_SPECS!$B$2:$B$89,""),INDEX(IDX_SPECS!$B$2:$B$89,ROW($B89)-ROW($B$1)),"")</f>
        <v>VNXUTTREUR</v>
      </c>
      <c r="D89" t="str">
        <f>IF($A89&lt;&gt;"",INDEX(IDX_SPECS!$D$2:$D$89,MATCH($B89,IDX_SPECS!$B$2:$B$89,0)),"")</f>
        <v>EUR</v>
      </c>
      <c r="F89" t="str">
        <f>IF($A89&lt;&gt;"",INDEX(IDX_SPECS!$F$2:$F$89,MATCH($B89,IDX_SPECS!$B$2:$B$89,0)),"")</f>
        <v>R</v>
      </c>
      <c r="G89" t="str">
        <f>IF($A89&lt;&gt;"",INDEX(IDX_SPECS!$G$2:$G$89,MATCH($B89,IDX_SPECS!$B$2:$B$89,0)),"")</f>
        <v>VNXUTPRVND</v>
      </c>
      <c r="H89" s="70">
        <f>IF($A89&lt;&gt;"",IF(F89="P",$I89/INDEX(IDX_SPECS!$I$2:$I$89,MATCH($B89,IDX_SPECS!$B$2:$B$89,0))*INDEX(IDX_SPECS!$H$2:$H$89,MATCH($B89,IDX_SPECS!$B$2:$B$89,0)),IF(INDEX(IDX_SPECS!$Q$2:$Q$89,MATCH($B89,IDX_SPECS!$B$2:$B$89,0))=0,INDEX(IDX_SPECS!$H$2:$H$89,MATCH($B89,IDX_SPECS!$B$2:$B$89,0)),IF($Q89=0,INDEX(IDX_SPECS!$H$2:$H$89,MATCH($B89,IDX_SPECS!$B$2:$B$89,0)),$Q89/INDEX(IDX_SPECS!$Q$2:$Q$89,MATCH($B89,IDX_SPECS!$B$2:$B$89,0))*INDEX(IDX_SPECS!$H$2:$H$89,MATCH($B89,IDX_SPECS!$B$2:$B$89,0))))),"")</f>
        <v>344827586206.89655</v>
      </c>
      <c r="I89" s="8">
        <f>IF($A89&lt;&gt;"",SUMIF(NXT_COMPO!$P$2:$P$1048576,$G89,NXT_COMPO!$O$2:$O$1048576)/$V89,"")</f>
        <v>99200253.063667119</v>
      </c>
      <c r="K89" s="74">
        <f>IF($A89&lt;&gt;"",NXT_COMPO!$B$6,"")</f>
        <v>41166</v>
      </c>
      <c r="L89" s="64"/>
      <c r="M89" s="64"/>
      <c r="P89" s="60">
        <f>IF($A89&lt;&gt;"",INDEX(IDX_SPECS!$J$2:$J$89,MATCH($B89,IDX_SPECS!$B$2:$B$89,0)),"")</f>
        <v>274.75143384212078</v>
      </c>
      <c r="Q89" s="8">
        <f>IF($A89&lt;&gt;"",SUMIF(NXT_COMPO!$P$2:$P$1048576,$G89,NXT_COMPO!$R$2:$R$1048576)/$V89,"")</f>
        <v>0</v>
      </c>
      <c r="V89" s="12">
        <f>IF(B89&lt;&gt;"",IF(D89=INDEX($D$2:$D$1048576,MATCH(G89,$B$2:$B$1048576,0)),1,IF(ISNA(INDEX(CUR_RATES!$D:$D,SUMPRODUCT(--(WORKDAY(K89,-1)=CUR_RATES!$E$1:$E$97),--($D89&amp;INDEX($D$2:$D$1048576,MATCH($G89,$B$2:$B$1048576,0))=CUR_RATES!$A$1:$A$97),ROW(CUR_RATES!$E$1:$E$97)))),"",INDEX(CUR_RATES!$D:$D,SUMPRODUCT(--(WORKDAY(K89,-1)=CUR_RATES!$E$1:$E$97),--(D89&amp;INDEX($D$2:$D$1048576,MATCH(G89,$B$2:$B$1048576,0))=CUR_RATES!$A$1:$A$97),ROW(CUR_RATES!$E$1:$E$97))))),"")</f>
        <v>29810.68</v>
      </c>
    </row>
    <row r="97" spans="8:17" customFormat="1" x14ac:dyDescent="0.2">
      <c r="H97" s="8"/>
      <c r="I97" s="8"/>
      <c r="Q97" s="8"/>
    </row>
    <row r="98" spans="8:17" customFormat="1" x14ac:dyDescent="0.2">
      <c r="H98" s="8"/>
      <c r="I98" s="8"/>
      <c r="Q98" s="8"/>
    </row>
    <row r="99" spans="8:17" customFormat="1" x14ac:dyDescent="0.2">
      <c r="H99" s="8"/>
      <c r="I99" s="8"/>
      <c r="Q99" s="8"/>
    </row>
    <row r="100" spans="8:17" customFormat="1" x14ac:dyDescent="0.2">
      <c r="H100" s="8"/>
      <c r="I100" s="8"/>
      <c r="Q100" s="8"/>
    </row>
    <row r="101" spans="8:17" customFormat="1" x14ac:dyDescent="0.2">
      <c r="H101" s="8"/>
      <c r="I101" s="8"/>
      <c r="Q101" s="8"/>
    </row>
    <row r="102" spans="8:17" customFormat="1" x14ac:dyDescent="0.2">
      <c r="H102" s="8"/>
      <c r="I102" s="8"/>
      <c r="Q102" s="8"/>
    </row>
    <row r="103" spans="8:17" customFormat="1" x14ac:dyDescent="0.2">
      <c r="H103" s="8"/>
      <c r="I103" s="8"/>
      <c r="Q103" s="8"/>
    </row>
    <row r="104" spans="8:17" customFormat="1" x14ac:dyDescent="0.2">
      <c r="H104" s="8"/>
      <c r="I104" s="8"/>
      <c r="Q104" s="8"/>
    </row>
    <row r="105" spans="8:17" customFormat="1" x14ac:dyDescent="0.2">
      <c r="H105" s="8"/>
      <c r="I105" s="8"/>
      <c r="Q105" s="8"/>
    </row>
    <row r="106" spans="8:17" customFormat="1" x14ac:dyDescent="0.2">
      <c r="H106" s="8"/>
      <c r="I106" s="8"/>
      <c r="Q106" s="8"/>
    </row>
    <row r="107" spans="8:17" customFormat="1" x14ac:dyDescent="0.2">
      <c r="H107" s="8"/>
      <c r="I107" s="8"/>
      <c r="Q107" s="8"/>
    </row>
    <row r="108" spans="8:17" customFormat="1" x14ac:dyDescent="0.2">
      <c r="H108" s="8"/>
      <c r="I108" s="8"/>
      <c r="Q108" s="8"/>
    </row>
    <row r="109" spans="8:17" customFormat="1" x14ac:dyDescent="0.2">
      <c r="H109" s="8"/>
      <c r="I109" s="8"/>
      <c r="Q109" s="8"/>
    </row>
    <row r="110" spans="8:17" customFormat="1" x14ac:dyDescent="0.2">
      <c r="H110" s="8"/>
      <c r="I110" s="8"/>
      <c r="Q110" s="8"/>
    </row>
    <row r="111" spans="8:17" customFormat="1" x14ac:dyDescent="0.2">
      <c r="H111" s="8"/>
      <c r="I111" s="8"/>
      <c r="Q111" s="8"/>
    </row>
    <row r="112" spans="8:17" customFormat="1" x14ac:dyDescent="0.2">
      <c r="H112" s="8"/>
      <c r="I112" s="8"/>
      <c r="Q112" s="8"/>
    </row>
    <row r="113" spans="8:17" customFormat="1" x14ac:dyDescent="0.2">
      <c r="H113" s="8"/>
      <c r="I113" s="8"/>
      <c r="Q113" s="8"/>
    </row>
    <row r="114" spans="8:17" customFormat="1" x14ac:dyDescent="0.2">
      <c r="H114" s="8"/>
      <c r="I114" s="8"/>
      <c r="Q114" s="8"/>
    </row>
    <row r="115" spans="8:17" customFormat="1" x14ac:dyDescent="0.2">
      <c r="H115" s="8"/>
      <c r="I115" s="8"/>
      <c r="Q115" s="8"/>
    </row>
    <row r="116" spans="8:17" customFormat="1" x14ac:dyDescent="0.2">
      <c r="H116" s="8"/>
      <c r="I116" s="8"/>
      <c r="Q116" s="8"/>
    </row>
    <row r="117" spans="8:17" customFormat="1" x14ac:dyDescent="0.2">
      <c r="H117" s="8"/>
      <c r="I117" s="8"/>
      <c r="Q117" s="8"/>
    </row>
    <row r="118" spans="8:17" customFormat="1" x14ac:dyDescent="0.2">
      <c r="H118" s="8"/>
      <c r="I118" s="8"/>
      <c r="Q118" s="8"/>
    </row>
    <row r="119" spans="8:17" customFormat="1" x14ac:dyDescent="0.2">
      <c r="H119" s="8"/>
      <c r="I119" s="8"/>
      <c r="Q119" s="8"/>
    </row>
    <row r="120" spans="8:17" customFormat="1" x14ac:dyDescent="0.2">
      <c r="H120" s="8"/>
      <c r="I120" s="8"/>
      <c r="Q120" s="8"/>
    </row>
    <row r="121" spans="8:17" customFormat="1" x14ac:dyDescent="0.2">
      <c r="H121" s="8"/>
      <c r="I121" s="8"/>
      <c r="Q121" s="8"/>
    </row>
    <row r="122" spans="8:17" customFormat="1" x14ac:dyDescent="0.2">
      <c r="H122" s="8"/>
      <c r="I122" s="8"/>
      <c r="Q122" s="8"/>
    </row>
    <row r="123" spans="8:17" customFormat="1" x14ac:dyDescent="0.2">
      <c r="H123" s="8"/>
      <c r="I123" s="8"/>
      <c r="Q123" s="8"/>
    </row>
    <row r="124" spans="8:17" customFormat="1" x14ac:dyDescent="0.2">
      <c r="H124" s="8"/>
      <c r="I124" s="8"/>
      <c r="Q124" s="8"/>
    </row>
    <row r="125" spans="8:17" customFormat="1" x14ac:dyDescent="0.2">
      <c r="H125" s="8"/>
      <c r="I125" s="8"/>
      <c r="Q125" s="8"/>
    </row>
    <row r="126" spans="8:17" customFormat="1" x14ac:dyDescent="0.2">
      <c r="H126" s="8"/>
      <c r="I126" s="8"/>
      <c r="Q126" s="8"/>
    </row>
    <row r="127" spans="8:17" customFormat="1" x14ac:dyDescent="0.2">
      <c r="H127" s="8"/>
      <c r="I127" s="8"/>
      <c r="Q127" s="8"/>
    </row>
    <row r="128" spans="8:17" customFormat="1" x14ac:dyDescent="0.2">
      <c r="H128" s="8"/>
      <c r="I128" s="8"/>
      <c r="Q128" s="8"/>
    </row>
    <row r="129" spans="8:17" customFormat="1" x14ac:dyDescent="0.2">
      <c r="H129" s="8"/>
      <c r="I129" s="8"/>
      <c r="Q129" s="8"/>
    </row>
    <row r="130" spans="8:17" customFormat="1" x14ac:dyDescent="0.2">
      <c r="H130" s="8"/>
      <c r="I130" s="8"/>
      <c r="Q130" s="8"/>
    </row>
    <row r="131" spans="8:17" customFormat="1" x14ac:dyDescent="0.2">
      <c r="H131" s="8"/>
      <c r="I131" s="8"/>
      <c r="Q131" s="8"/>
    </row>
    <row r="132" spans="8:17" customFormat="1" x14ac:dyDescent="0.2">
      <c r="H132" s="8"/>
      <c r="I132" s="8"/>
      <c r="Q132" s="8"/>
    </row>
    <row r="133" spans="8:17" customFormat="1" x14ac:dyDescent="0.2">
      <c r="H133" s="8"/>
      <c r="I133" s="8"/>
      <c r="Q133" s="8"/>
    </row>
    <row r="134" spans="8:17" customFormat="1" x14ac:dyDescent="0.2">
      <c r="H134" s="8"/>
      <c r="I134" s="8"/>
      <c r="Q134" s="8"/>
    </row>
    <row r="135" spans="8:17" customFormat="1" x14ac:dyDescent="0.2">
      <c r="H135" s="8"/>
      <c r="I135" s="8"/>
      <c r="Q135" s="8"/>
    </row>
    <row r="136" spans="8:17" customFormat="1" x14ac:dyDescent="0.2">
      <c r="H136" s="8"/>
      <c r="I136" s="8"/>
      <c r="Q136" s="8"/>
    </row>
    <row r="137" spans="8:17" customFormat="1" x14ac:dyDescent="0.2">
      <c r="H137" s="8"/>
      <c r="I137" s="8"/>
      <c r="Q137" s="8"/>
    </row>
    <row r="138" spans="8:17" customFormat="1" x14ac:dyDescent="0.2">
      <c r="H138" s="8"/>
      <c r="I138" s="8"/>
      <c r="Q138" s="8"/>
    </row>
    <row r="139" spans="8:17" customFormat="1" x14ac:dyDescent="0.2">
      <c r="H139" s="8"/>
      <c r="I139" s="8"/>
      <c r="Q139" s="8"/>
    </row>
    <row r="140" spans="8:17" customFormat="1" x14ac:dyDescent="0.2">
      <c r="H140" s="8"/>
      <c r="I140" s="8"/>
      <c r="Q140" s="8"/>
    </row>
    <row r="141" spans="8:17" customFormat="1" x14ac:dyDescent="0.2">
      <c r="H141" s="8"/>
      <c r="I141" s="8"/>
      <c r="Q141" s="8"/>
    </row>
    <row r="142" spans="8:17" customFormat="1" x14ac:dyDescent="0.2">
      <c r="H142" s="8"/>
      <c r="I142" s="8"/>
      <c r="Q142" s="8"/>
    </row>
    <row r="143" spans="8:17" customFormat="1" x14ac:dyDescent="0.2">
      <c r="H143" s="8"/>
      <c r="I143" s="8"/>
      <c r="Q143" s="8"/>
    </row>
    <row r="144" spans="8:17" customFormat="1" x14ac:dyDescent="0.2">
      <c r="H144" s="8"/>
      <c r="I144" s="8"/>
      <c r="Q144" s="8"/>
    </row>
    <row r="145" spans="8:17" customFormat="1" x14ac:dyDescent="0.2">
      <c r="H145" s="8"/>
      <c r="I145" s="8"/>
      <c r="Q145" s="8"/>
    </row>
    <row r="146" spans="8:17" customFormat="1" x14ac:dyDescent="0.2">
      <c r="H146" s="8"/>
      <c r="I146" s="8"/>
      <c r="Q146" s="8"/>
    </row>
    <row r="147" spans="8:17" customFormat="1" x14ac:dyDescent="0.2">
      <c r="H147" s="8"/>
      <c r="I147" s="8"/>
      <c r="Q147" s="8"/>
    </row>
    <row r="148" spans="8:17" customFormat="1" x14ac:dyDescent="0.2">
      <c r="H148" s="8"/>
      <c r="I148" s="8"/>
      <c r="Q148" s="8"/>
    </row>
    <row r="149" spans="8:17" customFormat="1" x14ac:dyDescent="0.2">
      <c r="H149" s="8"/>
      <c r="I149" s="8"/>
      <c r="Q149" s="8"/>
    </row>
    <row r="150" spans="8:17" customFormat="1" x14ac:dyDescent="0.2">
      <c r="H150" s="8"/>
      <c r="I150" s="8"/>
      <c r="Q150" s="8"/>
    </row>
    <row r="151" spans="8:17" customFormat="1" x14ac:dyDescent="0.2">
      <c r="H151" s="8"/>
      <c r="I151" s="8"/>
      <c r="Q151" s="8"/>
    </row>
    <row r="152" spans="8:17" customFormat="1" x14ac:dyDescent="0.2">
      <c r="H152" s="8"/>
      <c r="I152" s="8"/>
      <c r="Q152" s="8"/>
    </row>
    <row r="153" spans="8:17" customFormat="1" x14ac:dyDescent="0.2">
      <c r="H153" s="8"/>
      <c r="I153" s="8"/>
      <c r="Q153" s="8"/>
    </row>
    <row r="154" spans="8:17" customFormat="1" x14ac:dyDescent="0.2">
      <c r="H154" s="8"/>
      <c r="I154" s="8"/>
      <c r="Q154" s="8"/>
    </row>
    <row r="155" spans="8:17" customFormat="1" x14ac:dyDescent="0.2">
      <c r="H155" s="8"/>
      <c r="I155" s="8"/>
      <c r="Q155" s="8"/>
    </row>
    <row r="156" spans="8:17" customFormat="1" x14ac:dyDescent="0.2">
      <c r="H156" s="8"/>
      <c r="I156" s="8"/>
      <c r="Q156" s="8"/>
    </row>
    <row r="157" spans="8:17" customFormat="1" x14ac:dyDescent="0.2">
      <c r="H157" s="8"/>
      <c r="I157" s="8"/>
      <c r="Q157" s="8"/>
    </row>
    <row r="158" spans="8:17" customFormat="1" x14ac:dyDescent="0.2">
      <c r="H158" s="8"/>
      <c r="I158" s="8"/>
      <c r="Q158" s="8"/>
    </row>
    <row r="159" spans="8:17" customFormat="1" x14ac:dyDescent="0.2">
      <c r="H159" s="8"/>
      <c r="I159" s="8"/>
      <c r="Q159" s="8"/>
    </row>
    <row r="160" spans="8:17" customFormat="1" x14ac:dyDescent="0.2">
      <c r="H160" s="8"/>
      <c r="I160" s="8"/>
      <c r="Q160" s="8"/>
    </row>
    <row r="161" spans="8:17" customFormat="1" x14ac:dyDescent="0.2">
      <c r="H161" s="8"/>
      <c r="I161" s="8"/>
      <c r="Q161" s="8"/>
    </row>
    <row r="162" spans="8:17" customFormat="1" x14ac:dyDescent="0.2">
      <c r="H162" s="8"/>
      <c r="I162" s="8"/>
      <c r="Q162" s="8"/>
    </row>
    <row r="163" spans="8:17" customFormat="1" x14ac:dyDescent="0.2">
      <c r="H163" s="8"/>
      <c r="I163" s="8"/>
      <c r="Q163" s="8"/>
    </row>
    <row r="164" spans="8:17" customFormat="1" x14ac:dyDescent="0.2">
      <c r="H164" s="8"/>
      <c r="I164" s="8"/>
      <c r="Q164" s="8"/>
    </row>
    <row r="165" spans="8:17" customFormat="1" x14ac:dyDescent="0.2">
      <c r="H165" s="8"/>
      <c r="I165" s="8"/>
      <c r="Q165" s="8"/>
    </row>
    <row r="166" spans="8:17" customFormat="1" x14ac:dyDescent="0.2">
      <c r="H166" s="8"/>
      <c r="I166" s="8"/>
      <c r="Q166" s="8"/>
    </row>
    <row r="167" spans="8:17" customFormat="1" x14ac:dyDescent="0.2">
      <c r="H167" s="8"/>
      <c r="I167" s="8"/>
      <c r="Q167" s="8"/>
    </row>
    <row r="168" spans="8:17" customFormat="1" x14ac:dyDescent="0.2">
      <c r="H168" s="8"/>
      <c r="I168" s="8"/>
      <c r="Q168" s="8"/>
    </row>
    <row r="169" spans="8:17" customFormat="1" x14ac:dyDescent="0.2">
      <c r="H169" s="8"/>
      <c r="I169" s="8"/>
      <c r="Q169" s="8"/>
    </row>
    <row r="170" spans="8:17" customFormat="1" x14ac:dyDescent="0.2">
      <c r="H170" s="8"/>
      <c r="I170" s="8"/>
      <c r="Q170" s="8"/>
    </row>
    <row r="171" spans="8:17" customFormat="1" x14ac:dyDescent="0.2">
      <c r="H171" s="8"/>
      <c r="I171" s="8"/>
      <c r="Q171" s="8"/>
    </row>
    <row r="172" spans="8:17" customFormat="1" x14ac:dyDescent="0.2">
      <c r="H172" s="8"/>
      <c r="I172" s="8"/>
      <c r="Q172" s="8"/>
    </row>
    <row r="173" spans="8:17" customFormat="1" x14ac:dyDescent="0.2">
      <c r="H173" s="8"/>
      <c r="I173" s="8"/>
      <c r="Q173" s="8"/>
    </row>
    <row r="174" spans="8:17" customFormat="1" x14ac:dyDescent="0.2">
      <c r="H174" s="8"/>
      <c r="I174" s="8"/>
      <c r="Q174" s="8"/>
    </row>
    <row r="175" spans="8:17" customFormat="1" x14ac:dyDescent="0.2">
      <c r="H175" s="8"/>
      <c r="I175" s="8"/>
      <c r="Q175" s="8"/>
    </row>
    <row r="176" spans="8:17" customFormat="1" x14ac:dyDescent="0.2">
      <c r="H176" s="8"/>
      <c r="I176" s="8"/>
      <c r="Q176" s="8"/>
    </row>
    <row r="177" spans="8:17" customFormat="1" x14ac:dyDescent="0.2">
      <c r="H177" s="8"/>
      <c r="I177" s="8"/>
      <c r="Q177" s="8"/>
    </row>
    <row r="178" spans="8:17" customFormat="1" x14ac:dyDescent="0.2">
      <c r="H178" s="8"/>
      <c r="I178" s="8"/>
      <c r="Q178" s="8"/>
    </row>
    <row r="179" spans="8:17" customFormat="1" x14ac:dyDescent="0.2">
      <c r="H179" s="8"/>
      <c r="I179" s="8"/>
      <c r="Q179" s="8"/>
    </row>
    <row r="180" spans="8:17" customFormat="1" x14ac:dyDescent="0.2">
      <c r="H180" s="8"/>
      <c r="I180" s="8"/>
      <c r="Q180" s="8"/>
    </row>
    <row r="181" spans="8:17" customFormat="1" x14ac:dyDescent="0.2">
      <c r="H181" s="8"/>
      <c r="I181" s="8"/>
      <c r="Q181" s="8"/>
    </row>
    <row r="182" spans="8:17" customFormat="1" x14ac:dyDescent="0.2">
      <c r="H182" s="8"/>
      <c r="I182" s="8"/>
      <c r="Q182" s="8"/>
    </row>
    <row r="183" spans="8:17" customFormat="1" x14ac:dyDescent="0.2">
      <c r="H183" s="8"/>
      <c r="I183" s="8"/>
      <c r="Q183" s="8"/>
    </row>
    <row r="184" spans="8:17" customFormat="1" x14ac:dyDescent="0.2">
      <c r="H184" s="8"/>
      <c r="I184" s="8"/>
      <c r="Q184" s="8"/>
    </row>
    <row r="185" spans="8:17" customFormat="1" x14ac:dyDescent="0.2">
      <c r="H185" s="8"/>
      <c r="I185" s="8"/>
      <c r="Q185" s="8"/>
    </row>
    <row r="186" spans="8:17" customFormat="1" x14ac:dyDescent="0.2">
      <c r="H186" s="8"/>
      <c r="I186" s="8"/>
      <c r="Q186" s="8"/>
    </row>
    <row r="187" spans="8:17" customFormat="1" x14ac:dyDescent="0.2">
      <c r="H187" s="8"/>
      <c r="I187" s="8"/>
      <c r="Q187" s="8"/>
    </row>
    <row r="188" spans="8:17" customFormat="1" x14ac:dyDescent="0.2">
      <c r="H188" s="8"/>
      <c r="I188" s="8"/>
      <c r="Q188" s="8"/>
    </row>
    <row r="189" spans="8:17" customFormat="1" x14ac:dyDescent="0.2">
      <c r="H189" s="8"/>
      <c r="I189" s="8"/>
      <c r="Q189" s="8"/>
    </row>
    <row r="190" spans="8:17" customFormat="1" x14ac:dyDescent="0.2">
      <c r="H190" s="8"/>
      <c r="I190" s="8"/>
      <c r="Q190" s="8"/>
    </row>
    <row r="191" spans="8:17" customFormat="1" x14ac:dyDescent="0.2">
      <c r="H191" s="8"/>
      <c r="I191" s="8"/>
      <c r="Q191" s="8"/>
    </row>
    <row r="192" spans="8:17" customFormat="1" x14ac:dyDescent="0.2">
      <c r="H192" s="8"/>
      <c r="I192" s="8"/>
      <c r="Q192" s="8"/>
    </row>
    <row r="193" spans="8:17" customFormat="1" x14ac:dyDescent="0.2">
      <c r="H193" s="8"/>
      <c r="I193" s="8"/>
      <c r="Q193" s="8"/>
    </row>
    <row r="194" spans="8:17" customFormat="1" x14ac:dyDescent="0.2">
      <c r="H194" s="8"/>
      <c r="I194" s="8"/>
      <c r="Q194" s="8"/>
    </row>
    <row r="195" spans="8:17" customFormat="1" x14ac:dyDescent="0.2">
      <c r="H195" s="8"/>
      <c r="I195" s="8"/>
      <c r="Q195" s="8"/>
    </row>
    <row r="196" spans="8:17" customFormat="1" x14ac:dyDescent="0.2">
      <c r="H196" s="8"/>
      <c r="I196" s="8"/>
      <c r="Q196" s="8"/>
    </row>
    <row r="197" spans="8:17" customFormat="1" x14ac:dyDescent="0.2">
      <c r="H197" s="8"/>
      <c r="I197" s="8"/>
      <c r="Q197" s="8"/>
    </row>
    <row r="198" spans="8:17" customFormat="1" x14ac:dyDescent="0.2">
      <c r="H198" s="8"/>
      <c r="I198" s="8"/>
      <c r="Q198" s="8"/>
    </row>
  </sheetData>
  <customSheetViews>
    <customSheetView guid="{8EF2C042-D97C-40EA-9E42-A17331664713}">
      <selection activeCell="I1" sqref="I1"/>
      <pageMargins left="0.7" right="0.7" top="0.75" bottom="0.75" header="0.3" footer="0.3"/>
      <pageSetup orientation="portrait" horizontalDpi="0" verticalDpi="0" r:id="rId1"/>
    </customSheetView>
    <customSheetView guid="{A93D23F5-27FE-48DF-A0DC-3D7A8C6F3CF5}">
      <selection activeCell="I2" sqref="I2"/>
      <pageMargins left="0.7" right="0.7" top="0.75" bottom="0.75" header="0.3" footer="0.3"/>
      <pageSetup orientation="portrait" horizontalDpi="0" verticalDpi="0" r:id="rId2"/>
    </customSheetView>
  </customSheetViews>
  <pageMargins left="0.7" right="0.7" top="0.75" bottom="0.75" header="0.3" footer="0.3"/>
  <pageSetup orientation="portrait" horizontalDpi="0" verticalDpi="0" r:id="rId3"/>
  <legacy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115" zoomScaleNormal="115" workbookViewId="0">
      <selection activeCell="B2" sqref="B2:B17"/>
    </sheetView>
  </sheetViews>
  <sheetFormatPr defaultColWidth="16.140625" defaultRowHeight="12.75" x14ac:dyDescent="0.2"/>
  <cols>
    <col min="5" max="5" width="17.85546875" bestFit="1" customWidth="1"/>
  </cols>
  <sheetData>
    <row r="1" spans="1:14" x14ac:dyDescent="0.2">
      <c r="A1" s="3" t="s">
        <v>1</v>
      </c>
      <c r="B1" s="3" t="s">
        <v>57</v>
      </c>
      <c r="C1" s="3" t="s">
        <v>232</v>
      </c>
      <c r="D1" s="3" t="s">
        <v>417</v>
      </c>
      <c r="E1" s="3" t="s">
        <v>421</v>
      </c>
      <c r="F1" s="3" t="s">
        <v>422</v>
      </c>
      <c r="G1" s="3" t="s">
        <v>418</v>
      </c>
      <c r="H1" s="3" t="s">
        <v>419</v>
      </c>
      <c r="I1" s="3" t="s">
        <v>420</v>
      </c>
      <c r="J1" s="3" t="s">
        <v>115</v>
      </c>
      <c r="K1" s="3" t="s">
        <v>1361</v>
      </c>
      <c r="L1" s="3" t="s">
        <v>1330</v>
      </c>
      <c r="M1" s="3" t="s">
        <v>1368</v>
      </c>
      <c r="N1" s="3" t="s">
        <v>1369</v>
      </c>
    </row>
    <row r="2" spans="1:14" x14ac:dyDescent="0.2">
      <c r="A2" s="5" t="s">
        <v>36</v>
      </c>
      <c r="B2" s="65" t="s">
        <v>1417</v>
      </c>
      <c r="C2" s="75">
        <v>41165</v>
      </c>
      <c r="D2">
        <v>583153266</v>
      </c>
      <c r="E2">
        <v>100</v>
      </c>
      <c r="F2">
        <v>100</v>
      </c>
      <c r="G2" s="8">
        <v>84000</v>
      </c>
      <c r="H2" s="5"/>
      <c r="I2" s="5"/>
    </row>
    <row r="3" spans="1:14" x14ac:dyDescent="0.2">
      <c r="A3" t="s">
        <v>24</v>
      </c>
      <c r="B3" s="65" t="s">
        <v>1417</v>
      </c>
      <c r="C3" s="75">
        <v>41165</v>
      </c>
      <c r="D3">
        <v>389740215</v>
      </c>
      <c r="E3">
        <v>100</v>
      </c>
      <c r="F3">
        <v>100</v>
      </c>
      <c r="G3" s="8">
        <v>23000</v>
      </c>
    </row>
    <row r="4" spans="1:14" ht="14.25" x14ac:dyDescent="0.2">
      <c r="A4" s="5" t="s">
        <v>39</v>
      </c>
      <c r="B4" s="65" t="s">
        <v>1417</v>
      </c>
      <c r="C4" s="75">
        <v>41165</v>
      </c>
      <c r="D4">
        <v>980000000</v>
      </c>
      <c r="E4">
        <v>100</v>
      </c>
      <c r="F4">
        <v>100</v>
      </c>
      <c r="G4" s="8">
        <v>16000</v>
      </c>
      <c r="J4" s="83"/>
    </row>
    <row r="5" spans="1:14" x14ac:dyDescent="0.2">
      <c r="A5" s="5" t="s">
        <v>48</v>
      </c>
      <c r="B5" s="65" t="s">
        <v>1417</v>
      </c>
      <c r="C5" s="75">
        <v>41165</v>
      </c>
      <c r="D5">
        <v>597802094</v>
      </c>
      <c r="E5">
        <v>100</v>
      </c>
      <c r="F5">
        <v>100</v>
      </c>
      <c r="G5" s="8">
        <v>14000</v>
      </c>
    </row>
    <row r="6" spans="1:14" x14ac:dyDescent="0.2">
      <c r="A6" s="5" t="s">
        <v>38</v>
      </c>
      <c r="B6" s="65" t="s">
        <v>1417</v>
      </c>
      <c r="C6" s="75">
        <v>41165</v>
      </c>
      <c r="D6">
        <v>150000000</v>
      </c>
      <c r="E6">
        <v>100</v>
      </c>
      <c r="F6">
        <v>100</v>
      </c>
      <c r="G6" s="8">
        <v>22000</v>
      </c>
    </row>
    <row r="7" spans="1:14" x14ac:dyDescent="0.2">
      <c r="A7" s="5" t="s">
        <v>47</v>
      </c>
      <c r="B7" s="65" t="s">
        <v>1417</v>
      </c>
      <c r="C7" s="75">
        <v>41165</v>
      </c>
      <c r="D7">
        <v>57531264</v>
      </c>
      <c r="E7">
        <v>100</v>
      </c>
      <c r="F7">
        <v>100</v>
      </c>
      <c r="G7" s="8">
        <v>16000</v>
      </c>
    </row>
    <row r="8" spans="1:14" x14ac:dyDescent="0.2">
      <c r="A8" s="5" t="s">
        <v>44</v>
      </c>
      <c r="B8" s="65" t="s">
        <v>1417</v>
      </c>
      <c r="C8" s="75">
        <v>41165</v>
      </c>
      <c r="D8">
        <v>142900000</v>
      </c>
      <c r="E8">
        <v>100</v>
      </c>
      <c r="F8">
        <v>100</v>
      </c>
      <c r="G8" s="8">
        <v>26000</v>
      </c>
    </row>
    <row r="9" spans="1:14" x14ac:dyDescent="0.2">
      <c r="A9" s="5" t="s">
        <v>45</v>
      </c>
      <c r="B9" s="65" t="s">
        <v>1417</v>
      </c>
      <c r="C9" s="75">
        <v>41165</v>
      </c>
      <c r="D9" s="66">
        <v>156000000</v>
      </c>
      <c r="E9">
        <v>100</v>
      </c>
      <c r="F9">
        <v>100</v>
      </c>
      <c r="G9" s="8">
        <v>37700</v>
      </c>
    </row>
    <row r="10" spans="1:14" x14ac:dyDescent="0.2">
      <c r="A10" s="5" t="s">
        <v>34</v>
      </c>
      <c r="B10" s="65" t="s">
        <v>1417</v>
      </c>
      <c r="C10" s="75">
        <v>41165</v>
      </c>
      <c r="D10" s="66">
        <v>132600000</v>
      </c>
      <c r="E10">
        <v>100</v>
      </c>
      <c r="F10">
        <v>100</v>
      </c>
      <c r="G10" s="8">
        <v>12300</v>
      </c>
    </row>
    <row r="11" spans="1:14" x14ac:dyDescent="0.2">
      <c r="A11" s="5" t="s">
        <v>35</v>
      </c>
      <c r="B11" s="65" t="s">
        <v>1417</v>
      </c>
      <c r="C11" s="75">
        <v>41165</v>
      </c>
      <c r="D11" s="66">
        <v>197802094</v>
      </c>
      <c r="E11">
        <v>100</v>
      </c>
      <c r="F11">
        <v>100</v>
      </c>
      <c r="G11" s="8">
        <v>10900</v>
      </c>
    </row>
    <row r="12" spans="1:14" x14ac:dyDescent="0.2">
      <c r="A12" s="5" t="s">
        <v>17</v>
      </c>
      <c r="B12" t="s">
        <v>1417</v>
      </c>
      <c r="C12" s="75">
        <v>41165</v>
      </c>
      <c r="D12">
        <v>10000000</v>
      </c>
      <c r="E12">
        <v>100</v>
      </c>
      <c r="F12">
        <v>100</v>
      </c>
      <c r="G12" s="8">
        <v>10800</v>
      </c>
      <c r="H12" s="5">
        <v>1</v>
      </c>
    </row>
    <row r="13" spans="1:14" x14ac:dyDescent="0.2">
      <c r="A13" t="s">
        <v>21</v>
      </c>
      <c r="B13" t="s">
        <v>1417</v>
      </c>
      <c r="C13" s="75">
        <v>41166</v>
      </c>
      <c r="D13">
        <v>756000000</v>
      </c>
      <c r="E13">
        <v>90</v>
      </c>
      <c r="F13">
        <v>90</v>
      </c>
      <c r="G13" s="8">
        <v>55000</v>
      </c>
      <c r="H13">
        <v>1</v>
      </c>
    </row>
    <row r="14" spans="1:14" x14ac:dyDescent="0.2">
      <c r="A14" s="5" t="s">
        <v>15</v>
      </c>
      <c r="B14" t="s">
        <v>1417</v>
      </c>
      <c r="C14" s="75">
        <v>41165</v>
      </c>
      <c r="D14">
        <v>138000000</v>
      </c>
      <c r="E14">
        <v>100</v>
      </c>
      <c r="F14">
        <v>100</v>
      </c>
      <c r="G14" s="8">
        <v>5800</v>
      </c>
      <c r="H14" s="5">
        <v>1</v>
      </c>
      <c r="I14" s="5"/>
    </row>
    <row r="15" spans="1:14" ht="13.5" customHeight="1" x14ac:dyDescent="0.2">
      <c r="A15" t="s">
        <v>271</v>
      </c>
      <c r="B15" t="s">
        <v>1417</v>
      </c>
      <c r="C15" s="75">
        <v>41165</v>
      </c>
      <c r="D15">
        <v>27719850</v>
      </c>
      <c r="E15">
        <v>100</v>
      </c>
      <c r="F15">
        <v>100</v>
      </c>
      <c r="G15" s="8">
        <v>14700</v>
      </c>
      <c r="H15" s="5">
        <v>1</v>
      </c>
    </row>
    <row r="16" spans="1:14" x14ac:dyDescent="0.2">
      <c r="A16" t="s">
        <v>37</v>
      </c>
      <c r="B16" t="s">
        <v>1417</v>
      </c>
      <c r="C16" s="75">
        <v>41165</v>
      </c>
      <c r="D16">
        <v>232600000</v>
      </c>
      <c r="E16">
        <v>100</v>
      </c>
      <c r="F16">
        <v>100</v>
      </c>
      <c r="G16" s="8">
        <v>23600</v>
      </c>
      <c r="H16" s="5">
        <v>1</v>
      </c>
    </row>
    <row r="17" spans="1:8" x14ac:dyDescent="0.2">
      <c r="A17" t="s">
        <v>22</v>
      </c>
      <c r="B17" t="s">
        <v>1417</v>
      </c>
      <c r="C17" s="75">
        <v>41166</v>
      </c>
      <c r="D17">
        <v>15000000</v>
      </c>
      <c r="E17">
        <v>100</v>
      </c>
      <c r="F17">
        <v>100</v>
      </c>
      <c r="G17" s="8">
        <v>38000</v>
      </c>
      <c r="H17" s="5">
        <v>1</v>
      </c>
    </row>
    <row r="18" spans="1:8" x14ac:dyDescent="0.2">
      <c r="G18" s="10"/>
    </row>
  </sheetData>
  <customSheetViews>
    <customSheetView guid="{8EF2C042-D97C-40EA-9E42-A17331664713}" scale="115">
      <selection activeCell="E8" sqref="E8"/>
      <pageMargins left="0.7" right="0.7" top="0.75" bottom="0.75" header="0.3" footer="0.3"/>
      <pageSetup orientation="portrait" horizontalDpi="300" verticalDpi="300" r:id="rId1"/>
    </customSheetView>
    <customSheetView guid="{E8497AD8-A45C-484D-A252-6E26647DB053}"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</customSheetView>
    <customSheetView guid="{A93D23F5-27FE-48DF-A0DC-3D7A8C6F3CF5}" scale="115">
      <selection activeCell="H10" sqref="H10"/>
      <pageMargins left="0.7" right="0.7" top="0.75" bottom="0.75" header="0.3" footer="0.3"/>
      <pageSetup orientation="portrait" horizontalDpi="300" verticalDpi="300" r:id="rId2"/>
    </customSheetView>
  </customSheetViews>
  <pageMargins left="0.7" right="0.7" top="0.75" bottom="0.75" header="0.3" footer="0.3"/>
  <pageSetup orientation="portrait" horizontalDpi="300" verticalDpi="300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" sqref="B2:B9"/>
    </sheetView>
  </sheetViews>
  <sheetFormatPr defaultRowHeight="12.75" x14ac:dyDescent="0.2"/>
  <cols>
    <col min="1" max="1" width="10.85546875" bestFit="1" customWidth="1"/>
    <col min="2" max="2" width="40" bestFit="1" customWidth="1"/>
    <col min="3" max="3" width="12.42578125" bestFit="1" customWidth="1"/>
    <col min="4" max="4" width="15.7109375" bestFit="1" customWidth="1"/>
    <col min="5" max="5" width="11.5703125" customWidth="1"/>
  </cols>
  <sheetData>
    <row r="1" spans="1:6" x14ac:dyDescent="0.2">
      <c r="A1" s="3" t="s">
        <v>1</v>
      </c>
      <c r="B1" s="4" t="s">
        <v>2</v>
      </c>
      <c r="C1" s="3" t="s">
        <v>134</v>
      </c>
      <c r="D1" s="3" t="s">
        <v>135</v>
      </c>
      <c r="E1" s="3" t="s">
        <v>133</v>
      </c>
    </row>
    <row r="2" spans="1:6" x14ac:dyDescent="0.2">
      <c r="A2" t="s">
        <v>36</v>
      </c>
      <c r="B2" t="s">
        <v>1391</v>
      </c>
      <c r="C2">
        <v>1300</v>
      </c>
      <c r="D2">
        <v>1400</v>
      </c>
      <c r="E2" s="75">
        <v>41165</v>
      </c>
      <c r="F2" s="28"/>
    </row>
    <row r="3" spans="1:6" x14ac:dyDescent="0.2">
      <c r="A3" t="s">
        <v>39</v>
      </c>
      <c r="B3" t="s">
        <v>1407</v>
      </c>
      <c r="C3">
        <v>1500</v>
      </c>
      <c r="D3">
        <v>2200</v>
      </c>
      <c r="E3" s="75">
        <v>41165</v>
      </c>
    </row>
    <row r="4" spans="1:6" x14ac:dyDescent="0.2">
      <c r="A4" s="5" t="s">
        <v>47</v>
      </c>
      <c r="B4" t="s">
        <v>1409</v>
      </c>
      <c r="C4">
        <v>500</v>
      </c>
      <c r="D4">
        <v>1200</v>
      </c>
      <c r="E4" s="75">
        <v>41164</v>
      </c>
    </row>
    <row r="5" spans="1:6" x14ac:dyDescent="0.2">
      <c r="A5" s="5" t="s">
        <v>35</v>
      </c>
      <c r="B5" t="s">
        <v>1395</v>
      </c>
      <c r="C5">
        <v>1000</v>
      </c>
      <c r="D5">
        <v>500</v>
      </c>
      <c r="E5" s="75">
        <v>41165</v>
      </c>
    </row>
    <row r="6" spans="1:6" x14ac:dyDescent="0.2">
      <c r="A6" s="5" t="s">
        <v>38</v>
      </c>
      <c r="B6" s="5" t="s">
        <v>1394</v>
      </c>
      <c r="C6">
        <v>1500</v>
      </c>
      <c r="D6">
        <v>1500</v>
      </c>
      <c r="E6" s="75">
        <v>41165</v>
      </c>
    </row>
    <row r="7" spans="1:6" x14ac:dyDescent="0.2">
      <c r="A7" s="5" t="s">
        <v>45</v>
      </c>
      <c r="B7" s="5" t="s">
        <v>46</v>
      </c>
      <c r="C7">
        <v>1000</v>
      </c>
      <c r="D7">
        <v>1000</v>
      </c>
      <c r="E7" s="75">
        <v>41169</v>
      </c>
    </row>
    <row r="8" spans="1:6" x14ac:dyDescent="0.2">
      <c r="A8" t="s">
        <v>44</v>
      </c>
      <c r="B8" t="s">
        <v>1412</v>
      </c>
      <c r="C8">
        <v>1200</v>
      </c>
      <c r="D8">
        <v>1200</v>
      </c>
      <c r="E8" s="75">
        <v>41165</v>
      </c>
    </row>
    <row r="9" spans="1:6" x14ac:dyDescent="0.2">
      <c r="A9" t="s">
        <v>36</v>
      </c>
      <c r="B9" t="s">
        <v>1391</v>
      </c>
      <c r="C9">
        <v>1500</v>
      </c>
      <c r="D9">
        <v>2000</v>
      </c>
      <c r="E9" s="75">
        <v>41169</v>
      </c>
    </row>
  </sheetData>
  <customSheetViews>
    <customSheetView guid="{8EF2C042-D97C-40EA-9E42-A17331664713}">
      <selection activeCell="D2" sqref="D2"/>
      <pageMargins left="0.7" right="0.7" top="0.75" bottom="0.75" header="0.3" footer="0.3"/>
      <pageSetup orientation="portrait" horizontalDpi="0" verticalDpi="0" r:id="rId1"/>
    </customSheetView>
    <customSheetView guid="{E8497AD8-A45C-484D-A252-6E26647DB053}">
      <selection activeCell="C4" sqref="C4"/>
      <pageMargins left="0.7" right="0.7" top="0.75" bottom="0.75" header="0.3" footer="0.3"/>
    </customSheetView>
    <customSheetView guid="{AAB8C83D-EE7C-4F2D-A040-F04A230A06FD}">
      <selection activeCell="F3" sqref="F3"/>
      <pageMargins left="0.7" right="0.7" top="0.75" bottom="0.75" header="0.3" footer="0.3"/>
      <pageSetup orientation="portrait" r:id="rId2"/>
    </customSheetView>
    <customSheetView guid="{A93D23F5-27FE-48DF-A0DC-3D7A8C6F3CF5}">
      <selection activeCell="E5" sqref="A1:E5"/>
      <pageMargins left="0.7" right="0.7" top="0.75" bottom="0.75" header="0.3" footer="0.3"/>
      <pageSetup orientation="portrait" horizontalDpi="0" verticalDpi="0" r:id="rId3"/>
    </customSheetView>
  </customSheetViews>
  <pageMargins left="0.7" right="0.7" top="0.75" bottom="0.75" header="0.3" footer="0.3"/>
  <pageSetup orientation="portrait" horizontalDpi="0" verticalDpi="0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workbookViewId="0">
      <selection activeCell="B2" sqref="B2:B344"/>
    </sheetView>
  </sheetViews>
  <sheetFormatPr defaultRowHeight="12.75" x14ac:dyDescent="0.2"/>
  <cols>
    <col min="1" max="1" width="12.7109375" bestFit="1" customWidth="1"/>
    <col min="2" max="2" width="11.28515625" customWidth="1"/>
  </cols>
  <sheetData>
    <row r="1" spans="1:2" x14ac:dyDescent="0.2">
      <c r="A1" s="3" t="s">
        <v>1266</v>
      </c>
      <c r="B1" s="3" t="s">
        <v>1267</v>
      </c>
    </row>
    <row r="2" spans="1:2" x14ac:dyDescent="0.2">
      <c r="A2" s="74">
        <v>40816</v>
      </c>
      <c r="B2" s="74">
        <f>A3</f>
        <v>40819</v>
      </c>
    </row>
    <row r="3" spans="1:2" x14ac:dyDescent="0.2">
      <c r="A3" s="74">
        <v>40819</v>
      </c>
      <c r="B3" s="74">
        <f t="shared" ref="B3:B66" si="0">A4</f>
        <v>40820</v>
      </c>
    </row>
    <row r="4" spans="1:2" x14ac:dyDescent="0.2">
      <c r="A4" s="74">
        <v>40820</v>
      </c>
      <c r="B4" s="74">
        <f t="shared" si="0"/>
        <v>40821</v>
      </c>
    </row>
    <row r="5" spans="1:2" x14ac:dyDescent="0.2">
      <c r="A5" s="74">
        <v>40821</v>
      </c>
      <c r="B5" s="74">
        <f t="shared" si="0"/>
        <v>40822</v>
      </c>
    </row>
    <row r="6" spans="1:2" x14ac:dyDescent="0.2">
      <c r="A6" s="74">
        <v>40822</v>
      </c>
      <c r="B6" s="74">
        <f t="shared" si="0"/>
        <v>40823</v>
      </c>
    </row>
    <row r="7" spans="1:2" x14ac:dyDescent="0.2">
      <c r="A7" s="74">
        <v>40823</v>
      </c>
      <c r="B7" s="74">
        <f t="shared" si="0"/>
        <v>40826</v>
      </c>
    </row>
    <row r="8" spans="1:2" x14ac:dyDescent="0.2">
      <c r="A8" s="74">
        <v>40826</v>
      </c>
      <c r="B8" s="74">
        <f t="shared" si="0"/>
        <v>40827</v>
      </c>
    </row>
    <row r="9" spans="1:2" x14ac:dyDescent="0.2">
      <c r="A9" s="74">
        <v>40827</v>
      </c>
      <c r="B9" s="74">
        <f t="shared" si="0"/>
        <v>40828</v>
      </c>
    </row>
    <row r="10" spans="1:2" x14ac:dyDescent="0.2">
      <c r="A10" s="74">
        <v>40828</v>
      </c>
      <c r="B10" s="74">
        <f t="shared" si="0"/>
        <v>40829</v>
      </c>
    </row>
    <row r="11" spans="1:2" x14ac:dyDescent="0.2">
      <c r="A11" s="74">
        <v>40829</v>
      </c>
      <c r="B11" s="74">
        <f t="shared" si="0"/>
        <v>40830</v>
      </c>
    </row>
    <row r="12" spans="1:2" x14ac:dyDescent="0.2">
      <c r="A12" s="74">
        <v>40830</v>
      </c>
      <c r="B12" s="74">
        <f t="shared" si="0"/>
        <v>40833</v>
      </c>
    </row>
    <row r="13" spans="1:2" x14ac:dyDescent="0.2">
      <c r="A13" s="74">
        <v>40833</v>
      </c>
      <c r="B13" s="74">
        <f t="shared" si="0"/>
        <v>40834</v>
      </c>
    </row>
    <row r="14" spans="1:2" x14ac:dyDescent="0.2">
      <c r="A14" s="74">
        <v>40834</v>
      </c>
      <c r="B14" s="74">
        <f t="shared" si="0"/>
        <v>40835</v>
      </c>
    </row>
    <row r="15" spans="1:2" x14ac:dyDescent="0.2">
      <c r="A15" s="74">
        <v>40835</v>
      </c>
      <c r="B15" s="74">
        <f t="shared" si="0"/>
        <v>40836</v>
      </c>
    </row>
    <row r="16" spans="1:2" x14ac:dyDescent="0.2">
      <c r="A16" s="74">
        <v>40836</v>
      </c>
      <c r="B16" s="74">
        <f t="shared" si="0"/>
        <v>40837</v>
      </c>
    </row>
    <row r="17" spans="1:2" x14ac:dyDescent="0.2">
      <c r="A17" s="74">
        <v>40837</v>
      </c>
      <c r="B17" s="74">
        <f t="shared" si="0"/>
        <v>40840</v>
      </c>
    </row>
    <row r="18" spans="1:2" x14ac:dyDescent="0.2">
      <c r="A18" s="74">
        <v>40840</v>
      </c>
      <c r="B18" s="74">
        <f t="shared" si="0"/>
        <v>40841</v>
      </c>
    </row>
    <row r="19" spans="1:2" x14ac:dyDescent="0.2">
      <c r="A19" s="74">
        <v>40841</v>
      </c>
      <c r="B19" s="74">
        <f t="shared" si="0"/>
        <v>40842</v>
      </c>
    </row>
    <row r="20" spans="1:2" x14ac:dyDescent="0.2">
      <c r="A20" s="74">
        <v>40842</v>
      </c>
      <c r="B20" s="74">
        <f t="shared" si="0"/>
        <v>40843</v>
      </c>
    </row>
    <row r="21" spans="1:2" x14ac:dyDescent="0.2">
      <c r="A21" s="74">
        <v>40843</v>
      </c>
      <c r="B21" s="74">
        <f t="shared" si="0"/>
        <v>40844</v>
      </c>
    </row>
    <row r="22" spans="1:2" x14ac:dyDescent="0.2">
      <c r="A22" s="74">
        <v>40844</v>
      </c>
      <c r="B22" s="74">
        <f t="shared" si="0"/>
        <v>40847</v>
      </c>
    </row>
    <row r="23" spans="1:2" x14ac:dyDescent="0.2">
      <c r="A23" s="74">
        <v>40847</v>
      </c>
      <c r="B23" s="74">
        <f t="shared" si="0"/>
        <v>40848</v>
      </c>
    </row>
    <row r="24" spans="1:2" x14ac:dyDescent="0.2">
      <c r="A24" s="74">
        <v>40848</v>
      </c>
      <c r="B24" s="74">
        <f t="shared" si="0"/>
        <v>40849</v>
      </c>
    </row>
    <row r="25" spans="1:2" x14ac:dyDescent="0.2">
      <c r="A25" s="74">
        <v>40849</v>
      </c>
      <c r="B25" s="74">
        <f t="shared" si="0"/>
        <v>40850</v>
      </c>
    </row>
    <row r="26" spans="1:2" x14ac:dyDescent="0.2">
      <c r="A26" s="74">
        <v>40850</v>
      </c>
      <c r="B26" s="74">
        <f t="shared" si="0"/>
        <v>40851</v>
      </c>
    </row>
    <row r="27" spans="1:2" x14ac:dyDescent="0.2">
      <c r="A27" s="74">
        <v>40851</v>
      </c>
      <c r="B27" s="74">
        <f t="shared" si="0"/>
        <v>40854</v>
      </c>
    </row>
    <row r="28" spans="1:2" x14ac:dyDescent="0.2">
      <c r="A28" s="74">
        <v>40854</v>
      </c>
      <c r="B28" s="74">
        <f t="shared" si="0"/>
        <v>40855</v>
      </c>
    </row>
    <row r="29" spans="1:2" x14ac:dyDescent="0.2">
      <c r="A29" s="74">
        <v>40855</v>
      </c>
      <c r="B29" s="74">
        <f t="shared" si="0"/>
        <v>40856</v>
      </c>
    </row>
    <row r="30" spans="1:2" x14ac:dyDescent="0.2">
      <c r="A30" s="74">
        <v>40856</v>
      </c>
      <c r="B30" s="74">
        <f t="shared" si="0"/>
        <v>40857</v>
      </c>
    </row>
    <row r="31" spans="1:2" x14ac:dyDescent="0.2">
      <c r="A31" s="74">
        <v>40857</v>
      </c>
      <c r="B31" s="74">
        <f t="shared" si="0"/>
        <v>40858</v>
      </c>
    </row>
    <row r="32" spans="1:2" x14ac:dyDescent="0.2">
      <c r="A32" s="74">
        <v>40858</v>
      </c>
      <c r="B32" s="74">
        <f t="shared" si="0"/>
        <v>40861</v>
      </c>
    </row>
    <row r="33" spans="1:2" x14ac:dyDescent="0.2">
      <c r="A33" s="74">
        <v>40861</v>
      </c>
      <c r="B33" s="74">
        <f t="shared" si="0"/>
        <v>40862</v>
      </c>
    </row>
    <row r="34" spans="1:2" x14ac:dyDescent="0.2">
      <c r="A34" s="74">
        <v>40862</v>
      </c>
      <c r="B34" s="74">
        <f t="shared" si="0"/>
        <v>40863</v>
      </c>
    </row>
    <row r="35" spans="1:2" x14ac:dyDescent="0.2">
      <c r="A35" s="74">
        <v>40863</v>
      </c>
      <c r="B35" s="74">
        <f t="shared" si="0"/>
        <v>40864</v>
      </c>
    </row>
    <row r="36" spans="1:2" x14ac:dyDescent="0.2">
      <c r="A36" s="74">
        <v>40864</v>
      </c>
      <c r="B36" s="74">
        <f t="shared" si="0"/>
        <v>40865</v>
      </c>
    </row>
    <row r="37" spans="1:2" x14ac:dyDescent="0.2">
      <c r="A37" s="74">
        <v>40865</v>
      </c>
      <c r="B37" s="74">
        <f t="shared" si="0"/>
        <v>40868</v>
      </c>
    </row>
    <row r="38" spans="1:2" x14ac:dyDescent="0.2">
      <c r="A38" s="74">
        <v>40868</v>
      </c>
      <c r="B38" s="74">
        <f t="shared" si="0"/>
        <v>40869</v>
      </c>
    </row>
    <row r="39" spans="1:2" x14ac:dyDescent="0.2">
      <c r="A39" s="74">
        <v>40869</v>
      </c>
      <c r="B39" s="74">
        <f t="shared" si="0"/>
        <v>40870</v>
      </c>
    </row>
    <row r="40" spans="1:2" x14ac:dyDescent="0.2">
      <c r="A40" s="74">
        <v>40870</v>
      </c>
      <c r="B40" s="74">
        <f t="shared" si="0"/>
        <v>40871</v>
      </c>
    </row>
    <row r="41" spans="1:2" x14ac:dyDescent="0.2">
      <c r="A41" s="74">
        <v>40871</v>
      </c>
      <c r="B41" s="74">
        <f t="shared" si="0"/>
        <v>40872</v>
      </c>
    </row>
    <row r="42" spans="1:2" x14ac:dyDescent="0.2">
      <c r="A42" s="74">
        <v>40872</v>
      </c>
      <c r="B42" s="74">
        <f t="shared" si="0"/>
        <v>40875</v>
      </c>
    </row>
    <row r="43" spans="1:2" x14ac:dyDescent="0.2">
      <c r="A43" s="74">
        <v>40875</v>
      </c>
      <c r="B43" s="74">
        <f t="shared" si="0"/>
        <v>40876</v>
      </c>
    </row>
    <row r="44" spans="1:2" x14ac:dyDescent="0.2">
      <c r="A44" s="74">
        <v>40876</v>
      </c>
      <c r="B44" s="74">
        <f t="shared" si="0"/>
        <v>40877</v>
      </c>
    </row>
    <row r="45" spans="1:2" x14ac:dyDescent="0.2">
      <c r="A45" s="74">
        <v>40877</v>
      </c>
      <c r="B45" s="74">
        <f t="shared" si="0"/>
        <v>40878</v>
      </c>
    </row>
    <row r="46" spans="1:2" x14ac:dyDescent="0.2">
      <c r="A46" s="74">
        <v>40878</v>
      </c>
      <c r="B46" s="74">
        <f t="shared" si="0"/>
        <v>40879</v>
      </c>
    </row>
    <row r="47" spans="1:2" x14ac:dyDescent="0.2">
      <c r="A47" s="74">
        <v>40879</v>
      </c>
      <c r="B47" s="74">
        <f t="shared" si="0"/>
        <v>40882</v>
      </c>
    </row>
    <row r="48" spans="1:2" x14ac:dyDescent="0.2">
      <c r="A48" s="74">
        <v>40882</v>
      </c>
      <c r="B48" s="74">
        <f t="shared" si="0"/>
        <v>40883</v>
      </c>
    </row>
    <row r="49" spans="1:2" x14ac:dyDescent="0.2">
      <c r="A49" s="74">
        <v>40883</v>
      </c>
      <c r="B49" s="74">
        <f t="shared" si="0"/>
        <v>40884</v>
      </c>
    </row>
    <row r="50" spans="1:2" x14ac:dyDescent="0.2">
      <c r="A50" s="74">
        <v>40884</v>
      </c>
      <c r="B50" s="74">
        <f t="shared" si="0"/>
        <v>40885</v>
      </c>
    </row>
    <row r="51" spans="1:2" x14ac:dyDescent="0.2">
      <c r="A51" s="74">
        <v>40885</v>
      </c>
      <c r="B51" s="74">
        <f t="shared" si="0"/>
        <v>40886</v>
      </c>
    </row>
    <row r="52" spans="1:2" x14ac:dyDescent="0.2">
      <c r="A52" s="74">
        <v>40886</v>
      </c>
      <c r="B52" s="74">
        <f t="shared" si="0"/>
        <v>40889</v>
      </c>
    </row>
    <row r="53" spans="1:2" x14ac:dyDescent="0.2">
      <c r="A53" s="74">
        <v>40889</v>
      </c>
      <c r="B53" s="74">
        <f t="shared" si="0"/>
        <v>40890</v>
      </c>
    </row>
    <row r="54" spans="1:2" x14ac:dyDescent="0.2">
      <c r="A54" s="74">
        <v>40890</v>
      </c>
      <c r="B54" s="74">
        <f t="shared" si="0"/>
        <v>40891</v>
      </c>
    </row>
    <row r="55" spans="1:2" x14ac:dyDescent="0.2">
      <c r="A55" s="74">
        <v>40891</v>
      </c>
      <c r="B55" s="74">
        <f t="shared" si="0"/>
        <v>40892</v>
      </c>
    </row>
    <row r="56" spans="1:2" x14ac:dyDescent="0.2">
      <c r="A56" s="74">
        <v>40892</v>
      </c>
      <c r="B56" s="74">
        <f t="shared" si="0"/>
        <v>40893</v>
      </c>
    </row>
    <row r="57" spans="1:2" x14ac:dyDescent="0.2">
      <c r="A57" s="74">
        <v>40893</v>
      </c>
      <c r="B57" s="74">
        <f t="shared" si="0"/>
        <v>40896</v>
      </c>
    </row>
    <row r="58" spans="1:2" x14ac:dyDescent="0.2">
      <c r="A58" s="74">
        <v>40896</v>
      </c>
      <c r="B58" s="74">
        <f t="shared" si="0"/>
        <v>40897</v>
      </c>
    </row>
    <row r="59" spans="1:2" x14ac:dyDescent="0.2">
      <c r="A59" s="74">
        <v>40897</v>
      </c>
      <c r="B59" s="74">
        <f t="shared" si="0"/>
        <v>40898</v>
      </c>
    </row>
    <row r="60" spans="1:2" x14ac:dyDescent="0.2">
      <c r="A60" s="74">
        <v>40898</v>
      </c>
      <c r="B60" s="74">
        <f t="shared" si="0"/>
        <v>40899</v>
      </c>
    </row>
    <row r="61" spans="1:2" x14ac:dyDescent="0.2">
      <c r="A61" s="74">
        <v>40899</v>
      </c>
      <c r="B61" s="74">
        <f t="shared" si="0"/>
        <v>40900</v>
      </c>
    </row>
    <row r="62" spans="1:2" x14ac:dyDescent="0.2">
      <c r="A62" s="74">
        <v>40900</v>
      </c>
      <c r="B62" s="74">
        <f t="shared" si="0"/>
        <v>40903</v>
      </c>
    </row>
    <row r="63" spans="1:2" x14ac:dyDescent="0.2">
      <c r="A63" s="74">
        <v>40903</v>
      </c>
      <c r="B63" s="74">
        <f t="shared" si="0"/>
        <v>40904</v>
      </c>
    </row>
    <row r="64" spans="1:2" x14ac:dyDescent="0.2">
      <c r="A64" s="74">
        <v>40904</v>
      </c>
      <c r="B64" s="74">
        <f t="shared" si="0"/>
        <v>40905</v>
      </c>
    </row>
    <row r="65" spans="1:2" x14ac:dyDescent="0.2">
      <c r="A65" s="74">
        <v>40905</v>
      </c>
      <c r="B65" s="74">
        <f t="shared" si="0"/>
        <v>40906</v>
      </c>
    </row>
    <row r="66" spans="1:2" x14ac:dyDescent="0.2">
      <c r="A66" s="74">
        <v>40906</v>
      </c>
      <c r="B66" s="74">
        <f t="shared" si="0"/>
        <v>40907</v>
      </c>
    </row>
    <row r="67" spans="1:2" x14ac:dyDescent="0.2">
      <c r="A67" s="74">
        <v>40907</v>
      </c>
      <c r="B67" s="74">
        <f t="shared" ref="B67:B130" si="1">A68</f>
        <v>40910</v>
      </c>
    </row>
    <row r="68" spans="1:2" x14ac:dyDescent="0.2">
      <c r="A68" s="74">
        <v>40910</v>
      </c>
      <c r="B68" s="74">
        <f t="shared" si="1"/>
        <v>40911</v>
      </c>
    </row>
    <row r="69" spans="1:2" x14ac:dyDescent="0.2">
      <c r="A69" s="74">
        <v>40911</v>
      </c>
      <c r="B69" s="74">
        <f t="shared" si="1"/>
        <v>40912</v>
      </c>
    </row>
    <row r="70" spans="1:2" x14ac:dyDescent="0.2">
      <c r="A70" s="74">
        <v>40912</v>
      </c>
      <c r="B70" s="74">
        <f t="shared" si="1"/>
        <v>40913</v>
      </c>
    </row>
    <row r="71" spans="1:2" x14ac:dyDescent="0.2">
      <c r="A71" s="74">
        <v>40913</v>
      </c>
      <c r="B71" s="74">
        <f t="shared" si="1"/>
        <v>40914</v>
      </c>
    </row>
    <row r="72" spans="1:2" x14ac:dyDescent="0.2">
      <c r="A72" s="74">
        <v>40914</v>
      </c>
      <c r="B72" s="74">
        <f t="shared" si="1"/>
        <v>40917</v>
      </c>
    </row>
    <row r="73" spans="1:2" x14ac:dyDescent="0.2">
      <c r="A73" s="74">
        <v>40917</v>
      </c>
      <c r="B73" s="74">
        <f t="shared" si="1"/>
        <v>40918</v>
      </c>
    </row>
    <row r="74" spans="1:2" x14ac:dyDescent="0.2">
      <c r="A74" s="74">
        <v>40918</v>
      </c>
      <c r="B74" s="74">
        <f t="shared" si="1"/>
        <v>40919</v>
      </c>
    </row>
    <row r="75" spans="1:2" x14ac:dyDescent="0.2">
      <c r="A75" s="74">
        <v>40919</v>
      </c>
      <c r="B75" s="74">
        <f t="shared" si="1"/>
        <v>40920</v>
      </c>
    </row>
    <row r="76" spans="1:2" x14ac:dyDescent="0.2">
      <c r="A76" s="74">
        <v>40920</v>
      </c>
      <c r="B76" s="74">
        <f t="shared" si="1"/>
        <v>40921</v>
      </c>
    </row>
    <row r="77" spans="1:2" x14ac:dyDescent="0.2">
      <c r="A77" s="74">
        <v>40921</v>
      </c>
      <c r="B77" s="74">
        <f t="shared" si="1"/>
        <v>40924</v>
      </c>
    </row>
    <row r="78" spans="1:2" x14ac:dyDescent="0.2">
      <c r="A78" s="74">
        <v>40924</v>
      </c>
      <c r="B78" s="74">
        <f t="shared" si="1"/>
        <v>40925</v>
      </c>
    </row>
    <row r="79" spans="1:2" x14ac:dyDescent="0.2">
      <c r="A79" s="74">
        <v>40925</v>
      </c>
      <c r="B79" s="74">
        <f t="shared" si="1"/>
        <v>40926</v>
      </c>
    </row>
    <row r="80" spans="1:2" x14ac:dyDescent="0.2">
      <c r="A80" s="74">
        <v>40926</v>
      </c>
      <c r="B80" s="74">
        <f t="shared" si="1"/>
        <v>40927</v>
      </c>
    </row>
    <row r="81" spans="1:2" x14ac:dyDescent="0.2">
      <c r="A81" s="74">
        <v>40927</v>
      </c>
      <c r="B81" s="74">
        <f t="shared" si="1"/>
        <v>40928</v>
      </c>
    </row>
    <row r="82" spans="1:2" x14ac:dyDescent="0.2">
      <c r="A82" s="74">
        <v>40928</v>
      </c>
      <c r="B82" s="74">
        <f t="shared" si="1"/>
        <v>40931</v>
      </c>
    </row>
    <row r="83" spans="1:2" x14ac:dyDescent="0.2">
      <c r="A83" s="74">
        <v>40931</v>
      </c>
      <c r="B83" s="74">
        <f t="shared" si="1"/>
        <v>40932</v>
      </c>
    </row>
    <row r="84" spans="1:2" x14ac:dyDescent="0.2">
      <c r="A84" s="74">
        <v>40932</v>
      </c>
      <c r="B84" s="74">
        <f t="shared" si="1"/>
        <v>40933</v>
      </c>
    </row>
    <row r="85" spans="1:2" x14ac:dyDescent="0.2">
      <c r="A85" s="74">
        <v>40933</v>
      </c>
      <c r="B85" s="74">
        <f t="shared" si="1"/>
        <v>40934</v>
      </c>
    </row>
    <row r="86" spans="1:2" x14ac:dyDescent="0.2">
      <c r="A86" s="74">
        <v>40934</v>
      </c>
      <c r="B86" s="74">
        <f t="shared" si="1"/>
        <v>40935</v>
      </c>
    </row>
    <row r="87" spans="1:2" x14ac:dyDescent="0.2">
      <c r="A87" s="74">
        <v>40935</v>
      </c>
      <c r="B87" s="74">
        <f t="shared" si="1"/>
        <v>40938</v>
      </c>
    </row>
    <row r="88" spans="1:2" x14ac:dyDescent="0.2">
      <c r="A88" s="74">
        <v>40938</v>
      </c>
      <c r="B88" s="74">
        <f t="shared" si="1"/>
        <v>40939</v>
      </c>
    </row>
    <row r="89" spans="1:2" x14ac:dyDescent="0.2">
      <c r="A89" s="74">
        <v>40939</v>
      </c>
      <c r="B89" s="74">
        <f t="shared" si="1"/>
        <v>40940</v>
      </c>
    </row>
    <row r="90" spans="1:2" x14ac:dyDescent="0.2">
      <c r="A90" s="74">
        <v>40940</v>
      </c>
      <c r="B90" s="74">
        <f t="shared" si="1"/>
        <v>40941</v>
      </c>
    </row>
    <row r="91" spans="1:2" x14ac:dyDescent="0.2">
      <c r="A91" s="74">
        <v>40941</v>
      </c>
      <c r="B91" s="74">
        <f t="shared" si="1"/>
        <v>40942</v>
      </c>
    </row>
    <row r="92" spans="1:2" x14ac:dyDescent="0.2">
      <c r="A92" s="74">
        <v>40942</v>
      </c>
      <c r="B92" s="74">
        <f t="shared" si="1"/>
        <v>40945</v>
      </c>
    </row>
    <row r="93" spans="1:2" x14ac:dyDescent="0.2">
      <c r="A93" s="74">
        <v>40945</v>
      </c>
      <c r="B93" s="74">
        <f t="shared" si="1"/>
        <v>40946</v>
      </c>
    </row>
    <row r="94" spans="1:2" x14ac:dyDescent="0.2">
      <c r="A94" s="74">
        <v>40946</v>
      </c>
      <c r="B94" s="74">
        <f t="shared" si="1"/>
        <v>40947</v>
      </c>
    </row>
    <row r="95" spans="1:2" x14ac:dyDescent="0.2">
      <c r="A95" s="74">
        <v>40947</v>
      </c>
      <c r="B95" s="74">
        <f t="shared" si="1"/>
        <v>40948</v>
      </c>
    </row>
    <row r="96" spans="1:2" x14ac:dyDescent="0.2">
      <c r="A96" s="74">
        <v>40948</v>
      </c>
      <c r="B96" s="74">
        <f t="shared" si="1"/>
        <v>40949</v>
      </c>
    </row>
    <row r="97" spans="1:2" x14ac:dyDescent="0.2">
      <c r="A97" s="74">
        <v>40949</v>
      </c>
      <c r="B97" s="74">
        <f t="shared" si="1"/>
        <v>40952</v>
      </c>
    </row>
    <row r="98" spans="1:2" x14ac:dyDescent="0.2">
      <c r="A98" s="74">
        <v>40952</v>
      </c>
      <c r="B98" s="74">
        <f t="shared" si="1"/>
        <v>40953</v>
      </c>
    </row>
    <row r="99" spans="1:2" x14ac:dyDescent="0.2">
      <c r="A99" s="74">
        <v>40953</v>
      </c>
      <c r="B99" s="74">
        <f t="shared" si="1"/>
        <v>40954</v>
      </c>
    </row>
    <row r="100" spans="1:2" x14ac:dyDescent="0.2">
      <c r="A100" s="74">
        <v>40954</v>
      </c>
      <c r="B100" s="74">
        <f t="shared" si="1"/>
        <v>40955</v>
      </c>
    </row>
    <row r="101" spans="1:2" x14ac:dyDescent="0.2">
      <c r="A101" s="74">
        <v>40955</v>
      </c>
      <c r="B101" s="74">
        <f t="shared" si="1"/>
        <v>40956</v>
      </c>
    </row>
    <row r="102" spans="1:2" x14ac:dyDescent="0.2">
      <c r="A102" s="74">
        <v>40956</v>
      </c>
      <c r="B102" s="74">
        <f t="shared" si="1"/>
        <v>40959</v>
      </c>
    </row>
    <row r="103" spans="1:2" x14ac:dyDescent="0.2">
      <c r="A103" s="74">
        <v>40959</v>
      </c>
      <c r="B103" s="74">
        <f t="shared" si="1"/>
        <v>40960</v>
      </c>
    </row>
    <row r="104" spans="1:2" x14ac:dyDescent="0.2">
      <c r="A104" s="74">
        <v>40960</v>
      </c>
      <c r="B104" s="74">
        <f t="shared" si="1"/>
        <v>40961</v>
      </c>
    </row>
    <row r="105" spans="1:2" x14ac:dyDescent="0.2">
      <c r="A105" s="74">
        <v>40961</v>
      </c>
      <c r="B105" s="74">
        <f t="shared" si="1"/>
        <v>40962</v>
      </c>
    </row>
    <row r="106" spans="1:2" x14ac:dyDescent="0.2">
      <c r="A106" s="74">
        <v>40962</v>
      </c>
      <c r="B106" s="74">
        <f t="shared" si="1"/>
        <v>40963</v>
      </c>
    </row>
    <row r="107" spans="1:2" x14ac:dyDescent="0.2">
      <c r="A107" s="74">
        <v>40963</v>
      </c>
      <c r="B107" s="74">
        <f t="shared" si="1"/>
        <v>40966</v>
      </c>
    </row>
    <row r="108" spans="1:2" x14ac:dyDescent="0.2">
      <c r="A108" s="74">
        <v>40966</v>
      </c>
      <c r="B108" s="74">
        <f t="shared" si="1"/>
        <v>40967</v>
      </c>
    </row>
    <row r="109" spans="1:2" x14ac:dyDescent="0.2">
      <c r="A109" s="74">
        <v>40967</v>
      </c>
      <c r="B109" s="74">
        <f t="shared" si="1"/>
        <v>40968</v>
      </c>
    </row>
    <row r="110" spans="1:2" x14ac:dyDescent="0.2">
      <c r="A110" s="74">
        <v>40968</v>
      </c>
      <c r="B110" s="74">
        <f t="shared" si="1"/>
        <v>40969</v>
      </c>
    </row>
    <row r="111" spans="1:2" x14ac:dyDescent="0.2">
      <c r="A111" s="74">
        <v>40969</v>
      </c>
      <c r="B111" s="74">
        <f t="shared" si="1"/>
        <v>40970</v>
      </c>
    </row>
    <row r="112" spans="1:2" x14ac:dyDescent="0.2">
      <c r="A112" s="74">
        <v>40970</v>
      </c>
      <c r="B112" s="74">
        <f t="shared" si="1"/>
        <v>40973</v>
      </c>
    </row>
    <row r="113" spans="1:2" x14ac:dyDescent="0.2">
      <c r="A113" s="74">
        <v>40973</v>
      </c>
      <c r="B113" s="74">
        <f t="shared" si="1"/>
        <v>40974</v>
      </c>
    </row>
    <row r="114" spans="1:2" x14ac:dyDescent="0.2">
      <c r="A114" s="74">
        <v>40974</v>
      </c>
      <c r="B114" s="74">
        <f t="shared" si="1"/>
        <v>40975</v>
      </c>
    </row>
    <row r="115" spans="1:2" x14ac:dyDescent="0.2">
      <c r="A115" s="74">
        <v>40975</v>
      </c>
      <c r="B115" s="74">
        <f t="shared" si="1"/>
        <v>40976</v>
      </c>
    </row>
    <row r="116" spans="1:2" x14ac:dyDescent="0.2">
      <c r="A116" s="74">
        <v>40976</v>
      </c>
      <c r="B116" s="74">
        <f t="shared" si="1"/>
        <v>40977</v>
      </c>
    </row>
    <row r="117" spans="1:2" x14ac:dyDescent="0.2">
      <c r="A117" s="74">
        <v>40977</v>
      </c>
      <c r="B117" s="74">
        <f t="shared" si="1"/>
        <v>40980</v>
      </c>
    </row>
    <row r="118" spans="1:2" x14ac:dyDescent="0.2">
      <c r="A118" s="74">
        <v>40980</v>
      </c>
      <c r="B118" s="74">
        <f t="shared" si="1"/>
        <v>40981</v>
      </c>
    </row>
    <row r="119" spans="1:2" x14ac:dyDescent="0.2">
      <c r="A119" s="74">
        <v>40981</v>
      </c>
      <c r="B119" s="74">
        <f t="shared" si="1"/>
        <v>40982</v>
      </c>
    </row>
    <row r="120" spans="1:2" x14ac:dyDescent="0.2">
      <c r="A120" s="74">
        <v>40982</v>
      </c>
      <c r="B120" s="74">
        <f t="shared" si="1"/>
        <v>40983</v>
      </c>
    </row>
    <row r="121" spans="1:2" x14ac:dyDescent="0.2">
      <c r="A121" s="74">
        <v>40983</v>
      </c>
      <c r="B121" s="74">
        <f t="shared" si="1"/>
        <v>40984</v>
      </c>
    </row>
    <row r="122" spans="1:2" x14ac:dyDescent="0.2">
      <c r="A122" s="74">
        <v>40984</v>
      </c>
      <c r="B122" s="74">
        <f t="shared" si="1"/>
        <v>40987</v>
      </c>
    </row>
    <row r="123" spans="1:2" x14ac:dyDescent="0.2">
      <c r="A123" s="74">
        <v>40987</v>
      </c>
      <c r="B123" s="74">
        <f t="shared" si="1"/>
        <v>40988</v>
      </c>
    </row>
    <row r="124" spans="1:2" x14ac:dyDescent="0.2">
      <c r="A124" s="74">
        <v>40988</v>
      </c>
      <c r="B124" s="74">
        <f t="shared" si="1"/>
        <v>40989</v>
      </c>
    </row>
    <row r="125" spans="1:2" x14ac:dyDescent="0.2">
      <c r="A125" s="74">
        <v>40989</v>
      </c>
      <c r="B125" s="74">
        <f t="shared" si="1"/>
        <v>40990</v>
      </c>
    </row>
    <row r="126" spans="1:2" x14ac:dyDescent="0.2">
      <c r="A126" s="74">
        <v>40990</v>
      </c>
      <c r="B126" s="74">
        <f t="shared" si="1"/>
        <v>40991</v>
      </c>
    </row>
    <row r="127" spans="1:2" x14ac:dyDescent="0.2">
      <c r="A127" s="74">
        <v>40991</v>
      </c>
      <c r="B127" s="74">
        <f t="shared" si="1"/>
        <v>40994</v>
      </c>
    </row>
    <row r="128" spans="1:2" x14ac:dyDescent="0.2">
      <c r="A128" s="74">
        <v>40994</v>
      </c>
      <c r="B128" s="74">
        <f t="shared" si="1"/>
        <v>40995</v>
      </c>
    </row>
    <row r="129" spans="1:2" x14ac:dyDescent="0.2">
      <c r="A129" s="74">
        <v>40995</v>
      </c>
      <c r="B129" s="74">
        <f t="shared" si="1"/>
        <v>40996</v>
      </c>
    </row>
    <row r="130" spans="1:2" x14ac:dyDescent="0.2">
      <c r="A130" s="74">
        <v>40996</v>
      </c>
      <c r="B130" s="74">
        <f t="shared" si="1"/>
        <v>40997</v>
      </c>
    </row>
    <row r="131" spans="1:2" x14ac:dyDescent="0.2">
      <c r="A131" s="74">
        <v>40997</v>
      </c>
      <c r="B131" s="74">
        <f t="shared" ref="B131:B194" si="2">A132</f>
        <v>40998</v>
      </c>
    </row>
    <row r="132" spans="1:2" x14ac:dyDescent="0.2">
      <c r="A132" s="74">
        <v>40998</v>
      </c>
      <c r="B132" s="74">
        <f t="shared" si="2"/>
        <v>41001</v>
      </c>
    </row>
    <row r="133" spans="1:2" x14ac:dyDescent="0.2">
      <c r="A133" s="74">
        <v>41001</v>
      </c>
      <c r="B133" s="74">
        <f t="shared" si="2"/>
        <v>41002</v>
      </c>
    </row>
    <row r="134" spans="1:2" x14ac:dyDescent="0.2">
      <c r="A134" s="74">
        <v>41002</v>
      </c>
      <c r="B134" s="74">
        <f t="shared" si="2"/>
        <v>41003</v>
      </c>
    </row>
    <row r="135" spans="1:2" x14ac:dyDescent="0.2">
      <c r="A135" s="74">
        <v>41003</v>
      </c>
      <c r="B135" s="74">
        <f t="shared" si="2"/>
        <v>41004</v>
      </c>
    </row>
    <row r="136" spans="1:2" x14ac:dyDescent="0.2">
      <c r="A136" s="74">
        <v>41004</v>
      </c>
      <c r="B136" s="74">
        <f t="shared" si="2"/>
        <v>41005</v>
      </c>
    </row>
    <row r="137" spans="1:2" x14ac:dyDescent="0.2">
      <c r="A137" s="74">
        <v>41005</v>
      </c>
      <c r="B137" s="74">
        <f t="shared" si="2"/>
        <v>41008</v>
      </c>
    </row>
    <row r="138" spans="1:2" x14ac:dyDescent="0.2">
      <c r="A138" s="74">
        <v>41008</v>
      </c>
      <c r="B138" s="74">
        <f t="shared" si="2"/>
        <v>41009</v>
      </c>
    </row>
    <row r="139" spans="1:2" x14ac:dyDescent="0.2">
      <c r="A139" s="74">
        <v>41009</v>
      </c>
      <c r="B139" s="74">
        <f t="shared" si="2"/>
        <v>41010</v>
      </c>
    </row>
    <row r="140" spans="1:2" x14ac:dyDescent="0.2">
      <c r="A140" s="74">
        <v>41010</v>
      </c>
      <c r="B140" s="74">
        <f t="shared" si="2"/>
        <v>41011</v>
      </c>
    </row>
    <row r="141" spans="1:2" x14ac:dyDescent="0.2">
      <c r="A141" s="74">
        <v>41011</v>
      </c>
      <c r="B141" s="74">
        <f t="shared" si="2"/>
        <v>41012</v>
      </c>
    </row>
    <row r="142" spans="1:2" x14ac:dyDescent="0.2">
      <c r="A142" s="74">
        <v>41012</v>
      </c>
      <c r="B142" s="74">
        <f t="shared" si="2"/>
        <v>41015</v>
      </c>
    </row>
    <row r="143" spans="1:2" x14ac:dyDescent="0.2">
      <c r="A143" s="74">
        <v>41015</v>
      </c>
      <c r="B143" s="74">
        <f t="shared" si="2"/>
        <v>41016</v>
      </c>
    </row>
    <row r="144" spans="1:2" x14ac:dyDescent="0.2">
      <c r="A144" s="74">
        <v>41016</v>
      </c>
      <c r="B144" s="74">
        <f t="shared" si="2"/>
        <v>41017</v>
      </c>
    </row>
    <row r="145" spans="1:2" x14ac:dyDescent="0.2">
      <c r="A145" s="74">
        <v>41017</v>
      </c>
      <c r="B145" s="74">
        <f t="shared" si="2"/>
        <v>41018</v>
      </c>
    </row>
    <row r="146" spans="1:2" x14ac:dyDescent="0.2">
      <c r="A146" s="74">
        <v>41018</v>
      </c>
      <c r="B146" s="74">
        <f t="shared" si="2"/>
        <v>41019</v>
      </c>
    </row>
    <row r="147" spans="1:2" x14ac:dyDescent="0.2">
      <c r="A147" s="74">
        <v>41019</v>
      </c>
      <c r="B147" s="74">
        <f t="shared" si="2"/>
        <v>41022</v>
      </c>
    </row>
    <row r="148" spans="1:2" x14ac:dyDescent="0.2">
      <c r="A148" s="74">
        <v>41022</v>
      </c>
      <c r="B148" s="74">
        <f t="shared" si="2"/>
        <v>41023</v>
      </c>
    </row>
    <row r="149" spans="1:2" x14ac:dyDescent="0.2">
      <c r="A149" s="74">
        <v>41023</v>
      </c>
      <c r="B149" s="74">
        <f t="shared" si="2"/>
        <v>41024</v>
      </c>
    </row>
    <row r="150" spans="1:2" x14ac:dyDescent="0.2">
      <c r="A150" s="74">
        <v>41024</v>
      </c>
      <c r="B150" s="74">
        <f t="shared" si="2"/>
        <v>41025</v>
      </c>
    </row>
    <row r="151" spans="1:2" x14ac:dyDescent="0.2">
      <c r="A151" s="74">
        <v>41025</v>
      </c>
      <c r="B151" s="74">
        <f t="shared" si="2"/>
        <v>41026</v>
      </c>
    </row>
    <row r="152" spans="1:2" x14ac:dyDescent="0.2">
      <c r="A152" s="74">
        <v>41026</v>
      </c>
      <c r="B152" s="74">
        <f t="shared" si="2"/>
        <v>41029</v>
      </c>
    </row>
    <row r="153" spans="1:2" x14ac:dyDescent="0.2">
      <c r="A153" s="74">
        <v>41029</v>
      </c>
      <c r="B153" s="74">
        <f t="shared" si="2"/>
        <v>41030</v>
      </c>
    </row>
    <row r="154" spans="1:2" x14ac:dyDescent="0.2">
      <c r="A154" s="74">
        <v>41030</v>
      </c>
      <c r="B154" s="74">
        <f t="shared" si="2"/>
        <v>41031</v>
      </c>
    </row>
    <row r="155" spans="1:2" x14ac:dyDescent="0.2">
      <c r="A155" s="74">
        <v>41031</v>
      </c>
      <c r="B155" s="74">
        <f t="shared" si="2"/>
        <v>41032</v>
      </c>
    </row>
    <row r="156" spans="1:2" x14ac:dyDescent="0.2">
      <c r="A156" s="74">
        <v>41032</v>
      </c>
      <c r="B156" s="74">
        <f t="shared" si="2"/>
        <v>41033</v>
      </c>
    </row>
    <row r="157" spans="1:2" x14ac:dyDescent="0.2">
      <c r="A157" s="74">
        <v>41033</v>
      </c>
      <c r="B157" s="74">
        <f t="shared" si="2"/>
        <v>41036</v>
      </c>
    </row>
    <row r="158" spans="1:2" x14ac:dyDescent="0.2">
      <c r="A158" s="74">
        <v>41036</v>
      </c>
      <c r="B158" s="74">
        <f t="shared" si="2"/>
        <v>41037</v>
      </c>
    </row>
    <row r="159" spans="1:2" x14ac:dyDescent="0.2">
      <c r="A159" s="74">
        <v>41037</v>
      </c>
      <c r="B159" s="74">
        <f t="shared" si="2"/>
        <v>41038</v>
      </c>
    </row>
    <row r="160" spans="1:2" x14ac:dyDescent="0.2">
      <c r="A160" s="74">
        <v>41038</v>
      </c>
      <c r="B160" s="74">
        <f t="shared" si="2"/>
        <v>41039</v>
      </c>
    </row>
    <row r="161" spans="1:2" x14ac:dyDescent="0.2">
      <c r="A161" s="74">
        <v>41039</v>
      </c>
      <c r="B161" s="74">
        <f t="shared" si="2"/>
        <v>41040</v>
      </c>
    </row>
    <row r="162" spans="1:2" x14ac:dyDescent="0.2">
      <c r="A162" s="74">
        <v>41040</v>
      </c>
      <c r="B162" s="74">
        <f t="shared" si="2"/>
        <v>41043</v>
      </c>
    </row>
    <row r="163" spans="1:2" x14ac:dyDescent="0.2">
      <c r="A163" s="74">
        <v>41043</v>
      </c>
      <c r="B163" s="74">
        <f t="shared" si="2"/>
        <v>41044</v>
      </c>
    </row>
    <row r="164" spans="1:2" x14ac:dyDescent="0.2">
      <c r="A164" s="74">
        <v>41044</v>
      </c>
      <c r="B164" s="74">
        <f t="shared" si="2"/>
        <v>41045</v>
      </c>
    </row>
    <row r="165" spans="1:2" x14ac:dyDescent="0.2">
      <c r="A165" s="74">
        <v>41045</v>
      </c>
      <c r="B165" s="74">
        <f t="shared" si="2"/>
        <v>41046</v>
      </c>
    </row>
    <row r="166" spans="1:2" x14ac:dyDescent="0.2">
      <c r="A166" s="74">
        <v>41046</v>
      </c>
      <c r="B166" s="74">
        <f t="shared" si="2"/>
        <v>41047</v>
      </c>
    </row>
    <row r="167" spans="1:2" x14ac:dyDescent="0.2">
      <c r="A167" s="74">
        <v>41047</v>
      </c>
      <c r="B167" s="74">
        <f t="shared" si="2"/>
        <v>41050</v>
      </c>
    </row>
    <row r="168" spans="1:2" x14ac:dyDescent="0.2">
      <c r="A168" s="74">
        <v>41050</v>
      </c>
      <c r="B168" s="74">
        <f t="shared" si="2"/>
        <v>41051</v>
      </c>
    </row>
    <row r="169" spans="1:2" x14ac:dyDescent="0.2">
      <c r="A169" s="74">
        <v>41051</v>
      </c>
      <c r="B169" s="74">
        <f t="shared" si="2"/>
        <v>41052</v>
      </c>
    </row>
    <row r="170" spans="1:2" x14ac:dyDescent="0.2">
      <c r="A170" s="74">
        <v>41052</v>
      </c>
      <c r="B170" s="74">
        <f t="shared" si="2"/>
        <v>41053</v>
      </c>
    </row>
    <row r="171" spans="1:2" x14ac:dyDescent="0.2">
      <c r="A171" s="74">
        <v>41053</v>
      </c>
      <c r="B171" s="74">
        <f t="shared" si="2"/>
        <v>41054</v>
      </c>
    </row>
    <row r="172" spans="1:2" x14ac:dyDescent="0.2">
      <c r="A172" s="74">
        <v>41054</v>
      </c>
      <c r="B172" s="74">
        <f t="shared" si="2"/>
        <v>41057</v>
      </c>
    </row>
    <row r="173" spans="1:2" x14ac:dyDescent="0.2">
      <c r="A173" s="74">
        <v>41057</v>
      </c>
      <c r="B173" s="74">
        <f t="shared" si="2"/>
        <v>41058</v>
      </c>
    </row>
    <row r="174" spans="1:2" x14ac:dyDescent="0.2">
      <c r="A174" s="74">
        <v>41058</v>
      </c>
      <c r="B174" s="74">
        <f t="shared" si="2"/>
        <v>41059</v>
      </c>
    </row>
    <row r="175" spans="1:2" x14ac:dyDescent="0.2">
      <c r="A175" s="74">
        <v>41059</v>
      </c>
      <c r="B175" s="74">
        <f t="shared" si="2"/>
        <v>41060</v>
      </c>
    </row>
    <row r="176" spans="1:2" x14ac:dyDescent="0.2">
      <c r="A176" s="74">
        <v>41060</v>
      </c>
      <c r="B176" s="74">
        <f t="shared" si="2"/>
        <v>41061</v>
      </c>
    </row>
    <row r="177" spans="1:2" x14ac:dyDescent="0.2">
      <c r="A177" s="74">
        <v>41061</v>
      </c>
      <c r="B177" s="74">
        <f t="shared" si="2"/>
        <v>41064</v>
      </c>
    </row>
    <row r="178" spans="1:2" x14ac:dyDescent="0.2">
      <c r="A178" s="74">
        <v>41064</v>
      </c>
      <c r="B178" s="74">
        <f t="shared" si="2"/>
        <v>41065</v>
      </c>
    </row>
    <row r="179" spans="1:2" x14ac:dyDescent="0.2">
      <c r="A179" s="74">
        <v>41065</v>
      </c>
      <c r="B179" s="74">
        <f t="shared" si="2"/>
        <v>41066</v>
      </c>
    </row>
    <row r="180" spans="1:2" x14ac:dyDescent="0.2">
      <c r="A180" s="74">
        <v>41066</v>
      </c>
      <c r="B180" s="74">
        <f t="shared" si="2"/>
        <v>41067</v>
      </c>
    </row>
    <row r="181" spans="1:2" x14ac:dyDescent="0.2">
      <c r="A181" s="74">
        <v>41067</v>
      </c>
      <c r="B181" s="74">
        <f t="shared" si="2"/>
        <v>41068</v>
      </c>
    </row>
    <row r="182" spans="1:2" x14ac:dyDescent="0.2">
      <c r="A182" s="74">
        <v>41068</v>
      </c>
      <c r="B182" s="74">
        <f t="shared" si="2"/>
        <v>41071</v>
      </c>
    </row>
    <row r="183" spans="1:2" x14ac:dyDescent="0.2">
      <c r="A183" s="74">
        <v>41071</v>
      </c>
      <c r="B183" s="74">
        <f t="shared" si="2"/>
        <v>41072</v>
      </c>
    </row>
    <row r="184" spans="1:2" x14ac:dyDescent="0.2">
      <c r="A184" s="74">
        <v>41072</v>
      </c>
      <c r="B184" s="74">
        <f t="shared" si="2"/>
        <v>41073</v>
      </c>
    </row>
    <row r="185" spans="1:2" x14ac:dyDescent="0.2">
      <c r="A185" s="74">
        <v>41073</v>
      </c>
      <c r="B185" s="74">
        <f t="shared" si="2"/>
        <v>41074</v>
      </c>
    </row>
    <row r="186" spans="1:2" x14ac:dyDescent="0.2">
      <c r="A186" s="74">
        <v>41074</v>
      </c>
      <c r="B186" s="74">
        <f t="shared" si="2"/>
        <v>41075</v>
      </c>
    </row>
    <row r="187" spans="1:2" x14ac:dyDescent="0.2">
      <c r="A187" s="74">
        <v>41075</v>
      </c>
      <c r="B187" s="74">
        <f t="shared" si="2"/>
        <v>41078</v>
      </c>
    </row>
    <row r="188" spans="1:2" x14ac:dyDescent="0.2">
      <c r="A188" s="74">
        <v>41078</v>
      </c>
      <c r="B188" s="74">
        <f t="shared" si="2"/>
        <v>41079</v>
      </c>
    </row>
    <row r="189" spans="1:2" x14ac:dyDescent="0.2">
      <c r="A189" s="74">
        <v>41079</v>
      </c>
      <c r="B189" s="74">
        <f t="shared" si="2"/>
        <v>41080</v>
      </c>
    </row>
    <row r="190" spans="1:2" x14ac:dyDescent="0.2">
      <c r="A190" s="74">
        <v>41080</v>
      </c>
      <c r="B190" s="74">
        <f t="shared" si="2"/>
        <v>41081</v>
      </c>
    </row>
    <row r="191" spans="1:2" x14ac:dyDescent="0.2">
      <c r="A191" s="74">
        <v>41081</v>
      </c>
      <c r="B191" s="74">
        <f t="shared" si="2"/>
        <v>41082</v>
      </c>
    </row>
    <row r="192" spans="1:2" x14ac:dyDescent="0.2">
      <c r="A192" s="74">
        <v>41082</v>
      </c>
      <c r="B192" s="74">
        <f t="shared" si="2"/>
        <v>41085</v>
      </c>
    </row>
    <row r="193" spans="1:2" x14ac:dyDescent="0.2">
      <c r="A193" s="74">
        <v>41085</v>
      </c>
      <c r="B193" s="74">
        <f t="shared" si="2"/>
        <v>41086</v>
      </c>
    </row>
    <row r="194" spans="1:2" x14ac:dyDescent="0.2">
      <c r="A194" s="74">
        <v>41086</v>
      </c>
      <c r="B194" s="74">
        <f t="shared" si="2"/>
        <v>41087</v>
      </c>
    </row>
    <row r="195" spans="1:2" x14ac:dyDescent="0.2">
      <c r="A195" s="74">
        <v>41087</v>
      </c>
      <c r="B195" s="74">
        <f t="shared" ref="B195:B258" si="3">A196</f>
        <v>41088</v>
      </c>
    </row>
    <row r="196" spans="1:2" x14ac:dyDescent="0.2">
      <c r="A196" s="74">
        <v>41088</v>
      </c>
      <c r="B196" s="74">
        <f t="shared" si="3"/>
        <v>41089</v>
      </c>
    </row>
    <row r="197" spans="1:2" x14ac:dyDescent="0.2">
      <c r="A197" s="74">
        <v>41089</v>
      </c>
      <c r="B197" s="74">
        <f t="shared" si="3"/>
        <v>41092</v>
      </c>
    </row>
    <row r="198" spans="1:2" x14ac:dyDescent="0.2">
      <c r="A198" s="74">
        <v>41092</v>
      </c>
      <c r="B198" s="74">
        <f t="shared" si="3"/>
        <v>41093</v>
      </c>
    </row>
    <row r="199" spans="1:2" x14ac:dyDescent="0.2">
      <c r="A199" s="74">
        <v>41093</v>
      </c>
      <c r="B199" s="74">
        <f t="shared" si="3"/>
        <v>41094</v>
      </c>
    </row>
    <row r="200" spans="1:2" x14ac:dyDescent="0.2">
      <c r="A200" s="74">
        <v>41094</v>
      </c>
      <c r="B200" s="74">
        <f t="shared" si="3"/>
        <v>41095</v>
      </c>
    </row>
    <row r="201" spans="1:2" x14ac:dyDescent="0.2">
      <c r="A201" s="74">
        <v>41095</v>
      </c>
      <c r="B201" s="74">
        <f t="shared" si="3"/>
        <v>41096</v>
      </c>
    </row>
    <row r="202" spans="1:2" x14ac:dyDescent="0.2">
      <c r="A202" s="74">
        <v>41096</v>
      </c>
      <c r="B202" s="74">
        <f t="shared" si="3"/>
        <v>41099</v>
      </c>
    </row>
    <row r="203" spans="1:2" x14ac:dyDescent="0.2">
      <c r="A203" s="74">
        <v>41099</v>
      </c>
      <c r="B203" s="74">
        <f t="shared" si="3"/>
        <v>41100</v>
      </c>
    </row>
    <row r="204" spans="1:2" x14ac:dyDescent="0.2">
      <c r="A204" s="74">
        <v>41100</v>
      </c>
      <c r="B204" s="74">
        <f t="shared" si="3"/>
        <v>41101</v>
      </c>
    </row>
    <row r="205" spans="1:2" x14ac:dyDescent="0.2">
      <c r="A205" s="74">
        <v>41101</v>
      </c>
      <c r="B205" s="74">
        <f t="shared" si="3"/>
        <v>41102</v>
      </c>
    </row>
    <row r="206" spans="1:2" x14ac:dyDescent="0.2">
      <c r="A206" s="74">
        <v>41102</v>
      </c>
      <c r="B206" s="74">
        <f t="shared" si="3"/>
        <v>41103</v>
      </c>
    </row>
    <row r="207" spans="1:2" x14ac:dyDescent="0.2">
      <c r="A207" s="74">
        <v>41103</v>
      </c>
      <c r="B207" s="74">
        <f t="shared" si="3"/>
        <v>41106</v>
      </c>
    </row>
    <row r="208" spans="1:2" x14ac:dyDescent="0.2">
      <c r="A208" s="74">
        <v>41106</v>
      </c>
      <c r="B208" s="74">
        <f t="shared" si="3"/>
        <v>41107</v>
      </c>
    </row>
    <row r="209" spans="1:2" x14ac:dyDescent="0.2">
      <c r="A209" s="74">
        <v>41107</v>
      </c>
      <c r="B209" s="74">
        <f t="shared" si="3"/>
        <v>41108</v>
      </c>
    </row>
    <row r="210" spans="1:2" x14ac:dyDescent="0.2">
      <c r="A210" s="74">
        <v>41108</v>
      </c>
      <c r="B210" s="74">
        <f t="shared" si="3"/>
        <v>41109</v>
      </c>
    </row>
    <row r="211" spans="1:2" x14ac:dyDescent="0.2">
      <c r="A211" s="74">
        <v>41109</v>
      </c>
      <c r="B211" s="74">
        <f t="shared" si="3"/>
        <v>41110</v>
      </c>
    </row>
    <row r="212" spans="1:2" x14ac:dyDescent="0.2">
      <c r="A212" s="74">
        <v>41110</v>
      </c>
      <c r="B212" s="74">
        <f t="shared" si="3"/>
        <v>41113</v>
      </c>
    </row>
    <row r="213" spans="1:2" x14ac:dyDescent="0.2">
      <c r="A213" s="74">
        <v>41113</v>
      </c>
      <c r="B213" s="74">
        <f t="shared" si="3"/>
        <v>41114</v>
      </c>
    </row>
    <row r="214" spans="1:2" x14ac:dyDescent="0.2">
      <c r="A214" s="74">
        <v>41114</v>
      </c>
      <c r="B214" s="74">
        <f t="shared" si="3"/>
        <v>41115</v>
      </c>
    </row>
    <row r="215" spans="1:2" x14ac:dyDescent="0.2">
      <c r="A215" s="74">
        <v>41115</v>
      </c>
      <c r="B215" s="74">
        <f t="shared" si="3"/>
        <v>41116</v>
      </c>
    </row>
    <row r="216" spans="1:2" x14ac:dyDescent="0.2">
      <c r="A216" s="74">
        <v>41116</v>
      </c>
      <c r="B216" s="74">
        <f t="shared" si="3"/>
        <v>41117</v>
      </c>
    </row>
    <row r="217" spans="1:2" x14ac:dyDescent="0.2">
      <c r="A217" s="74">
        <v>41117</v>
      </c>
      <c r="B217" s="74">
        <f t="shared" si="3"/>
        <v>41120</v>
      </c>
    </row>
    <row r="218" spans="1:2" x14ac:dyDescent="0.2">
      <c r="A218" s="74">
        <v>41120</v>
      </c>
      <c r="B218" s="74">
        <f t="shared" si="3"/>
        <v>41121</v>
      </c>
    </row>
    <row r="219" spans="1:2" x14ac:dyDescent="0.2">
      <c r="A219" s="74">
        <v>41121</v>
      </c>
      <c r="B219" s="74">
        <f t="shared" si="3"/>
        <v>41122</v>
      </c>
    </row>
    <row r="220" spans="1:2" x14ac:dyDescent="0.2">
      <c r="A220" s="74">
        <v>41122</v>
      </c>
      <c r="B220" s="74">
        <f t="shared" si="3"/>
        <v>41123</v>
      </c>
    </row>
    <row r="221" spans="1:2" x14ac:dyDescent="0.2">
      <c r="A221" s="74">
        <v>41123</v>
      </c>
      <c r="B221" s="74">
        <f t="shared" si="3"/>
        <v>41124</v>
      </c>
    </row>
    <row r="222" spans="1:2" x14ac:dyDescent="0.2">
      <c r="A222" s="74">
        <v>41124</v>
      </c>
      <c r="B222" s="74">
        <f t="shared" si="3"/>
        <v>41127</v>
      </c>
    </row>
    <row r="223" spans="1:2" x14ac:dyDescent="0.2">
      <c r="A223" s="74">
        <v>41127</v>
      </c>
      <c r="B223" s="74">
        <f t="shared" si="3"/>
        <v>41128</v>
      </c>
    </row>
    <row r="224" spans="1:2" x14ac:dyDescent="0.2">
      <c r="A224" s="74">
        <v>41128</v>
      </c>
      <c r="B224" s="74">
        <f t="shared" si="3"/>
        <v>41129</v>
      </c>
    </row>
    <row r="225" spans="1:2" x14ac:dyDescent="0.2">
      <c r="A225" s="74">
        <v>41129</v>
      </c>
      <c r="B225" s="74">
        <f t="shared" si="3"/>
        <v>41130</v>
      </c>
    </row>
    <row r="226" spans="1:2" x14ac:dyDescent="0.2">
      <c r="A226" s="74">
        <v>41130</v>
      </c>
      <c r="B226" s="74">
        <f t="shared" si="3"/>
        <v>41131</v>
      </c>
    </row>
    <row r="227" spans="1:2" x14ac:dyDescent="0.2">
      <c r="A227" s="74">
        <v>41131</v>
      </c>
      <c r="B227" s="74">
        <f t="shared" si="3"/>
        <v>41134</v>
      </c>
    </row>
    <row r="228" spans="1:2" x14ac:dyDescent="0.2">
      <c r="A228" s="74">
        <v>41134</v>
      </c>
      <c r="B228" s="74">
        <f t="shared" si="3"/>
        <v>41135</v>
      </c>
    </row>
    <row r="229" spans="1:2" x14ac:dyDescent="0.2">
      <c r="A229" s="74">
        <v>41135</v>
      </c>
      <c r="B229" s="74">
        <f t="shared" si="3"/>
        <v>41136</v>
      </c>
    </row>
    <row r="230" spans="1:2" x14ac:dyDescent="0.2">
      <c r="A230" s="74">
        <v>41136</v>
      </c>
      <c r="B230" s="74">
        <f t="shared" si="3"/>
        <v>41137</v>
      </c>
    </row>
    <row r="231" spans="1:2" x14ac:dyDescent="0.2">
      <c r="A231" s="74">
        <v>41137</v>
      </c>
      <c r="B231" s="74">
        <f t="shared" si="3"/>
        <v>41138</v>
      </c>
    </row>
    <row r="232" spans="1:2" x14ac:dyDescent="0.2">
      <c r="A232" s="74">
        <v>41138</v>
      </c>
      <c r="B232" s="74">
        <f t="shared" si="3"/>
        <v>41141</v>
      </c>
    </row>
    <row r="233" spans="1:2" x14ac:dyDescent="0.2">
      <c r="A233" s="74">
        <v>41141</v>
      </c>
      <c r="B233" s="74">
        <f t="shared" si="3"/>
        <v>41142</v>
      </c>
    </row>
    <row r="234" spans="1:2" x14ac:dyDescent="0.2">
      <c r="A234" s="74">
        <v>41142</v>
      </c>
      <c r="B234" s="74">
        <f t="shared" si="3"/>
        <v>41143</v>
      </c>
    </row>
    <row r="235" spans="1:2" x14ac:dyDescent="0.2">
      <c r="A235" s="74">
        <v>41143</v>
      </c>
      <c r="B235" s="74">
        <f t="shared" si="3"/>
        <v>41144</v>
      </c>
    </row>
    <row r="236" spans="1:2" x14ac:dyDescent="0.2">
      <c r="A236" s="74">
        <v>41144</v>
      </c>
      <c r="B236" s="74">
        <f t="shared" si="3"/>
        <v>41145</v>
      </c>
    </row>
    <row r="237" spans="1:2" x14ac:dyDescent="0.2">
      <c r="A237" s="74">
        <v>41145</v>
      </c>
      <c r="B237" s="74">
        <f t="shared" si="3"/>
        <v>41148</v>
      </c>
    </row>
    <row r="238" spans="1:2" x14ac:dyDescent="0.2">
      <c r="A238" s="74">
        <v>41148</v>
      </c>
      <c r="B238" s="74">
        <f t="shared" si="3"/>
        <v>41149</v>
      </c>
    </row>
    <row r="239" spans="1:2" x14ac:dyDescent="0.2">
      <c r="A239" s="74">
        <v>41149</v>
      </c>
      <c r="B239" s="74">
        <f t="shared" si="3"/>
        <v>41150</v>
      </c>
    </row>
    <row r="240" spans="1:2" x14ac:dyDescent="0.2">
      <c r="A240" s="74">
        <v>41150</v>
      </c>
      <c r="B240" s="74">
        <f t="shared" si="3"/>
        <v>41151</v>
      </c>
    </row>
    <row r="241" spans="1:2" x14ac:dyDescent="0.2">
      <c r="A241" s="74">
        <v>41151</v>
      </c>
      <c r="B241" s="74">
        <f t="shared" si="3"/>
        <v>41152</v>
      </c>
    </row>
    <row r="242" spans="1:2" x14ac:dyDescent="0.2">
      <c r="A242" s="74">
        <v>41152</v>
      </c>
      <c r="B242" s="74">
        <f t="shared" si="3"/>
        <v>41155</v>
      </c>
    </row>
    <row r="243" spans="1:2" x14ac:dyDescent="0.2">
      <c r="A243" s="74">
        <v>41155</v>
      </c>
      <c r="B243" s="74">
        <f t="shared" si="3"/>
        <v>41156</v>
      </c>
    </row>
    <row r="244" spans="1:2" x14ac:dyDescent="0.2">
      <c r="A244" s="74">
        <v>41156</v>
      </c>
      <c r="B244" s="74">
        <f t="shared" si="3"/>
        <v>41157</v>
      </c>
    </row>
    <row r="245" spans="1:2" x14ac:dyDescent="0.2">
      <c r="A245" s="74">
        <v>41157</v>
      </c>
      <c r="B245" s="74">
        <f t="shared" si="3"/>
        <v>41158</v>
      </c>
    </row>
    <row r="246" spans="1:2" x14ac:dyDescent="0.2">
      <c r="A246" s="74">
        <v>41158</v>
      </c>
      <c r="B246" s="74">
        <f t="shared" si="3"/>
        <v>41159</v>
      </c>
    </row>
    <row r="247" spans="1:2" x14ac:dyDescent="0.2">
      <c r="A247" s="74">
        <v>41159</v>
      </c>
      <c r="B247" s="74">
        <f t="shared" si="3"/>
        <v>41162</v>
      </c>
    </row>
    <row r="248" spans="1:2" x14ac:dyDescent="0.2">
      <c r="A248" s="74">
        <v>41162</v>
      </c>
      <c r="B248" s="74">
        <f t="shared" si="3"/>
        <v>41163</v>
      </c>
    </row>
    <row r="249" spans="1:2" x14ac:dyDescent="0.2">
      <c r="A249" s="74">
        <v>41163</v>
      </c>
      <c r="B249" s="74">
        <f t="shared" si="3"/>
        <v>41164</v>
      </c>
    </row>
    <row r="250" spans="1:2" x14ac:dyDescent="0.2">
      <c r="A250" s="74">
        <v>41164</v>
      </c>
      <c r="B250" s="74">
        <f t="shared" si="3"/>
        <v>41165</v>
      </c>
    </row>
    <row r="251" spans="1:2" x14ac:dyDescent="0.2">
      <c r="A251" s="74">
        <v>41165</v>
      </c>
      <c r="B251" s="74">
        <f t="shared" si="3"/>
        <v>41166</v>
      </c>
    </row>
    <row r="252" spans="1:2" x14ac:dyDescent="0.2">
      <c r="A252" s="74">
        <v>41166</v>
      </c>
      <c r="B252" s="74">
        <f t="shared" si="3"/>
        <v>41169</v>
      </c>
    </row>
    <row r="253" spans="1:2" x14ac:dyDescent="0.2">
      <c r="A253" s="74">
        <v>41169</v>
      </c>
      <c r="B253" s="74">
        <f t="shared" si="3"/>
        <v>41170</v>
      </c>
    </row>
    <row r="254" spans="1:2" x14ac:dyDescent="0.2">
      <c r="A254" s="74">
        <v>41170</v>
      </c>
      <c r="B254" s="74">
        <f t="shared" si="3"/>
        <v>41171</v>
      </c>
    </row>
    <row r="255" spans="1:2" x14ac:dyDescent="0.2">
      <c r="A255" s="74">
        <v>41171</v>
      </c>
      <c r="B255" s="74">
        <f t="shared" si="3"/>
        <v>41172</v>
      </c>
    </row>
    <row r="256" spans="1:2" x14ac:dyDescent="0.2">
      <c r="A256" s="74">
        <v>41172</v>
      </c>
      <c r="B256" s="74">
        <f t="shared" si="3"/>
        <v>41173</v>
      </c>
    </row>
    <row r="257" spans="1:2" x14ac:dyDescent="0.2">
      <c r="A257" s="74">
        <v>41173</v>
      </c>
      <c r="B257" s="74">
        <f t="shared" si="3"/>
        <v>41176</v>
      </c>
    </row>
    <row r="258" spans="1:2" x14ac:dyDescent="0.2">
      <c r="A258" s="74">
        <v>41176</v>
      </c>
      <c r="B258" s="74">
        <f t="shared" si="3"/>
        <v>41177</v>
      </c>
    </row>
    <row r="259" spans="1:2" x14ac:dyDescent="0.2">
      <c r="A259" s="74">
        <v>41177</v>
      </c>
      <c r="B259" s="74">
        <f t="shared" ref="B259:B322" si="4">A260</f>
        <v>41178</v>
      </c>
    </row>
    <row r="260" spans="1:2" x14ac:dyDescent="0.2">
      <c r="A260" s="74">
        <v>41178</v>
      </c>
      <c r="B260" s="74">
        <f t="shared" si="4"/>
        <v>41179</v>
      </c>
    </row>
    <row r="261" spans="1:2" x14ac:dyDescent="0.2">
      <c r="A261" s="74">
        <v>41179</v>
      </c>
      <c r="B261" s="74">
        <f t="shared" si="4"/>
        <v>41180</v>
      </c>
    </row>
    <row r="262" spans="1:2" x14ac:dyDescent="0.2">
      <c r="A262" s="74">
        <v>41180</v>
      </c>
      <c r="B262" s="74">
        <f t="shared" si="4"/>
        <v>41183</v>
      </c>
    </row>
    <row r="263" spans="1:2" x14ac:dyDescent="0.2">
      <c r="A263" s="74">
        <v>41183</v>
      </c>
      <c r="B263" s="74">
        <f t="shared" si="4"/>
        <v>41184</v>
      </c>
    </row>
    <row r="264" spans="1:2" x14ac:dyDescent="0.2">
      <c r="A264" s="74">
        <v>41184</v>
      </c>
      <c r="B264" s="74">
        <f t="shared" si="4"/>
        <v>41185</v>
      </c>
    </row>
    <row r="265" spans="1:2" x14ac:dyDescent="0.2">
      <c r="A265" s="74">
        <v>41185</v>
      </c>
      <c r="B265" s="74">
        <f t="shared" si="4"/>
        <v>41186</v>
      </c>
    </row>
    <row r="266" spans="1:2" x14ac:dyDescent="0.2">
      <c r="A266" s="74">
        <v>41186</v>
      </c>
      <c r="B266" s="74">
        <f t="shared" si="4"/>
        <v>41187</v>
      </c>
    </row>
    <row r="267" spans="1:2" x14ac:dyDescent="0.2">
      <c r="A267" s="74">
        <v>41187</v>
      </c>
      <c r="B267" s="74">
        <f t="shared" si="4"/>
        <v>41190</v>
      </c>
    </row>
    <row r="268" spans="1:2" x14ac:dyDescent="0.2">
      <c r="A268" s="74">
        <v>41190</v>
      </c>
      <c r="B268" s="74">
        <f t="shared" si="4"/>
        <v>41191</v>
      </c>
    </row>
    <row r="269" spans="1:2" x14ac:dyDescent="0.2">
      <c r="A269" s="74">
        <v>41191</v>
      </c>
      <c r="B269" s="74">
        <f t="shared" si="4"/>
        <v>41192</v>
      </c>
    </row>
    <row r="270" spans="1:2" x14ac:dyDescent="0.2">
      <c r="A270" s="74">
        <v>41192</v>
      </c>
      <c r="B270" s="74">
        <f t="shared" si="4"/>
        <v>41193</v>
      </c>
    </row>
    <row r="271" spans="1:2" x14ac:dyDescent="0.2">
      <c r="A271" s="74">
        <v>41193</v>
      </c>
      <c r="B271" s="74">
        <f t="shared" si="4"/>
        <v>41194</v>
      </c>
    </row>
    <row r="272" spans="1:2" x14ac:dyDescent="0.2">
      <c r="A272" s="74">
        <v>41194</v>
      </c>
      <c r="B272" s="74">
        <f t="shared" si="4"/>
        <v>41197</v>
      </c>
    </row>
    <row r="273" spans="1:2" x14ac:dyDescent="0.2">
      <c r="A273" s="74">
        <v>41197</v>
      </c>
      <c r="B273" s="74">
        <f t="shared" si="4"/>
        <v>41198</v>
      </c>
    </row>
    <row r="274" spans="1:2" x14ac:dyDescent="0.2">
      <c r="A274" s="74">
        <v>41198</v>
      </c>
      <c r="B274" s="74">
        <f t="shared" si="4"/>
        <v>41199</v>
      </c>
    </row>
    <row r="275" spans="1:2" x14ac:dyDescent="0.2">
      <c r="A275" s="74">
        <v>41199</v>
      </c>
      <c r="B275" s="74">
        <f t="shared" si="4"/>
        <v>41200</v>
      </c>
    </row>
    <row r="276" spans="1:2" x14ac:dyDescent="0.2">
      <c r="A276" s="74">
        <v>41200</v>
      </c>
      <c r="B276" s="74">
        <f t="shared" si="4"/>
        <v>41201</v>
      </c>
    </row>
    <row r="277" spans="1:2" x14ac:dyDescent="0.2">
      <c r="A277" s="74">
        <v>41201</v>
      </c>
      <c r="B277" s="74">
        <f t="shared" si="4"/>
        <v>41204</v>
      </c>
    </row>
    <row r="278" spans="1:2" x14ac:dyDescent="0.2">
      <c r="A278" s="74">
        <v>41204</v>
      </c>
      <c r="B278" s="74">
        <f t="shared" si="4"/>
        <v>41205</v>
      </c>
    </row>
    <row r="279" spans="1:2" x14ac:dyDescent="0.2">
      <c r="A279" s="74">
        <v>41205</v>
      </c>
      <c r="B279" s="74">
        <f t="shared" si="4"/>
        <v>41206</v>
      </c>
    </row>
    <row r="280" spans="1:2" x14ac:dyDescent="0.2">
      <c r="A280" s="74">
        <v>41206</v>
      </c>
      <c r="B280" s="74">
        <f t="shared" si="4"/>
        <v>41207</v>
      </c>
    </row>
    <row r="281" spans="1:2" x14ac:dyDescent="0.2">
      <c r="A281" s="74">
        <v>41207</v>
      </c>
      <c r="B281" s="74">
        <f t="shared" si="4"/>
        <v>41208</v>
      </c>
    </row>
    <row r="282" spans="1:2" x14ac:dyDescent="0.2">
      <c r="A282" s="74">
        <v>41208</v>
      </c>
      <c r="B282" s="74">
        <f t="shared" si="4"/>
        <v>41211</v>
      </c>
    </row>
    <row r="283" spans="1:2" x14ac:dyDescent="0.2">
      <c r="A283" s="74">
        <v>41211</v>
      </c>
      <c r="B283" s="74">
        <f t="shared" si="4"/>
        <v>41212</v>
      </c>
    </row>
    <row r="284" spans="1:2" x14ac:dyDescent="0.2">
      <c r="A284" s="74">
        <v>41212</v>
      </c>
      <c r="B284" s="74">
        <f t="shared" si="4"/>
        <v>41213</v>
      </c>
    </row>
    <row r="285" spans="1:2" x14ac:dyDescent="0.2">
      <c r="A285" s="74">
        <v>41213</v>
      </c>
      <c r="B285" s="74">
        <f t="shared" si="4"/>
        <v>41214</v>
      </c>
    </row>
    <row r="286" spans="1:2" x14ac:dyDescent="0.2">
      <c r="A286" s="74">
        <v>41214</v>
      </c>
      <c r="B286" s="74">
        <f t="shared" si="4"/>
        <v>41215</v>
      </c>
    </row>
    <row r="287" spans="1:2" x14ac:dyDescent="0.2">
      <c r="A287" s="74">
        <v>41215</v>
      </c>
      <c r="B287" s="74">
        <f t="shared" si="4"/>
        <v>41218</v>
      </c>
    </row>
    <row r="288" spans="1:2" x14ac:dyDescent="0.2">
      <c r="A288" s="74">
        <v>41218</v>
      </c>
      <c r="B288" s="74">
        <f t="shared" si="4"/>
        <v>41219</v>
      </c>
    </row>
    <row r="289" spans="1:2" x14ac:dyDescent="0.2">
      <c r="A289" s="74">
        <v>41219</v>
      </c>
      <c r="B289" s="74">
        <f t="shared" si="4"/>
        <v>41220</v>
      </c>
    </row>
    <row r="290" spans="1:2" x14ac:dyDescent="0.2">
      <c r="A290" s="74">
        <v>41220</v>
      </c>
      <c r="B290" s="74">
        <f t="shared" si="4"/>
        <v>41221</v>
      </c>
    </row>
    <row r="291" spans="1:2" x14ac:dyDescent="0.2">
      <c r="A291" s="74">
        <v>41221</v>
      </c>
      <c r="B291" s="74">
        <f t="shared" si="4"/>
        <v>41222</v>
      </c>
    </row>
    <row r="292" spans="1:2" x14ac:dyDescent="0.2">
      <c r="A292" s="74">
        <v>41222</v>
      </c>
      <c r="B292" s="74">
        <f t="shared" si="4"/>
        <v>41225</v>
      </c>
    </row>
    <row r="293" spans="1:2" x14ac:dyDescent="0.2">
      <c r="A293" s="74">
        <v>41225</v>
      </c>
      <c r="B293" s="74">
        <f t="shared" si="4"/>
        <v>41226</v>
      </c>
    </row>
    <row r="294" spans="1:2" x14ac:dyDescent="0.2">
      <c r="A294" s="74">
        <v>41226</v>
      </c>
      <c r="B294" s="74">
        <f t="shared" si="4"/>
        <v>41227</v>
      </c>
    </row>
    <row r="295" spans="1:2" x14ac:dyDescent="0.2">
      <c r="A295" s="74">
        <v>41227</v>
      </c>
      <c r="B295" s="74">
        <f t="shared" si="4"/>
        <v>41228</v>
      </c>
    </row>
    <row r="296" spans="1:2" x14ac:dyDescent="0.2">
      <c r="A296" s="74">
        <v>41228</v>
      </c>
      <c r="B296" s="74">
        <f t="shared" si="4"/>
        <v>41229</v>
      </c>
    </row>
    <row r="297" spans="1:2" x14ac:dyDescent="0.2">
      <c r="A297" s="74">
        <v>41229</v>
      </c>
      <c r="B297" s="74">
        <f t="shared" si="4"/>
        <v>41232</v>
      </c>
    </row>
    <row r="298" spans="1:2" x14ac:dyDescent="0.2">
      <c r="A298" s="74">
        <v>41232</v>
      </c>
      <c r="B298" s="74">
        <f t="shared" si="4"/>
        <v>41233</v>
      </c>
    </row>
    <row r="299" spans="1:2" x14ac:dyDescent="0.2">
      <c r="A299" s="74">
        <v>41233</v>
      </c>
      <c r="B299" s="74">
        <f t="shared" si="4"/>
        <v>41234</v>
      </c>
    </row>
    <row r="300" spans="1:2" x14ac:dyDescent="0.2">
      <c r="A300" s="74">
        <v>41234</v>
      </c>
      <c r="B300" s="74">
        <f t="shared" si="4"/>
        <v>41235</v>
      </c>
    </row>
    <row r="301" spans="1:2" x14ac:dyDescent="0.2">
      <c r="A301" s="74">
        <v>41235</v>
      </c>
      <c r="B301" s="74">
        <f t="shared" si="4"/>
        <v>41236</v>
      </c>
    </row>
    <row r="302" spans="1:2" x14ac:dyDescent="0.2">
      <c r="A302" s="74">
        <v>41236</v>
      </c>
      <c r="B302" s="74">
        <f t="shared" si="4"/>
        <v>41239</v>
      </c>
    </row>
    <row r="303" spans="1:2" x14ac:dyDescent="0.2">
      <c r="A303" s="74">
        <v>41239</v>
      </c>
      <c r="B303" s="74">
        <f t="shared" si="4"/>
        <v>41240</v>
      </c>
    </row>
    <row r="304" spans="1:2" x14ac:dyDescent="0.2">
      <c r="A304" s="74">
        <v>41240</v>
      </c>
      <c r="B304" s="74">
        <f t="shared" si="4"/>
        <v>41241</v>
      </c>
    </row>
    <row r="305" spans="1:2" x14ac:dyDescent="0.2">
      <c r="A305" s="74">
        <v>41241</v>
      </c>
      <c r="B305" s="74">
        <f t="shared" si="4"/>
        <v>41242</v>
      </c>
    </row>
    <row r="306" spans="1:2" x14ac:dyDescent="0.2">
      <c r="A306" s="74">
        <v>41242</v>
      </c>
      <c r="B306" s="74">
        <f t="shared" si="4"/>
        <v>41243</v>
      </c>
    </row>
    <row r="307" spans="1:2" x14ac:dyDescent="0.2">
      <c r="A307" s="74">
        <v>41243</v>
      </c>
      <c r="B307" s="74">
        <f t="shared" si="4"/>
        <v>41246</v>
      </c>
    </row>
    <row r="308" spans="1:2" x14ac:dyDescent="0.2">
      <c r="A308" s="74">
        <v>41246</v>
      </c>
      <c r="B308" s="74">
        <f t="shared" si="4"/>
        <v>41247</v>
      </c>
    </row>
    <row r="309" spans="1:2" x14ac:dyDescent="0.2">
      <c r="A309" s="74">
        <v>41247</v>
      </c>
      <c r="B309" s="74">
        <f t="shared" si="4"/>
        <v>41248</v>
      </c>
    </row>
    <row r="310" spans="1:2" x14ac:dyDescent="0.2">
      <c r="A310" s="74">
        <v>41248</v>
      </c>
      <c r="B310" s="74">
        <f t="shared" si="4"/>
        <v>41249</v>
      </c>
    </row>
    <row r="311" spans="1:2" x14ac:dyDescent="0.2">
      <c r="A311" s="74">
        <v>41249</v>
      </c>
      <c r="B311" s="74">
        <f t="shared" si="4"/>
        <v>41250</v>
      </c>
    </row>
    <row r="312" spans="1:2" x14ac:dyDescent="0.2">
      <c r="A312" s="74">
        <v>41250</v>
      </c>
      <c r="B312" s="74">
        <f t="shared" si="4"/>
        <v>41253</v>
      </c>
    </row>
    <row r="313" spans="1:2" x14ac:dyDescent="0.2">
      <c r="A313" s="74">
        <v>41253</v>
      </c>
      <c r="B313" s="74">
        <f t="shared" si="4"/>
        <v>41254</v>
      </c>
    </row>
    <row r="314" spans="1:2" x14ac:dyDescent="0.2">
      <c r="A314" s="74">
        <v>41254</v>
      </c>
      <c r="B314" s="74">
        <f t="shared" si="4"/>
        <v>41255</v>
      </c>
    </row>
    <row r="315" spans="1:2" x14ac:dyDescent="0.2">
      <c r="A315" s="74">
        <v>41255</v>
      </c>
      <c r="B315" s="74">
        <f t="shared" si="4"/>
        <v>41256</v>
      </c>
    </row>
    <row r="316" spans="1:2" x14ac:dyDescent="0.2">
      <c r="A316" s="74">
        <v>41256</v>
      </c>
      <c r="B316" s="74">
        <f t="shared" si="4"/>
        <v>41257</v>
      </c>
    </row>
    <row r="317" spans="1:2" x14ac:dyDescent="0.2">
      <c r="A317" s="74">
        <v>41257</v>
      </c>
      <c r="B317" s="74">
        <f t="shared" si="4"/>
        <v>41260</v>
      </c>
    </row>
    <row r="318" spans="1:2" x14ac:dyDescent="0.2">
      <c r="A318" s="74">
        <v>41260</v>
      </c>
      <c r="B318" s="74">
        <f t="shared" si="4"/>
        <v>41261</v>
      </c>
    </row>
    <row r="319" spans="1:2" x14ac:dyDescent="0.2">
      <c r="A319" s="74">
        <v>41261</v>
      </c>
      <c r="B319" s="74">
        <f t="shared" si="4"/>
        <v>41262</v>
      </c>
    </row>
    <row r="320" spans="1:2" x14ac:dyDescent="0.2">
      <c r="A320" s="74">
        <v>41262</v>
      </c>
      <c r="B320" s="74">
        <f t="shared" si="4"/>
        <v>41263</v>
      </c>
    </row>
    <row r="321" spans="1:2" x14ac:dyDescent="0.2">
      <c r="A321" s="74">
        <v>41263</v>
      </c>
      <c r="B321" s="74">
        <f t="shared" si="4"/>
        <v>41264</v>
      </c>
    </row>
    <row r="322" spans="1:2" x14ac:dyDescent="0.2">
      <c r="A322" s="74">
        <v>41264</v>
      </c>
      <c r="B322" s="74">
        <f t="shared" si="4"/>
        <v>41267</v>
      </c>
    </row>
    <row r="323" spans="1:2" x14ac:dyDescent="0.2">
      <c r="A323" s="74">
        <v>41267</v>
      </c>
      <c r="B323" s="74">
        <f t="shared" ref="B323:B344" si="5">A324</f>
        <v>41268</v>
      </c>
    </row>
    <row r="324" spans="1:2" x14ac:dyDescent="0.2">
      <c r="A324" s="74">
        <v>41268</v>
      </c>
      <c r="B324" s="74">
        <f t="shared" si="5"/>
        <v>41269</v>
      </c>
    </row>
    <row r="325" spans="1:2" x14ac:dyDescent="0.2">
      <c r="A325" s="74">
        <v>41269</v>
      </c>
      <c r="B325" s="74">
        <f t="shared" si="5"/>
        <v>41270</v>
      </c>
    </row>
    <row r="326" spans="1:2" x14ac:dyDescent="0.2">
      <c r="A326" s="74">
        <v>41270</v>
      </c>
      <c r="B326" s="74">
        <f t="shared" si="5"/>
        <v>41271</v>
      </c>
    </row>
    <row r="327" spans="1:2" x14ac:dyDescent="0.2">
      <c r="A327" s="74">
        <v>41271</v>
      </c>
      <c r="B327" s="74">
        <f t="shared" si="5"/>
        <v>41274</v>
      </c>
    </row>
    <row r="328" spans="1:2" x14ac:dyDescent="0.2">
      <c r="A328" s="74">
        <v>41274</v>
      </c>
      <c r="B328" s="74">
        <f t="shared" si="5"/>
        <v>41275</v>
      </c>
    </row>
    <row r="329" spans="1:2" x14ac:dyDescent="0.2">
      <c r="A329" s="74">
        <v>41275</v>
      </c>
      <c r="B329" s="74">
        <f t="shared" si="5"/>
        <v>41276</v>
      </c>
    </row>
    <row r="330" spans="1:2" x14ac:dyDescent="0.2">
      <c r="A330" s="74">
        <v>41276</v>
      </c>
      <c r="B330" s="74">
        <f t="shared" si="5"/>
        <v>41277</v>
      </c>
    </row>
    <row r="331" spans="1:2" x14ac:dyDescent="0.2">
      <c r="A331" s="74">
        <v>41277</v>
      </c>
      <c r="B331" s="74">
        <f t="shared" si="5"/>
        <v>41278</v>
      </c>
    </row>
    <row r="332" spans="1:2" x14ac:dyDescent="0.2">
      <c r="A332" s="74">
        <v>41278</v>
      </c>
      <c r="B332" s="74">
        <f t="shared" si="5"/>
        <v>41281</v>
      </c>
    </row>
    <row r="333" spans="1:2" x14ac:dyDescent="0.2">
      <c r="A333" s="74">
        <v>41281</v>
      </c>
      <c r="B333" s="74">
        <f t="shared" si="5"/>
        <v>41282</v>
      </c>
    </row>
    <row r="334" spans="1:2" x14ac:dyDescent="0.2">
      <c r="A334" s="74">
        <v>41282</v>
      </c>
      <c r="B334" s="74">
        <f t="shared" si="5"/>
        <v>41283</v>
      </c>
    </row>
    <row r="335" spans="1:2" x14ac:dyDescent="0.2">
      <c r="A335" s="74">
        <v>41283</v>
      </c>
      <c r="B335" s="74">
        <f t="shared" si="5"/>
        <v>41284</v>
      </c>
    </row>
    <row r="336" spans="1:2" x14ac:dyDescent="0.2">
      <c r="A336" s="74">
        <v>41284</v>
      </c>
      <c r="B336" s="74">
        <f t="shared" si="5"/>
        <v>41285</v>
      </c>
    </row>
    <row r="337" spans="1:2" x14ac:dyDescent="0.2">
      <c r="A337" s="74">
        <v>41285</v>
      </c>
      <c r="B337" s="74">
        <f t="shared" si="5"/>
        <v>41288</v>
      </c>
    </row>
    <row r="338" spans="1:2" x14ac:dyDescent="0.2">
      <c r="A338" s="74">
        <v>41288</v>
      </c>
      <c r="B338" s="74">
        <f t="shared" si="5"/>
        <v>41289</v>
      </c>
    </row>
    <row r="339" spans="1:2" x14ac:dyDescent="0.2">
      <c r="A339" s="74">
        <v>41289</v>
      </c>
      <c r="B339" s="74">
        <f t="shared" si="5"/>
        <v>41290</v>
      </c>
    </row>
    <row r="340" spans="1:2" x14ac:dyDescent="0.2">
      <c r="A340" s="74">
        <v>41290</v>
      </c>
      <c r="B340" s="74">
        <f t="shared" si="5"/>
        <v>41291</v>
      </c>
    </row>
    <row r="341" spans="1:2" x14ac:dyDescent="0.2">
      <c r="A341" s="74">
        <v>41291</v>
      </c>
      <c r="B341" s="74">
        <f t="shared" si="5"/>
        <v>41292</v>
      </c>
    </row>
    <row r="342" spans="1:2" x14ac:dyDescent="0.2">
      <c r="A342" s="74">
        <v>41292</v>
      </c>
      <c r="B342" s="74">
        <f t="shared" si="5"/>
        <v>41295</v>
      </c>
    </row>
    <row r="343" spans="1:2" x14ac:dyDescent="0.2">
      <c r="A343" s="74">
        <v>41295</v>
      </c>
      <c r="B343" s="74">
        <f t="shared" si="5"/>
        <v>41296</v>
      </c>
    </row>
    <row r="344" spans="1:2" x14ac:dyDescent="0.2">
      <c r="A344" s="74">
        <v>41296</v>
      </c>
      <c r="B344" s="74">
        <f t="shared" si="5"/>
        <v>41297</v>
      </c>
    </row>
    <row r="345" spans="1:2" x14ac:dyDescent="0.2">
      <c r="A345" s="74">
        <v>41297</v>
      </c>
    </row>
  </sheetData>
  <customSheetViews>
    <customSheetView guid="{8EF2C042-D97C-40EA-9E42-A17331664713}">
      <selection activeCell="C4" sqref="C4"/>
      <pageMargins left="0.7" right="0.7" top="0.75" bottom="0.75" header="0.3" footer="0.3"/>
    </customSheetView>
    <customSheetView guid="{A93D23F5-27FE-48DF-A0DC-3D7A8C6F3CF5}" topLeftCell="A19">
      <selection activeCell="D32" sqref="D3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C5" sqref="C5"/>
    </sheetView>
  </sheetViews>
  <sheetFormatPr defaultRowHeight="12.75" x14ac:dyDescent="0.2"/>
  <cols>
    <col min="1" max="1" width="19.85546875" style="20" bestFit="1" customWidth="1"/>
    <col min="2" max="2" width="13.5703125" style="15" customWidth="1"/>
    <col min="3" max="3" width="49.5703125" style="15" bestFit="1" customWidth="1"/>
    <col min="4" max="4" width="12.28515625" style="15" bestFit="1" customWidth="1"/>
    <col min="5" max="5" width="12.7109375" style="15" customWidth="1"/>
    <col min="6" max="6" width="9.42578125" style="15" bestFit="1" customWidth="1"/>
    <col min="7" max="7" width="36.5703125" style="15" bestFit="1" customWidth="1"/>
    <col min="8" max="8" width="27.42578125" style="15" customWidth="1"/>
    <col min="9" max="9" width="15.140625" style="15" customWidth="1"/>
    <col min="10" max="16384" width="9.140625" style="15"/>
  </cols>
  <sheetData>
    <row r="1" spans="1:9" ht="21.75" customHeight="1" x14ac:dyDescent="0.2">
      <c r="A1" s="15"/>
      <c r="G1" s="41" t="s">
        <v>408</v>
      </c>
      <c r="H1" s="42" t="e">
        <f>VLOOKUP($A$5,IDX_SPECS!$B$2:$V$89,15,0)</f>
        <v>#N/A</v>
      </c>
    </row>
    <row r="2" spans="1:9" ht="21.75" customHeight="1" x14ac:dyDescent="0.2">
      <c r="G2" s="41" t="s">
        <v>410</v>
      </c>
      <c r="H2" s="42" t="e">
        <f>IF($E$5="R",VLOOKUP(MID($A$5,1,LEN($A$5)-5)&amp;"P"&amp;MID($A$5,LEN($A$5)-3,LEN($A$5)),IDX_SPECS!$B$2:$V$89,15,0),"")</f>
        <v>#N/A</v>
      </c>
      <c r="I2" s="37"/>
    </row>
    <row r="3" spans="1:9" x14ac:dyDescent="0.2">
      <c r="F3" s="34"/>
      <c r="G3" s="37"/>
      <c r="H3" s="37"/>
      <c r="I3" s="37"/>
    </row>
    <row r="4" spans="1:9" x14ac:dyDescent="0.2">
      <c r="A4" s="14" t="s">
        <v>81</v>
      </c>
      <c r="B4" s="14" t="s">
        <v>402</v>
      </c>
      <c r="C4" s="14" t="s">
        <v>403</v>
      </c>
      <c r="D4" s="14" t="s">
        <v>400</v>
      </c>
      <c r="E4" s="14" t="s">
        <v>50</v>
      </c>
      <c r="F4" s="14" t="s">
        <v>398</v>
      </c>
      <c r="G4" s="40" t="s">
        <v>407</v>
      </c>
      <c r="H4" s="14" t="s">
        <v>401</v>
      </c>
    </row>
    <row r="5" spans="1:9" s="16" customFormat="1" ht="20.25" customHeight="1" x14ac:dyDescent="0.2">
      <c r="A5" s="35" t="e">
        <f>INDEX(IDX_REF!$A$2:$A$1048576,MATCH(SUMMARY!$C$5,IDX_REF!$C$2:$C$1048576,0))</f>
        <v>#N/A</v>
      </c>
      <c r="B5" s="43" t="e">
        <f>IF($E$5="R",VLOOKUP(MID($A$5,1,LEN($A$5)-5)&amp;"P"&amp;MID($A$5,LEN($A$5)-3,LEN($A$5)),IDX_SPECS!$B$2:$V$89,9,0),"")</f>
        <v>#N/A</v>
      </c>
      <c r="C5" s="45" t="s">
        <v>103</v>
      </c>
      <c r="D5" s="19" t="e">
        <f>VLOOKUP($A$5,IDX_REF!$A$2:$O$1048576,4,0)</f>
        <v>#N/A</v>
      </c>
      <c r="E5" s="19" t="e">
        <f>IF(MID($A$5,LEN($A$5)-4,2)="PR","P","R")</f>
        <v>#N/A</v>
      </c>
      <c r="F5" s="16" t="e">
        <f>VLOOKUP($A$5,IDX_REF!$A$2:$O$1048576,5,0)</f>
        <v>#N/A</v>
      </c>
      <c r="G5" s="37" t="e">
        <f>VLOOKUP($A$5,IDX_SPECS!$B$2:$V$89,9,0)</f>
        <v>#N/A</v>
      </c>
      <c r="H5" s="38" t="e">
        <f>IF(E5="P",F5*H9/H7,(H1/H2)*(B5+F5*H8/H7))</f>
        <v>#N/A</v>
      </c>
    </row>
    <row r="6" spans="1:9" x14ac:dyDescent="0.2">
      <c r="A6" s="15"/>
      <c r="D6" s="20"/>
      <c r="E6" s="20"/>
      <c r="F6" s="34"/>
    </row>
    <row r="7" spans="1:9" ht="15" x14ac:dyDescent="0.2">
      <c r="A7" s="15"/>
      <c r="D7" s="20"/>
      <c r="E7" s="20"/>
      <c r="F7" s="34"/>
      <c r="G7" s="41" t="s">
        <v>411</v>
      </c>
      <c r="H7" s="39" t="e">
        <f>VLOOKUP($A$5,IDX_SPECS!$B$2:$V$89,7,0)</f>
        <v>#N/A</v>
      </c>
    </row>
    <row r="8" spans="1:9" ht="17.25" customHeight="1" x14ac:dyDescent="0.2">
      <c r="G8" s="41" t="s">
        <v>412</v>
      </c>
      <c r="H8" s="39" t="e">
        <f>IF($E$5="R",VLOOKUP(MID($A$5,1,LEN($A$5)-5)&amp;"P"&amp;MID($A$5,LEN($A$5)-3,LEN($A$5)),IDX_SPECS!$B$2:$V$89,16,0),"")</f>
        <v>#N/A</v>
      </c>
    </row>
    <row r="9" spans="1:9" ht="17.25" customHeight="1" x14ac:dyDescent="0.2">
      <c r="A9" s="44" t="s">
        <v>409</v>
      </c>
      <c r="B9" s="15" t="e">
        <f>VLOOKUP($A$5,IDX_SPECS!$B$2:$V$1048576,12,0)</f>
        <v>#N/A</v>
      </c>
      <c r="G9" s="41" t="s">
        <v>413</v>
      </c>
      <c r="H9" s="39" t="e">
        <f>VLOOKUP($A$5,IDX_SPECS!$B$2:$V$89,8,0)</f>
        <v>#N/A</v>
      </c>
    </row>
    <row r="11" spans="1:9" ht="17.25" customHeight="1" x14ac:dyDescent="0.2">
      <c r="A11" s="36" t="s">
        <v>399</v>
      </c>
      <c r="B11" s="36" t="s">
        <v>81</v>
      </c>
      <c r="C11" s="32" t="s">
        <v>403</v>
      </c>
      <c r="D11" s="32" t="s">
        <v>404</v>
      </c>
      <c r="E11" s="32" t="s">
        <v>405</v>
      </c>
      <c r="F11" s="32" t="s">
        <v>406</v>
      </c>
      <c r="G11" s="32" t="s">
        <v>7</v>
      </c>
      <c r="H11" s="33" t="s">
        <v>127</v>
      </c>
    </row>
    <row r="12" spans="1:9" ht="15" customHeight="1" x14ac:dyDescent="0.2">
      <c r="A12" s="20" t="e">
        <f>IF(ROW(A12)-ROW($A$11)&lt;=VLOOKUP($A$5,IDX_SPECS!$B$2:$V$1048576,12,0),ROW(A12)-ROW($A$11),"")</f>
        <v>#N/A</v>
      </c>
      <c r="B12" s="20" t="e">
        <f t="array" ref="B12">IF($A12&lt;&gt;"",INDEX(IDX_COMPOSITION!$A$1:$A$123,SMALL(IF(IDX_COMPOSITION!$R$2:$R$441=VLOOKUP($A$5,IDX_SPECS!$B$2:$V$89,6,0),ROW(IDX_COMPOSITION!$R$2:$R$441)),ROW($A12)-ROW($A$11))),"")</f>
        <v>#N/A</v>
      </c>
      <c r="C12" s="56" t="e">
        <f t="array" ref="C12">IF($A12&lt;&gt;"",INDEX(IDX_COMPOSITION!$B$1:$B$123,SMALL(IF(IDX_COMPOSITION!$R$2:$R$441=VLOOKUP($A$5,IDX_SPECS!$B$2:$V$89,6,0),ROW(IDX_COMPOSITION!$R$2:$R$441)),ROW($B12)-ROW($B$11))),"")</f>
        <v>#N/A</v>
      </c>
      <c r="D12" s="57" t="e">
        <f t="array" ref="D12">IF($A12&lt;&gt;"",INDEX(IDX_COMPOSITION!$C$1:$C$123,SMALL(IF(IDX_COMPOSITION!$R$2:$R$441=VLOOKUP($A$5,IDX_SPECS!$B$2:$V$89,6,0),ROW(IDX_COMPOSITION!$R$2:$R$441)),ROW($B12)-ROW($B$11))),"")</f>
        <v>#N/A</v>
      </c>
      <c r="E12" s="57" t="e">
        <f t="array" ref="E12">IF($A12&lt;&gt;"",INDEX(IDX_COMPOSITION!$D$1:$D$123,SMALL(IF(IDX_COMPOSITION!$R$2:$R$441=VLOOKUP($A$5,IDX_SPECS!$B$2:$V$89,6,0),ROW(IDX_COMPOSITION!$R$2:$R$441)),ROW($B12)-ROW($B$11))),"")</f>
        <v>#N/A</v>
      </c>
      <c r="F12" s="57" t="e">
        <f t="array" ref="F12">IF($A12&lt;&gt;"",INDEX(IDX_COMPOSITION!$E$1:$E$123,SMALL(IF(IDX_COMPOSITION!$R$2:$R$441=VLOOKUP($A$5,IDX_SPECS!$B$2:$V$89,6,0),ROW(IDX_COMPOSITION!$R$2:$R$441)),ROW($B12)-ROW($B$11))),"")</f>
        <v>#N/A</v>
      </c>
      <c r="G12" s="58" t="e">
        <f t="array" ref="G12">IF($A12&lt;&gt;"",INDEX(IDX_COMPOSITION!$F$1:$F$123,SMALL(IF(IDX_COMPOSITION!$R$2:$R$441=VLOOKUP($A$5,IDX_SPECS!$B$2:$V$89,6,0),ROW(IDX_COMPOSITION!$R$2:$R$441)),ROW($B12)-ROW($B$11))),"")</f>
        <v>#N/A</v>
      </c>
      <c r="H12" s="59" t="e">
        <f t="array" ref="H12">IF($A12&lt;&gt;"",INDEX(IDX_COMPOSITION!$K$1:$K$123,SMALL(IF(IDX_COMPOSITION!$R$2:$R$441=VLOOKUP($A$5,IDX_SPECS!$B$2:$V$89,6,0),ROW(IDX_COMPOSITION!$R$2:$R$441)),ROW($B12)-ROW($B$11))),"")</f>
        <v>#N/A</v>
      </c>
    </row>
    <row r="13" spans="1:9" ht="15" customHeight="1" x14ac:dyDescent="0.2">
      <c r="A13" s="20" t="e">
        <f>IF(ROW(A13)-ROW($A$11)&lt;=VLOOKUP($A$5,IDX_SPECS!$B$2:$V$1048576,12,0),ROW(A13)-ROW($A$11),"")</f>
        <v>#N/A</v>
      </c>
      <c r="B13" s="20" t="e">
        <f t="array" ref="B13">IF($A13&lt;&gt;"",INDEX(IDX_COMPOSITION!$A$1:$A$123,SMALL(IF(IDX_COMPOSITION!$R$2:$R$441=VLOOKUP($A$5,IDX_SPECS!$B$2:$V$89,6,0),ROW(IDX_COMPOSITION!$R$2:$R$441)),ROW($A13)-ROW($A$11))),"")</f>
        <v>#N/A</v>
      </c>
      <c r="C13" s="56" t="e">
        <f t="array" ref="C13">IF($A13&lt;&gt;"",INDEX(IDX_COMPOSITION!$B$1:$B$123,SMALL(IF(IDX_COMPOSITION!$R$2:$R$441=VLOOKUP($A$5,IDX_SPECS!$B$2:$V$89,6,0),ROW(IDX_COMPOSITION!$R$2:$R$441)),ROW($B13)-ROW($B$11))),"")</f>
        <v>#N/A</v>
      </c>
      <c r="D13" s="57" t="e">
        <f t="array" ref="D13">IF($A13&lt;&gt;"",INDEX(IDX_COMPOSITION!$C$1:$C$123,SMALL(IF(IDX_COMPOSITION!$R$2:$R$441=VLOOKUP($A$5,IDX_SPECS!$B$2:$V$89,6,0),ROW(IDX_COMPOSITION!$R$2:$R$441)),ROW($B13)-ROW($B$11))),"")</f>
        <v>#N/A</v>
      </c>
      <c r="E13" s="57" t="e">
        <f t="array" ref="E13">IF($A13&lt;&gt;"",INDEX(IDX_COMPOSITION!$D$1:$D$123,SMALL(IF(IDX_COMPOSITION!$R$2:$R$441=VLOOKUP($A$5,IDX_SPECS!$B$2:$V$89,6,0),ROW(IDX_COMPOSITION!$R$2:$R$441)),ROW($B13)-ROW($B$11))),"")</f>
        <v>#N/A</v>
      </c>
      <c r="F13" s="57" t="e">
        <f t="array" ref="F13">IF($A13&lt;&gt;"",INDEX(IDX_COMPOSITION!$E$1:$E$123,SMALL(IF(IDX_COMPOSITION!$R$2:$R$441=VLOOKUP($A$5,IDX_SPECS!$B$2:$V$89,6,0),ROW(IDX_COMPOSITION!$R$2:$R$441)),ROW($B13)-ROW($B$11))),"")</f>
        <v>#N/A</v>
      </c>
      <c r="G13" s="58" t="e">
        <f t="array" ref="G13">IF($A13&lt;&gt;"",INDEX(IDX_COMPOSITION!$F$1:$F$123,SMALL(IF(IDX_COMPOSITION!$R$2:$R$441=VLOOKUP($A$5,IDX_SPECS!$B$2:$V$89,6,0),ROW(IDX_COMPOSITION!$R$2:$R$441)),ROW($B13)-ROW($B$11))),"")</f>
        <v>#N/A</v>
      </c>
      <c r="H13" s="59" t="e">
        <f t="array" ref="H13">IF($A13&lt;&gt;"",INDEX(IDX_COMPOSITION!$K$1:$K$123,SMALL(IF(IDX_COMPOSITION!$R$2:$R$441=VLOOKUP($A$5,IDX_SPECS!$B$2:$V$89,6,0),ROW(IDX_COMPOSITION!$R$2:$R$441)),ROW($B13)-ROW($B$11))),"")</f>
        <v>#N/A</v>
      </c>
    </row>
    <row r="14" spans="1:9" ht="15" customHeight="1" x14ac:dyDescent="0.2">
      <c r="A14" s="20" t="e">
        <f>IF(ROW(A14)-ROW($A$11)&lt;=VLOOKUP($A$5,IDX_SPECS!$B$2:$V$1048576,12,0),ROW(A14)-ROW($A$11),"")</f>
        <v>#N/A</v>
      </c>
      <c r="B14" s="20" t="e">
        <f t="array" ref="B14">IF($A14&lt;&gt;"",INDEX(IDX_COMPOSITION!$A$1:$A$123,SMALL(IF(IDX_COMPOSITION!$R$2:$R$441=VLOOKUP($A$5,IDX_SPECS!$B$2:$V$89,6,0),ROW(IDX_COMPOSITION!$R$2:$R$441)),ROW($A14)-ROW($A$11))),"")</f>
        <v>#N/A</v>
      </c>
      <c r="C14" s="56" t="e">
        <f t="array" ref="C14">IF($A14&lt;&gt;"",INDEX(IDX_COMPOSITION!$B$1:$B$123,SMALL(IF(IDX_COMPOSITION!$R$2:$R$441=VLOOKUP($A$5,IDX_SPECS!$B$2:$V$89,6,0),ROW(IDX_COMPOSITION!$R$2:$R$441)),ROW($B14)-ROW($B$11))),"")</f>
        <v>#N/A</v>
      </c>
      <c r="D14" s="57" t="e">
        <f t="array" ref="D14">IF($A14&lt;&gt;"",INDEX(IDX_COMPOSITION!$C$1:$C$123,SMALL(IF(IDX_COMPOSITION!$R$2:$R$441=VLOOKUP($A$5,IDX_SPECS!$B$2:$V$89,6,0),ROW(IDX_COMPOSITION!$R$2:$R$441)),ROW($B14)-ROW($B$11))),"")</f>
        <v>#N/A</v>
      </c>
      <c r="E14" s="57" t="e">
        <f t="array" ref="E14">IF($A14&lt;&gt;"",INDEX(IDX_COMPOSITION!$D$1:$D$123,SMALL(IF(IDX_COMPOSITION!$R$2:$R$441=VLOOKUP($A$5,IDX_SPECS!$B$2:$V$89,6,0),ROW(IDX_COMPOSITION!$R$2:$R$441)),ROW($B14)-ROW($B$11))),"")</f>
        <v>#N/A</v>
      </c>
      <c r="F14" s="57" t="e">
        <f t="array" ref="F14">IF($A14&lt;&gt;"",INDEX(IDX_COMPOSITION!$E$1:$E$123,SMALL(IF(IDX_COMPOSITION!$R$2:$R$441=VLOOKUP($A$5,IDX_SPECS!$B$2:$V$89,6,0),ROW(IDX_COMPOSITION!$R$2:$R$441)),ROW($B14)-ROW($B$11))),"")</f>
        <v>#N/A</v>
      </c>
      <c r="G14" s="58" t="e">
        <f t="array" ref="G14">IF($A14&lt;&gt;"",INDEX(IDX_COMPOSITION!$F$1:$F$123,SMALL(IF(IDX_COMPOSITION!$R$2:$R$441=VLOOKUP($A$5,IDX_SPECS!$B$2:$V$89,6,0),ROW(IDX_COMPOSITION!$R$2:$R$441)),ROW($B14)-ROW($B$11))),"")</f>
        <v>#N/A</v>
      </c>
      <c r="H14" s="59" t="e">
        <f t="array" ref="H14">IF($A14&lt;&gt;"",INDEX(IDX_COMPOSITION!$K$1:$K$123,SMALL(IF(IDX_COMPOSITION!$R$2:$R$441=VLOOKUP($A$5,IDX_SPECS!$B$2:$V$89,6,0),ROW(IDX_COMPOSITION!$R$2:$R$441)),ROW($B14)-ROW($B$11))),"")</f>
        <v>#N/A</v>
      </c>
    </row>
    <row r="15" spans="1:9" ht="15" customHeight="1" x14ac:dyDescent="0.2">
      <c r="A15" s="20" t="e">
        <f>IF(ROW(A15)-ROW($A$11)&lt;=VLOOKUP($A$5,IDX_SPECS!$B$2:$V$1048576,12,0),ROW(A15)-ROW($A$11),"")</f>
        <v>#N/A</v>
      </c>
      <c r="B15" s="20" t="e">
        <f t="array" ref="B15">IF($A15&lt;&gt;"",INDEX(IDX_COMPOSITION!$A$1:$A$123,SMALL(IF(IDX_COMPOSITION!$R$2:$R$441=VLOOKUP($A$5,IDX_SPECS!$B$2:$V$89,6,0),ROW(IDX_COMPOSITION!$R$2:$R$441)),ROW($A15)-ROW($A$11))),"")</f>
        <v>#N/A</v>
      </c>
      <c r="C15" s="56" t="e">
        <f t="array" ref="C15">IF($A15&lt;&gt;"",INDEX(IDX_COMPOSITION!$B$1:$B$123,SMALL(IF(IDX_COMPOSITION!$R$2:$R$441=VLOOKUP($A$5,IDX_SPECS!$B$2:$V$89,6,0),ROW(IDX_COMPOSITION!$R$2:$R$441)),ROW($B15)-ROW($B$11))),"")</f>
        <v>#N/A</v>
      </c>
      <c r="D15" s="57" t="e">
        <f t="array" ref="D15">IF($A15&lt;&gt;"",INDEX(IDX_COMPOSITION!$C$1:$C$123,SMALL(IF(IDX_COMPOSITION!$R$2:$R$441=VLOOKUP($A$5,IDX_SPECS!$B$2:$V$89,6,0),ROW(IDX_COMPOSITION!$R$2:$R$441)),ROW($B15)-ROW($B$11))),"")</f>
        <v>#N/A</v>
      </c>
      <c r="E15" s="57" t="e">
        <f t="array" ref="E15">IF($A15&lt;&gt;"",INDEX(IDX_COMPOSITION!$D$1:$D$123,SMALL(IF(IDX_COMPOSITION!$R$2:$R$441=VLOOKUP($A$5,IDX_SPECS!$B$2:$V$89,6,0),ROW(IDX_COMPOSITION!$R$2:$R$441)),ROW($B15)-ROW($B$11))),"")</f>
        <v>#N/A</v>
      </c>
      <c r="F15" s="57" t="e">
        <f t="array" ref="F15">IF($A15&lt;&gt;"",INDEX(IDX_COMPOSITION!$E$1:$E$123,SMALL(IF(IDX_COMPOSITION!$R$2:$R$441=VLOOKUP($A$5,IDX_SPECS!$B$2:$V$89,6,0),ROW(IDX_COMPOSITION!$R$2:$R$441)),ROW($B15)-ROW($B$11))),"")</f>
        <v>#N/A</v>
      </c>
      <c r="G15" s="58" t="e">
        <f t="array" ref="G15">IF($A15&lt;&gt;"",INDEX(IDX_COMPOSITION!$F$1:$F$123,SMALL(IF(IDX_COMPOSITION!$R$2:$R$441=VLOOKUP($A$5,IDX_SPECS!$B$2:$V$89,6,0),ROW(IDX_COMPOSITION!$R$2:$R$441)),ROW($B15)-ROW($B$11))),"")</f>
        <v>#N/A</v>
      </c>
      <c r="H15" s="59" t="e">
        <f t="array" ref="H15">IF($A15&lt;&gt;"",INDEX(IDX_COMPOSITION!$K$1:$K$123,SMALL(IF(IDX_COMPOSITION!$R$2:$R$441=VLOOKUP($A$5,IDX_SPECS!$B$2:$V$89,6,0),ROW(IDX_COMPOSITION!$R$2:$R$441)),ROW($B15)-ROW($B$11))),"")</f>
        <v>#N/A</v>
      </c>
    </row>
    <row r="16" spans="1:9" ht="15" customHeight="1" x14ac:dyDescent="0.2">
      <c r="A16" s="20" t="e">
        <f>IF(ROW(A16)-ROW($A$11)&lt;=VLOOKUP($A$5,IDX_SPECS!$B$2:$V$1048576,12,0),ROW(A16)-ROW($A$11),"")</f>
        <v>#N/A</v>
      </c>
      <c r="B16" s="20" t="e">
        <f t="array" ref="B16">IF($A16&lt;&gt;"",INDEX(IDX_COMPOSITION!$A$1:$A$123,SMALL(IF(IDX_COMPOSITION!$R$2:$R$441=VLOOKUP($A$5,IDX_SPECS!$B$2:$V$89,6,0),ROW(IDX_COMPOSITION!$R$2:$R$441)),ROW($A16)-ROW($A$11))),"")</f>
        <v>#N/A</v>
      </c>
      <c r="C16" s="56" t="e">
        <f t="array" ref="C16">IF($A16&lt;&gt;"",INDEX(IDX_COMPOSITION!$B$1:$B$123,SMALL(IF(IDX_COMPOSITION!$R$2:$R$441=VLOOKUP($A$5,IDX_SPECS!$B$2:$V$89,6,0),ROW(IDX_COMPOSITION!$R$2:$R$441)),ROW($B16)-ROW($B$11))),"")</f>
        <v>#N/A</v>
      </c>
      <c r="D16" s="57" t="e">
        <f t="array" ref="D16">IF($A16&lt;&gt;"",INDEX(IDX_COMPOSITION!$C$1:$C$123,SMALL(IF(IDX_COMPOSITION!$R$2:$R$441=VLOOKUP($A$5,IDX_SPECS!$B$2:$V$89,6,0),ROW(IDX_COMPOSITION!$R$2:$R$441)),ROW($B16)-ROW($B$11))),"")</f>
        <v>#N/A</v>
      </c>
      <c r="E16" s="57" t="e">
        <f t="array" ref="E16">IF($A16&lt;&gt;"",INDEX(IDX_COMPOSITION!$D$1:$D$123,SMALL(IF(IDX_COMPOSITION!$R$2:$R$441=VLOOKUP($A$5,IDX_SPECS!$B$2:$V$89,6,0),ROW(IDX_COMPOSITION!$R$2:$R$441)),ROW($B16)-ROW($B$11))),"")</f>
        <v>#N/A</v>
      </c>
      <c r="F16" s="57" t="e">
        <f t="array" ref="F16">IF($A16&lt;&gt;"",INDEX(IDX_COMPOSITION!$E$1:$E$123,SMALL(IF(IDX_COMPOSITION!$R$2:$R$441=VLOOKUP($A$5,IDX_SPECS!$B$2:$V$89,6,0),ROW(IDX_COMPOSITION!$R$2:$R$441)),ROW($B16)-ROW($B$11))),"")</f>
        <v>#N/A</v>
      </c>
      <c r="G16" s="58" t="e">
        <f t="array" ref="G16">IF($A16&lt;&gt;"",INDEX(IDX_COMPOSITION!$F$1:$F$123,SMALL(IF(IDX_COMPOSITION!$R$2:$R$441=VLOOKUP($A$5,IDX_SPECS!$B$2:$V$89,6,0),ROW(IDX_COMPOSITION!$R$2:$R$441)),ROW($B16)-ROW($B$11))),"")</f>
        <v>#N/A</v>
      </c>
      <c r="H16" s="59" t="e">
        <f t="array" ref="H16">IF($A16&lt;&gt;"",INDEX(IDX_COMPOSITION!$K$1:$K$123,SMALL(IF(IDX_COMPOSITION!$R$2:$R$441=VLOOKUP($A$5,IDX_SPECS!$B$2:$V$89,6,0),ROW(IDX_COMPOSITION!$R$2:$R$441)),ROW($B16)-ROW($B$11))),"")</f>
        <v>#N/A</v>
      </c>
    </row>
    <row r="17" spans="1:8" ht="15" customHeight="1" x14ac:dyDescent="0.2">
      <c r="A17" s="20" t="e">
        <f>IF(ROW(A17)-ROW($A$11)&lt;=VLOOKUP($A$5,IDX_SPECS!$B$2:$V$1048576,12,0),ROW(A17)-ROW($A$11),"")</f>
        <v>#N/A</v>
      </c>
      <c r="B17" s="20" t="e">
        <f t="array" ref="B17">IF($A17&lt;&gt;"",INDEX(IDX_COMPOSITION!$A$1:$A$123,SMALL(IF(IDX_COMPOSITION!$R$2:$R$441=VLOOKUP($A$5,IDX_SPECS!$B$2:$V$89,6,0),ROW(IDX_COMPOSITION!$R$2:$R$441)),ROW($A17)-ROW($A$11))),"")</f>
        <v>#N/A</v>
      </c>
      <c r="C17" s="56" t="e">
        <f t="array" ref="C17">IF($A17&lt;&gt;"",INDEX(IDX_COMPOSITION!$B$1:$B$123,SMALL(IF(IDX_COMPOSITION!$R$2:$R$441=VLOOKUP($A$5,IDX_SPECS!$B$2:$V$89,6,0),ROW(IDX_COMPOSITION!$R$2:$R$441)),ROW($B17)-ROW($B$11))),"")</f>
        <v>#N/A</v>
      </c>
      <c r="D17" s="57" t="e">
        <f t="array" ref="D17">IF($A17&lt;&gt;"",INDEX(IDX_COMPOSITION!$C$1:$C$123,SMALL(IF(IDX_COMPOSITION!$R$2:$R$441=VLOOKUP($A$5,IDX_SPECS!$B$2:$V$89,6,0),ROW(IDX_COMPOSITION!$R$2:$R$441)),ROW($B17)-ROW($B$11))),"")</f>
        <v>#N/A</v>
      </c>
      <c r="E17" s="57" t="e">
        <f t="array" ref="E17">IF($A17&lt;&gt;"",INDEX(IDX_COMPOSITION!$D$1:$D$123,SMALL(IF(IDX_COMPOSITION!$R$2:$R$441=VLOOKUP($A$5,IDX_SPECS!$B$2:$V$89,6,0),ROW(IDX_COMPOSITION!$R$2:$R$441)),ROW($B17)-ROW($B$11))),"")</f>
        <v>#N/A</v>
      </c>
      <c r="F17" s="57" t="e">
        <f t="array" ref="F17">IF($A17&lt;&gt;"",INDEX(IDX_COMPOSITION!$E$1:$E$123,SMALL(IF(IDX_COMPOSITION!$R$2:$R$441=VLOOKUP($A$5,IDX_SPECS!$B$2:$V$89,6,0),ROW(IDX_COMPOSITION!$R$2:$R$441)),ROW($B17)-ROW($B$11))),"")</f>
        <v>#N/A</v>
      </c>
      <c r="G17" s="58" t="e">
        <f t="array" ref="G17">IF($A17&lt;&gt;"",INDEX(IDX_COMPOSITION!$F$1:$F$123,SMALL(IF(IDX_COMPOSITION!$R$2:$R$441=VLOOKUP($A$5,IDX_SPECS!$B$2:$V$89,6,0),ROW(IDX_COMPOSITION!$R$2:$R$441)),ROW($B17)-ROW($B$11))),"")</f>
        <v>#N/A</v>
      </c>
      <c r="H17" s="59" t="e">
        <f t="array" ref="H17">IF($A17&lt;&gt;"",INDEX(IDX_COMPOSITION!$K$1:$K$123,SMALL(IF(IDX_COMPOSITION!$R$2:$R$441=VLOOKUP($A$5,IDX_SPECS!$B$2:$V$89,6,0),ROW(IDX_COMPOSITION!$R$2:$R$441)),ROW($B17)-ROW($B$11))),"")</f>
        <v>#N/A</v>
      </c>
    </row>
    <row r="18" spans="1:8" ht="15" customHeight="1" x14ac:dyDescent="0.2">
      <c r="A18" s="20" t="e">
        <f>IF(ROW(A18)-ROW($A$11)&lt;=VLOOKUP($A$5,IDX_SPECS!$B$2:$V$1048576,12,0),ROW(A18)-ROW($A$11),"")</f>
        <v>#N/A</v>
      </c>
      <c r="B18" s="20" t="e">
        <f t="array" ref="B18">IF($A18&lt;&gt;"",INDEX(IDX_COMPOSITION!$A$1:$A$123,SMALL(IF(IDX_COMPOSITION!$R$2:$R$441=VLOOKUP($A$5,IDX_SPECS!$B$2:$V$89,6,0),ROW(IDX_COMPOSITION!$R$2:$R$441)),ROW($A18)-ROW($A$11))),"")</f>
        <v>#N/A</v>
      </c>
      <c r="C18" s="56" t="e">
        <f t="array" ref="C18">IF($A18&lt;&gt;"",INDEX(IDX_COMPOSITION!$B$1:$B$123,SMALL(IF(IDX_COMPOSITION!$R$2:$R$441=VLOOKUP($A$5,IDX_SPECS!$B$2:$V$89,6,0),ROW(IDX_COMPOSITION!$R$2:$R$441)),ROW($B18)-ROW($B$11))),"")</f>
        <v>#N/A</v>
      </c>
      <c r="D18" s="57" t="e">
        <f t="array" ref="D18">IF($A18&lt;&gt;"",INDEX(IDX_COMPOSITION!$C$1:$C$123,SMALL(IF(IDX_COMPOSITION!$R$2:$R$441=VLOOKUP($A$5,IDX_SPECS!$B$2:$V$89,6,0),ROW(IDX_COMPOSITION!$R$2:$R$441)),ROW($B18)-ROW($B$11))),"")</f>
        <v>#N/A</v>
      </c>
      <c r="E18" s="57" t="e">
        <f t="array" ref="E18">IF($A18&lt;&gt;"",INDEX(IDX_COMPOSITION!$D$1:$D$123,SMALL(IF(IDX_COMPOSITION!$R$2:$R$441=VLOOKUP($A$5,IDX_SPECS!$B$2:$V$89,6,0),ROW(IDX_COMPOSITION!$R$2:$R$441)),ROW($B18)-ROW($B$11))),"")</f>
        <v>#N/A</v>
      </c>
      <c r="F18" s="57" t="e">
        <f t="array" ref="F18">IF($A18&lt;&gt;"",INDEX(IDX_COMPOSITION!$E$1:$E$123,SMALL(IF(IDX_COMPOSITION!$R$2:$R$441=VLOOKUP($A$5,IDX_SPECS!$B$2:$V$89,6,0),ROW(IDX_COMPOSITION!$R$2:$R$441)),ROW($B18)-ROW($B$11))),"")</f>
        <v>#N/A</v>
      </c>
      <c r="G18" s="58" t="e">
        <f t="array" ref="G18">IF($A18&lt;&gt;"",INDEX(IDX_COMPOSITION!$F$1:$F$123,SMALL(IF(IDX_COMPOSITION!$R$2:$R$441=VLOOKUP($A$5,IDX_SPECS!$B$2:$V$89,6,0),ROW(IDX_COMPOSITION!$R$2:$R$441)),ROW($B18)-ROW($B$11))),"")</f>
        <v>#N/A</v>
      </c>
      <c r="H18" s="59" t="e">
        <f t="array" ref="H18">IF($A18&lt;&gt;"",INDEX(IDX_COMPOSITION!$K$1:$K$123,SMALL(IF(IDX_COMPOSITION!$R$2:$R$441=VLOOKUP($A$5,IDX_SPECS!$B$2:$V$89,6,0),ROW(IDX_COMPOSITION!$R$2:$R$441)),ROW($B18)-ROW($B$11))),"")</f>
        <v>#N/A</v>
      </c>
    </row>
    <row r="19" spans="1:8" ht="15" customHeight="1" x14ac:dyDescent="0.2">
      <c r="A19" s="20" t="e">
        <f>IF(ROW(A19)-ROW($A$11)&lt;=VLOOKUP($A$5,IDX_SPECS!$B$2:$V$1048576,12,0),ROW(A19)-ROW($A$11),"")</f>
        <v>#N/A</v>
      </c>
      <c r="B19" s="20" t="e">
        <f t="array" ref="B19">IF($A19&lt;&gt;"",INDEX(IDX_COMPOSITION!$A$1:$A$123,SMALL(IF(IDX_COMPOSITION!$R$2:$R$441=VLOOKUP($A$5,IDX_SPECS!$B$2:$V$89,6,0),ROW(IDX_COMPOSITION!$R$2:$R$441)),ROW($A19)-ROW($A$11))),"")</f>
        <v>#N/A</v>
      </c>
      <c r="C19" s="56" t="e">
        <f t="array" ref="C19">IF($A19&lt;&gt;"",INDEX(IDX_COMPOSITION!$B$1:$B$123,SMALL(IF(IDX_COMPOSITION!$R$2:$R$441=VLOOKUP($A$5,IDX_SPECS!$B$2:$V$89,6,0),ROW(IDX_COMPOSITION!$R$2:$R$441)),ROW($B19)-ROW($B$11))),"")</f>
        <v>#N/A</v>
      </c>
      <c r="D19" s="57" t="e">
        <f t="array" ref="D19">IF($A19&lt;&gt;"",INDEX(IDX_COMPOSITION!$C$1:$C$123,SMALL(IF(IDX_COMPOSITION!$R$2:$R$441=VLOOKUP($A$5,IDX_SPECS!$B$2:$V$89,6,0),ROW(IDX_COMPOSITION!$R$2:$R$441)),ROW($B19)-ROW($B$11))),"")</f>
        <v>#N/A</v>
      </c>
      <c r="E19" s="57" t="e">
        <f t="array" ref="E19">IF($A19&lt;&gt;"",INDEX(IDX_COMPOSITION!$D$1:$D$123,SMALL(IF(IDX_COMPOSITION!$R$2:$R$441=VLOOKUP($A$5,IDX_SPECS!$B$2:$V$89,6,0),ROW(IDX_COMPOSITION!$R$2:$R$441)),ROW($B19)-ROW($B$11))),"")</f>
        <v>#N/A</v>
      </c>
      <c r="F19" s="57" t="e">
        <f t="array" ref="F19">IF($A19&lt;&gt;"",INDEX(IDX_COMPOSITION!$E$1:$E$123,SMALL(IF(IDX_COMPOSITION!$R$2:$R$441=VLOOKUP($A$5,IDX_SPECS!$B$2:$V$89,6,0),ROW(IDX_COMPOSITION!$R$2:$R$441)),ROW($B19)-ROW($B$11))),"")</f>
        <v>#N/A</v>
      </c>
      <c r="G19" s="58" t="e">
        <f t="array" ref="G19">IF($A19&lt;&gt;"",INDEX(IDX_COMPOSITION!$F$1:$F$123,SMALL(IF(IDX_COMPOSITION!$R$2:$R$441=VLOOKUP($A$5,IDX_SPECS!$B$2:$V$89,6,0),ROW(IDX_COMPOSITION!$R$2:$R$441)),ROW($B19)-ROW($B$11))),"")</f>
        <v>#N/A</v>
      </c>
      <c r="H19" s="59" t="e">
        <f t="array" ref="H19">IF($A19&lt;&gt;"",INDEX(IDX_COMPOSITION!$K$1:$K$123,SMALL(IF(IDX_COMPOSITION!$R$2:$R$441=VLOOKUP($A$5,IDX_SPECS!$B$2:$V$89,6,0),ROW(IDX_COMPOSITION!$R$2:$R$441)),ROW($B19)-ROW($B$11))),"")</f>
        <v>#N/A</v>
      </c>
    </row>
    <row r="20" spans="1:8" ht="15" customHeight="1" x14ac:dyDescent="0.2">
      <c r="A20" s="20" t="e">
        <f>IF(ROW(A20)-ROW($A$11)&lt;=VLOOKUP($A$5,IDX_SPECS!$B$2:$V$1048576,12,0),ROW(A20)-ROW($A$11),"")</f>
        <v>#N/A</v>
      </c>
      <c r="B20" s="20" t="e">
        <f t="array" ref="B20">IF($A20&lt;&gt;"",INDEX(IDX_COMPOSITION!$A$1:$A$123,SMALL(IF(IDX_COMPOSITION!$R$2:$R$441=VLOOKUP($A$5,IDX_SPECS!$B$2:$V$89,6,0),ROW(IDX_COMPOSITION!$R$2:$R$441)),ROW($A20)-ROW($A$11))),"")</f>
        <v>#N/A</v>
      </c>
      <c r="C20" s="56" t="e">
        <f t="array" ref="C20">IF($A20&lt;&gt;"",INDEX(IDX_COMPOSITION!$B$1:$B$123,SMALL(IF(IDX_COMPOSITION!$R$2:$R$441=VLOOKUP($A$5,IDX_SPECS!$B$2:$V$89,6,0),ROW(IDX_COMPOSITION!$R$2:$R$441)),ROW($B20)-ROW($B$11))),"")</f>
        <v>#N/A</v>
      </c>
      <c r="D20" s="57" t="e">
        <f t="array" ref="D20">IF($A20&lt;&gt;"",INDEX(IDX_COMPOSITION!$C$1:$C$123,SMALL(IF(IDX_COMPOSITION!$R$2:$R$441=VLOOKUP($A$5,IDX_SPECS!$B$2:$V$89,6,0),ROW(IDX_COMPOSITION!$R$2:$R$441)),ROW($B20)-ROW($B$11))),"")</f>
        <v>#N/A</v>
      </c>
      <c r="E20" s="57" t="e">
        <f t="array" ref="E20">IF($A20&lt;&gt;"",INDEX(IDX_COMPOSITION!$D$1:$D$123,SMALL(IF(IDX_COMPOSITION!$R$2:$R$441=VLOOKUP($A$5,IDX_SPECS!$B$2:$V$89,6,0),ROW(IDX_COMPOSITION!$R$2:$R$441)),ROW($B20)-ROW($B$11))),"")</f>
        <v>#N/A</v>
      </c>
      <c r="F20" s="57" t="e">
        <f t="array" ref="F20">IF($A20&lt;&gt;"",INDEX(IDX_COMPOSITION!$E$1:$E$123,SMALL(IF(IDX_COMPOSITION!$R$2:$R$441=VLOOKUP($A$5,IDX_SPECS!$B$2:$V$89,6,0),ROW(IDX_COMPOSITION!$R$2:$R$441)),ROW($B20)-ROW($B$11))),"")</f>
        <v>#N/A</v>
      </c>
      <c r="G20" s="58" t="e">
        <f t="array" ref="G20">IF($A20&lt;&gt;"",INDEX(IDX_COMPOSITION!$F$1:$F$123,SMALL(IF(IDX_COMPOSITION!$R$2:$R$441=VLOOKUP($A$5,IDX_SPECS!$B$2:$V$89,6,0),ROW(IDX_COMPOSITION!$R$2:$R$441)),ROW($B20)-ROW($B$11))),"")</f>
        <v>#N/A</v>
      </c>
      <c r="H20" s="59" t="e">
        <f t="array" ref="H20">IF($A20&lt;&gt;"",INDEX(IDX_COMPOSITION!$K$1:$K$123,SMALL(IF(IDX_COMPOSITION!$R$2:$R$441=VLOOKUP($A$5,IDX_SPECS!$B$2:$V$89,6,0),ROW(IDX_COMPOSITION!$R$2:$R$441)),ROW($B20)-ROW($B$11))),"")</f>
        <v>#N/A</v>
      </c>
    </row>
    <row r="21" spans="1:8" ht="15" customHeight="1" x14ac:dyDescent="0.2">
      <c r="A21" s="20" t="e">
        <f>IF(ROW(A21)-ROW($A$11)&lt;=VLOOKUP($A$5,IDX_SPECS!$B$2:$V$1048576,12,0),ROW(A21)-ROW($A$11),"")</f>
        <v>#N/A</v>
      </c>
      <c r="B21" s="20" t="e">
        <f t="array" ref="B21">IF($A21&lt;&gt;"",INDEX(IDX_COMPOSITION!$A$1:$A$123,SMALL(IF(IDX_COMPOSITION!$R$2:$R$441=VLOOKUP($A$5,IDX_SPECS!$B$2:$V$89,6,0),ROW(IDX_COMPOSITION!$R$2:$R$441)),ROW($A21)-ROW($A$11))),"")</f>
        <v>#N/A</v>
      </c>
      <c r="C21" s="56" t="e">
        <f t="array" ref="C21">IF($A21&lt;&gt;"",INDEX(IDX_COMPOSITION!$B$1:$B$123,SMALL(IF(IDX_COMPOSITION!$R$2:$R$441=VLOOKUP($A$5,IDX_SPECS!$B$2:$V$89,6,0),ROW(IDX_COMPOSITION!$R$2:$R$441)),ROW($B21)-ROW($B$11))),"")</f>
        <v>#N/A</v>
      </c>
      <c r="D21" s="57" t="e">
        <f t="array" ref="D21">IF($A21&lt;&gt;"",INDEX(IDX_COMPOSITION!$C$1:$C$123,SMALL(IF(IDX_COMPOSITION!$R$2:$R$441=VLOOKUP($A$5,IDX_SPECS!$B$2:$V$89,6,0),ROW(IDX_COMPOSITION!$R$2:$R$441)),ROW($B21)-ROW($B$11))),"")</f>
        <v>#N/A</v>
      </c>
      <c r="E21" s="57" t="e">
        <f t="array" ref="E21">IF($A21&lt;&gt;"",INDEX(IDX_COMPOSITION!$D$1:$D$123,SMALL(IF(IDX_COMPOSITION!$R$2:$R$441=VLOOKUP($A$5,IDX_SPECS!$B$2:$V$89,6,0),ROW(IDX_COMPOSITION!$R$2:$R$441)),ROW($B21)-ROW($B$11))),"")</f>
        <v>#N/A</v>
      </c>
      <c r="F21" s="57" t="e">
        <f t="array" ref="F21">IF($A21&lt;&gt;"",INDEX(IDX_COMPOSITION!$E$1:$E$123,SMALL(IF(IDX_COMPOSITION!$R$2:$R$441=VLOOKUP($A$5,IDX_SPECS!$B$2:$V$89,6,0),ROW(IDX_COMPOSITION!$R$2:$R$441)),ROW($B21)-ROW($B$11))),"")</f>
        <v>#N/A</v>
      </c>
      <c r="G21" s="58" t="e">
        <f t="array" ref="G21">IF($A21&lt;&gt;"",INDEX(IDX_COMPOSITION!$F$1:$F$123,SMALL(IF(IDX_COMPOSITION!$R$2:$R$441=VLOOKUP($A$5,IDX_SPECS!$B$2:$V$89,6,0),ROW(IDX_COMPOSITION!$R$2:$R$441)),ROW($B21)-ROW($B$11))),"")</f>
        <v>#N/A</v>
      </c>
      <c r="H21" s="59" t="e">
        <f t="array" ref="H21">IF($A21&lt;&gt;"",INDEX(IDX_COMPOSITION!$K$1:$K$123,SMALL(IF(IDX_COMPOSITION!$R$2:$R$441=VLOOKUP($A$5,IDX_SPECS!$B$2:$V$89,6,0),ROW(IDX_COMPOSITION!$R$2:$R$441)),ROW($B21)-ROW($B$11))),"")</f>
        <v>#N/A</v>
      </c>
    </row>
    <row r="22" spans="1:8" ht="15" customHeight="1" x14ac:dyDescent="0.2">
      <c r="A22" s="20" t="e">
        <f>IF(ROW(A22)-ROW($A$11)&lt;=VLOOKUP($A$5,IDX_SPECS!$B$2:$V$1048576,12,0),ROW(A22)-ROW($A$11),"")</f>
        <v>#N/A</v>
      </c>
      <c r="B22" s="20" t="e">
        <f t="array" ref="B22">IF($A22&lt;&gt;"",INDEX(IDX_COMPOSITION!$A$1:$A$123,SMALL(IF(IDX_COMPOSITION!$R$2:$R$441=VLOOKUP($A$5,IDX_SPECS!$B$2:$V$89,6,0),ROW(IDX_COMPOSITION!$R$2:$R$441)),ROW($A22)-ROW($A$11))),"")</f>
        <v>#N/A</v>
      </c>
      <c r="C22" s="56" t="e">
        <f t="array" ref="C22">IF($A22&lt;&gt;"",INDEX(IDX_COMPOSITION!$B$1:$B$123,SMALL(IF(IDX_COMPOSITION!$R$2:$R$441=VLOOKUP($A$5,IDX_SPECS!$B$2:$V$89,6,0),ROW(IDX_COMPOSITION!$R$2:$R$441)),ROW($B22)-ROW($B$11))),"")</f>
        <v>#N/A</v>
      </c>
      <c r="D22" s="57" t="e">
        <f t="array" ref="D22">IF($A22&lt;&gt;"",INDEX(IDX_COMPOSITION!$C$1:$C$123,SMALL(IF(IDX_COMPOSITION!$R$2:$R$441=VLOOKUP($A$5,IDX_SPECS!$B$2:$V$89,6,0),ROW(IDX_COMPOSITION!$R$2:$R$441)),ROW($B22)-ROW($B$11))),"")</f>
        <v>#N/A</v>
      </c>
      <c r="E22" s="57" t="e">
        <f t="array" ref="E22">IF($A22&lt;&gt;"",INDEX(IDX_COMPOSITION!$D$1:$D$123,SMALL(IF(IDX_COMPOSITION!$R$2:$R$441=VLOOKUP($A$5,IDX_SPECS!$B$2:$V$89,6,0),ROW(IDX_COMPOSITION!$R$2:$R$441)),ROW($B22)-ROW($B$11))),"")</f>
        <v>#N/A</v>
      </c>
      <c r="F22" s="57" t="e">
        <f t="array" ref="F22">IF($A22&lt;&gt;"",INDEX(IDX_COMPOSITION!$E$1:$E$123,SMALL(IF(IDX_COMPOSITION!$R$2:$R$441=VLOOKUP($A$5,IDX_SPECS!$B$2:$V$89,6,0),ROW(IDX_COMPOSITION!$R$2:$R$441)),ROW($B22)-ROW($B$11))),"")</f>
        <v>#N/A</v>
      </c>
      <c r="G22" s="58" t="e">
        <f t="array" ref="G22">IF($A22&lt;&gt;"",INDEX(IDX_COMPOSITION!$F$1:$F$123,SMALL(IF(IDX_COMPOSITION!$R$2:$R$441=VLOOKUP($A$5,IDX_SPECS!$B$2:$V$89,6,0),ROW(IDX_COMPOSITION!$R$2:$R$441)),ROW($B22)-ROW($B$11))),"")</f>
        <v>#N/A</v>
      </c>
      <c r="H22" s="59" t="e">
        <f t="array" ref="H22">IF($A22&lt;&gt;"",INDEX(IDX_COMPOSITION!$K$1:$K$123,SMALL(IF(IDX_COMPOSITION!$R$2:$R$441=VLOOKUP($A$5,IDX_SPECS!$B$2:$V$89,6,0),ROW(IDX_COMPOSITION!$R$2:$R$441)),ROW($B22)-ROW($B$11))),"")</f>
        <v>#N/A</v>
      </c>
    </row>
    <row r="23" spans="1:8" ht="15" customHeight="1" x14ac:dyDescent="0.2">
      <c r="A23" s="20" t="e">
        <f>IF(ROW(A23)-ROW($A$11)&lt;=VLOOKUP($A$5,IDX_SPECS!$B$2:$V$1048576,12,0),ROW(A23)-ROW($A$11),"")</f>
        <v>#N/A</v>
      </c>
      <c r="B23" s="20" t="e">
        <f t="array" ref="B23">IF($A23&lt;&gt;"",INDEX(IDX_COMPOSITION!$A$1:$A$123,SMALL(IF(IDX_COMPOSITION!$R$2:$R$441=VLOOKUP($A$5,IDX_SPECS!$B$2:$V$89,6,0),ROW(IDX_COMPOSITION!$R$2:$R$441)),ROW($A23)-ROW($A$11))),"")</f>
        <v>#N/A</v>
      </c>
      <c r="C23" s="56" t="e">
        <f t="array" ref="C23">IF($A23&lt;&gt;"",INDEX(IDX_COMPOSITION!$B$1:$B$123,SMALL(IF(IDX_COMPOSITION!$R$2:$R$441=VLOOKUP($A$5,IDX_SPECS!$B$2:$V$89,6,0),ROW(IDX_COMPOSITION!$R$2:$R$441)),ROW($B23)-ROW($B$11))),"")</f>
        <v>#N/A</v>
      </c>
      <c r="D23" s="57" t="e">
        <f t="array" ref="D23">IF($A23&lt;&gt;"",INDEX(IDX_COMPOSITION!$C$1:$C$123,SMALL(IF(IDX_COMPOSITION!$R$2:$R$441=VLOOKUP($A$5,IDX_SPECS!$B$2:$V$89,6,0),ROW(IDX_COMPOSITION!$R$2:$R$441)),ROW($B23)-ROW($B$11))),"")</f>
        <v>#N/A</v>
      </c>
      <c r="E23" s="57" t="e">
        <f t="array" ref="E23">IF($A23&lt;&gt;"",INDEX(IDX_COMPOSITION!$D$1:$D$123,SMALL(IF(IDX_COMPOSITION!$R$2:$R$441=VLOOKUP($A$5,IDX_SPECS!$B$2:$V$89,6,0),ROW(IDX_COMPOSITION!$R$2:$R$441)),ROW($B23)-ROW($B$11))),"")</f>
        <v>#N/A</v>
      </c>
      <c r="F23" s="57" t="e">
        <f t="array" ref="F23">IF($A23&lt;&gt;"",INDEX(IDX_COMPOSITION!$E$1:$E$123,SMALL(IF(IDX_COMPOSITION!$R$2:$R$441=VLOOKUP($A$5,IDX_SPECS!$B$2:$V$89,6,0),ROW(IDX_COMPOSITION!$R$2:$R$441)),ROW($B23)-ROW($B$11))),"")</f>
        <v>#N/A</v>
      </c>
      <c r="G23" s="58" t="e">
        <f t="array" ref="G23">IF($A23&lt;&gt;"",INDEX(IDX_COMPOSITION!$F$1:$F$123,SMALL(IF(IDX_COMPOSITION!$R$2:$R$441=VLOOKUP($A$5,IDX_SPECS!$B$2:$V$89,6,0),ROW(IDX_COMPOSITION!$R$2:$R$441)),ROW($B23)-ROW($B$11))),"")</f>
        <v>#N/A</v>
      </c>
      <c r="H23" s="59" t="e">
        <f t="array" ref="H23">IF($A23&lt;&gt;"",INDEX(IDX_COMPOSITION!$K$1:$K$123,SMALL(IF(IDX_COMPOSITION!$R$2:$R$441=VLOOKUP($A$5,IDX_SPECS!$B$2:$V$89,6,0),ROW(IDX_COMPOSITION!$R$2:$R$441)),ROW($B23)-ROW($B$11))),"")</f>
        <v>#N/A</v>
      </c>
    </row>
    <row r="24" spans="1:8" ht="15" customHeight="1" x14ac:dyDescent="0.2">
      <c r="A24" s="20" t="e">
        <f>IF(ROW(A24)-ROW($A$11)&lt;=VLOOKUP($A$5,IDX_SPECS!$B$2:$V$1048576,12,0),ROW(A24)-ROW($A$11),"")</f>
        <v>#N/A</v>
      </c>
      <c r="B24" s="20" t="e">
        <f t="array" ref="B24">IF($A24&lt;&gt;"",INDEX(IDX_COMPOSITION!$A$1:$A$123,SMALL(IF(IDX_COMPOSITION!$R$2:$R$441=VLOOKUP($A$5,IDX_SPECS!$B$2:$V$89,6,0),ROW(IDX_COMPOSITION!$R$2:$R$441)),ROW($A24)-ROW($A$11))),"")</f>
        <v>#N/A</v>
      </c>
      <c r="C24" s="56" t="e">
        <f t="array" ref="C24">IF($A24&lt;&gt;"",INDEX(IDX_COMPOSITION!$B$1:$B$123,SMALL(IF(IDX_COMPOSITION!$R$2:$R$441=VLOOKUP($A$5,IDX_SPECS!$B$2:$V$89,6,0),ROW(IDX_COMPOSITION!$R$2:$R$441)),ROW($B24)-ROW($B$11))),"")</f>
        <v>#N/A</v>
      </c>
      <c r="D24" s="57" t="e">
        <f t="array" ref="D24">IF($A24&lt;&gt;"",INDEX(IDX_COMPOSITION!$C$1:$C$123,SMALL(IF(IDX_COMPOSITION!$R$2:$R$441=VLOOKUP($A$5,IDX_SPECS!$B$2:$V$89,6,0),ROW(IDX_COMPOSITION!$R$2:$R$441)),ROW($B24)-ROW($B$11))),"")</f>
        <v>#N/A</v>
      </c>
      <c r="E24" s="57" t="e">
        <f t="array" ref="E24">IF($A24&lt;&gt;"",INDEX(IDX_COMPOSITION!$D$1:$D$123,SMALL(IF(IDX_COMPOSITION!$R$2:$R$441=VLOOKUP($A$5,IDX_SPECS!$B$2:$V$89,6,0),ROW(IDX_COMPOSITION!$R$2:$R$441)),ROW($B24)-ROW($B$11))),"")</f>
        <v>#N/A</v>
      </c>
      <c r="F24" s="57" t="e">
        <f t="array" ref="F24">IF($A24&lt;&gt;"",INDEX(IDX_COMPOSITION!$E$1:$E$123,SMALL(IF(IDX_COMPOSITION!$R$2:$R$441=VLOOKUP($A$5,IDX_SPECS!$B$2:$V$89,6,0),ROW(IDX_COMPOSITION!$R$2:$R$441)),ROW($B24)-ROW($B$11))),"")</f>
        <v>#N/A</v>
      </c>
      <c r="G24" s="58" t="e">
        <f t="array" ref="G24">IF($A24&lt;&gt;"",INDEX(IDX_COMPOSITION!$F$1:$F$123,SMALL(IF(IDX_COMPOSITION!$R$2:$R$441=VLOOKUP($A$5,IDX_SPECS!$B$2:$V$89,6,0),ROW(IDX_COMPOSITION!$R$2:$R$441)),ROW($B24)-ROW($B$11))),"")</f>
        <v>#N/A</v>
      </c>
      <c r="H24" s="59" t="e">
        <f t="array" ref="H24">IF($A24&lt;&gt;"",INDEX(IDX_COMPOSITION!$K$1:$K$123,SMALL(IF(IDX_COMPOSITION!$R$2:$R$441=VLOOKUP($A$5,IDX_SPECS!$B$2:$V$89,6,0),ROW(IDX_COMPOSITION!$R$2:$R$441)),ROW($B24)-ROW($B$11))),"")</f>
        <v>#N/A</v>
      </c>
    </row>
    <row r="25" spans="1:8" ht="15" customHeight="1" x14ac:dyDescent="0.2">
      <c r="A25" s="20" t="e">
        <f>IF(ROW(A25)-ROW($A$11)&lt;=VLOOKUP($A$5,IDX_SPECS!$B$2:$V$1048576,12,0),ROW(A25)-ROW($A$11),"")</f>
        <v>#N/A</v>
      </c>
      <c r="B25" s="20" t="e">
        <f t="array" ref="B25">IF($A25&lt;&gt;"",INDEX(IDX_COMPOSITION!$A$1:$A$123,SMALL(IF(IDX_COMPOSITION!$R$2:$R$441=VLOOKUP($A$5,IDX_SPECS!$B$2:$V$89,6,0),ROW(IDX_COMPOSITION!$R$2:$R$441)),ROW($A25)-ROW($A$11))),"")</f>
        <v>#N/A</v>
      </c>
      <c r="C25" s="56" t="e">
        <f t="array" ref="C25">IF($A25&lt;&gt;"",INDEX(IDX_COMPOSITION!$B$1:$B$123,SMALL(IF(IDX_COMPOSITION!$R$2:$R$441=VLOOKUP($A$5,IDX_SPECS!$B$2:$V$89,6,0),ROW(IDX_COMPOSITION!$R$2:$R$441)),ROW($B25)-ROW($B$11))),"")</f>
        <v>#N/A</v>
      </c>
      <c r="D25" s="57" t="e">
        <f t="array" ref="D25">IF($A25&lt;&gt;"",INDEX(IDX_COMPOSITION!$C$1:$C$123,SMALL(IF(IDX_COMPOSITION!$R$2:$R$441=VLOOKUP($A$5,IDX_SPECS!$B$2:$V$89,6,0),ROW(IDX_COMPOSITION!$R$2:$R$441)),ROW($B25)-ROW($B$11))),"")</f>
        <v>#N/A</v>
      </c>
      <c r="E25" s="57" t="e">
        <f t="array" ref="E25">IF($A25&lt;&gt;"",INDEX(IDX_COMPOSITION!$D$1:$D$123,SMALL(IF(IDX_COMPOSITION!$R$2:$R$441=VLOOKUP($A$5,IDX_SPECS!$B$2:$V$89,6,0),ROW(IDX_COMPOSITION!$R$2:$R$441)),ROW($B25)-ROW($B$11))),"")</f>
        <v>#N/A</v>
      </c>
      <c r="F25" s="57" t="e">
        <f t="array" ref="F25">IF($A25&lt;&gt;"",INDEX(IDX_COMPOSITION!$E$1:$E$123,SMALL(IF(IDX_COMPOSITION!$R$2:$R$441=VLOOKUP($A$5,IDX_SPECS!$B$2:$V$89,6,0),ROW(IDX_COMPOSITION!$R$2:$R$441)),ROW($B25)-ROW($B$11))),"")</f>
        <v>#N/A</v>
      </c>
      <c r="G25" s="58" t="e">
        <f t="array" ref="G25">IF($A25&lt;&gt;"",INDEX(IDX_COMPOSITION!$F$1:$F$123,SMALL(IF(IDX_COMPOSITION!$R$2:$R$441=VLOOKUP($A$5,IDX_SPECS!$B$2:$V$89,6,0),ROW(IDX_COMPOSITION!$R$2:$R$441)),ROW($B25)-ROW($B$11))),"")</f>
        <v>#N/A</v>
      </c>
      <c r="H25" s="59" t="e">
        <f t="array" ref="H25">IF($A25&lt;&gt;"",INDEX(IDX_COMPOSITION!$K$1:$K$123,SMALL(IF(IDX_COMPOSITION!$R$2:$R$441=VLOOKUP($A$5,IDX_SPECS!$B$2:$V$89,6,0),ROW(IDX_COMPOSITION!$R$2:$R$441)),ROW($B25)-ROW($B$11))),"")</f>
        <v>#N/A</v>
      </c>
    </row>
    <row r="26" spans="1:8" ht="15" customHeight="1" x14ac:dyDescent="0.2">
      <c r="A26" s="20" t="e">
        <f>IF(ROW(A26)-ROW($A$11)&lt;=VLOOKUP($A$5,IDX_SPECS!$B$2:$V$1048576,12,0),ROW(A26)-ROW($A$11),"")</f>
        <v>#N/A</v>
      </c>
      <c r="B26" s="20" t="e">
        <f t="array" ref="B26">IF($A26&lt;&gt;"",INDEX(IDX_COMPOSITION!$A$1:$A$123,SMALL(IF(IDX_COMPOSITION!$R$2:$R$441=VLOOKUP($A$5,IDX_SPECS!$B$2:$V$89,6,0),ROW(IDX_COMPOSITION!$R$2:$R$441)),ROW($A26)-ROW($A$11))),"")</f>
        <v>#N/A</v>
      </c>
      <c r="C26" s="56" t="e">
        <f t="array" ref="C26">IF($A26&lt;&gt;"",INDEX(IDX_COMPOSITION!$B$1:$B$123,SMALL(IF(IDX_COMPOSITION!$R$2:$R$441=VLOOKUP($A$5,IDX_SPECS!$B$2:$V$89,6,0),ROW(IDX_COMPOSITION!$R$2:$R$441)),ROW($B26)-ROW($B$11))),"")</f>
        <v>#N/A</v>
      </c>
      <c r="D26" s="57" t="e">
        <f t="array" ref="D26">IF($A26&lt;&gt;"",INDEX(IDX_COMPOSITION!$C$1:$C$123,SMALL(IF(IDX_COMPOSITION!$R$2:$R$441=VLOOKUP($A$5,IDX_SPECS!$B$2:$V$89,6,0),ROW(IDX_COMPOSITION!$R$2:$R$441)),ROW($B26)-ROW($B$11))),"")</f>
        <v>#N/A</v>
      </c>
      <c r="E26" s="57" t="e">
        <f t="array" ref="E26">IF($A26&lt;&gt;"",INDEX(IDX_COMPOSITION!$D$1:$D$123,SMALL(IF(IDX_COMPOSITION!$R$2:$R$441=VLOOKUP($A$5,IDX_SPECS!$B$2:$V$89,6,0),ROW(IDX_COMPOSITION!$R$2:$R$441)),ROW($B26)-ROW($B$11))),"")</f>
        <v>#N/A</v>
      </c>
      <c r="F26" s="57" t="e">
        <f t="array" ref="F26">IF($A26&lt;&gt;"",INDEX(IDX_COMPOSITION!$E$1:$E$123,SMALL(IF(IDX_COMPOSITION!$R$2:$R$441=VLOOKUP($A$5,IDX_SPECS!$B$2:$V$89,6,0),ROW(IDX_COMPOSITION!$R$2:$R$441)),ROW($B26)-ROW($B$11))),"")</f>
        <v>#N/A</v>
      </c>
      <c r="G26" s="58" t="e">
        <f t="array" ref="G26">IF($A26&lt;&gt;"",INDEX(IDX_COMPOSITION!$F$1:$F$123,SMALL(IF(IDX_COMPOSITION!$R$2:$R$441=VLOOKUP($A$5,IDX_SPECS!$B$2:$V$89,6,0),ROW(IDX_COMPOSITION!$R$2:$R$441)),ROW($B26)-ROW($B$11))),"")</f>
        <v>#N/A</v>
      </c>
      <c r="H26" s="59" t="e">
        <f t="array" ref="H26">IF($A26&lt;&gt;"",INDEX(IDX_COMPOSITION!$K$1:$K$123,SMALL(IF(IDX_COMPOSITION!$R$2:$R$441=VLOOKUP($A$5,IDX_SPECS!$B$2:$V$89,6,0),ROW(IDX_COMPOSITION!$R$2:$R$441)),ROW($B26)-ROW($B$11))),"")</f>
        <v>#N/A</v>
      </c>
    </row>
    <row r="27" spans="1:8" ht="15" customHeight="1" x14ac:dyDescent="0.2">
      <c r="A27" s="20" t="e">
        <f>IF(ROW(A27)-ROW($A$11)&lt;=VLOOKUP($A$5,IDX_SPECS!$B$2:$V$1048576,12,0),ROW(A27)-ROW($A$11),"")</f>
        <v>#N/A</v>
      </c>
      <c r="B27" s="20" t="e">
        <f t="array" ref="B27">IF($A27&lt;&gt;"",INDEX(IDX_COMPOSITION!$A$1:$A$123,SMALL(IF(IDX_COMPOSITION!$R$2:$R$441=VLOOKUP($A$5,IDX_SPECS!$B$2:$V$89,6,0),ROW(IDX_COMPOSITION!$R$2:$R$441)),ROW($A27)-ROW($A$11))),"")</f>
        <v>#N/A</v>
      </c>
      <c r="C27" s="56" t="e">
        <f t="array" ref="C27">IF($A27&lt;&gt;"",INDEX(IDX_COMPOSITION!$B$1:$B$123,SMALL(IF(IDX_COMPOSITION!$R$2:$R$441=VLOOKUP($A$5,IDX_SPECS!$B$2:$V$89,6,0),ROW(IDX_COMPOSITION!$R$2:$R$441)),ROW($B27)-ROW($B$11))),"")</f>
        <v>#N/A</v>
      </c>
      <c r="D27" s="57" t="e">
        <f t="array" ref="D27">IF($A27&lt;&gt;"",INDEX(IDX_COMPOSITION!$C$1:$C$123,SMALL(IF(IDX_COMPOSITION!$R$2:$R$441=VLOOKUP($A$5,IDX_SPECS!$B$2:$V$89,6,0),ROW(IDX_COMPOSITION!$R$2:$R$441)),ROW($B27)-ROW($B$11))),"")</f>
        <v>#N/A</v>
      </c>
      <c r="E27" s="57" t="e">
        <f t="array" ref="E27">IF($A27&lt;&gt;"",INDEX(IDX_COMPOSITION!$D$1:$D$123,SMALL(IF(IDX_COMPOSITION!$R$2:$R$441=VLOOKUP($A$5,IDX_SPECS!$B$2:$V$89,6,0),ROW(IDX_COMPOSITION!$R$2:$R$441)),ROW($B27)-ROW($B$11))),"")</f>
        <v>#N/A</v>
      </c>
      <c r="F27" s="57" t="e">
        <f t="array" ref="F27">IF($A27&lt;&gt;"",INDEX(IDX_COMPOSITION!$E$1:$E$123,SMALL(IF(IDX_COMPOSITION!$R$2:$R$441=VLOOKUP($A$5,IDX_SPECS!$B$2:$V$89,6,0),ROW(IDX_COMPOSITION!$R$2:$R$441)),ROW($B27)-ROW($B$11))),"")</f>
        <v>#N/A</v>
      </c>
      <c r="G27" s="58" t="e">
        <f t="array" ref="G27">IF($A27&lt;&gt;"",INDEX(IDX_COMPOSITION!$F$1:$F$123,SMALL(IF(IDX_COMPOSITION!$R$2:$R$441=VLOOKUP($A$5,IDX_SPECS!$B$2:$V$89,6,0),ROW(IDX_COMPOSITION!$R$2:$R$441)),ROW($B27)-ROW($B$11))),"")</f>
        <v>#N/A</v>
      </c>
      <c r="H27" s="59" t="e">
        <f t="array" ref="H27">IF($A27&lt;&gt;"",INDEX(IDX_COMPOSITION!$K$1:$K$123,SMALL(IF(IDX_COMPOSITION!$R$2:$R$441=VLOOKUP($A$5,IDX_SPECS!$B$2:$V$89,6,0),ROW(IDX_COMPOSITION!$R$2:$R$441)),ROW($B27)-ROW($B$11))),"")</f>
        <v>#N/A</v>
      </c>
    </row>
    <row r="28" spans="1:8" ht="15" customHeight="1" x14ac:dyDescent="0.2">
      <c r="A28" s="20" t="e">
        <f>IF(ROW(A28)-ROW($A$11)&lt;=VLOOKUP($A$5,IDX_SPECS!$B$2:$V$1048576,12,0),ROW(A28)-ROW($A$11),"")</f>
        <v>#N/A</v>
      </c>
      <c r="B28" s="20" t="e">
        <f t="array" ref="B28">IF($A28&lt;&gt;"",INDEX(IDX_COMPOSITION!$A$1:$A$123,SMALL(IF(IDX_COMPOSITION!$R$2:$R$441=VLOOKUP($A$5,IDX_SPECS!$B$2:$V$89,6,0),ROW(IDX_COMPOSITION!$R$2:$R$441)),ROW($A28)-ROW($A$11))),"")</f>
        <v>#N/A</v>
      </c>
      <c r="C28" s="56" t="e">
        <f t="array" ref="C28">IF($A28&lt;&gt;"",INDEX(IDX_COMPOSITION!$B$1:$B$123,SMALL(IF(IDX_COMPOSITION!$R$2:$R$441=VLOOKUP($A$5,IDX_SPECS!$B$2:$V$89,6,0),ROW(IDX_COMPOSITION!$R$2:$R$441)),ROW($B28)-ROW($B$11))),"")</f>
        <v>#N/A</v>
      </c>
      <c r="D28" s="57" t="e">
        <f t="array" ref="D28">IF($A28&lt;&gt;"",INDEX(IDX_COMPOSITION!$C$1:$C$123,SMALL(IF(IDX_COMPOSITION!$R$2:$R$441=VLOOKUP($A$5,IDX_SPECS!$B$2:$V$89,6,0),ROW(IDX_COMPOSITION!$R$2:$R$441)),ROW($B28)-ROW($B$11))),"")</f>
        <v>#N/A</v>
      </c>
      <c r="E28" s="57" t="e">
        <f t="array" ref="E28">IF($A28&lt;&gt;"",INDEX(IDX_COMPOSITION!$D$1:$D$123,SMALL(IF(IDX_COMPOSITION!$R$2:$R$441=VLOOKUP($A$5,IDX_SPECS!$B$2:$V$89,6,0),ROW(IDX_COMPOSITION!$R$2:$R$441)),ROW($B28)-ROW($B$11))),"")</f>
        <v>#N/A</v>
      </c>
      <c r="F28" s="57" t="e">
        <f t="array" ref="F28">IF($A28&lt;&gt;"",INDEX(IDX_COMPOSITION!$E$1:$E$123,SMALL(IF(IDX_COMPOSITION!$R$2:$R$441=VLOOKUP($A$5,IDX_SPECS!$B$2:$V$89,6,0),ROW(IDX_COMPOSITION!$R$2:$R$441)),ROW($B28)-ROW($B$11))),"")</f>
        <v>#N/A</v>
      </c>
      <c r="G28" s="58" t="e">
        <f t="array" ref="G28">IF($A28&lt;&gt;"",INDEX(IDX_COMPOSITION!$F$1:$F$123,SMALL(IF(IDX_COMPOSITION!$R$2:$R$441=VLOOKUP($A$5,IDX_SPECS!$B$2:$V$89,6,0),ROW(IDX_COMPOSITION!$R$2:$R$441)),ROW($B28)-ROW($B$11))),"")</f>
        <v>#N/A</v>
      </c>
      <c r="H28" s="59" t="e">
        <f t="array" ref="H28">IF($A28&lt;&gt;"",INDEX(IDX_COMPOSITION!$K$1:$K$123,SMALL(IF(IDX_COMPOSITION!$R$2:$R$441=VLOOKUP($A$5,IDX_SPECS!$B$2:$V$89,6,0),ROW(IDX_COMPOSITION!$R$2:$R$441)),ROW($B28)-ROW($B$11))),"")</f>
        <v>#N/A</v>
      </c>
    </row>
    <row r="29" spans="1:8" ht="15" customHeight="1" x14ac:dyDescent="0.2">
      <c r="A29" s="20" t="e">
        <f>IF(ROW(A29)-ROW($A$11)&lt;=VLOOKUP($A$5,IDX_SPECS!$B$2:$V$1048576,12,0),ROW(A29)-ROW($A$11),"")</f>
        <v>#N/A</v>
      </c>
      <c r="B29" s="20" t="e">
        <f t="array" ref="B29">IF($A29&lt;&gt;"",INDEX(IDX_COMPOSITION!$A$1:$A$123,SMALL(IF(IDX_COMPOSITION!$R$2:$R$441=VLOOKUP($A$5,IDX_SPECS!$B$2:$V$89,6,0),ROW(IDX_COMPOSITION!$R$2:$R$441)),ROW($A29)-ROW($A$11))),"")</f>
        <v>#N/A</v>
      </c>
      <c r="C29" s="56" t="e">
        <f t="array" ref="C29">IF($A29&lt;&gt;"",INDEX(IDX_COMPOSITION!$B$1:$B$123,SMALL(IF(IDX_COMPOSITION!$R$2:$R$441=VLOOKUP($A$5,IDX_SPECS!$B$2:$V$89,6,0),ROW(IDX_COMPOSITION!$R$2:$R$441)),ROW($B29)-ROW($B$11))),"")</f>
        <v>#N/A</v>
      </c>
      <c r="D29" s="57" t="e">
        <f t="array" ref="D29">IF($A29&lt;&gt;"",INDEX(IDX_COMPOSITION!$C$1:$C$123,SMALL(IF(IDX_COMPOSITION!$R$2:$R$441=VLOOKUP($A$5,IDX_SPECS!$B$2:$V$89,6,0),ROW(IDX_COMPOSITION!$R$2:$R$441)),ROW($B29)-ROW($B$11))),"")</f>
        <v>#N/A</v>
      </c>
      <c r="E29" s="57" t="e">
        <f t="array" ref="E29">IF($A29&lt;&gt;"",INDEX(IDX_COMPOSITION!$D$1:$D$123,SMALL(IF(IDX_COMPOSITION!$R$2:$R$441=VLOOKUP($A$5,IDX_SPECS!$B$2:$V$89,6,0),ROW(IDX_COMPOSITION!$R$2:$R$441)),ROW($B29)-ROW($B$11))),"")</f>
        <v>#N/A</v>
      </c>
      <c r="F29" s="57" t="e">
        <f t="array" ref="F29">IF($A29&lt;&gt;"",INDEX(IDX_COMPOSITION!$E$1:$E$123,SMALL(IF(IDX_COMPOSITION!$R$2:$R$441=VLOOKUP($A$5,IDX_SPECS!$B$2:$V$89,6,0),ROW(IDX_COMPOSITION!$R$2:$R$441)),ROW($B29)-ROW($B$11))),"")</f>
        <v>#N/A</v>
      </c>
      <c r="G29" s="58" t="e">
        <f t="array" ref="G29">IF($A29&lt;&gt;"",INDEX(IDX_COMPOSITION!$F$1:$F$123,SMALL(IF(IDX_COMPOSITION!$R$2:$R$441=VLOOKUP($A$5,IDX_SPECS!$B$2:$V$89,6,0),ROW(IDX_COMPOSITION!$R$2:$R$441)),ROW($B29)-ROW($B$11))),"")</f>
        <v>#N/A</v>
      </c>
      <c r="H29" s="59" t="e">
        <f t="array" ref="H29">IF($A29&lt;&gt;"",INDEX(IDX_COMPOSITION!$K$1:$K$123,SMALL(IF(IDX_COMPOSITION!$R$2:$R$441=VLOOKUP($A$5,IDX_SPECS!$B$2:$V$89,6,0),ROW(IDX_COMPOSITION!$R$2:$R$441)),ROW($B29)-ROW($B$11))),"")</f>
        <v>#N/A</v>
      </c>
    </row>
    <row r="30" spans="1:8" ht="15" customHeight="1" x14ac:dyDescent="0.2">
      <c r="A30" s="20" t="e">
        <f>IF(ROW(A30)-ROW($A$11)&lt;=VLOOKUP($A$5,IDX_SPECS!$B$2:$V$1048576,12,0),ROW(A30)-ROW($A$11),"")</f>
        <v>#N/A</v>
      </c>
      <c r="B30" s="20" t="e">
        <f t="array" ref="B30">IF($A30&lt;&gt;"",INDEX(IDX_COMPOSITION!$A$1:$A$123,SMALL(IF(IDX_COMPOSITION!$R$2:$R$441=VLOOKUP($A$5,IDX_SPECS!$B$2:$V$89,6,0),ROW(IDX_COMPOSITION!$R$2:$R$441)),ROW($A30)-ROW($A$11))),"")</f>
        <v>#N/A</v>
      </c>
      <c r="C30" s="56" t="e">
        <f t="array" ref="C30">IF($A30&lt;&gt;"",INDEX(IDX_COMPOSITION!$B$1:$B$123,SMALL(IF(IDX_COMPOSITION!$R$2:$R$441=VLOOKUP($A$5,IDX_SPECS!$B$2:$V$89,6,0),ROW(IDX_COMPOSITION!$R$2:$R$441)),ROW($B30)-ROW($B$11))),"")</f>
        <v>#N/A</v>
      </c>
      <c r="D30" s="57" t="e">
        <f t="array" ref="D30">IF($A30&lt;&gt;"",INDEX(IDX_COMPOSITION!$C$1:$C$123,SMALL(IF(IDX_COMPOSITION!$R$2:$R$441=VLOOKUP($A$5,IDX_SPECS!$B$2:$V$89,6,0),ROW(IDX_COMPOSITION!$R$2:$R$441)),ROW($B30)-ROW($B$11))),"")</f>
        <v>#N/A</v>
      </c>
      <c r="E30" s="57" t="e">
        <f t="array" ref="E30">IF($A30&lt;&gt;"",INDEX(IDX_COMPOSITION!$D$1:$D$123,SMALL(IF(IDX_COMPOSITION!$R$2:$R$441=VLOOKUP($A$5,IDX_SPECS!$B$2:$V$89,6,0),ROW(IDX_COMPOSITION!$R$2:$R$441)),ROW($B30)-ROW($B$11))),"")</f>
        <v>#N/A</v>
      </c>
      <c r="F30" s="57" t="e">
        <f t="array" ref="F30">IF($A30&lt;&gt;"",INDEX(IDX_COMPOSITION!$E$1:$E$123,SMALL(IF(IDX_COMPOSITION!$R$2:$R$441=VLOOKUP($A$5,IDX_SPECS!$B$2:$V$89,6,0),ROW(IDX_COMPOSITION!$R$2:$R$441)),ROW($B30)-ROW($B$11))),"")</f>
        <v>#N/A</v>
      </c>
      <c r="G30" s="58" t="e">
        <f t="array" ref="G30">IF($A30&lt;&gt;"",INDEX(IDX_COMPOSITION!$F$1:$F$123,SMALL(IF(IDX_COMPOSITION!$R$2:$R$441=VLOOKUP($A$5,IDX_SPECS!$B$2:$V$89,6,0),ROW(IDX_COMPOSITION!$R$2:$R$441)),ROW($B30)-ROW($B$11))),"")</f>
        <v>#N/A</v>
      </c>
      <c r="H30" s="59" t="e">
        <f t="array" ref="H30">IF($A30&lt;&gt;"",INDEX(IDX_COMPOSITION!$K$1:$K$123,SMALL(IF(IDX_COMPOSITION!$R$2:$R$441=VLOOKUP($A$5,IDX_SPECS!$B$2:$V$89,6,0),ROW(IDX_COMPOSITION!$R$2:$R$441)),ROW($B30)-ROW($B$11))),"")</f>
        <v>#N/A</v>
      </c>
    </row>
    <row r="31" spans="1:8" ht="15" customHeight="1" x14ac:dyDescent="0.2">
      <c r="A31" s="20" t="e">
        <f>IF(ROW(A31)-ROW($A$11)&lt;=VLOOKUP($A$5,IDX_SPECS!$B$2:$V$1048576,12,0),ROW(A31)-ROW($A$11),"")</f>
        <v>#N/A</v>
      </c>
      <c r="B31" s="20" t="e">
        <f t="array" ref="B31">IF($A31&lt;&gt;"",INDEX(IDX_COMPOSITION!$A$1:$A$123,SMALL(IF(IDX_COMPOSITION!$R$2:$R$441=VLOOKUP($A$5,IDX_SPECS!$B$2:$V$89,6,0),ROW(IDX_COMPOSITION!$R$2:$R$441)),ROW($A31)-ROW($A$11))),"")</f>
        <v>#N/A</v>
      </c>
      <c r="C31" s="56" t="e">
        <f t="array" ref="C31">IF($A31&lt;&gt;"",INDEX(IDX_COMPOSITION!$B$1:$B$123,SMALL(IF(IDX_COMPOSITION!$R$2:$R$441=VLOOKUP($A$5,IDX_SPECS!$B$2:$V$89,6,0),ROW(IDX_COMPOSITION!$R$2:$R$441)),ROW($B31)-ROW($B$11))),"")</f>
        <v>#N/A</v>
      </c>
      <c r="D31" s="57" t="e">
        <f t="array" ref="D31">IF($A31&lt;&gt;"",INDEX(IDX_COMPOSITION!$C$1:$C$123,SMALL(IF(IDX_COMPOSITION!$R$2:$R$441=VLOOKUP($A$5,IDX_SPECS!$B$2:$V$89,6,0),ROW(IDX_COMPOSITION!$R$2:$R$441)),ROW($B31)-ROW($B$11))),"")</f>
        <v>#N/A</v>
      </c>
      <c r="E31" s="57" t="e">
        <f t="array" ref="E31">IF($A31&lt;&gt;"",INDEX(IDX_COMPOSITION!$D$1:$D$123,SMALL(IF(IDX_COMPOSITION!$R$2:$R$441=VLOOKUP($A$5,IDX_SPECS!$B$2:$V$89,6,0),ROW(IDX_COMPOSITION!$R$2:$R$441)),ROW($B31)-ROW($B$11))),"")</f>
        <v>#N/A</v>
      </c>
      <c r="F31" s="57" t="e">
        <f t="array" ref="F31">IF($A31&lt;&gt;"",INDEX(IDX_COMPOSITION!$E$1:$E$123,SMALL(IF(IDX_COMPOSITION!$R$2:$R$441=VLOOKUP($A$5,IDX_SPECS!$B$2:$V$89,6,0),ROW(IDX_COMPOSITION!$R$2:$R$441)),ROW($B31)-ROW($B$11))),"")</f>
        <v>#N/A</v>
      </c>
      <c r="G31" s="58" t="e">
        <f t="array" ref="G31">IF($A31&lt;&gt;"",INDEX(IDX_COMPOSITION!$F$1:$F$123,SMALL(IF(IDX_COMPOSITION!$R$2:$R$441=VLOOKUP($A$5,IDX_SPECS!$B$2:$V$89,6,0),ROW(IDX_COMPOSITION!$R$2:$R$441)),ROW($B31)-ROW($B$11))),"")</f>
        <v>#N/A</v>
      </c>
      <c r="H31" s="59" t="e">
        <f t="array" ref="H31">IF($A31&lt;&gt;"",INDEX(IDX_COMPOSITION!$K$1:$K$123,SMALL(IF(IDX_COMPOSITION!$R$2:$R$441=VLOOKUP($A$5,IDX_SPECS!$B$2:$V$89,6,0),ROW(IDX_COMPOSITION!$R$2:$R$441)),ROW($B31)-ROW($B$11))),"")</f>
        <v>#N/A</v>
      </c>
    </row>
    <row r="32" spans="1:8" ht="15" customHeight="1" x14ac:dyDescent="0.2">
      <c r="A32" s="20" t="e">
        <f>IF(ROW(A32)-ROW($A$11)&lt;=VLOOKUP($A$5,IDX_SPECS!$B$2:$V$1048576,12,0),ROW(A32)-ROW($A$11),"")</f>
        <v>#N/A</v>
      </c>
      <c r="B32" s="20" t="e">
        <f t="array" ref="B32">IF($A32&lt;&gt;"",INDEX(IDX_COMPOSITION!$A$1:$A$123,SMALL(IF(IDX_COMPOSITION!$R$2:$R$441=VLOOKUP($A$5,IDX_SPECS!$B$2:$V$89,6,0),ROW(IDX_COMPOSITION!$R$2:$R$441)),ROW($A32)-ROW($A$11))),"")</f>
        <v>#N/A</v>
      </c>
      <c r="C32" s="56" t="e">
        <f t="array" ref="C32">IF($A32&lt;&gt;"",INDEX(IDX_COMPOSITION!$B$1:$B$123,SMALL(IF(IDX_COMPOSITION!$R$2:$R$441=VLOOKUP($A$5,IDX_SPECS!$B$2:$V$89,6,0),ROW(IDX_COMPOSITION!$R$2:$R$441)),ROW($B32)-ROW($B$11))),"")</f>
        <v>#N/A</v>
      </c>
      <c r="D32" s="57" t="e">
        <f t="array" ref="D32">IF($A32&lt;&gt;"",INDEX(IDX_COMPOSITION!$C$1:$C$123,SMALL(IF(IDX_COMPOSITION!$R$2:$R$441=VLOOKUP($A$5,IDX_SPECS!$B$2:$V$89,6,0),ROW(IDX_COMPOSITION!$R$2:$R$441)),ROW($B32)-ROW($B$11))),"")</f>
        <v>#N/A</v>
      </c>
      <c r="E32" s="57" t="e">
        <f t="array" ref="E32">IF($A32&lt;&gt;"",INDEX(IDX_COMPOSITION!$D$1:$D$123,SMALL(IF(IDX_COMPOSITION!$R$2:$R$441=VLOOKUP($A$5,IDX_SPECS!$B$2:$V$89,6,0),ROW(IDX_COMPOSITION!$R$2:$R$441)),ROW($B32)-ROW($B$11))),"")</f>
        <v>#N/A</v>
      </c>
      <c r="F32" s="57" t="e">
        <f t="array" ref="F32">IF($A32&lt;&gt;"",INDEX(IDX_COMPOSITION!$E$1:$E$123,SMALL(IF(IDX_COMPOSITION!$R$2:$R$441=VLOOKUP($A$5,IDX_SPECS!$B$2:$V$89,6,0),ROW(IDX_COMPOSITION!$R$2:$R$441)),ROW($B32)-ROW($B$11))),"")</f>
        <v>#N/A</v>
      </c>
      <c r="G32" s="58" t="e">
        <f t="array" ref="G32">IF($A32&lt;&gt;"",INDEX(IDX_COMPOSITION!$F$1:$F$123,SMALL(IF(IDX_COMPOSITION!$R$2:$R$441=VLOOKUP($A$5,IDX_SPECS!$B$2:$V$89,6,0),ROW(IDX_COMPOSITION!$R$2:$R$441)),ROW($B32)-ROW($B$11))),"")</f>
        <v>#N/A</v>
      </c>
      <c r="H32" s="59" t="e">
        <f t="array" ref="H32">IF($A32&lt;&gt;"",INDEX(IDX_COMPOSITION!$K$1:$K$123,SMALL(IF(IDX_COMPOSITION!$R$2:$R$441=VLOOKUP($A$5,IDX_SPECS!$B$2:$V$89,6,0),ROW(IDX_COMPOSITION!$R$2:$R$441)),ROW($B32)-ROW($B$11))),"")</f>
        <v>#N/A</v>
      </c>
    </row>
    <row r="33" spans="1:8" ht="15" customHeight="1" x14ac:dyDescent="0.2">
      <c r="A33" s="20" t="e">
        <f>IF(ROW(A33)-ROW($A$11)&lt;=VLOOKUP($A$5,IDX_SPECS!$B$2:$V$1048576,12,0),ROW(A33)-ROW($A$11),"")</f>
        <v>#N/A</v>
      </c>
      <c r="B33" s="20" t="e">
        <f t="array" ref="B33">IF($A33&lt;&gt;"",INDEX(IDX_COMPOSITION!$A$1:$A$123,SMALL(IF(IDX_COMPOSITION!$R$2:$R$441=VLOOKUP($A$5,IDX_SPECS!$B$2:$V$89,6,0),ROW(IDX_COMPOSITION!$R$2:$R$441)),ROW($A33)-ROW($A$11))),"")</f>
        <v>#N/A</v>
      </c>
      <c r="C33" s="56" t="e">
        <f t="array" ref="C33">IF($A33&lt;&gt;"",INDEX(IDX_COMPOSITION!$B$1:$B$123,SMALL(IF(IDX_COMPOSITION!$R$2:$R$441=VLOOKUP($A$5,IDX_SPECS!$B$2:$V$89,6,0),ROW(IDX_COMPOSITION!$R$2:$R$441)),ROW($B33)-ROW($B$11))),"")</f>
        <v>#N/A</v>
      </c>
      <c r="D33" s="57" t="e">
        <f t="array" ref="D33">IF($A33&lt;&gt;"",INDEX(IDX_COMPOSITION!$C$1:$C$123,SMALL(IF(IDX_COMPOSITION!$R$2:$R$441=VLOOKUP($A$5,IDX_SPECS!$B$2:$V$89,6,0),ROW(IDX_COMPOSITION!$R$2:$R$441)),ROW($B33)-ROW($B$11))),"")</f>
        <v>#N/A</v>
      </c>
      <c r="E33" s="57" t="e">
        <f t="array" ref="E33">IF($A33&lt;&gt;"",INDEX(IDX_COMPOSITION!$D$1:$D$123,SMALL(IF(IDX_COMPOSITION!$R$2:$R$441=VLOOKUP($A$5,IDX_SPECS!$B$2:$V$89,6,0),ROW(IDX_COMPOSITION!$R$2:$R$441)),ROW($B33)-ROW($B$11))),"")</f>
        <v>#N/A</v>
      </c>
      <c r="F33" s="57" t="e">
        <f t="array" ref="F33">IF($A33&lt;&gt;"",INDEX(IDX_COMPOSITION!$E$1:$E$123,SMALL(IF(IDX_COMPOSITION!$R$2:$R$441=VLOOKUP($A$5,IDX_SPECS!$B$2:$V$89,6,0),ROW(IDX_COMPOSITION!$R$2:$R$441)),ROW($B33)-ROW($B$11))),"")</f>
        <v>#N/A</v>
      </c>
      <c r="G33" s="58" t="e">
        <f t="array" ref="G33">IF($A33&lt;&gt;"",INDEX(IDX_COMPOSITION!$F$1:$F$123,SMALL(IF(IDX_COMPOSITION!$R$2:$R$441=VLOOKUP($A$5,IDX_SPECS!$B$2:$V$89,6,0),ROW(IDX_COMPOSITION!$R$2:$R$441)),ROW($B33)-ROW($B$11))),"")</f>
        <v>#N/A</v>
      </c>
      <c r="H33" s="59" t="e">
        <f t="array" ref="H33">IF($A33&lt;&gt;"",INDEX(IDX_COMPOSITION!$K$1:$K$123,SMALL(IF(IDX_COMPOSITION!$R$2:$R$441=VLOOKUP($A$5,IDX_SPECS!$B$2:$V$89,6,0),ROW(IDX_COMPOSITION!$R$2:$R$441)),ROW($B33)-ROW($B$11))),"")</f>
        <v>#N/A</v>
      </c>
    </row>
    <row r="34" spans="1:8" ht="15" customHeight="1" x14ac:dyDescent="0.2">
      <c r="A34" s="20" t="e">
        <f>IF(ROW(A34)-ROW($A$11)&lt;=VLOOKUP($A$5,IDX_SPECS!$B$2:$V$1048576,12,0),ROW(A34)-ROW($A$11),"")</f>
        <v>#N/A</v>
      </c>
      <c r="B34" s="20" t="e">
        <f t="array" ref="B34">IF($A34&lt;&gt;"",INDEX(IDX_COMPOSITION!$A$1:$A$123,SMALL(IF(IDX_COMPOSITION!$R$2:$R$441=VLOOKUP($A$5,IDX_SPECS!$B$2:$V$89,6,0),ROW(IDX_COMPOSITION!$R$2:$R$441)),ROW($A34)-ROW($A$11))),"")</f>
        <v>#N/A</v>
      </c>
      <c r="C34" s="56" t="e">
        <f t="array" ref="C34">IF($A34&lt;&gt;"",INDEX(IDX_COMPOSITION!$B$1:$B$123,SMALL(IF(IDX_COMPOSITION!$R$2:$R$441=VLOOKUP($A$5,IDX_SPECS!$B$2:$V$89,6,0),ROW(IDX_COMPOSITION!$R$2:$R$441)),ROW($B34)-ROW($B$11))),"")</f>
        <v>#N/A</v>
      </c>
      <c r="D34" s="57" t="e">
        <f t="array" ref="D34">IF($A34&lt;&gt;"",INDEX(IDX_COMPOSITION!$C$1:$C$123,SMALL(IF(IDX_COMPOSITION!$R$2:$R$441=VLOOKUP($A$5,IDX_SPECS!$B$2:$V$89,6,0),ROW(IDX_COMPOSITION!$R$2:$R$441)),ROW($B34)-ROW($B$11))),"")</f>
        <v>#N/A</v>
      </c>
      <c r="E34" s="57" t="e">
        <f t="array" ref="E34">IF($A34&lt;&gt;"",INDEX(IDX_COMPOSITION!$D$1:$D$123,SMALL(IF(IDX_COMPOSITION!$R$2:$R$441=VLOOKUP($A$5,IDX_SPECS!$B$2:$V$89,6,0),ROW(IDX_COMPOSITION!$R$2:$R$441)),ROW($B34)-ROW($B$11))),"")</f>
        <v>#N/A</v>
      </c>
      <c r="F34" s="57" t="e">
        <f t="array" ref="F34">IF($A34&lt;&gt;"",INDEX(IDX_COMPOSITION!$E$1:$E$123,SMALL(IF(IDX_COMPOSITION!$R$2:$R$441=VLOOKUP($A$5,IDX_SPECS!$B$2:$V$89,6,0),ROW(IDX_COMPOSITION!$R$2:$R$441)),ROW($B34)-ROW($B$11))),"")</f>
        <v>#N/A</v>
      </c>
      <c r="G34" s="58" t="e">
        <f t="array" ref="G34">IF($A34&lt;&gt;"",INDEX(IDX_COMPOSITION!$F$1:$F$123,SMALL(IF(IDX_COMPOSITION!$R$2:$R$441=VLOOKUP($A$5,IDX_SPECS!$B$2:$V$89,6,0),ROW(IDX_COMPOSITION!$R$2:$R$441)),ROW($B34)-ROW($B$11))),"")</f>
        <v>#N/A</v>
      </c>
      <c r="H34" s="59" t="e">
        <f t="array" ref="H34">IF($A34&lt;&gt;"",INDEX(IDX_COMPOSITION!$K$1:$K$123,SMALL(IF(IDX_COMPOSITION!$R$2:$R$441=VLOOKUP($A$5,IDX_SPECS!$B$2:$V$89,6,0),ROW(IDX_COMPOSITION!$R$2:$R$441)),ROW($B34)-ROW($B$11))),"")</f>
        <v>#N/A</v>
      </c>
    </row>
    <row r="35" spans="1:8" ht="15" customHeight="1" x14ac:dyDescent="0.2">
      <c r="A35" s="20" t="e">
        <f>IF(ROW(A35)-ROW($A$11)&lt;=VLOOKUP($A$5,IDX_SPECS!$B$2:$V$1048576,12,0),ROW(A35)-ROW($A$11),"")</f>
        <v>#N/A</v>
      </c>
      <c r="B35" s="20" t="e">
        <f t="array" ref="B35">IF($A35&lt;&gt;"",INDEX(IDX_COMPOSITION!$A$1:$A$123,SMALL(IF(IDX_COMPOSITION!$R$2:$R$441=VLOOKUP($A$5,IDX_SPECS!$B$2:$V$89,6,0),ROW(IDX_COMPOSITION!$R$2:$R$441)),ROW($A35)-ROW($A$11))),"")</f>
        <v>#N/A</v>
      </c>
      <c r="C35" s="56" t="e">
        <f t="array" ref="C35">IF($A35&lt;&gt;"",INDEX(IDX_COMPOSITION!$B$1:$B$123,SMALL(IF(IDX_COMPOSITION!$R$2:$R$441=VLOOKUP($A$5,IDX_SPECS!$B$2:$V$89,6,0),ROW(IDX_COMPOSITION!$R$2:$R$441)),ROW($B35)-ROW($B$11))),"")</f>
        <v>#N/A</v>
      </c>
      <c r="D35" s="57" t="e">
        <f t="array" ref="D35">IF($A35&lt;&gt;"",INDEX(IDX_COMPOSITION!$C$1:$C$123,SMALL(IF(IDX_COMPOSITION!$R$2:$R$441=VLOOKUP($A$5,IDX_SPECS!$B$2:$V$89,6,0),ROW(IDX_COMPOSITION!$R$2:$R$441)),ROW($B35)-ROW($B$11))),"")</f>
        <v>#N/A</v>
      </c>
      <c r="E35" s="57" t="e">
        <f t="array" ref="E35">IF($A35&lt;&gt;"",INDEX(IDX_COMPOSITION!$D$1:$D$123,SMALL(IF(IDX_COMPOSITION!$R$2:$R$441=VLOOKUP($A$5,IDX_SPECS!$B$2:$V$89,6,0),ROW(IDX_COMPOSITION!$R$2:$R$441)),ROW($B35)-ROW($B$11))),"")</f>
        <v>#N/A</v>
      </c>
      <c r="F35" s="57" t="e">
        <f t="array" ref="F35">IF($A35&lt;&gt;"",INDEX(IDX_COMPOSITION!$E$1:$E$123,SMALL(IF(IDX_COMPOSITION!$R$2:$R$441=VLOOKUP($A$5,IDX_SPECS!$B$2:$V$89,6,0),ROW(IDX_COMPOSITION!$R$2:$R$441)),ROW($B35)-ROW($B$11))),"")</f>
        <v>#N/A</v>
      </c>
      <c r="G35" s="58" t="e">
        <f t="array" ref="G35">IF($A35&lt;&gt;"",INDEX(IDX_COMPOSITION!$F$1:$F$123,SMALL(IF(IDX_COMPOSITION!$R$2:$R$441=VLOOKUP($A$5,IDX_SPECS!$B$2:$V$89,6,0),ROW(IDX_COMPOSITION!$R$2:$R$441)),ROW($B35)-ROW($B$11))),"")</f>
        <v>#N/A</v>
      </c>
      <c r="H35" s="59" t="e">
        <f t="array" ref="H35">IF($A35&lt;&gt;"",INDEX(IDX_COMPOSITION!$K$1:$K$123,SMALL(IF(IDX_COMPOSITION!$R$2:$R$441=VLOOKUP($A$5,IDX_SPECS!$B$2:$V$89,6,0),ROW(IDX_COMPOSITION!$R$2:$R$441)),ROW($B35)-ROW($B$11))),"")</f>
        <v>#N/A</v>
      </c>
    </row>
    <row r="36" spans="1:8" ht="15" customHeight="1" x14ac:dyDescent="0.2">
      <c r="A36" s="20" t="e">
        <f>IF(ROW(A36)-ROW($A$11)&lt;=VLOOKUP($A$5,IDX_SPECS!$B$2:$V$1048576,12,0),ROW(A36)-ROW($A$11),"")</f>
        <v>#N/A</v>
      </c>
      <c r="B36" s="20" t="e">
        <f t="array" ref="B36">IF($A36&lt;&gt;"",INDEX(IDX_COMPOSITION!$A$1:$A$123,SMALL(IF(IDX_COMPOSITION!$R$2:$R$441=VLOOKUP($A$5,IDX_SPECS!$B$2:$V$89,6,0),ROW(IDX_COMPOSITION!$R$2:$R$441)),ROW($A36)-ROW($A$11))),"")</f>
        <v>#N/A</v>
      </c>
      <c r="C36" s="56" t="e">
        <f t="array" ref="C36">IF($A36&lt;&gt;"",INDEX(IDX_COMPOSITION!$B$1:$B$123,SMALL(IF(IDX_COMPOSITION!$R$2:$R$441=VLOOKUP($A$5,IDX_SPECS!$B$2:$V$89,6,0),ROW(IDX_COMPOSITION!$R$2:$R$441)),ROW($B36)-ROW($B$11))),"")</f>
        <v>#N/A</v>
      </c>
      <c r="D36" s="57" t="e">
        <f t="array" ref="D36">IF($A36&lt;&gt;"",INDEX(IDX_COMPOSITION!$C$1:$C$123,SMALL(IF(IDX_COMPOSITION!$R$2:$R$441=VLOOKUP($A$5,IDX_SPECS!$B$2:$V$89,6,0),ROW(IDX_COMPOSITION!$R$2:$R$441)),ROW($B36)-ROW($B$11))),"")</f>
        <v>#N/A</v>
      </c>
      <c r="E36" s="57" t="e">
        <f t="array" ref="E36">IF($A36&lt;&gt;"",INDEX(IDX_COMPOSITION!$D$1:$D$123,SMALL(IF(IDX_COMPOSITION!$R$2:$R$441=VLOOKUP($A$5,IDX_SPECS!$B$2:$V$89,6,0),ROW(IDX_COMPOSITION!$R$2:$R$441)),ROW($B36)-ROW($B$11))),"")</f>
        <v>#N/A</v>
      </c>
      <c r="F36" s="57" t="e">
        <f t="array" ref="F36">IF($A36&lt;&gt;"",INDEX(IDX_COMPOSITION!$E$1:$E$123,SMALL(IF(IDX_COMPOSITION!$R$2:$R$441=VLOOKUP($A$5,IDX_SPECS!$B$2:$V$89,6,0),ROW(IDX_COMPOSITION!$R$2:$R$441)),ROW($B36)-ROW($B$11))),"")</f>
        <v>#N/A</v>
      </c>
      <c r="G36" s="58" t="e">
        <f t="array" ref="G36">IF($A36&lt;&gt;"",INDEX(IDX_COMPOSITION!$F$1:$F$123,SMALL(IF(IDX_COMPOSITION!$R$2:$R$441=VLOOKUP($A$5,IDX_SPECS!$B$2:$V$89,6,0),ROW(IDX_COMPOSITION!$R$2:$R$441)),ROW($B36)-ROW($B$11))),"")</f>
        <v>#N/A</v>
      </c>
      <c r="H36" s="59" t="e">
        <f t="array" ref="H36">IF($A36&lt;&gt;"",INDEX(IDX_COMPOSITION!$K$1:$K$123,SMALL(IF(IDX_COMPOSITION!$R$2:$R$441=VLOOKUP($A$5,IDX_SPECS!$B$2:$V$89,6,0),ROW(IDX_COMPOSITION!$R$2:$R$441)),ROW($B36)-ROW($B$11))),"")</f>
        <v>#N/A</v>
      </c>
    </row>
    <row r="37" spans="1:8" ht="15" customHeight="1" x14ac:dyDescent="0.2">
      <c r="A37" s="20" t="e">
        <f>IF(ROW(A37)-ROW($A$11)&lt;=VLOOKUP($A$5,IDX_SPECS!$B$2:$V$1048576,12,0),ROW(A37)-ROW($A$11),"")</f>
        <v>#N/A</v>
      </c>
      <c r="B37" s="20" t="e">
        <f t="array" ref="B37">IF($A37&lt;&gt;"",INDEX(IDX_COMPOSITION!$A$1:$A$123,SMALL(IF(IDX_COMPOSITION!$R$2:$R$441=VLOOKUP($A$5,IDX_SPECS!$B$2:$V$89,6,0),ROW(IDX_COMPOSITION!$R$2:$R$441)),ROW($A37)-ROW($A$11))),"")</f>
        <v>#N/A</v>
      </c>
      <c r="C37" s="56" t="e">
        <f t="array" ref="C37">IF($A37&lt;&gt;"",INDEX(IDX_COMPOSITION!$B$1:$B$123,SMALL(IF(IDX_COMPOSITION!$R$2:$R$441=VLOOKUP($A$5,IDX_SPECS!$B$2:$V$89,6,0),ROW(IDX_COMPOSITION!$R$2:$R$441)),ROW($B37)-ROW($B$11))),"")</f>
        <v>#N/A</v>
      </c>
      <c r="D37" s="57" t="e">
        <f t="array" ref="D37">IF($A37&lt;&gt;"",INDEX(IDX_COMPOSITION!$C$1:$C$123,SMALL(IF(IDX_COMPOSITION!$R$2:$R$441=VLOOKUP($A$5,IDX_SPECS!$B$2:$V$89,6,0),ROW(IDX_COMPOSITION!$R$2:$R$441)),ROW($B37)-ROW($B$11))),"")</f>
        <v>#N/A</v>
      </c>
      <c r="E37" s="57" t="e">
        <f t="array" ref="E37">IF($A37&lt;&gt;"",INDEX(IDX_COMPOSITION!$D$1:$D$123,SMALL(IF(IDX_COMPOSITION!$R$2:$R$441=VLOOKUP($A$5,IDX_SPECS!$B$2:$V$89,6,0),ROW(IDX_COMPOSITION!$R$2:$R$441)),ROW($B37)-ROW($B$11))),"")</f>
        <v>#N/A</v>
      </c>
      <c r="F37" s="57" t="e">
        <f t="array" ref="F37">IF($A37&lt;&gt;"",INDEX(IDX_COMPOSITION!$E$1:$E$123,SMALL(IF(IDX_COMPOSITION!$R$2:$R$441=VLOOKUP($A$5,IDX_SPECS!$B$2:$V$89,6,0),ROW(IDX_COMPOSITION!$R$2:$R$441)),ROW($B37)-ROW($B$11))),"")</f>
        <v>#N/A</v>
      </c>
      <c r="G37" s="58" t="e">
        <f t="array" ref="G37">IF($A37&lt;&gt;"",INDEX(IDX_COMPOSITION!$F$1:$F$123,SMALL(IF(IDX_COMPOSITION!$R$2:$R$441=VLOOKUP($A$5,IDX_SPECS!$B$2:$V$89,6,0),ROW(IDX_COMPOSITION!$R$2:$R$441)),ROW($B37)-ROW($B$11))),"")</f>
        <v>#N/A</v>
      </c>
      <c r="H37" s="59" t="e">
        <f t="array" ref="H37">IF($A37&lt;&gt;"",INDEX(IDX_COMPOSITION!$K$1:$K$123,SMALL(IF(IDX_COMPOSITION!$R$2:$R$441=VLOOKUP($A$5,IDX_SPECS!$B$2:$V$89,6,0),ROW(IDX_COMPOSITION!$R$2:$R$441)),ROW($B37)-ROW($B$11))),"")</f>
        <v>#N/A</v>
      </c>
    </row>
    <row r="38" spans="1:8" ht="15" customHeight="1" x14ac:dyDescent="0.2">
      <c r="A38" s="20" t="e">
        <f>IF(ROW(A38)-ROW($A$11)&lt;=VLOOKUP($A$5,IDX_SPECS!$B$2:$V$1048576,12,0),ROW(A38)-ROW($A$11),"")</f>
        <v>#N/A</v>
      </c>
      <c r="B38" s="20" t="e">
        <f t="array" ref="B38">IF($A38&lt;&gt;"",INDEX(IDX_COMPOSITION!$A$1:$A$123,SMALL(IF(IDX_COMPOSITION!$R$2:$R$441=VLOOKUP($A$5,IDX_SPECS!$B$2:$V$89,6,0),ROW(IDX_COMPOSITION!$R$2:$R$441)),ROW($A38)-ROW($A$11))),"")</f>
        <v>#N/A</v>
      </c>
      <c r="C38" s="56" t="e">
        <f t="array" ref="C38">IF($A38&lt;&gt;"",INDEX(IDX_COMPOSITION!$B$1:$B$123,SMALL(IF(IDX_COMPOSITION!$R$2:$R$441=VLOOKUP($A$5,IDX_SPECS!$B$2:$V$89,6,0),ROW(IDX_COMPOSITION!$R$2:$R$441)),ROW($B38)-ROW($B$11))),"")</f>
        <v>#N/A</v>
      </c>
      <c r="D38" s="57" t="e">
        <f t="array" ref="D38">IF($A38&lt;&gt;"",INDEX(IDX_COMPOSITION!$C$1:$C$123,SMALL(IF(IDX_COMPOSITION!$R$2:$R$441=VLOOKUP($A$5,IDX_SPECS!$B$2:$V$89,6,0),ROW(IDX_COMPOSITION!$R$2:$R$441)),ROW($B38)-ROW($B$11))),"")</f>
        <v>#N/A</v>
      </c>
      <c r="E38" s="57" t="e">
        <f t="array" ref="E38">IF($A38&lt;&gt;"",INDEX(IDX_COMPOSITION!$D$1:$D$123,SMALL(IF(IDX_COMPOSITION!$R$2:$R$441=VLOOKUP($A$5,IDX_SPECS!$B$2:$V$89,6,0),ROW(IDX_COMPOSITION!$R$2:$R$441)),ROW($B38)-ROW($B$11))),"")</f>
        <v>#N/A</v>
      </c>
      <c r="F38" s="57" t="e">
        <f t="array" ref="F38">IF($A38&lt;&gt;"",INDEX(IDX_COMPOSITION!$E$1:$E$123,SMALL(IF(IDX_COMPOSITION!$R$2:$R$441=VLOOKUP($A$5,IDX_SPECS!$B$2:$V$89,6,0),ROW(IDX_COMPOSITION!$R$2:$R$441)),ROW($B38)-ROW($B$11))),"")</f>
        <v>#N/A</v>
      </c>
      <c r="G38" s="58" t="e">
        <f t="array" ref="G38">IF($A38&lt;&gt;"",INDEX(IDX_COMPOSITION!$F$1:$F$123,SMALL(IF(IDX_COMPOSITION!$R$2:$R$441=VLOOKUP($A$5,IDX_SPECS!$B$2:$V$89,6,0),ROW(IDX_COMPOSITION!$R$2:$R$441)),ROW($B38)-ROW($B$11))),"")</f>
        <v>#N/A</v>
      </c>
      <c r="H38" s="59" t="e">
        <f t="array" ref="H38">IF($A38&lt;&gt;"",INDEX(IDX_COMPOSITION!$K$1:$K$123,SMALL(IF(IDX_COMPOSITION!$R$2:$R$441=VLOOKUP($A$5,IDX_SPECS!$B$2:$V$89,6,0),ROW(IDX_COMPOSITION!$R$2:$R$441)),ROW($B38)-ROW($B$11))),"")</f>
        <v>#N/A</v>
      </c>
    </row>
    <row r="39" spans="1:8" ht="15" customHeight="1" x14ac:dyDescent="0.2">
      <c r="A39" s="20" t="e">
        <f>IF(ROW(A39)-ROW($A$11)&lt;=VLOOKUP($A$5,IDX_SPECS!$B$2:$V$1048576,12,0),ROW(A39)-ROW($A$11),"")</f>
        <v>#N/A</v>
      </c>
      <c r="B39" s="20" t="e">
        <f t="array" ref="B39">IF($A39&lt;&gt;"",INDEX(IDX_COMPOSITION!$A$1:$A$123,SMALL(IF(IDX_COMPOSITION!$R$2:$R$441=VLOOKUP($A$5,IDX_SPECS!$B$2:$V$89,6,0),ROW(IDX_COMPOSITION!$R$2:$R$441)),ROW($A39)-ROW($A$11))),"")</f>
        <v>#N/A</v>
      </c>
      <c r="C39" s="56" t="e">
        <f t="array" ref="C39">IF($A39&lt;&gt;"",INDEX(IDX_COMPOSITION!$B$1:$B$123,SMALL(IF(IDX_COMPOSITION!$R$2:$R$441=VLOOKUP($A$5,IDX_SPECS!$B$2:$V$89,6,0),ROW(IDX_COMPOSITION!$R$2:$R$441)),ROW($B39)-ROW($B$11))),"")</f>
        <v>#N/A</v>
      </c>
      <c r="D39" s="57" t="e">
        <f t="array" ref="D39">IF($A39&lt;&gt;"",INDEX(IDX_COMPOSITION!$C$1:$C$123,SMALL(IF(IDX_COMPOSITION!$R$2:$R$441=VLOOKUP($A$5,IDX_SPECS!$B$2:$V$89,6,0),ROW(IDX_COMPOSITION!$R$2:$R$441)),ROW($B39)-ROW($B$11))),"")</f>
        <v>#N/A</v>
      </c>
      <c r="E39" s="57" t="e">
        <f t="array" ref="E39">IF($A39&lt;&gt;"",INDEX(IDX_COMPOSITION!$D$1:$D$123,SMALL(IF(IDX_COMPOSITION!$R$2:$R$441=VLOOKUP($A$5,IDX_SPECS!$B$2:$V$89,6,0),ROW(IDX_COMPOSITION!$R$2:$R$441)),ROW($B39)-ROW($B$11))),"")</f>
        <v>#N/A</v>
      </c>
      <c r="F39" s="57" t="e">
        <f t="array" ref="F39">IF($A39&lt;&gt;"",INDEX(IDX_COMPOSITION!$E$1:$E$123,SMALL(IF(IDX_COMPOSITION!$R$2:$R$441=VLOOKUP($A$5,IDX_SPECS!$B$2:$V$89,6,0),ROW(IDX_COMPOSITION!$R$2:$R$441)),ROW($B39)-ROW($B$11))),"")</f>
        <v>#N/A</v>
      </c>
      <c r="G39" s="58" t="e">
        <f t="array" ref="G39">IF($A39&lt;&gt;"",INDEX(IDX_COMPOSITION!$F$1:$F$123,SMALL(IF(IDX_COMPOSITION!$R$2:$R$441=VLOOKUP($A$5,IDX_SPECS!$B$2:$V$89,6,0),ROW(IDX_COMPOSITION!$R$2:$R$441)),ROW($B39)-ROW($B$11))),"")</f>
        <v>#N/A</v>
      </c>
      <c r="H39" s="59" t="e">
        <f t="array" ref="H39">IF($A39&lt;&gt;"",INDEX(IDX_COMPOSITION!$K$1:$K$123,SMALL(IF(IDX_COMPOSITION!$R$2:$R$441=VLOOKUP($A$5,IDX_SPECS!$B$2:$V$89,6,0),ROW(IDX_COMPOSITION!$R$2:$R$441)),ROW($B39)-ROW($B$11))),"")</f>
        <v>#N/A</v>
      </c>
    </row>
    <row r="40" spans="1:8" ht="15" customHeight="1" x14ac:dyDescent="0.2">
      <c r="A40" s="20" t="e">
        <f>IF(ROW(A40)-ROW($A$11)&lt;=VLOOKUP($A$5,IDX_SPECS!$B$2:$V$1048576,12,0),ROW(A40)-ROW($A$11),"")</f>
        <v>#N/A</v>
      </c>
      <c r="B40" s="20" t="e">
        <f t="array" ref="B40">IF($A40&lt;&gt;"",INDEX(IDX_COMPOSITION!$A$1:$A$123,SMALL(IF(IDX_COMPOSITION!$R$2:$R$441=VLOOKUP($A$5,IDX_SPECS!$B$2:$V$89,6,0),ROW(IDX_COMPOSITION!$R$2:$R$441)),ROW($A40)-ROW($A$11))),"")</f>
        <v>#N/A</v>
      </c>
      <c r="C40" s="56" t="e">
        <f t="array" ref="C40">IF($A40&lt;&gt;"",INDEX(IDX_COMPOSITION!$B$1:$B$123,SMALL(IF(IDX_COMPOSITION!$R$2:$R$441=VLOOKUP($A$5,IDX_SPECS!$B$2:$V$89,6,0),ROW(IDX_COMPOSITION!$R$2:$R$441)),ROW($B40)-ROW($B$11))),"")</f>
        <v>#N/A</v>
      </c>
      <c r="D40" s="57" t="e">
        <f t="array" ref="D40">IF($A40&lt;&gt;"",INDEX(IDX_COMPOSITION!$C$1:$C$123,SMALL(IF(IDX_COMPOSITION!$R$2:$R$441=VLOOKUP($A$5,IDX_SPECS!$B$2:$V$89,6,0),ROW(IDX_COMPOSITION!$R$2:$R$441)),ROW($B40)-ROW($B$11))),"")</f>
        <v>#N/A</v>
      </c>
      <c r="E40" s="57" t="e">
        <f t="array" ref="E40">IF($A40&lt;&gt;"",INDEX(IDX_COMPOSITION!$D$1:$D$123,SMALL(IF(IDX_COMPOSITION!$R$2:$R$441=VLOOKUP($A$5,IDX_SPECS!$B$2:$V$89,6,0),ROW(IDX_COMPOSITION!$R$2:$R$441)),ROW($B40)-ROW($B$11))),"")</f>
        <v>#N/A</v>
      </c>
      <c r="F40" s="57" t="e">
        <f t="array" ref="F40">IF($A40&lt;&gt;"",INDEX(IDX_COMPOSITION!$E$1:$E$123,SMALL(IF(IDX_COMPOSITION!$R$2:$R$441=VLOOKUP($A$5,IDX_SPECS!$B$2:$V$89,6,0),ROW(IDX_COMPOSITION!$R$2:$R$441)),ROW($B40)-ROW($B$11))),"")</f>
        <v>#N/A</v>
      </c>
      <c r="G40" s="58" t="e">
        <f t="array" ref="G40">IF($A40&lt;&gt;"",INDEX(IDX_COMPOSITION!$F$1:$F$123,SMALL(IF(IDX_COMPOSITION!$R$2:$R$441=VLOOKUP($A$5,IDX_SPECS!$B$2:$V$89,6,0),ROW(IDX_COMPOSITION!$R$2:$R$441)),ROW($B40)-ROW($B$11))),"")</f>
        <v>#N/A</v>
      </c>
      <c r="H40" s="59" t="e">
        <f t="array" ref="H40">IF($A40&lt;&gt;"",INDEX(IDX_COMPOSITION!$K$1:$K$123,SMALL(IF(IDX_COMPOSITION!$R$2:$R$441=VLOOKUP($A$5,IDX_SPECS!$B$2:$V$89,6,0),ROW(IDX_COMPOSITION!$R$2:$R$441)),ROW($B40)-ROW($B$11))),"")</f>
        <v>#N/A</v>
      </c>
    </row>
    <row r="41" spans="1:8" ht="15" customHeight="1" x14ac:dyDescent="0.2">
      <c r="A41" s="20" t="e">
        <f>IF(ROW(A41)-ROW($A$11)&lt;=VLOOKUP($A$5,IDX_SPECS!$B$2:$V$1048576,12,0),ROW(A41)-ROW($A$11),"")</f>
        <v>#N/A</v>
      </c>
      <c r="B41" s="20" t="e">
        <f t="array" ref="B41">IF($A41&lt;&gt;"",INDEX(IDX_COMPOSITION!$A$1:$A$123,SMALL(IF(IDX_COMPOSITION!$R$2:$R$441=VLOOKUP($A$5,IDX_SPECS!$B$2:$V$89,6,0),ROW(IDX_COMPOSITION!$R$2:$R$441)),ROW($A41)-ROW($A$11))),"")</f>
        <v>#N/A</v>
      </c>
      <c r="C41" s="56" t="e">
        <f t="array" ref="C41">IF($A41&lt;&gt;"",INDEX(IDX_COMPOSITION!$B$1:$B$123,SMALL(IF(IDX_COMPOSITION!$R$2:$R$441=VLOOKUP($A$5,IDX_SPECS!$B$2:$V$89,6,0),ROW(IDX_COMPOSITION!$R$2:$R$441)),ROW($B41)-ROW($B$11))),"")</f>
        <v>#N/A</v>
      </c>
      <c r="D41" s="57" t="e">
        <f t="array" ref="D41">IF($A41&lt;&gt;"",INDEX(IDX_COMPOSITION!$C$1:$C$123,SMALL(IF(IDX_COMPOSITION!$R$2:$R$441=VLOOKUP($A$5,IDX_SPECS!$B$2:$V$89,6,0),ROW(IDX_COMPOSITION!$R$2:$R$441)),ROW($B41)-ROW($B$11))),"")</f>
        <v>#N/A</v>
      </c>
      <c r="E41" s="57" t="e">
        <f t="array" ref="E41">IF($A41&lt;&gt;"",INDEX(IDX_COMPOSITION!$D$1:$D$123,SMALL(IF(IDX_COMPOSITION!$R$2:$R$441=VLOOKUP($A$5,IDX_SPECS!$B$2:$V$89,6,0),ROW(IDX_COMPOSITION!$R$2:$R$441)),ROW($B41)-ROW($B$11))),"")</f>
        <v>#N/A</v>
      </c>
      <c r="F41" s="57" t="e">
        <f t="array" ref="F41">IF($A41&lt;&gt;"",INDEX(IDX_COMPOSITION!$E$1:$E$123,SMALL(IF(IDX_COMPOSITION!$R$2:$R$441=VLOOKUP($A$5,IDX_SPECS!$B$2:$V$89,6,0),ROW(IDX_COMPOSITION!$R$2:$R$441)),ROW($B41)-ROW($B$11))),"")</f>
        <v>#N/A</v>
      </c>
      <c r="G41" s="58" t="e">
        <f t="array" ref="G41">IF($A41&lt;&gt;"",INDEX(IDX_COMPOSITION!$F$1:$F$123,SMALL(IF(IDX_COMPOSITION!$R$2:$R$441=VLOOKUP($A$5,IDX_SPECS!$B$2:$V$89,6,0),ROW(IDX_COMPOSITION!$R$2:$R$441)),ROW($B41)-ROW($B$11))),"")</f>
        <v>#N/A</v>
      </c>
      <c r="H41" s="59" t="e">
        <f t="array" ref="H41">IF($A41&lt;&gt;"",INDEX(IDX_COMPOSITION!$K$1:$K$123,SMALL(IF(IDX_COMPOSITION!$R$2:$R$441=VLOOKUP($A$5,IDX_SPECS!$B$2:$V$89,6,0),ROW(IDX_COMPOSITION!$R$2:$R$441)),ROW($B41)-ROW($B$11))),"")</f>
        <v>#N/A</v>
      </c>
    </row>
    <row r="42" spans="1:8" ht="15" customHeight="1" x14ac:dyDescent="0.2">
      <c r="A42" s="20" t="e">
        <f>IF(ROW(A42)-ROW($A$11)&lt;=VLOOKUP($A$5,IDX_SPECS!$B$2:$V$1048576,12,0),ROW(A42)-ROW($A$11),"")</f>
        <v>#N/A</v>
      </c>
      <c r="B42" s="20" t="e">
        <f t="array" ref="B42">IF($A42&lt;&gt;"",INDEX(IDX_COMPOSITION!$A$1:$A$123,SMALL(IF(IDX_COMPOSITION!$R$2:$R$441=VLOOKUP($A$5,IDX_SPECS!$B$2:$V$89,6,0),ROW(IDX_COMPOSITION!$R$2:$R$441)),ROW($A42)-ROW($A$11))),"")</f>
        <v>#N/A</v>
      </c>
      <c r="C42" s="56" t="e">
        <f t="array" ref="C42">IF($A42&lt;&gt;"",INDEX(IDX_COMPOSITION!$B$1:$B$123,SMALL(IF(IDX_COMPOSITION!$R$2:$R$441=VLOOKUP($A$5,IDX_SPECS!$B$2:$V$89,6,0),ROW(IDX_COMPOSITION!$R$2:$R$441)),ROW($B42)-ROW($B$11))),"")</f>
        <v>#N/A</v>
      </c>
      <c r="D42" s="57" t="e">
        <f t="array" ref="D42">IF($A42&lt;&gt;"",INDEX(IDX_COMPOSITION!$C$1:$C$123,SMALL(IF(IDX_COMPOSITION!$R$2:$R$441=VLOOKUP($A$5,IDX_SPECS!$B$2:$V$89,6,0),ROW(IDX_COMPOSITION!$R$2:$R$441)),ROW($B42)-ROW($B$11))),"")</f>
        <v>#N/A</v>
      </c>
      <c r="E42" s="57" t="e">
        <f t="array" ref="E42">IF($A42&lt;&gt;"",INDEX(IDX_COMPOSITION!$D$1:$D$123,SMALL(IF(IDX_COMPOSITION!$R$2:$R$441=VLOOKUP($A$5,IDX_SPECS!$B$2:$V$89,6,0),ROW(IDX_COMPOSITION!$R$2:$R$441)),ROW($B42)-ROW($B$11))),"")</f>
        <v>#N/A</v>
      </c>
      <c r="F42" s="57" t="e">
        <f t="array" ref="F42">IF($A42&lt;&gt;"",INDEX(IDX_COMPOSITION!$E$1:$E$123,SMALL(IF(IDX_COMPOSITION!$R$2:$R$441=VLOOKUP($A$5,IDX_SPECS!$B$2:$V$89,6,0),ROW(IDX_COMPOSITION!$R$2:$R$441)),ROW($B42)-ROW($B$11))),"")</f>
        <v>#N/A</v>
      </c>
      <c r="G42" s="58" t="e">
        <f t="array" ref="G42">IF($A42&lt;&gt;"",INDEX(IDX_COMPOSITION!$F$1:$F$123,SMALL(IF(IDX_COMPOSITION!$R$2:$R$441=VLOOKUP($A$5,IDX_SPECS!$B$2:$V$89,6,0),ROW(IDX_COMPOSITION!$R$2:$R$441)),ROW($B42)-ROW($B$11))),"")</f>
        <v>#N/A</v>
      </c>
      <c r="H42" s="59" t="e">
        <f t="array" ref="H42">IF($A42&lt;&gt;"",INDEX(IDX_COMPOSITION!$K$1:$K$123,SMALL(IF(IDX_COMPOSITION!$R$2:$R$441=VLOOKUP($A$5,IDX_SPECS!$B$2:$V$89,6,0),ROW(IDX_COMPOSITION!$R$2:$R$441)),ROW($B42)-ROW($B$11))),"")</f>
        <v>#N/A</v>
      </c>
    </row>
    <row r="43" spans="1:8" ht="15" customHeight="1" x14ac:dyDescent="0.2">
      <c r="A43" s="20" t="e">
        <f>IF(ROW(A43)-ROW($A$11)&lt;=VLOOKUP($A$5,IDX_SPECS!$B$2:$V$1048576,12,0),ROW(A43)-ROW($A$11),"")</f>
        <v>#N/A</v>
      </c>
      <c r="B43" s="20" t="e">
        <f t="array" ref="B43">IF($A43&lt;&gt;"",INDEX(IDX_COMPOSITION!$A$1:$A$123,SMALL(IF(IDX_COMPOSITION!$R$2:$R$441=VLOOKUP($A$5,IDX_SPECS!$B$2:$V$89,6,0),ROW(IDX_COMPOSITION!$R$2:$R$441)),ROW($A43)-ROW($A$11))),"")</f>
        <v>#N/A</v>
      </c>
      <c r="C43" s="56" t="e">
        <f t="array" ref="C43">IF($A43&lt;&gt;"",INDEX(IDX_COMPOSITION!$B$1:$B$123,SMALL(IF(IDX_COMPOSITION!$R$2:$R$441=VLOOKUP($A$5,IDX_SPECS!$B$2:$V$89,6,0),ROW(IDX_COMPOSITION!$R$2:$R$441)),ROW($B43)-ROW($B$11))),"")</f>
        <v>#N/A</v>
      </c>
      <c r="D43" s="57" t="e">
        <f t="array" ref="D43">IF($A43&lt;&gt;"",INDEX(IDX_COMPOSITION!$C$1:$C$123,SMALL(IF(IDX_COMPOSITION!$R$2:$R$441=VLOOKUP($A$5,IDX_SPECS!$B$2:$V$89,6,0),ROW(IDX_COMPOSITION!$R$2:$R$441)),ROW($B43)-ROW($B$11))),"")</f>
        <v>#N/A</v>
      </c>
      <c r="E43" s="57" t="e">
        <f t="array" ref="E43">IF($A43&lt;&gt;"",INDEX(IDX_COMPOSITION!$D$1:$D$123,SMALL(IF(IDX_COMPOSITION!$R$2:$R$441=VLOOKUP($A$5,IDX_SPECS!$B$2:$V$89,6,0),ROW(IDX_COMPOSITION!$R$2:$R$441)),ROW($B43)-ROW($B$11))),"")</f>
        <v>#N/A</v>
      </c>
      <c r="F43" s="57" t="e">
        <f t="array" ref="F43">IF($A43&lt;&gt;"",INDEX(IDX_COMPOSITION!$E$1:$E$123,SMALL(IF(IDX_COMPOSITION!$R$2:$R$441=VLOOKUP($A$5,IDX_SPECS!$B$2:$V$89,6,0),ROW(IDX_COMPOSITION!$R$2:$R$441)),ROW($B43)-ROW($B$11))),"")</f>
        <v>#N/A</v>
      </c>
      <c r="G43" s="58" t="e">
        <f t="array" ref="G43">IF($A43&lt;&gt;"",INDEX(IDX_COMPOSITION!$F$1:$F$123,SMALL(IF(IDX_COMPOSITION!$R$2:$R$441=VLOOKUP($A$5,IDX_SPECS!$B$2:$V$89,6,0),ROW(IDX_COMPOSITION!$R$2:$R$441)),ROW($B43)-ROW($B$11))),"")</f>
        <v>#N/A</v>
      </c>
      <c r="H43" s="59" t="e">
        <f t="array" ref="H43">IF($A43&lt;&gt;"",INDEX(IDX_COMPOSITION!$K$1:$K$123,SMALL(IF(IDX_COMPOSITION!$R$2:$R$441=VLOOKUP($A$5,IDX_SPECS!$B$2:$V$89,6,0),ROW(IDX_COMPOSITION!$R$2:$R$441)),ROW($B43)-ROW($B$11))),"")</f>
        <v>#N/A</v>
      </c>
    </row>
    <row r="44" spans="1:8" ht="15" customHeight="1" x14ac:dyDescent="0.2">
      <c r="A44" s="20" t="e">
        <f>IF(ROW(A44)-ROW($A$11)&lt;=VLOOKUP($A$5,IDX_SPECS!$B$2:$V$1048576,12,0),ROW(A44)-ROW($A$11),"")</f>
        <v>#N/A</v>
      </c>
      <c r="B44" s="20" t="e">
        <f t="array" ref="B44">IF($A44&lt;&gt;"",INDEX(IDX_COMPOSITION!$A$1:$A$123,SMALL(IF(IDX_COMPOSITION!$R$2:$R$441=VLOOKUP($A$5,IDX_SPECS!$B$2:$V$89,6,0),ROW(IDX_COMPOSITION!$R$2:$R$441)),ROW($A44)-ROW($A$11))),"")</f>
        <v>#N/A</v>
      </c>
      <c r="C44" s="56" t="e">
        <f t="array" ref="C44">IF($A44&lt;&gt;"",INDEX(IDX_COMPOSITION!$B$1:$B$123,SMALL(IF(IDX_COMPOSITION!$R$2:$R$441=VLOOKUP($A$5,IDX_SPECS!$B$2:$V$89,6,0),ROW(IDX_COMPOSITION!$R$2:$R$441)),ROW($B44)-ROW($B$11))),"")</f>
        <v>#N/A</v>
      </c>
      <c r="D44" s="57" t="e">
        <f t="array" ref="D44">IF($A44&lt;&gt;"",INDEX(IDX_COMPOSITION!$C$1:$C$123,SMALL(IF(IDX_COMPOSITION!$R$2:$R$441=VLOOKUP($A$5,IDX_SPECS!$B$2:$V$89,6,0),ROW(IDX_COMPOSITION!$R$2:$R$441)),ROW($B44)-ROW($B$11))),"")</f>
        <v>#N/A</v>
      </c>
      <c r="E44" s="57" t="e">
        <f t="array" ref="E44">IF($A44&lt;&gt;"",INDEX(IDX_COMPOSITION!$D$1:$D$123,SMALL(IF(IDX_COMPOSITION!$R$2:$R$441=VLOOKUP($A$5,IDX_SPECS!$B$2:$V$89,6,0),ROW(IDX_COMPOSITION!$R$2:$R$441)),ROW($B44)-ROW($B$11))),"")</f>
        <v>#N/A</v>
      </c>
      <c r="F44" s="57" t="e">
        <f t="array" ref="F44">IF($A44&lt;&gt;"",INDEX(IDX_COMPOSITION!$E$1:$E$123,SMALL(IF(IDX_COMPOSITION!$R$2:$R$441=VLOOKUP($A$5,IDX_SPECS!$B$2:$V$89,6,0),ROW(IDX_COMPOSITION!$R$2:$R$441)),ROW($B44)-ROW($B$11))),"")</f>
        <v>#N/A</v>
      </c>
      <c r="G44" s="58" t="e">
        <f t="array" ref="G44">IF($A44&lt;&gt;"",INDEX(IDX_COMPOSITION!$F$1:$F$123,SMALL(IF(IDX_COMPOSITION!$R$2:$R$441=VLOOKUP($A$5,IDX_SPECS!$B$2:$V$89,6,0),ROW(IDX_COMPOSITION!$R$2:$R$441)),ROW($B44)-ROW($B$11))),"")</f>
        <v>#N/A</v>
      </c>
      <c r="H44" s="59" t="e">
        <f t="array" ref="H44">IF($A44&lt;&gt;"",INDEX(IDX_COMPOSITION!$K$1:$K$123,SMALL(IF(IDX_COMPOSITION!$R$2:$R$441=VLOOKUP($A$5,IDX_SPECS!$B$2:$V$89,6,0),ROW(IDX_COMPOSITION!$R$2:$R$441)),ROW($B44)-ROW($B$11))),"")</f>
        <v>#N/A</v>
      </c>
    </row>
    <row r="45" spans="1:8" ht="15" customHeight="1" x14ac:dyDescent="0.2">
      <c r="A45" s="20" t="e">
        <f>IF(ROW(A45)-ROW($A$11)&lt;=VLOOKUP($A$5,IDX_SPECS!$B$2:$V$1048576,12,0),ROW(A45)-ROW($A$11),"")</f>
        <v>#N/A</v>
      </c>
      <c r="B45" s="20" t="e">
        <f t="array" ref="B45">IF($A45&lt;&gt;"",INDEX(IDX_COMPOSITION!$A$1:$A$123,SMALL(IF(IDX_COMPOSITION!$R$2:$R$441=VLOOKUP($A$5,IDX_SPECS!$B$2:$V$89,6,0),ROW(IDX_COMPOSITION!$R$2:$R$441)),ROW($A45)-ROW($A$11))),"")</f>
        <v>#N/A</v>
      </c>
      <c r="C45" s="56" t="e">
        <f t="array" ref="C45">IF($A45&lt;&gt;"",INDEX(IDX_COMPOSITION!$B$1:$B$123,SMALL(IF(IDX_COMPOSITION!$R$2:$R$441=VLOOKUP($A$5,IDX_SPECS!$B$2:$V$89,6,0),ROW(IDX_COMPOSITION!$R$2:$R$441)),ROW($B45)-ROW($B$11))),"")</f>
        <v>#N/A</v>
      </c>
      <c r="D45" s="57" t="e">
        <f t="array" ref="D45">IF($A45&lt;&gt;"",INDEX(IDX_COMPOSITION!$C$1:$C$123,SMALL(IF(IDX_COMPOSITION!$R$2:$R$441=VLOOKUP($A$5,IDX_SPECS!$B$2:$V$89,6,0),ROW(IDX_COMPOSITION!$R$2:$R$441)),ROW($B45)-ROW($B$11))),"")</f>
        <v>#N/A</v>
      </c>
      <c r="E45" s="57" t="e">
        <f t="array" ref="E45">IF($A45&lt;&gt;"",INDEX(IDX_COMPOSITION!$D$1:$D$123,SMALL(IF(IDX_COMPOSITION!$R$2:$R$441=VLOOKUP($A$5,IDX_SPECS!$B$2:$V$89,6,0),ROW(IDX_COMPOSITION!$R$2:$R$441)),ROW($B45)-ROW($B$11))),"")</f>
        <v>#N/A</v>
      </c>
      <c r="F45" s="57" t="e">
        <f t="array" ref="F45">IF($A45&lt;&gt;"",INDEX(IDX_COMPOSITION!$E$1:$E$123,SMALL(IF(IDX_COMPOSITION!$R$2:$R$441=VLOOKUP($A$5,IDX_SPECS!$B$2:$V$89,6,0),ROW(IDX_COMPOSITION!$R$2:$R$441)),ROW($B45)-ROW($B$11))),"")</f>
        <v>#N/A</v>
      </c>
      <c r="G45" s="58" t="e">
        <f t="array" ref="G45">IF($A45&lt;&gt;"",INDEX(IDX_COMPOSITION!$F$1:$F$123,SMALL(IF(IDX_COMPOSITION!$R$2:$R$441=VLOOKUP($A$5,IDX_SPECS!$B$2:$V$89,6,0),ROW(IDX_COMPOSITION!$R$2:$R$441)),ROW($B45)-ROW($B$11))),"")</f>
        <v>#N/A</v>
      </c>
      <c r="H45" s="59" t="e">
        <f t="array" ref="H45">IF($A45&lt;&gt;"",INDEX(IDX_COMPOSITION!$K$1:$K$123,SMALL(IF(IDX_COMPOSITION!$R$2:$R$441=VLOOKUP($A$5,IDX_SPECS!$B$2:$V$89,6,0),ROW(IDX_COMPOSITION!$R$2:$R$441)),ROW($B45)-ROW($B$11))),"")</f>
        <v>#N/A</v>
      </c>
    </row>
    <row r="46" spans="1:8" ht="15" customHeight="1" x14ac:dyDescent="0.2">
      <c r="A46" s="20" t="e">
        <f>IF(ROW(A46)-ROW($A$11)&lt;=VLOOKUP($A$5,IDX_SPECS!$B$2:$V$1048576,12,0),ROW(A46)-ROW($A$11),"")</f>
        <v>#N/A</v>
      </c>
      <c r="B46" s="20" t="e">
        <f t="array" ref="B46">IF($A46&lt;&gt;"",INDEX(IDX_COMPOSITION!$A$1:$A$123,SMALL(IF(IDX_COMPOSITION!$R$2:$R$441=VLOOKUP($A$5,IDX_SPECS!$B$2:$V$89,6,0),ROW(IDX_COMPOSITION!$R$2:$R$441)),ROW($A46)-ROW($A$11))),"")</f>
        <v>#N/A</v>
      </c>
      <c r="C46" s="56" t="e">
        <f t="array" ref="C46">IF($A46&lt;&gt;"",INDEX(IDX_COMPOSITION!$B$1:$B$123,SMALL(IF(IDX_COMPOSITION!$R$2:$R$441=VLOOKUP($A$5,IDX_SPECS!$B$2:$V$89,6,0),ROW(IDX_COMPOSITION!$R$2:$R$441)),ROW($B46)-ROW($B$11))),"")</f>
        <v>#N/A</v>
      </c>
      <c r="D46" s="57" t="e">
        <f t="array" ref="D46">IF($A46&lt;&gt;"",INDEX(IDX_COMPOSITION!$C$1:$C$123,SMALL(IF(IDX_COMPOSITION!$R$2:$R$441=VLOOKUP($A$5,IDX_SPECS!$B$2:$V$89,6,0),ROW(IDX_COMPOSITION!$R$2:$R$441)),ROW($B46)-ROW($B$11))),"")</f>
        <v>#N/A</v>
      </c>
      <c r="E46" s="57" t="e">
        <f t="array" ref="E46">IF($A46&lt;&gt;"",INDEX(IDX_COMPOSITION!$D$1:$D$123,SMALL(IF(IDX_COMPOSITION!$R$2:$R$441=VLOOKUP($A$5,IDX_SPECS!$B$2:$V$89,6,0),ROW(IDX_COMPOSITION!$R$2:$R$441)),ROW($B46)-ROW($B$11))),"")</f>
        <v>#N/A</v>
      </c>
      <c r="F46" s="57" t="e">
        <f t="array" ref="F46">IF($A46&lt;&gt;"",INDEX(IDX_COMPOSITION!$E$1:$E$123,SMALL(IF(IDX_COMPOSITION!$R$2:$R$441=VLOOKUP($A$5,IDX_SPECS!$B$2:$V$89,6,0),ROW(IDX_COMPOSITION!$R$2:$R$441)),ROW($B46)-ROW($B$11))),"")</f>
        <v>#N/A</v>
      </c>
      <c r="G46" s="58" t="e">
        <f t="array" ref="G46">IF($A46&lt;&gt;"",INDEX(IDX_COMPOSITION!$F$1:$F$123,SMALL(IF(IDX_COMPOSITION!$R$2:$R$441=VLOOKUP($A$5,IDX_SPECS!$B$2:$V$89,6,0),ROW(IDX_COMPOSITION!$R$2:$R$441)),ROW($B46)-ROW($B$11))),"")</f>
        <v>#N/A</v>
      </c>
      <c r="H46" s="59" t="e">
        <f t="array" ref="H46">IF($A46&lt;&gt;"",INDEX(IDX_COMPOSITION!$K$1:$K$123,SMALL(IF(IDX_COMPOSITION!$R$2:$R$441=VLOOKUP($A$5,IDX_SPECS!$B$2:$V$89,6,0),ROW(IDX_COMPOSITION!$R$2:$R$441)),ROW($B46)-ROW($B$11))),"")</f>
        <v>#N/A</v>
      </c>
    </row>
    <row r="47" spans="1:8" ht="15" customHeight="1" x14ac:dyDescent="0.2">
      <c r="A47" s="20" t="e">
        <f>IF(ROW(A47)-ROW($A$11)&lt;=VLOOKUP($A$5,IDX_SPECS!$B$2:$V$1048576,12,0),ROW(A47)-ROW($A$11),"")</f>
        <v>#N/A</v>
      </c>
      <c r="B47" s="20" t="e">
        <f t="array" ref="B47">IF($A47&lt;&gt;"",INDEX(IDX_COMPOSITION!$A$1:$A$123,SMALL(IF(IDX_COMPOSITION!$R$2:$R$441=VLOOKUP($A$5,IDX_SPECS!$B$2:$V$89,6,0),ROW(IDX_COMPOSITION!$R$2:$R$441)),ROW($A47)-ROW($A$11))),"")</f>
        <v>#N/A</v>
      </c>
      <c r="C47" s="56" t="e">
        <f t="array" ref="C47">IF($A47&lt;&gt;"",INDEX(IDX_COMPOSITION!$B$1:$B$123,SMALL(IF(IDX_COMPOSITION!$R$2:$R$441=VLOOKUP($A$5,IDX_SPECS!$B$2:$V$89,6,0),ROW(IDX_COMPOSITION!$R$2:$R$441)),ROW($B47)-ROW($B$11))),"")</f>
        <v>#N/A</v>
      </c>
      <c r="D47" s="57" t="e">
        <f t="array" ref="D47">IF($A47&lt;&gt;"",INDEX(IDX_COMPOSITION!$C$1:$C$123,SMALL(IF(IDX_COMPOSITION!$R$2:$R$441=VLOOKUP($A$5,IDX_SPECS!$B$2:$V$89,6,0),ROW(IDX_COMPOSITION!$R$2:$R$441)),ROW($B47)-ROW($B$11))),"")</f>
        <v>#N/A</v>
      </c>
      <c r="E47" s="57" t="e">
        <f t="array" ref="E47">IF($A47&lt;&gt;"",INDEX(IDX_COMPOSITION!$D$1:$D$123,SMALL(IF(IDX_COMPOSITION!$R$2:$R$441=VLOOKUP($A$5,IDX_SPECS!$B$2:$V$89,6,0),ROW(IDX_COMPOSITION!$R$2:$R$441)),ROW($B47)-ROW($B$11))),"")</f>
        <v>#N/A</v>
      </c>
      <c r="F47" s="57" t="e">
        <f t="array" ref="F47">IF($A47&lt;&gt;"",INDEX(IDX_COMPOSITION!$E$1:$E$123,SMALL(IF(IDX_COMPOSITION!$R$2:$R$441=VLOOKUP($A$5,IDX_SPECS!$B$2:$V$89,6,0),ROW(IDX_COMPOSITION!$R$2:$R$441)),ROW($B47)-ROW($B$11))),"")</f>
        <v>#N/A</v>
      </c>
      <c r="G47" s="58" t="e">
        <f t="array" ref="G47">IF($A47&lt;&gt;"",INDEX(IDX_COMPOSITION!$F$1:$F$123,SMALL(IF(IDX_COMPOSITION!$R$2:$R$441=VLOOKUP($A$5,IDX_SPECS!$B$2:$V$89,6,0),ROW(IDX_COMPOSITION!$R$2:$R$441)),ROW($B47)-ROW($B$11))),"")</f>
        <v>#N/A</v>
      </c>
      <c r="H47" s="59" t="e">
        <f t="array" ref="H47">IF($A47&lt;&gt;"",INDEX(IDX_COMPOSITION!$K$1:$K$123,SMALL(IF(IDX_COMPOSITION!$R$2:$R$441=VLOOKUP($A$5,IDX_SPECS!$B$2:$V$89,6,0),ROW(IDX_COMPOSITION!$R$2:$R$441)),ROW($B47)-ROW($B$11))),"")</f>
        <v>#N/A</v>
      </c>
    </row>
    <row r="48" spans="1:8" ht="15" customHeight="1" x14ac:dyDescent="0.2">
      <c r="A48" s="20" t="e">
        <f>IF(ROW(A48)-ROW($A$11)&lt;=VLOOKUP($A$5,IDX_SPECS!$B$2:$V$1048576,12,0),ROW(A48)-ROW($A$11),"")</f>
        <v>#N/A</v>
      </c>
      <c r="B48" s="20" t="e">
        <f t="array" ref="B48">IF($A48&lt;&gt;"",INDEX(IDX_COMPOSITION!$A$1:$A$123,SMALL(IF(IDX_COMPOSITION!$R$2:$R$441=VLOOKUP($A$5,IDX_SPECS!$B$2:$V$89,6,0),ROW(IDX_COMPOSITION!$R$2:$R$441)),ROW($A48)-ROW($A$11))),"")</f>
        <v>#N/A</v>
      </c>
      <c r="C48" s="56" t="e">
        <f t="array" ref="C48">IF($A48&lt;&gt;"",INDEX(IDX_COMPOSITION!$B$1:$B$123,SMALL(IF(IDX_COMPOSITION!$R$2:$R$441=VLOOKUP($A$5,IDX_SPECS!$B$2:$V$89,6,0),ROW(IDX_COMPOSITION!$R$2:$R$441)),ROW($B48)-ROW($B$11))),"")</f>
        <v>#N/A</v>
      </c>
      <c r="D48" s="57" t="e">
        <f t="array" ref="D48">IF($A48&lt;&gt;"",INDEX(IDX_COMPOSITION!$C$1:$C$123,SMALL(IF(IDX_COMPOSITION!$R$2:$R$441=VLOOKUP($A$5,IDX_SPECS!$B$2:$V$89,6,0),ROW(IDX_COMPOSITION!$R$2:$R$441)),ROW($B48)-ROW($B$11))),"")</f>
        <v>#N/A</v>
      </c>
      <c r="E48" s="57" t="e">
        <f t="array" ref="E48">IF($A48&lt;&gt;"",INDEX(IDX_COMPOSITION!$D$1:$D$123,SMALL(IF(IDX_COMPOSITION!$R$2:$R$441=VLOOKUP($A$5,IDX_SPECS!$B$2:$V$89,6,0),ROW(IDX_COMPOSITION!$R$2:$R$441)),ROW($B48)-ROW($B$11))),"")</f>
        <v>#N/A</v>
      </c>
      <c r="F48" s="57" t="e">
        <f t="array" ref="F48">IF($A48&lt;&gt;"",INDEX(IDX_COMPOSITION!$E$1:$E$123,SMALL(IF(IDX_COMPOSITION!$R$2:$R$441=VLOOKUP($A$5,IDX_SPECS!$B$2:$V$89,6,0),ROW(IDX_COMPOSITION!$R$2:$R$441)),ROW($B48)-ROW($B$11))),"")</f>
        <v>#N/A</v>
      </c>
      <c r="G48" s="58" t="e">
        <f t="array" ref="G48">IF($A48&lt;&gt;"",INDEX(IDX_COMPOSITION!$F$1:$F$123,SMALL(IF(IDX_COMPOSITION!$R$2:$R$441=VLOOKUP($A$5,IDX_SPECS!$B$2:$V$89,6,0),ROW(IDX_COMPOSITION!$R$2:$R$441)),ROW($B48)-ROW($B$11))),"")</f>
        <v>#N/A</v>
      </c>
      <c r="H48" s="59" t="e">
        <f t="array" ref="H48">IF($A48&lt;&gt;"",INDEX(IDX_COMPOSITION!$K$1:$K$123,SMALL(IF(IDX_COMPOSITION!$R$2:$R$441=VLOOKUP($A$5,IDX_SPECS!$B$2:$V$89,6,0),ROW(IDX_COMPOSITION!$R$2:$R$441)),ROW($B48)-ROW($B$11))),"")</f>
        <v>#N/A</v>
      </c>
    </row>
    <row r="49" spans="1:8" ht="15" customHeight="1" x14ac:dyDescent="0.2">
      <c r="A49" s="20" t="e">
        <f>IF(ROW(A49)-ROW($A$11)&lt;=VLOOKUP($A$5,IDX_SPECS!$B$2:$V$1048576,12,0),ROW(A49)-ROW($A$11),"")</f>
        <v>#N/A</v>
      </c>
      <c r="B49" s="20" t="e">
        <f t="array" ref="B49">IF($A49&lt;&gt;"",INDEX(IDX_COMPOSITION!$A$1:$A$123,SMALL(IF(IDX_COMPOSITION!$R$2:$R$441=VLOOKUP($A$5,IDX_SPECS!$B$2:$V$89,6,0),ROW(IDX_COMPOSITION!$R$2:$R$441)),ROW($A49)-ROW($A$11))),"")</f>
        <v>#N/A</v>
      </c>
      <c r="C49" s="56" t="e">
        <f t="array" ref="C49">IF($A49&lt;&gt;"",INDEX(IDX_COMPOSITION!$B$1:$B$123,SMALL(IF(IDX_COMPOSITION!$R$2:$R$441=VLOOKUP($A$5,IDX_SPECS!$B$2:$V$89,6,0),ROW(IDX_COMPOSITION!$R$2:$R$441)),ROW($B49)-ROW($B$11))),"")</f>
        <v>#N/A</v>
      </c>
      <c r="D49" s="57" t="e">
        <f t="array" ref="D49">IF($A49&lt;&gt;"",INDEX(IDX_COMPOSITION!$C$1:$C$123,SMALL(IF(IDX_COMPOSITION!$R$2:$R$441=VLOOKUP($A$5,IDX_SPECS!$B$2:$V$89,6,0),ROW(IDX_COMPOSITION!$R$2:$R$441)),ROW($B49)-ROW($B$11))),"")</f>
        <v>#N/A</v>
      </c>
      <c r="E49" s="57" t="e">
        <f t="array" ref="E49">IF($A49&lt;&gt;"",INDEX(IDX_COMPOSITION!$D$1:$D$123,SMALL(IF(IDX_COMPOSITION!$R$2:$R$441=VLOOKUP($A$5,IDX_SPECS!$B$2:$V$89,6,0),ROW(IDX_COMPOSITION!$R$2:$R$441)),ROW($B49)-ROW($B$11))),"")</f>
        <v>#N/A</v>
      </c>
      <c r="F49" s="57" t="e">
        <f t="array" ref="F49">IF($A49&lt;&gt;"",INDEX(IDX_COMPOSITION!$E$1:$E$123,SMALL(IF(IDX_COMPOSITION!$R$2:$R$441=VLOOKUP($A$5,IDX_SPECS!$B$2:$V$89,6,0),ROW(IDX_COMPOSITION!$R$2:$R$441)),ROW($B49)-ROW($B$11))),"")</f>
        <v>#N/A</v>
      </c>
      <c r="G49" s="58" t="e">
        <f t="array" ref="G49">IF($A49&lt;&gt;"",INDEX(IDX_COMPOSITION!$F$1:$F$123,SMALL(IF(IDX_COMPOSITION!$R$2:$R$441=VLOOKUP($A$5,IDX_SPECS!$B$2:$V$89,6,0),ROW(IDX_COMPOSITION!$R$2:$R$441)),ROW($B49)-ROW($B$11))),"")</f>
        <v>#N/A</v>
      </c>
      <c r="H49" s="59" t="e">
        <f t="array" ref="H49">IF($A49&lt;&gt;"",INDEX(IDX_COMPOSITION!$K$1:$K$123,SMALL(IF(IDX_COMPOSITION!$R$2:$R$441=VLOOKUP($A$5,IDX_SPECS!$B$2:$V$89,6,0),ROW(IDX_COMPOSITION!$R$2:$R$441)),ROW($B49)-ROW($B$11))),"")</f>
        <v>#N/A</v>
      </c>
    </row>
    <row r="50" spans="1:8" ht="15" customHeight="1" x14ac:dyDescent="0.2">
      <c r="A50" s="20" t="e">
        <f>IF(ROW(A50)-ROW($A$11)&lt;=VLOOKUP($A$5,IDX_SPECS!$B$2:$V$1048576,12,0),ROW(A50)-ROW($A$11),"")</f>
        <v>#N/A</v>
      </c>
      <c r="B50" s="20" t="e">
        <f t="array" ref="B50">IF($A50&lt;&gt;"",INDEX(IDX_COMPOSITION!$A$1:$A$123,SMALL(IF(IDX_COMPOSITION!$R$2:$R$441=VLOOKUP($A$5,IDX_SPECS!$B$2:$V$89,6,0),ROW(IDX_COMPOSITION!$R$2:$R$441)),ROW($A50)-ROW($A$11))),"")</f>
        <v>#N/A</v>
      </c>
      <c r="C50" s="56" t="e">
        <f t="array" ref="C50">IF($A50&lt;&gt;"",INDEX(IDX_COMPOSITION!$B$1:$B$123,SMALL(IF(IDX_COMPOSITION!$R$2:$R$441=VLOOKUP($A$5,IDX_SPECS!$B$2:$V$89,6,0),ROW(IDX_COMPOSITION!$R$2:$R$441)),ROW($B50)-ROW($B$11))),"")</f>
        <v>#N/A</v>
      </c>
      <c r="D50" s="57" t="e">
        <f t="array" ref="D50">IF($A50&lt;&gt;"",INDEX(IDX_COMPOSITION!$C$1:$C$123,SMALL(IF(IDX_COMPOSITION!$R$2:$R$441=VLOOKUP($A$5,IDX_SPECS!$B$2:$V$89,6,0),ROW(IDX_COMPOSITION!$R$2:$R$441)),ROW($B50)-ROW($B$11))),"")</f>
        <v>#N/A</v>
      </c>
      <c r="E50" s="57" t="e">
        <f t="array" ref="E50">IF($A50&lt;&gt;"",INDEX(IDX_COMPOSITION!$D$1:$D$123,SMALL(IF(IDX_COMPOSITION!$R$2:$R$441=VLOOKUP($A$5,IDX_SPECS!$B$2:$V$89,6,0),ROW(IDX_COMPOSITION!$R$2:$R$441)),ROW($B50)-ROW($B$11))),"")</f>
        <v>#N/A</v>
      </c>
      <c r="F50" s="57" t="e">
        <f t="array" ref="F50">IF($A50&lt;&gt;"",INDEX(IDX_COMPOSITION!$E$1:$E$123,SMALL(IF(IDX_COMPOSITION!$R$2:$R$441=VLOOKUP($A$5,IDX_SPECS!$B$2:$V$89,6,0),ROW(IDX_COMPOSITION!$R$2:$R$441)),ROW($B50)-ROW($B$11))),"")</f>
        <v>#N/A</v>
      </c>
      <c r="G50" s="58" t="e">
        <f t="array" ref="G50">IF($A50&lt;&gt;"",INDEX(IDX_COMPOSITION!$F$1:$F$123,SMALL(IF(IDX_COMPOSITION!$R$2:$R$441=VLOOKUP($A$5,IDX_SPECS!$B$2:$V$89,6,0),ROW(IDX_COMPOSITION!$R$2:$R$441)),ROW($B50)-ROW($B$11))),"")</f>
        <v>#N/A</v>
      </c>
      <c r="H50" s="59" t="e">
        <f t="array" ref="H50">IF($A50&lt;&gt;"",INDEX(IDX_COMPOSITION!$K$1:$K$123,SMALL(IF(IDX_COMPOSITION!$R$2:$R$441=VLOOKUP($A$5,IDX_SPECS!$B$2:$V$89,6,0),ROW(IDX_COMPOSITION!$R$2:$R$441)),ROW($B50)-ROW($B$11))),"")</f>
        <v>#N/A</v>
      </c>
    </row>
    <row r="51" spans="1:8" ht="15" customHeight="1" x14ac:dyDescent="0.2">
      <c r="A51" s="20" t="e">
        <f>IF(ROW(A51)-ROW($A$11)&lt;=VLOOKUP($A$5,IDX_SPECS!$B$2:$V$1048576,12,0),ROW(A51)-ROW($A$11),"")</f>
        <v>#N/A</v>
      </c>
      <c r="B51" s="20" t="e">
        <f t="array" ref="B51">IF($A51&lt;&gt;"",INDEX(IDX_COMPOSITION!$A$1:$A$123,SMALL(IF(IDX_COMPOSITION!$R$2:$R$441=VLOOKUP($A$5,IDX_SPECS!$B$2:$V$89,6,0),ROW(IDX_COMPOSITION!$R$2:$R$441)),ROW($A51)-ROW($A$11))),"")</f>
        <v>#N/A</v>
      </c>
      <c r="C51" s="56" t="e">
        <f t="array" ref="C51">IF($A51&lt;&gt;"",INDEX(IDX_COMPOSITION!$B$1:$B$123,SMALL(IF(IDX_COMPOSITION!$R$2:$R$441=VLOOKUP($A$5,IDX_SPECS!$B$2:$V$89,6,0),ROW(IDX_COMPOSITION!$R$2:$R$441)),ROW($B51)-ROW($B$11))),"")</f>
        <v>#N/A</v>
      </c>
      <c r="D51" s="57" t="e">
        <f t="array" ref="D51">IF($A51&lt;&gt;"",INDEX(IDX_COMPOSITION!$C$1:$C$123,SMALL(IF(IDX_COMPOSITION!$R$2:$R$441=VLOOKUP($A$5,IDX_SPECS!$B$2:$V$89,6,0),ROW(IDX_COMPOSITION!$R$2:$R$441)),ROW($B51)-ROW($B$11))),"")</f>
        <v>#N/A</v>
      </c>
      <c r="E51" s="57" t="e">
        <f t="array" ref="E51">IF($A51&lt;&gt;"",INDEX(IDX_COMPOSITION!$D$1:$D$123,SMALL(IF(IDX_COMPOSITION!$R$2:$R$441=VLOOKUP($A$5,IDX_SPECS!$B$2:$V$89,6,0),ROW(IDX_COMPOSITION!$R$2:$R$441)),ROW($B51)-ROW($B$11))),"")</f>
        <v>#N/A</v>
      </c>
      <c r="F51" s="57" t="e">
        <f t="array" ref="F51">IF($A51&lt;&gt;"",INDEX(IDX_COMPOSITION!$E$1:$E$123,SMALL(IF(IDX_COMPOSITION!$R$2:$R$441=VLOOKUP($A$5,IDX_SPECS!$B$2:$V$89,6,0),ROW(IDX_COMPOSITION!$R$2:$R$441)),ROW($B51)-ROW($B$11))),"")</f>
        <v>#N/A</v>
      </c>
      <c r="G51" s="58" t="e">
        <f t="array" ref="G51">IF($A51&lt;&gt;"",INDEX(IDX_COMPOSITION!$F$1:$F$123,SMALL(IF(IDX_COMPOSITION!$R$2:$R$441=VLOOKUP($A$5,IDX_SPECS!$B$2:$V$89,6,0),ROW(IDX_COMPOSITION!$R$2:$R$441)),ROW($B51)-ROW($B$11))),"")</f>
        <v>#N/A</v>
      </c>
      <c r="H51" s="59" t="e">
        <f t="array" ref="H51">IF($A51&lt;&gt;"",INDEX(IDX_COMPOSITION!$K$1:$K$123,SMALL(IF(IDX_COMPOSITION!$R$2:$R$441=VLOOKUP($A$5,IDX_SPECS!$B$2:$V$89,6,0),ROW(IDX_COMPOSITION!$R$2:$R$441)),ROW($B51)-ROW($B$11))),"")</f>
        <v>#N/A</v>
      </c>
    </row>
    <row r="52" spans="1:8" ht="15" customHeight="1" x14ac:dyDescent="0.2">
      <c r="A52" s="20" t="e">
        <f>IF(ROW(A52)-ROW($A$11)&lt;=VLOOKUP($A$5,IDX_SPECS!$B$2:$V$1048576,12,0),ROW(A52)-ROW($A$11),"")</f>
        <v>#N/A</v>
      </c>
      <c r="B52" s="20" t="e">
        <f t="array" ref="B52">IF($A52&lt;&gt;"",INDEX(IDX_COMPOSITION!$A$1:$A$123,SMALL(IF(IDX_COMPOSITION!$R$2:$R$441=VLOOKUP($A$5,IDX_SPECS!$B$2:$V$89,6,0),ROW(IDX_COMPOSITION!$R$2:$R$441)),ROW($A52)-ROW($A$11))),"")</f>
        <v>#N/A</v>
      </c>
      <c r="C52" s="56" t="e">
        <f t="array" ref="C52">IF($A52&lt;&gt;"",INDEX(IDX_COMPOSITION!$B$1:$B$123,SMALL(IF(IDX_COMPOSITION!$R$2:$R$441=VLOOKUP($A$5,IDX_SPECS!$B$2:$V$89,6,0),ROW(IDX_COMPOSITION!$R$2:$R$441)),ROW($B52)-ROW($B$11))),"")</f>
        <v>#N/A</v>
      </c>
      <c r="D52" s="57" t="e">
        <f t="array" ref="D52">IF($A52&lt;&gt;"",INDEX(IDX_COMPOSITION!$C$1:$C$123,SMALL(IF(IDX_COMPOSITION!$R$2:$R$441=VLOOKUP($A$5,IDX_SPECS!$B$2:$V$89,6,0),ROW(IDX_COMPOSITION!$R$2:$R$441)),ROW($B52)-ROW($B$11))),"")</f>
        <v>#N/A</v>
      </c>
      <c r="E52" s="57" t="e">
        <f t="array" ref="E52">IF($A52&lt;&gt;"",INDEX(IDX_COMPOSITION!$D$1:$D$123,SMALL(IF(IDX_COMPOSITION!$R$2:$R$441=VLOOKUP($A$5,IDX_SPECS!$B$2:$V$89,6,0),ROW(IDX_COMPOSITION!$R$2:$R$441)),ROW($B52)-ROW($B$11))),"")</f>
        <v>#N/A</v>
      </c>
      <c r="F52" s="57" t="e">
        <f t="array" ref="F52">IF($A52&lt;&gt;"",INDEX(IDX_COMPOSITION!$E$1:$E$123,SMALL(IF(IDX_COMPOSITION!$R$2:$R$441=VLOOKUP($A$5,IDX_SPECS!$B$2:$V$89,6,0),ROW(IDX_COMPOSITION!$R$2:$R$441)),ROW($B52)-ROW($B$11))),"")</f>
        <v>#N/A</v>
      </c>
      <c r="G52" s="58" t="e">
        <f t="array" ref="G52">IF($A52&lt;&gt;"",INDEX(IDX_COMPOSITION!$F$1:$F$123,SMALL(IF(IDX_COMPOSITION!$R$2:$R$441=VLOOKUP($A$5,IDX_SPECS!$B$2:$V$89,6,0),ROW(IDX_COMPOSITION!$R$2:$R$441)),ROW($B52)-ROW($B$11))),"")</f>
        <v>#N/A</v>
      </c>
      <c r="H52" s="59" t="e">
        <f t="array" ref="H52">IF($A52&lt;&gt;"",INDEX(IDX_COMPOSITION!$K$1:$K$123,SMALL(IF(IDX_COMPOSITION!$R$2:$R$441=VLOOKUP($A$5,IDX_SPECS!$B$2:$V$89,6,0),ROW(IDX_COMPOSITION!$R$2:$R$441)),ROW($B52)-ROW($B$11))),"")</f>
        <v>#N/A</v>
      </c>
    </row>
    <row r="53" spans="1:8" ht="15" customHeight="1" x14ac:dyDescent="0.2">
      <c r="A53" s="20" t="e">
        <f>IF(ROW(A53)-ROW($A$11)&lt;=VLOOKUP($A$5,IDX_SPECS!$B$2:$V$1048576,12,0),ROW(A53)-ROW($A$11),"")</f>
        <v>#N/A</v>
      </c>
      <c r="B53" s="20" t="e">
        <f t="array" ref="B53">IF($A53&lt;&gt;"",INDEX(IDX_COMPOSITION!$A$1:$A$123,SMALL(IF(IDX_COMPOSITION!$R$2:$R$441=VLOOKUP($A$5,IDX_SPECS!$B$2:$V$89,6,0),ROW(IDX_COMPOSITION!$R$2:$R$441)),ROW($A53)-ROW($A$11))),"")</f>
        <v>#N/A</v>
      </c>
      <c r="C53" s="56" t="e">
        <f t="array" ref="C53">IF($A53&lt;&gt;"",INDEX(IDX_COMPOSITION!$B$1:$B$123,SMALL(IF(IDX_COMPOSITION!$R$2:$R$441=VLOOKUP($A$5,IDX_SPECS!$B$2:$V$89,6,0),ROW(IDX_COMPOSITION!$R$2:$R$441)),ROW($B53)-ROW($B$11))),"")</f>
        <v>#N/A</v>
      </c>
      <c r="D53" s="57" t="e">
        <f t="array" ref="D53">IF($A53&lt;&gt;"",INDEX(IDX_COMPOSITION!$C$1:$C$123,SMALL(IF(IDX_COMPOSITION!$R$2:$R$441=VLOOKUP($A$5,IDX_SPECS!$B$2:$V$89,6,0),ROW(IDX_COMPOSITION!$R$2:$R$441)),ROW($B53)-ROW($B$11))),"")</f>
        <v>#N/A</v>
      </c>
      <c r="E53" s="57" t="e">
        <f t="array" ref="E53">IF($A53&lt;&gt;"",INDEX(IDX_COMPOSITION!$D$1:$D$123,SMALL(IF(IDX_COMPOSITION!$R$2:$R$441=VLOOKUP($A$5,IDX_SPECS!$B$2:$V$89,6,0),ROW(IDX_COMPOSITION!$R$2:$R$441)),ROW($B53)-ROW($B$11))),"")</f>
        <v>#N/A</v>
      </c>
      <c r="F53" s="57" t="e">
        <f t="array" ref="F53">IF($A53&lt;&gt;"",INDEX(IDX_COMPOSITION!$E$1:$E$123,SMALL(IF(IDX_COMPOSITION!$R$2:$R$441=VLOOKUP($A$5,IDX_SPECS!$B$2:$V$89,6,0),ROW(IDX_COMPOSITION!$R$2:$R$441)),ROW($B53)-ROW($B$11))),"")</f>
        <v>#N/A</v>
      </c>
      <c r="G53" s="58" t="e">
        <f t="array" ref="G53">IF($A53&lt;&gt;"",INDEX(IDX_COMPOSITION!$F$1:$F$123,SMALL(IF(IDX_COMPOSITION!$R$2:$R$441=VLOOKUP($A$5,IDX_SPECS!$B$2:$V$89,6,0),ROW(IDX_COMPOSITION!$R$2:$R$441)),ROW($B53)-ROW($B$11))),"")</f>
        <v>#N/A</v>
      </c>
      <c r="H53" s="59" t="e">
        <f t="array" ref="H53">IF($A53&lt;&gt;"",INDEX(IDX_COMPOSITION!$K$1:$K$123,SMALL(IF(IDX_COMPOSITION!$R$2:$R$441=VLOOKUP($A$5,IDX_SPECS!$B$2:$V$89,6,0),ROW(IDX_COMPOSITION!$R$2:$R$441)),ROW($B53)-ROW($B$11))),"")</f>
        <v>#N/A</v>
      </c>
    </row>
    <row r="54" spans="1:8" ht="15" customHeight="1" x14ac:dyDescent="0.2">
      <c r="A54" s="20" t="e">
        <f>IF(ROW(A54)-ROW($A$11)&lt;=VLOOKUP($A$5,IDX_SPECS!$B$2:$V$1048576,12,0),ROW(A54)-ROW($A$11),"")</f>
        <v>#N/A</v>
      </c>
      <c r="B54" s="20" t="e">
        <f t="array" ref="B54">IF($A54&lt;&gt;"",INDEX(IDX_COMPOSITION!$A$1:$A$123,SMALL(IF(IDX_COMPOSITION!$R$2:$R$441=VLOOKUP($A$5,IDX_SPECS!$B$2:$V$89,6,0),ROW(IDX_COMPOSITION!$R$2:$R$441)),ROW($A54)-ROW($A$11))),"")</f>
        <v>#N/A</v>
      </c>
      <c r="C54" s="56" t="e">
        <f t="array" ref="C54">IF($A54&lt;&gt;"",INDEX(IDX_COMPOSITION!$B$1:$B$123,SMALL(IF(IDX_COMPOSITION!$R$2:$R$441=VLOOKUP($A$5,IDX_SPECS!$B$2:$V$89,6,0),ROW(IDX_COMPOSITION!$R$2:$R$441)),ROW($B54)-ROW($B$11))),"")</f>
        <v>#N/A</v>
      </c>
      <c r="D54" s="57" t="e">
        <f t="array" ref="D54">IF($A54&lt;&gt;"",INDEX(IDX_COMPOSITION!$C$1:$C$123,SMALL(IF(IDX_COMPOSITION!$R$2:$R$441=VLOOKUP($A$5,IDX_SPECS!$B$2:$V$89,6,0),ROW(IDX_COMPOSITION!$R$2:$R$441)),ROW($B54)-ROW($B$11))),"")</f>
        <v>#N/A</v>
      </c>
      <c r="E54" s="57" t="e">
        <f t="array" ref="E54">IF($A54&lt;&gt;"",INDEX(IDX_COMPOSITION!$D$1:$D$123,SMALL(IF(IDX_COMPOSITION!$R$2:$R$441=VLOOKUP($A$5,IDX_SPECS!$B$2:$V$89,6,0),ROW(IDX_COMPOSITION!$R$2:$R$441)),ROW($B54)-ROW($B$11))),"")</f>
        <v>#N/A</v>
      </c>
      <c r="F54" s="57" t="e">
        <f t="array" ref="F54">IF($A54&lt;&gt;"",INDEX(IDX_COMPOSITION!$E$1:$E$123,SMALL(IF(IDX_COMPOSITION!$R$2:$R$441=VLOOKUP($A$5,IDX_SPECS!$B$2:$V$89,6,0),ROW(IDX_COMPOSITION!$R$2:$R$441)),ROW($B54)-ROW($B$11))),"")</f>
        <v>#N/A</v>
      </c>
      <c r="G54" s="58" t="e">
        <f t="array" ref="G54">IF($A54&lt;&gt;"",INDEX(IDX_COMPOSITION!$F$1:$F$123,SMALL(IF(IDX_COMPOSITION!$R$2:$R$441=VLOOKUP($A$5,IDX_SPECS!$B$2:$V$89,6,0),ROW(IDX_COMPOSITION!$R$2:$R$441)),ROW($B54)-ROW($B$11))),"")</f>
        <v>#N/A</v>
      </c>
      <c r="H54" s="59" t="e">
        <f t="array" ref="H54">IF($A54&lt;&gt;"",INDEX(IDX_COMPOSITION!$K$1:$K$123,SMALL(IF(IDX_COMPOSITION!$R$2:$R$441=VLOOKUP($A$5,IDX_SPECS!$B$2:$V$89,6,0),ROW(IDX_COMPOSITION!$R$2:$R$441)),ROW($B54)-ROW($B$11))),"")</f>
        <v>#N/A</v>
      </c>
    </row>
    <row r="55" spans="1:8" ht="15" customHeight="1" x14ac:dyDescent="0.2">
      <c r="A55" s="20" t="e">
        <f>IF(ROW(A55)-ROW($A$11)&lt;=VLOOKUP($A$5,IDX_SPECS!$B$2:$V$1048576,12,0),ROW(A55)-ROW($A$11),"")</f>
        <v>#N/A</v>
      </c>
      <c r="B55" s="20" t="e">
        <f t="array" ref="B55">IF($A55&lt;&gt;"",INDEX(IDX_COMPOSITION!$A$1:$A$123,SMALL(IF(IDX_COMPOSITION!$R$2:$R$441=VLOOKUP($A$5,IDX_SPECS!$B$2:$V$89,6,0),ROW(IDX_COMPOSITION!$R$2:$R$441)),ROW($A55)-ROW($A$11))),"")</f>
        <v>#N/A</v>
      </c>
      <c r="C55" s="56" t="e">
        <f t="array" ref="C55">IF($A55&lt;&gt;"",INDEX(IDX_COMPOSITION!$B$1:$B$123,SMALL(IF(IDX_COMPOSITION!$R$2:$R$441=VLOOKUP($A$5,IDX_SPECS!$B$2:$V$89,6,0),ROW(IDX_COMPOSITION!$R$2:$R$441)),ROW($B55)-ROW($B$11))),"")</f>
        <v>#N/A</v>
      </c>
      <c r="D55" s="57" t="e">
        <f t="array" ref="D55">IF($A55&lt;&gt;"",INDEX(IDX_COMPOSITION!$C$1:$C$123,SMALL(IF(IDX_COMPOSITION!$R$2:$R$441=VLOOKUP($A$5,IDX_SPECS!$B$2:$V$89,6,0),ROW(IDX_COMPOSITION!$R$2:$R$441)),ROW($B55)-ROW($B$11))),"")</f>
        <v>#N/A</v>
      </c>
      <c r="E55" s="57" t="e">
        <f t="array" ref="E55">IF($A55&lt;&gt;"",INDEX(IDX_COMPOSITION!$D$1:$D$123,SMALL(IF(IDX_COMPOSITION!$R$2:$R$441=VLOOKUP($A$5,IDX_SPECS!$B$2:$V$89,6,0),ROW(IDX_COMPOSITION!$R$2:$R$441)),ROW($B55)-ROW($B$11))),"")</f>
        <v>#N/A</v>
      </c>
      <c r="F55" s="57" t="e">
        <f t="array" ref="F55">IF($A55&lt;&gt;"",INDEX(IDX_COMPOSITION!$E$1:$E$123,SMALL(IF(IDX_COMPOSITION!$R$2:$R$441=VLOOKUP($A$5,IDX_SPECS!$B$2:$V$89,6,0),ROW(IDX_COMPOSITION!$R$2:$R$441)),ROW($B55)-ROW($B$11))),"")</f>
        <v>#N/A</v>
      </c>
      <c r="G55" s="58" t="e">
        <f t="array" ref="G55">IF($A55&lt;&gt;"",INDEX(IDX_COMPOSITION!$F$1:$F$123,SMALL(IF(IDX_COMPOSITION!$R$2:$R$441=VLOOKUP($A$5,IDX_SPECS!$B$2:$V$89,6,0),ROW(IDX_COMPOSITION!$R$2:$R$441)),ROW($B55)-ROW($B$11))),"")</f>
        <v>#N/A</v>
      </c>
      <c r="H55" s="59" t="e">
        <f t="array" ref="H55">IF($A55&lt;&gt;"",INDEX(IDX_COMPOSITION!$K$1:$K$123,SMALL(IF(IDX_COMPOSITION!$R$2:$R$441=VLOOKUP($A$5,IDX_SPECS!$B$2:$V$89,6,0),ROW(IDX_COMPOSITION!$R$2:$R$441)),ROW($B55)-ROW($B$11))),"")</f>
        <v>#N/A</v>
      </c>
    </row>
    <row r="56" spans="1:8" ht="15" customHeight="1" x14ac:dyDescent="0.2">
      <c r="A56" s="20" t="e">
        <f>IF(ROW(A56)-ROW($A$11)&lt;=VLOOKUP($A$5,IDX_SPECS!$B$2:$V$1048576,12,0),ROW(A56)-ROW($A$11),"")</f>
        <v>#N/A</v>
      </c>
      <c r="B56" s="20" t="e">
        <f t="array" ref="B56">IF($A56&lt;&gt;"",INDEX(IDX_COMPOSITION!$A$1:$A$123,SMALL(IF(IDX_COMPOSITION!$R$2:$R$441=VLOOKUP($A$5,IDX_SPECS!$B$2:$V$89,6,0),ROW(IDX_COMPOSITION!$R$2:$R$441)),ROW($A56)-ROW($A$11))),"")</f>
        <v>#N/A</v>
      </c>
      <c r="C56" s="56" t="e">
        <f t="array" ref="C56">IF($A56&lt;&gt;"",INDEX(IDX_COMPOSITION!$B$1:$B$123,SMALL(IF(IDX_COMPOSITION!$R$2:$R$441=VLOOKUP($A$5,IDX_SPECS!$B$2:$V$89,6,0),ROW(IDX_COMPOSITION!$R$2:$R$441)),ROW($B56)-ROW($B$11))),"")</f>
        <v>#N/A</v>
      </c>
      <c r="D56" s="57" t="e">
        <f t="array" ref="D56">IF($A56&lt;&gt;"",INDEX(IDX_COMPOSITION!$C$1:$C$123,SMALL(IF(IDX_COMPOSITION!$R$2:$R$441=VLOOKUP($A$5,IDX_SPECS!$B$2:$V$89,6,0),ROW(IDX_COMPOSITION!$R$2:$R$441)),ROW($B56)-ROW($B$11))),"")</f>
        <v>#N/A</v>
      </c>
      <c r="E56" s="57" t="e">
        <f t="array" ref="E56">IF($A56&lt;&gt;"",INDEX(IDX_COMPOSITION!$D$1:$D$123,SMALL(IF(IDX_COMPOSITION!$R$2:$R$441=VLOOKUP($A$5,IDX_SPECS!$B$2:$V$89,6,0),ROW(IDX_COMPOSITION!$R$2:$R$441)),ROW($B56)-ROW($B$11))),"")</f>
        <v>#N/A</v>
      </c>
      <c r="F56" s="57" t="e">
        <f t="array" ref="F56">IF($A56&lt;&gt;"",INDEX(IDX_COMPOSITION!$E$1:$E$123,SMALL(IF(IDX_COMPOSITION!$R$2:$R$441=VLOOKUP($A$5,IDX_SPECS!$B$2:$V$89,6,0),ROW(IDX_COMPOSITION!$R$2:$R$441)),ROW($B56)-ROW($B$11))),"")</f>
        <v>#N/A</v>
      </c>
      <c r="G56" s="58" t="e">
        <f t="array" ref="G56">IF($A56&lt;&gt;"",INDEX(IDX_COMPOSITION!$F$1:$F$123,SMALL(IF(IDX_COMPOSITION!$R$2:$R$441=VLOOKUP($A$5,IDX_SPECS!$B$2:$V$89,6,0),ROW(IDX_COMPOSITION!$R$2:$R$441)),ROW($B56)-ROW($B$11))),"")</f>
        <v>#N/A</v>
      </c>
      <c r="H56" s="59" t="e">
        <f t="array" ref="H56">IF($A56&lt;&gt;"",INDEX(IDX_COMPOSITION!$K$1:$K$123,SMALL(IF(IDX_COMPOSITION!$R$2:$R$441=VLOOKUP($A$5,IDX_SPECS!$B$2:$V$89,6,0),ROW(IDX_COMPOSITION!$R$2:$R$441)),ROW($B56)-ROW($B$11))),"")</f>
        <v>#N/A</v>
      </c>
    </row>
    <row r="57" spans="1:8" ht="15" customHeight="1" x14ac:dyDescent="0.2">
      <c r="A57" s="20" t="e">
        <f>IF(ROW(A57)-ROW($A$11)&lt;=VLOOKUP($A$5,IDX_SPECS!$B$2:$V$1048576,12,0),ROW(A57)-ROW($A$11),"")</f>
        <v>#N/A</v>
      </c>
      <c r="B57" s="20" t="e">
        <f t="array" ref="B57">IF($A57&lt;&gt;"",INDEX(IDX_COMPOSITION!$A$1:$A$123,SMALL(IF(IDX_COMPOSITION!$R$2:$R$441=VLOOKUP($A$5,IDX_SPECS!$B$2:$V$89,6,0),ROW(IDX_COMPOSITION!$R$2:$R$441)),ROW($A57)-ROW($A$11))),"")</f>
        <v>#N/A</v>
      </c>
      <c r="C57" s="56" t="e">
        <f t="array" ref="C57">IF($A57&lt;&gt;"",INDEX(IDX_COMPOSITION!$B$1:$B$123,SMALL(IF(IDX_COMPOSITION!$R$2:$R$441=VLOOKUP($A$5,IDX_SPECS!$B$2:$V$89,6,0),ROW(IDX_COMPOSITION!$R$2:$R$441)),ROW($B57)-ROW($B$11))),"")</f>
        <v>#N/A</v>
      </c>
      <c r="D57" s="57" t="e">
        <f t="array" ref="D57">IF($A57&lt;&gt;"",INDEX(IDX_COMPOSITION!$C$1:$C$123,SMALL(IF(IDX_COMPOSITION!$R$2:$R$441=VLOOKUP($A$5,IDX_SPECS!$B$2:$V$89,6,0),ROW(IDX_COMPOSITION!$R$2:$R$441)),ROW($B57)-ROW($B$11))),"")</f>
        <v>#N/A</v>
      </c>
      <c r="E57" s="57" t="e">
        <f t="array" ref="E57">IF($A57&lt;&gt;"",INDEX(IDX_COMPOSITION!$D$1:$D$123,SMALL(IF(IDX_COMPOSITION!$R$2:$R$441=VLOOKUP($A$5,IDX_SPECS!$B$2:$V$89,6,0),ROW(IDX_COMPOSITION!$R$2:$R$441)),ROW($B57)-ROW($B$11))),"")</f>
        <v>#N/A</v>
      </c>
      <c r="F57" s="57" t="e">
        <f t="array" ref="F57">IF($A57&lt;&gt;"",INDEX(IDX_COMPOSITION!$E$1:$E$123,SMALL(IF(IDX_COMPOSITION!$R$2:$R$441=VLOOKUP($A$5,IDX_SPECS!$B$2:$V$89,6,0),ROW(IDX_COMPOSITION!$R$2:$R$441)),ROW($B57)-ROW($B$11))),"")</f>
        <v>#N/A</v>
      </c>
      <c r="G57" s="58" t="e">
        <f t="array" ref="G57">IF($A57&lt;&gt;"",INDEX(IDX_COMPOSITION!$F$1:$F$123,SMALL(IF(IDX_COMPOSITION!$R$2:$R$441=VLOOKUP($A$5,IDX_SPECS!$B$2:$V$89,6,0),ROW(IDX_COMPOSITION!$R$2:$R$441)),ROW($B57)-ROW($B$11))),"")</f>
        <v>#N/A</v>
      </c>
      <c r="H57" s="59" t="e">
        <f t="array" ref="H57">IF($A57&lt;&gt;"",INDEX(IDX_COMPOSITION!$K$1:$K$123,SMALL(IF(IDX_COMPOSITION!$R$2:$R$441=VLOOKUP($A$5,IDX_SPECS!$B$2:$V$89,6,0),ROW(IDX_COMPOSITION!$R$2:$R$441)),ROW($B57)-ROW($B$11))),"")</f>
        <v>#N/A</v>
      </c>
    </row>
    <row r="58" spans="1:8" ht="15" customHeight="1" x14ac:dyDescent="0.2">
      <c r="A58" s="20" t="e">
        <f>IF(ROW(A58)-ROW($A$11)&lt;=VLOOKUP($A$5,IDX_SPECS!$B$2:$V$1048576,12,0),ROW(A58)-ROW($A$11),"")</f>
        <v>#N/A</v>
      </c>
      <c r="B58" s="20" t="e">
        <f t="array" ref="B58">IF($A58&lt;&gt;"",INDEX(IDX_COMPOSITION!$A$1:$A$123,SMALL(IF(IDX_COMPOSITION!$R$2:$R$441=VLOOKUP($A$5,IDX_SPECS!$B$2:$V$89,6,0),ROW(IDX_COMPOSITION!$R$2:$R$441)),ROW($A58)-ROW($A$11))),"")</f>
        <v>#N/A</v>
      </c>
      <c r="C58" s="56" t="e">
        <f t="array" ref="C58">IF($A58&lt;&gt;"",INDEX(IDX_COMPOSITION!$B$1:$B$123,SMALL(IF(IDX_COMPOSITION!$R$2:$R$441=VLOOKUP($A$5,IDX_SPECS!$B$2:$V$89,6,0),ROW(IDX_COMPOSITION!$R$2:$R$441)),ROW($B58)-ROW($B$11))),"")</f>
        <v>#N/A</v>
      </c>
      <c r="D58" s="57" t="e">
        <f t="array" ref="D58">IF($A58&lt;&gt;"",INDEX(IDX_COMPOSITION!$C$1:$C$123,SMALL(IF(IDX_COMPOSITION!$R$2:$R$441=VLOOKUP($A$5,IDX_SPECS!$B$2:$V$89,6,0),ROW(IDX_COMPOSITION!$R$2:$R$441)),ROW($B58)-ROW($B$11))),"")</f>
        <v>#N/A</v>
      </c>
      <c r="E58" s="57" t="e">
        <f t="array" ref="E58">IF($A58&lt;&gt;"",INDEX(IDX_COMPOSITION!$D$1:$D$123,SMALL(IF(IDX_COMPOSITION!$R$2:$R$441=VLOOKUP($A$5,IDX_SPECS!$B$2:$V$89,6,0),ROW(IDX_COMPOSITION!$R$2:$R$441)),ROW($B58)-ROW($B$11))),"")</f>
        <v>#N/A</v>
      </c>
      <c r="F58" s="57" t="e">
        <f t="array" ref="F58">IF($A58&lt;&gt;"",INDEX(IDX_COMPOSITION!$E$1:$E$123,SMALL(IF(IDX_COMPOSITION!$R$2:$R$441=VLOOKUP($A$5,IDX_SPECS!$B$2:$V$89,6,0),ROW(IDX_COMPOSITION!$R$2:$R$441)),ROW($B58)-ROW($B$11))),"")</f>
        <v>#N/A</v>
      </c>
      <c r="G58" s="58" t="e">
        <f t="array" ref="G58">IF($A58&lt;&gt;"",INDEX(IDX_COMPOSITION!$F$1:$F$123,SMALL(IF(IDX_COMPOSITION!$R$2:$R$441=VLOOKUP($A$5,IDX_SPECS!$B$2:$V$89,6,0),ROW(IDX_COMPOSITION!$R$2:$R$441)),ROW($B58)-ROW($B$11))),"")</f>
        <v>#N/A</v>
      </c>
      <c r="H58" s="59" t="e">
        <f t="array" ref="H58">IF($A58&lt;&gt;"",INDEX(IDX_COMPOSITION!$K$1:$K$123,SMALL(IF(IDX_COMPOSITION!$R$2:$R$441=VLOOKUP($A$5,IDX_SPECS!$B$2:$V$89,6,0),ROW(IDX_COMPOSITION!$R$2:$R$441)),ROW($B58)-ROW($B$11))),"")</f>
        <v>#N/A</v>
      </c>
    </row>
    <row r="59" spans="1:8" ht="15" customHeight="1" x14ac:dyDescent="0.2">
      <c r="A59" s="20" t="e">
        <f>IF(ROW(A59)-ROW($A$11)&lt;=VLOOKUP($A$5,IDX_SPECS!$B$2:$V$1048576,12,0),ROW(A59)-ROW($A$11),"")</f>
        <v>#N/A</v>
      </c>
      <c r="B59" s="20" t="e">
        <f t="array" ref="B59">IF($A59&lt;&gt;"",INDEX(IDX_COMPOSITION!$A$1:$A$123,SMALL(IF(IDX_COMPOSITION!$R$2:$R$441=VLOOKUP($A$5,IDX_SPECS!$B$2:$V$89,6,0),ROW(IDX_COMPOSITION!$R$2:$R$441)),ROW($A59)-ROW($A$11))),"")</f>
        <v>#N/A</v>
      </c>
      <c r="C59" s="56" t="e">
        <f t="array" ref="C59">IF($A59&lt;&gt;"",INDEX(IDX_COMPOSITION!$B$1:$B$123,SMALL(IF(IDX_COMPOSITION!$R$2:$R$441=VLOOKUP($A$5,IDX_SPECS!$B$2:$V$89,6,0),ROW(IDX_COMPOSITION!$R$2:$R$441)),ROW($B59)-ROW($B$11))),"")</f>
        <v>#N/A</v>
      </c>
      <c r="D59" s="57" t="e">
        <f t="array" ref="D59">IF($A59&lt;&gt;"",INDEX(IDX_COMPOSITION!$C$1:$C$123,SMALL(IF(IDX_COMPOSITION!$R$2:$R$441=VLOOKUP($A$5,IDX_SPECS!$B$2:$V$89,6,0),ROW(IDX_COMPOSITION!$R$2:$R$441)),ROW($B59)-ROW($B$11))),"")</f>
        <v>#N/A</v>
      </c>
      <c r="E59" s="57" t="e">
        <f t="array" ref="E59">IF($A59&lt;&gt;"",INDEX(IDX_COMPOSITION!$D$1:$D$123,SMALL(IF(IDX_COMPOSITION!$R$2:$R$441=VLOOKUP($A$5,IDX_SPECS!$B$2:$V$89,6,0),ROW(IDX_COMPOSITION!$R$2:$R$441)),ROW($B59)-ROW($B$11))),"")</f>
        <v>#N/A</v>
      </c>
      <c r="F59" s="57" t="e">
        <f t="array" ref="F59">IF($A59&lt;&gt;"",INDEX(IDX_COMPOSITION!$E$1:$E$123,SMALL(IF(IDX_COMPOSITION!$R$2:$R$441=VLOOKUP($A$5,IDX_SPECS!$B$2:$V$89,6,0),ROW(IDX_COMPOSITION!$R$2:$R$441)),ROW($B59)-ROW($B$11))),"")</f>
        <v>#N/A</v>
      </c>
      <c r="G59" s="58" t="e">
        <f t="array" ref="G59">IF($A59&lt;&gt;"",INDEX(IDX_COMPOSITION!$F$1:$F$123,SMALL(IF(IDX_COMPOSITION!$R$2:$R$441=VLOOKUP($A$5,IDX_SPECS!$B$2:$V$89,6,0),ROW(IDX_COMPOSITION!$R$2:$R$441)),ROW($B59)-ROW($B$11))),"")</f>
        <v>#N/A</v>
      </c>
      <c r="H59" s="59" t="e">
        <f t="array" ref="H59">IF($A59&lt;&gt;"",INDEX(IDX_COMPOSITION!$K$1:$K$123,SMALL(IF(IDX_COMPOSITION!$R$2:$R$441=VLOOKUP($A$5,IDX_SPECS!$B$2:$V$89,6,0),ROW(IDX_COMPOSITION!$R$2:$R$441)),ROW($B59)-ROW($B$11))),"")</f>
        <v>#N/A</v>
      </c>
    </row>
    <row r="60" spans="1:8" ht="15" customHeight="1" x14ac:dyDescent="0.2">
      <c r="A60" s="20" t="e">
        <f>IF(ROW(A60)-ROW($A$11)&lt;=VLOOKUP($A$5,IDX_SPECS!$B$2:$V$1048576,12,0),ROW(A60)-ROW($A$11),"")</f>
        <v>#N/A</v>
      </c>
      <c r="B60" s="20" t="e">
        <f t="array" ref="B60">IF($A60&lt;&gt;"",INDEX(IDX_COMPOSITION!$A$1:$A$123,SMALL(IF(IDX_COMPOSITION!$R$2:$R$441=VLOOKUP($A$5,IDX_SPECS!$B$2:$V$89,6,0),ROW(IDX_COMPOSITION!$R$2:$R$441)),ROW($A60)-ROW($A$11))),"")</f>
        <v>#N/A</v>
      </c>
      <c r="C60" s="56" t="e">
        <f t="array" ref="C60">IF($A60&lt;&gt;"",INDEX(IDX_COMPOSITION!$B$1:$B$123,SMALL(IF(IDX_COMPOSITION!$R$2:$R$441=VLOOKUP($A$5,IDX_SPECS!$B$2:$V$89,6,0),ROW(IDX_COMPOSITION!$R$2:$R$441)),ROW($B60)-ROW($B$11))),"")</f>
        <v>#N/A</v>
      </c>
      <c r="D60" s="57" t="e">
        <f t="array" ref="D60">IF($A60&lt;&gt;"",INDEX(IDX_COMPOSITION!$C$1:$C$123,SMALL(IF(IDX_COMPOSITION!$R$2:$R$441=VLOOKUP($A$5,IDX_SPECS!$B$2:$V$89,6,0),ROW(IDX_COMPOSITION!$R$2:$R$441)),ROW($B60)-ROW($B$11))),"")</f>
        <v>#N/A</v>
      </c>
      <c r="E60" s="57" t="e">
        <f t="array" ref="E60">IF($A60&lt;&gt;"",INDEX(IDX_COMPOSITION!$D$1:$D$123,SMALL(IF(IDX_COMPOSITION!$R$2:$R$441=VLOOKUP($A$5,IDX_SPECS!$B$2:$V$89,6,0),ROW(IDX_COMPOSITION!$R$2:$R$441)),ROW($B60)-ROW($B$11))),"")</f>
        <v>#N/A</v>
      </c>
      <c r="F60" s="57" t="e">
        <f t="array" ref="F60">IF($A60&lt;&gt;"",INDEX(IDX_COMPOSITION!$E$1:$E$123,SMALL(IF(IDX_COMPOSITION!$R$2:$R$441=VLOOKUP($A$5,IDX_SPECS!$B$2:$V$89,6,0),ROW(IDX_COMPOSITION!$R$2:$R$441)),ROW($B60)-ROW($B$11))),"")</f>
        <v>#N/A</v>
      </c>
      <c r="G60" s="58" t="e">
        <f t="array" ref="G60">IF($A60&lt;&gt;"",INDEX(IDX_COMPOSITION!$F$1:$F$123,SMALL(IF(IDX_COMPOSITION!$R$2:$R$441=VLOOKUP($A$5,IDX_SPECS!$B$2:$V$89,6,0),ROW(IDX_COMPOSITION!$R$2:$R$441)),ROW($B60)-ROW($B$11))),"")</f>
        <v>#N/A</v>
      </c>
      <c r="H60" s="59" t="e">
        <f t="array" ref="H60">IF($A60&lt;&gt;"",INDEX(IDX_COMPOSITION!$K$1:$K$123,SMALL(IF(IDX_COMPOSITION!$R$2:$R$441=VLOOKUP($A$5,IDX_SPECS!$B$2:$V$89,6,0),ROW(IDX_COMPOSITION!$R$2:$R$441)),ROW($B60)-ROW($B$11))),"")</f>
        <v>#N/A</v>
      </c>
    </row>
    <row r="61" spans="1:8" ht="15" customHeight="1" x14ac:dyDescent="0.2">
      <c r="A61" s="20" t="e">
        <f>IF(ROW(A61)-ROW($A$11)&lt;=VLOOKUP($A$5,IDX_SPECS!$B$2:$V$1048576,12,0),ROW(A61)-ROW($A$11),"")</f>
        <v>#N/A</v>
      </c>
      <c r="B61" s="20" t="e">
        <f t="array" ref="B61">IF($A61&lt;&gt;"",INDEX(IDX_COMPOSITION!$A$1:$A$123,SMALL(IF(IDX_COMPOSITION!$R$2:$R$441=VLOOKUP($A$5,IDX_SPECS!$B$2:$V$89,6,0),ROW(IDX_COMPOSITION!$R$2:$R$441)),ROW($A61)-ROW($A$11))),"")</f>
        <v>#N/A</v>
      </c>
      <c r="C61" s="56" t="e">
        <f t="array" ref="C61">IF($A61&lt;&gt;"",INDEX(IDX_COMPOSITION!$B$1:$B$123,SMALL(IF(IDX_COMPOSITION!$R$2:$R$441=VLOOKUP($A$5,IDX_SPECS!$B$2:$V$89,6,0),ROW(IDX_COMPOSITION!$R$2:$R$441)),ROW($B61)-ROW($B$11))),"")</f>
        <v>#N/A</v>
      </c>
      <c r="D61" s="57" t="e">
        <f t="array" ref="D61">IF($A61&lt;&gt;"",INDEX(IDX_COMPOSITION!$C$1:$C$123,SMALL(IF(IDX_COMPOSITION!$R$2:$R$441=VLOOKUP($A$5,IDX_SPECS!$B$2:$V$89,6,0),ROW(IDX_COMPOSITION!$R$2:$R$441)),ROW($B61)-ROW($B$11))),"")</f>
        <v>#N/A</v>
      </c>
      <c r="E61" s="57" t="e">
        <f t="array" ref="E61">IF($A61&lt;&gt;"",INDEX(IDX_COMPOSITION!$D$1:$D$123,SMALL(IF(IDX_COMPOSITION!$R$2:$R$441=VLOOKUP($A$5,IDX_SPECS!$B$2:$V$89,6,0),ROW(IDX_COMPOSITION!$R$2:$R$441)),ROW($B61)-ROW($B$11))),"")</f>
        <v>#N/A</v>
      </c>
      <c r="F61" s="57" t="e">
        <f t="array" ref="F61">IF($A61&lt;&gt;"",INDEX(IDX_COMPOSITION!$E$1:$E$123,SMALL(IF(IDX_COMPOSITION!$R$2:$R$441=VLOOKUP($A$5,IDX_SPECS!$B$2:$V$89,6,0),ROW(IDX_COMPOSITION!$R$2:$R$441)),ROW($B61)-ROW($B$11))),"")</f>
        <v>#N/A</v>
      </c>
      <c r="G61" s="58" t="e">
        <f t="array" ref="G61">IF($A61&lt;&gt;"",INDEX(IDX_COMPOSITION!$F$1:$F$123,SMALL(IF(IDX_COMPOSITION!$R$2:$R$441=VLOOKUP($A$5,IDX_SPECS!$B$2:$V$89,6,0),ROW(IDX_COMPOSITION!$R$2:$R$441)),ROW($B61)-ROW($B$11))),"")</f>
        <v>#N/A</v>
      </c>
      <c r="H61" s="59" t="e">
        <f t="array" ref="H61">IF($A61&lt;&gt;"",INDEX(IDX_COMPOSITION!$K$1:$K$123,SMALL(IF(IDX_COMPOSITION!$R$2:$R$441=VLOOKUP($A$5,IDX_SPECS!$B$2:$V$89,6,0),ROW(IDX_COMPOSITION!$R$2:$R$441)),ROW($B61)-ROW($B$11))),"")</f>
        <v>#N/A</v>
      </c>
    </row>
    <row r="62" spans="1:8" ht="15" customHeight="1" x14ac:dyDescent="0.2">
      <c r="A62" s="20" t="e">
        <f>IF(ROW(A62)-ROW($A$11)&lt;=VLOOKUP($A$5,IDX_SPECS!$B$2:$V$1048576,12,0),ROW(A62)-ROW($A$11),"")</f>
        <v>#N/A</v>
      </c>
      <c r="B62" s="20" t="e">
        <f t="array" ref="B62">IF($A62&lt;&gt;"",INDEX(IDX_COMPOSITION!$A$1:$A$123,SMALL(IF(IDX_COMPOSITION!$R$2:$R$441=VLOOKUP($A$5,IDX_SPECS!$B$2:$V$89,6,0),ROW(IDX_COMPOSITION!$R$2:$R$441)),ROW($A62)-ROW($A$11))),"")</f>
        <v>#N/A</v>
      </c>
      <c r="C62" s="56" t="e">
        <f t="array" ref="C62">IF($A62&lt;&gt;"",INDEX(IDX_COMPOSITION!$B$1:$B$123,SMALL(IF(IDX_COMPOSITION!$R$2:$R$441=VLOOKUP($A$5,IDX_SPECS!$B$2:$V$89,6,0),ROW(IDX_COMPOSITION!$R$2:$R$441)),ROW($B62)-ROW($B$11))),"")</f>
        <v>#N/A</v>
      </c>
      <c r="D62" s="57" t="e">
        <f t="array" ref="D62">IF($A62&lt;&gt;"",INDEX(IDX_COMPOSITION!$C$1:$C$123,SMALL(IF(IDX_COMPOSITION!$R$2:$R$441=VLOOKUP($A$5,IDX_SPECS!$B$2:$V$89,6,0),ROW(IDX_COMPOSITION!$R$2:$R$441)),ROW($B62)-ROW($B$11))),"")</f>
        <v>#N/A</v>
      </c>
      <c r="E62" s="57" t="e">
        <f t="array" ref="E62">IF($A62&lt;&gt;"",INDEX(IDX_COMPOSITION!$D$1:$D$123,SMALL(IF(IDX_COMPOSITION!$R$2:$R$441=VLOOKUP($A$5,IDX_SPECS!$B$2:$V$89,6,0),ROW(IDX_COMPOSITION!$R$2:$R$441)),ROW($B62)-ROW($B$11))),"")</f>
        <v>#N/A</v>
      </c>
      <c r="F62" s="57" t="e">
        <f t="array" ref="F62">IF($A62&lt;&gt;"",INDEX(IDX_COMPOSITION!$E$1:$E$123,SMALL(IF(IDX_COMPOSITION!$R$2:$R$441=VLOOKUP($A$5,IDX_SPECS!$B$2:$V$89,6,0),ROW(IDX_COMPOSITION!$R$2:$R$441)),ROW($B62)-ROW($B$11))),"")</f>
        <v>#N/A</v>
      </c>
      <c r="G62" s="58" t="e">
        <f t="array" ref="G62">IF($A62&lt;&gt;"",INDEX(IDX_COMPOSITION!$F$1:$F$123,SMALL(IF(IDX_COMPOSITION!$R$2:$R$441=VLOOKUP($A$5,IDX_SPECS!$B$2:$V$89,6,0),ROW(IDX_COMPOSITION!$R$2:$R$441)),ROW($B62)-ROW($B$11))),"")</f>
        <v>#N/A</v>
      </c>
      <c r="H62" s="59" t="e">
        <f t="array" ref="H62">IF($A62&lt;&gt;"",INDEX(IDX_COMPOSITION!$K$1:$K$123,SMALL(IF(IDX_COMPOSITION!$R$2:$R$441=VLOOKUP($A$5,IDX_SPECS!$B$2:$V$89,6,0),ROW(IDX_COMPOSITION!$R$2:$R$441)),ROW($B62)-ROW($B$11))),"")</f>
        <v>#N/A</v>
      </c>
    </row>
    <row r="63" spans="1:8" ht="15" customHeight="1" x14ac:dyDescent="0.2">
      <c r="A63" s="20" t="e">
        <f>IF(ROW(A63)-ROW($A$11)&lt;=VLOOKUP($A$5,IDX_SPECS!$B$2:$V$1048576,12,0),ROW(A63)-ROW($A$11),"")</f>
        <v>#N/A</v>
      </c>
      <c r="B63" s="20" t="e">
        <f t="array" ref="B63">IF($A63&lt;&gt;"",INDEX(IDX_COMPOSITION!$A$1:$A$123,SMALL(IF(IDX_COMPOSITION!$R$2:$R$441=VLOOKUP($A$5,IDX_SPECS!$B$2:$V$89,6,0),ROW(IDX_COMPOSITION!$R$2:$R$441)),ROW($A63)-ROW($A$11))),"")</f>
        <v>#N/A</v>
      </c>
      <c r="C63" s="56" t="e">
        <f t="array" ref="C63">IF($A63&lt;&gt;"",INDEX(IDX_COMPOSITION!$B$1:$B$123,SMALL(IF(IDX_COMPOSITION!$R$2:$R$441=VLOOKUP($A$5,IDX_SPECS!$B$2:$V$89,6,0),ROW(IDX_COMPOSITION!$R$2:$R$441)),ROW($B63)-ROW($B$11))),"")</f>
        <v>#N/A</v>
      </c>
      <c r="D63" s="57" t="e">
        <f t="array" ref="D63">IF($A63&lt;&gt;"",INDEX(IDX_COMPOSITION!$C$1:$C$123,SMALL(IF(IDX_COMPOSITION!$R$2:$R$441=VLOOKUP($A$5,IDX_SPECS!$B$2:$V$89,6,0),ROW(IDX_COMPOSITION!$R$2:$R$441)),ROW($B63)-ROW($B$11))),"")</f>
        <v>#N/A</v>
      </c>
      <c r="E63" s="57" t="e">
        <f t="array" ref="E63">IF($A63&lt;&gt;"",INDEX(IDX_COMPOSITION!$D$1:$D$123,SMALL(IF(IDX_COMPOSITION!$R$2:$R$441=VLOOKUP($A$5,IDX_SPECS!$B$2:$V$89,6,0),ROW(IDX_COMPOSITION!$R$2:$R$441)),ROW($B63)-ROW($B$11))),"")</f>
        <v>#N/A</v>
      </c>
      <c r="F63" s="57" t="e">
        <f t="array" ref="F63">IF($A63&lt;&gt;"",INDEX(IDX_COMPOSITION!$E$1:$E$123,SMALL(IF(IDX_COMPOSITION!$R$2:$R$441=VLOOKUP($A$5,IDX_SPECS!$B$2:$V$89,6,0),ROW(IDX_COMPOSITION!$R$2:$R$441)),ROW($B63)-ROW($B$11))),"")</f>
        <v>#N/A</v>
      </c>
      <c r="G63" s="58" t="e">
        <f t="array" ref="G63">IF($A63&lt;&gt;"",INDEX(IDX_COMPOSITION!$F$1:$F$123,SMALL(IF(IDX_COMPOSITION!$R$2:$R$441=VLOOKUP($A$5,IDX_SPECS!$B$2:$V$89,6,0),ROW(IDX_COMPOSITION!$R$2:$R$441)),ROW($B63)-ROW($B$11))),"")</f>
        <v>#N/A</v>
      </c>
      <c r="H63" s="59" t="e">
        <f t="array" ref="H63">IF($A63&lt;&gt;"",INDEX(IDX_COMPOSITION!$K$1:$K$123,SMALL(IF(IDX_COMPOSITION!$R$2:$R$441=VLOOKUP($A$5,IDX_SPECS!$B$2:$V$89,6,0),ROW(IDX_COMPOSITION!$R$2:$R$441)),ROW($B63)-ROW($B$11))),"")</f>
        <v>#N/A</v>
      </c>
    </row>
    <row r="64" spans="1:8" ht="15" customHeight="1" x14ac:dyDescent="0.2">
      <c r="A64" s="20" t="e">
        <f>IF(ROW(A64)-ROW($A$11)&lt;=VLOOKUP($A$5,IDX_SPECS!$B$2:$V$1048576,12,0),ROW(A64)-ROW($A$11),"")</f>
        <v>#N/A</v>
      </c>
      <c r="B64" s="20" t="e">
        <f t="array" ref="B64">IF($A64&lt;&gt;"",INDEX(IDX_COMPOSITION!$A$1:$A$123,SMALL(IF(IDX_COMPOSITION!$R$2:$R$441=VLOOKUP($A$5,IDX_SPECS!$B$2:$V$89,6,0),ROW(IDX_COMPOSITION!$R$2:$R$441)),ROW($A64)-ROW($A$11))),"")</f>
        <v>#N/A</v>
      </c>
      <c r="C64" s="56" t="e">
        <f t="array" ref="C64">IF($A64&lt;&gt;"",INDEX(IDX_COMPOSITION!$B$1:$B$123,SMALL(IF(IDX_COMPOSITION!$R$2:$R$441=VLOOKUP($A$5,IDX_SPECS!$B$2:$V$89,6,0),ROW(IDX_COMPOSITION!$R$2:$R$441)),ROW($B64)-ROW($B$11))),"")</f>
        <v>#N/A</v>
      </c>
      <c r="D64" s="57" t="e">
        <f t="array" ref="D64">IF($A64&lt;&gt;"",INDEX(IDX_COMPOSITION!$C$1:$C$123,SMALL(IF(IDX_COMPOSITION!$R$2:$R$441=VLOOKUP($A$5,IDX_SPECS!$B$2:$V$89,6,0),ROW(IDX_COMPOSITION!$R$2:$R$441)),ROW($B64)-ROW($B$11))),"")</f>
        <v>#N/A</v>
      </c>
      <c r="E64" s="57" t="e">
        <f t="array" ref="E64">IF($A64&lt;&gt;"",INDEX(IDX_COMPOSITION!$D$1:$D$123,SMALL(IF(IDX_COMPOSITION!$R$2:$R$441=VLOOKUP($A$5,IDX_SPECS!$B$2:$V$89,6,0),ROW(IDX_COMPOSITION!$R$2:$R$441)),ROW($B64)-ROW($B$11))),"")</f>
        <v>#N/A</v>
      </c>
      <c r="F64" s="57" t="e">
        <f t="array" ref="F64">IF($A64&lt;&gt;"",INDEX(IDX_COMPOSITION!$E$1:$E$123,SMALL(IF(IDX_COMPOSITION!$R$2:$R$441=VLOOKUP($A$5,IDX_SPECS!$B$2:$V$89,6,0),ROW(IDX_COMPOSITION!$R$2:$R$441)),ROW($B64)-ROW($B$11))),"")</f>
        <v>#N/A</v>
      </c>
      <c r="G64" s="58" t="e">
        <f t="array" ref="G64">IF($A64&lt;&gt;"",INDEX(IDX_COMPOSITION!$F$1:$F$123,SMALL(IF(IDX_COMPOSITION!$R$2:$R$441=VLOOKUP($A$5,IDX_SPECS!$B$2:$V$89,6,0),ROW(IDX_COMPOSITION!$R$2:$R$441)),ROW($B64)-ROW($B$11))),"")</f>
        <v>#N/A</v>
      </c>
      <c r="H64" s="59" t="e">
        <f t="array" ref="H64">IF($A64&lt;&gt;"",INDEX(IDX_COMPOSITION!$K$1:$K$123,SMALL(IF(IDX_COMPOSITION!$R$2:$R$441=VLOOKUP($A$5,IDX_SPECS!$B$2:$V$89,6,0),ROW(IDX_COMPOSITION!$R$2:$R$441)),ROW($B64)-ROW($B$11))),"")</f>
        <v>#N/A</v>
      </c>
    </row>
    <row r="65" spans="1:8" ht="15" customHeight="1" x14ac:dyDescent="0.2">
      <c r="A65" s="20" t="e">
        <f>IF(ROW(A65)-ROW($A$11)&lt;=VLOOKUP($A$5,IDX_SPECS!$B$2:$V$1048576,12,0),ROW(A65)-ROW($A$11),"")</f>
        <v>#N/A</v>
      </c>
      <c r="B65" s="20" t="e">
        <f t="array" ref="B65">IF($A65&lt;&gt;"",INDEX(IDX_COMPOSITION!$A$1:$A$123,SMALL(IF(IDX_COMPOSITION!$R$2:$R$441=VLOOKUP($A$5,IDX_SPECS!$B$2:$V$89,6,0),ROW(IDX_COMPOSITION!$R$2:$R$441)),ROW($A65)-ROW($A$11))),"")</f>
        <v>#N/A</v>
      </c>
      <c r="C65" s="56" t="e">
        <f t="array" ref="C65">IF($A65&lt;&gt;"",INDEX(IDX_COMPOSITION!$B$1:$B$123,SMALL(IF(IDX_COMPOSITION!$R$2:$R$441=VLOOKUP($A$5,IDX_SPECS!$B$2:$V$89,6,0),ROW(IDX_COMPOSITION!$R$2:$R$441)),ROW($B65)-ROW($B$11))),"")</f>
        <v>#N/A</v>
      </c>
      <c r="D65" s="57" t="e">
        <f t="array" ref="D65">IF($A65&lt;&gt;"",INDEX(IDX_COMPOSITION!$C$1:$C$123,SMALL(IF(IDX_COMPOSITION!$R$2:$R$441=VLOOKUP($A$5,IDX_SPECS!$B$2:$V$89,6,0),ROW(IDX_COMPOSITION!$R$2:$R$441)),ROW($B65)-ROW($B$11))),"")</f>
        <v>#N/A</v>
      </c>
      <c r="E65" s="57" t="e">
        <f t="array" ref="E65">IF($A65&lt;&gt;"",INDEX(IDX_COMPOSITION!$D$1:$D$123,SMALL(IF(IDX_COMPOSITION!$R$2:$R$441=VLOOKUP($A$5,IDX_SPECS!$B$2:$V$89,6,0),ROW(IDX_COMPOSITION!$R$2:$R$441)),ROW($B65)-ROW($B$11))),"")</f>
        <v>#N/A</v>
      </c>
      <c r="F65" s="57" t="e">
        <f t="array" ref="F65">IF($A65&lt;&gt;"",INDEX(IDX_COMPOSITION!$E$1:$E$123,SMALL(IF(IDX_COMPOSITION!$R$2:$R$441=VLOOKUP($A$5,IDX_SPECS!$B$2:$V$89,6,0),ROW(IDX_COMPOSITION!$R$2:$R$441)),ROW($B65)-ROW($B$11))),"")</f>
        <v>#N/A</v>
      </c>
      <c r="G65" s="58" t="e">
        <f t="array" ref="G65">IF($A65&lt;&gt;"",INDEX(IDX_COMPOSITION!$F$1:$F$123,SMALL(IF(IDX_COMPOSITION!$R$2:$R$441=VLOOKUP($A$5,IDX_SPECS!$B$2:$V$89,6,0),ROW(IDX_COMPOSITION!$R$2:$R$441)),ROW($B65)-ROW($B$11))),"")</f>
        <v>#N/A</v>
      </c>
      <c r="H65" s="59" t="e">
        <f t="array" ref="H65">IF($A65&lt;&gt;"",INDEX(IDX_COMPOSITION!$K$1:$K$123,SMALL(IF(IDX_COMPOSITION!$R$2:$R$441=VLOOKUP($A$5,IDX_SPECS!$B$2:$V$89,6,0),ROW(IDX_COMPOSITION!$R$2:$R$441)),ROW($B65)-ROW($B$11))),"")</f>
        <v>#N/A</v>
      </c>
    </row>
    <row r="66" spans="1:8" ht="15" customHeight="1" x14ac:dyDescent="0.2">
      <c r="A66" s="20" t="e">
        <f>IF(ROW(A66)-ROW($A$11)&lt;=VLOOKUP($A$5,IDX_SPECS!$B$2:$V$1048576,12,0),ROW(A66)-ROW($A$11),"")</f>
        <v>#N/A</v>
      </c>
      <c r="B66" s="20" t="e">
        <f t="array" ref="B66">IF($A66&lt;&gt;"",INDEX(IDX_COMPOSITION!$A$1:$A$123,SMALL(IF(IDX_COMPOSITION!$R$2:$R$441=VLOOKUP($A$5,IDX_SPECS!$B$2:$V$89,6,0),ROW(IDX_COMPOSITION!$R$2:$R$441)),ROW($A66)-ROW($A$11))),"")</f>
        <v>#N/A</v>
      </c>
      <c r="C66" s="56" t="e">
        <f t="array" ref="C66">IF($A66&lt;&gt;"",INDEX(IDX_COMPOSITION!$B$1:$B$123,SMALL(IF(IDX_COMPOSITION!$R$2:$R$441=VLOOKUP($A$5,IDX_SPECS!$B$2:$V$89,6,0),ROW(IDX_COMPOSITION!$R$2:$R$441)),ROW($B66)-ROW($B$11))),"")</f>
        <v>#N/A</v>
      </c>
      <c r="D66" s="57" t="e">
        <f t="array" ref="D66">IF($A66&lt;&gt;"",INDEX(IDX_COMPOSITION!$C$1:$C$123,SMALL(IF(IDX_COMPOSITION!$R$2:$R$441=VLOOKUP($A$5,IDX_SPECS!$B$2:$V$89,6,0),ROW(IDX_COMPOSITION!$R$2:$R$441)),ROW($B66)-ROW($B$11))),"")</f>
        <v>#N/A</v>
      </c>
      <c r="E66" s="57" t="e">
        <f t="array" ref="E66">IF($A66&lt;&gt;"",INDEX(IDX_COMPOSITION!$D$1:$D$123,SMALL(IF(IDX_COMPOSITION!$R$2:$R$441=VLOOKUP($A$5,IDX_SPECS!$B$2:$V$89,6,0),ROW(IDX_COMPOSITION!$R$2:$R$441)),ROW($B66)-ROW($B$11))),"")</f>
        <v>#N/A</v>
      </c>
      <c r="F66" s="57" t="e">
        <f t="array" ref="F66">IF($A66&lt;&gt;"",INDEX(IDX_COMPOSITION!$E$1:$E$123,SMALL(IF(IDX_COMPOSITION!$R$2:$R$441=VLOOKUP($A$5,IDX_SPECS!$B$2:$V$89,6,0),ROW(IDX_COMPOSITION!$R$2:$R$441)),ROW($B66)-ROW($B$11))),"")</f>
        <v>#N/A</v>
      </c>
      <c r="G66" s="58" t="e">
        <f t="array" ref="G66">IF($A66&lt;&gt;"",INDEX(IDX_COMPOSITION!$F$1:$F$123,SMALL(IF(IDX_COMPOSITION!$R$2:$R$441=VLOOKUP($A$5,IDX_SPECS!$B$2:$V$89,6,0),ROW(IDX_COMPOSITION!$R$2:$R$441)),ROW($B66)-ROW($B$11))),"")</f>
        <v>#N/A</v>
      </c>
      <c r="H66" s="59" t="e">
        <f t="array" ref="H66">IF($A66&lt;&gt;"",INDEX(IDX_COMPOSITION!$K$1:$K$123,SMALL(IF(IDX_COMPOSITION!$R$2:$R$441=VLOOKUP($A$5,IDX_SPECS!$B$2:$V$89,6,0),ROW(IDX_COMPOSITION!$R$2:$R$441)),ROW($B66)-ROW($B$11))),"")</f>
        <v>#N/A</v>
      </c>
    </row>
    <row r="67" spans="1:8" ht="15" customHeight="1" x14ac:dyDescent="0.2">
      <c r="A67" s="20" t="e">
        <f>IF(ROW(A67)-ROW($A$11)&lt;=VLOOKUP($A$5,IDX_SPECS!$B$2:$V$1048576,12,0),ROW(A67)-ROW($A$11),"")</f>
        <v>#N/A</v>
      </c>
      <c r="B67" s="20" t="e">
        <f t="array" ref="B67">IF($A67&lt;&gt;"",INDEX(IDX_COMPOSITION!$A$1:$A$123,SMALL(IF(IDX_COMPOSITION!$R$2:$R$441=VLOOKUP($A$5,IDX_SPECS!$B$2:$V$89,6,0),ROW(IDX_COMPOSITION!$R$2:$R$441)),ROW($A67)-ROW($A$11))),"")</f>
        <v>#N/A</v>
      </c>
      <c r="C67" s="56" t="e">
        <f t="array" ref="C67">IF($A67&lt;&gt;"",INDEX(IDX_COMPOSITION!$B$1:$B$123,SMALL(IF(IDX_COMPOSITION!$R$2:$R$441=VLOOKUP($A$5,IDX_SPECS!$B$2:$V$89,6,0),ROW(IDX_COMPOSITION!$R$2:$R$441)),ROW($B67)-ROW($B$11))),"")</f>
        <v>#N/A</v>
      </c>
      <c r="D67" s="57" t="e">
        <f t="array" ref="D67">IF($A67&lt;&gt;"",INDEX(IDX_COMPOSITION!$C$1:$C$123,SMALL(IF(IDX_COMPOSITION!$R$2:$R$441=VLOOKUP($A$5,IDX_SPECS!$B$2:$V$89,6,0),ROW(IDX_COMPOSITION!$R$2:$R$441)),ROW($B67)-ROW($B$11))),"")</f>
        <v>#N/A</v>
      </c>
      <c r="E67" s="57" t="e">
        <f t="array" ref="E67">IF($A67&lt;&gt;"",INDEX(IDX_COMPOSITION!$D$1:$D$123,SMALL(IF(IDX_COMPOSITION!$R$2:$R$441=VLOOKUP($A$5,IDX_SPECS!$B$2:$V$89,6,0),ROW(IDX_COMPOSITION!$R$2:$R$441)),ROW($B67)-ROW($B$11))),"")</f>
        <v>#N/A</v>
      </c>
      <c r="F67" s="57" t="e">
        <f t="array" ref="F67">IF($A67&lt;&gt;"",INDEX(IDX_COMPOSITION!$E$1:$E$123,SMALL(IF(IDX_COMPOSITION!$R$2:$R$441=VLOOKUP($A$5,IDX_SPECS!$B$2:$V$89,6,0),ROW(IDX_COMPOSITION!$R$2:$R$441)),ROW($B67)-ROW($B$11))),"")</f>
        <v>#N/A</v>
      </c>
      <c r="G67" s="58" t="e">
        <f t="array" ref="G67">IF($A67&lt;&gt;"",INDEX(IDX_COMPOSITION!$F$1:$F$123,SMALL(IF(IDX_COMPOSITION!$R$2:$R$441=VLOOKUP($A$5,IDX_SPECS!$B$2:$V$89,6,0),ROW(IDX_COMPOSITION!$R$2:$R$441)),ROW($B67)-ROW($B$11))),"")</f>
        <v>#N/A</v>
      </c>
      <c r="H67" s="59" t="e">
        <f t="array" ref="H67">IF($A67&lt;&gt;"",INDEX(IDX_COMPOSITION!$K$1:$K$123,SMALL(IF(IDX_COMPOSITION!$R$2:$R$441=VLOOKUP($A$5,IDX_SPECS!$B$2:$V$89,6,0),ROW(IDX_COMPOSITION!$R$2:$R$441)),ROW($B67)-ROW($B$11))),"")</f>
        <v>#N/A</v>
      </c>
    </row>
    <row r="68" spans="1:8" ht="15" customHeight="1" x14ac:dyDescent="0.2">
      <c r="A68" s="20" t="e">
        <f>IF(ROW(A68)-ROW($A$11)&lt;=VLOOKUP($A$5,IDX_SPECS!$B$2:$V$1048576,12,0),ROW(A68)-ROW($A$11),"")</f>
        <v>#N/A</v>
      </c>
      <c r="B68" s="20" t="e">
        <f t="array" ref="B68">IF($A68&lt;&gt;"",INDEX(IDX_COMPOSITION!$A$1:$A$123,SMALL(IF(IDX_COMPOSITION!$R$2:$R$441=VLOOKUP($A$5,IDX_SPECS!$B$2:$V$89,6,0),ROW(IDX_COMPOSITION!$R$2:$R$441)),ROW($A68)-ROW($A$11))),"")</f>
        <v>#N/A</v>
      </c>
      <c r="C68" s="56" t="e">
        <f t="array" ref="C68">IF($A68&lt;&gt;"",INDEX(IDX_COMPOSITION!$B$1:$B$123,SMALL(IF(IDX_COMPOSITION!$R$2:$R$441=VLOOKUP($A$5,IDX_SPECS!$B$2:$V$89,6,0),ROW(IDX_COMPOSITION!$R$2:$R$441)),ROW($B68)-ROW($B$11))),"")</f>
        <v>#N/A</v>
      </c>
      <c r="D68" s="57" t="e">
        <f t="array" ref="D68">IF($A68&lt;&gt;"",INDEX(IDX_COMPOSITION!$C$1:$C$123,SMALL(IF(IDX_COMPOSITION!$R$2:$R$441=VLOOKUP($A$5,IDX_SPECS!$B$2:$V$89,6,0),ROW(IDX_COMPOSITION!$R$2:$R$441)),ROW($B68)-ROW($B$11))),"")</f>
        <v>#N/A</v>
      </c>
      <c r="E68" s="57" t="e">
        <f t="array" ref="E68">IF($A68&lt;&gt;"",INDEX(IDX_COMPOSITION!$D$1:$D$123,SMALL(IF(IDX_COMPOSITION!$R$2:$R$441=VLOOKUP($A$5,IDX_SPECS!$B$2:$V$89,6,0),ROW(IDX_COMPOSITION!$R$2:$R$441)),ROW($B68)-ROW($B$11))),"")</f>
        <v>#N/A</v>
      </c>
      <c r="F68" s="57" t="e">
        <f t="array" ref="F68">IF($A68&lt;&gt;"",INDEX(IDX_COMPOSITION!$E$1:$E$123,SMALL(IF(IDX_COMPOSITION!$R$2:$R$441=VLOOKUP($A$5,IDX_SPECS!$B$2:$V$89,6,0),ROW(IDX_COMPOSITION!$R$2:$R$441)),ROW($B68)-ROW($B$11))),"")</f>
        <v>#N/A</v>
      </c>
      <c r="G68" s="58" t="e">
        <f t="array" ref="G68">IF($A68&lt;&gt;"",INDEX(IDX_COMPOSITION!$F$1:$F$123,SMALL(IF(IDX_COMPOSITION!$R$2:$R$441=VLOOKUP($A$5,IDX_SPECS!$B$2:$V$89,6,0),ROW(IDX_COMPOSITION!$R$2:$R$441)),ROW($B68)-ROW($B$11))),"")</f>
        <v>#N/A</v>
      </c>
      <c r="H68" s="59" t="e">
        <f t="array" ref="H68">IF($A68&lt;&gt;"",INDEX(IDX_COMPOSITION!$K$1:$K$123,SMALL(IF(IDX_COMPOSITION!$R$2:$R$441=VLOOKUP($A$5,IDX_SPECS!$B$2:$V$89,6,0),ROW(IDX_COMPOSITION!$R$2:$R$441)),ROW($B68)-ROW($B$11))),"")</f>
        <v>#N/A</v>
      </c>
    </row>
    <row r="69" spans="1:8" ht="15" customHeight="1" x14ac:dyDescent="0.2">
      <c r="A69" s="20" t="e">
        <f>IF(ROW(A69)-ROW($A$11)&lt;=VLOOKUP($A$5,IDX_SPECS!$B$2:$V$1048576,12,0),ROW(A69)-ROW($A$11),"")</f>
        <v>#N/A</v>
      </c>
      <c r="B69" s="20" t="e">
        <f t="array" ref="B69">IF($A69&lt;&gt;"",INDEX(IDX_COMPOSITION!$A$1:$A$123,SMALL(IF(IDX_COMPOSITION!$R$2:$R$441=VLOOKUP($A$5,IDX_SPECS!$B$2:$V$89,6,0),ROW(IDX_COMPOSITION!$R$2:$R$441)),ROW($A69)-ROW($A$11))),"")</f>
        <v>#N/A</v>
      </c>
      <c r="C69" s="56" t="e">
        <f t="array" ref="C69">IF($A69&lt;&gt;"",INDEX(IDX_COMPOSITION!$B$1:$B$123,SMALL(IF(IDX_COMPOSITION!$R$2:$R$441=VLOOKUP($A$5,IDX_SPECS!$B$2:$V$89,6,0),ROW(IDX_COMPOSITION!$R$2:$R$441)),ROW($B69)-ROW($B$11))),"")</f>
        <v>#N/A</v>
      </c>
      <c r="D69" s="57" t="e">
        <f t="array" ref="D69">IF($A69&lt;&gt;"",INDEX(IDX_COMPOSITION!$C$1:$C$123,SMALL(IF(IDX_COMPOSITION!$R$2:$R$441=VLOOKUP($A$5,IDX_SPECS!$B$2:$V$89,6,0),ROW(IDX_COMPOSITION!$R$2:$R$441)),ROW($B69)-ROW($B$11))),"")</f>
        <v>#N/A</v>
      </c>
      <c r="E69" s="57" t="e">
        <f t="array" ref="E69">IF($A69&lt;&gt;"",INDEX(IDX_COMPOSITION!$D$1:$D$123,SMALL(IF(IDX_COMPOSITION!$R$2:$R$441=VLOOKUP($A$5,IDX_SPECS!$B$2:$V$89,6,0),ROW(IDX_COMPOSITION!$R$2:$R$441)),ROW($B69)-ROW($B$11))),"")</f>
        <v>#N/A</v>
      </c>
      <c r="F69" s="57" t="e">
        <f t="array" ref="F69">IF($A69&lt;&gt;"",INDEX(IDX_COMPOSITION!$E$1:$E$123,SMALL(IF(IDX_COMPOSITION!$R$2:$R$441=VLOOKUP($A$5,IDX_SPECS!$B$2:$V$89,6,0),ROW(IDX_COMPOSITION!$R$2:$R$441)),ROW($B69)-ROW($B$11))),"")</f>
        <v>#N/A</v>
      </c>
      <c r="G69" s="58" t="e">
        <f t="array" ref="G69">IF($A69&lt;&gt;"",INDEX(IDX_COMPOSITION!$F$1:$F$123,SMALL(IF(IDX_COMPOSITION!$R$2:$R$441=VLOOKUP($A$5,IDX_SPECS!$B$2:$V$89,6,0),ROW(IDX_COMPOSITION!$R$2:$R$441)),ROW($B69)-ROW($B$11))),"")</f>
        <v>#N/A</v>
      </c>
      <c r="H69" s="59" t="e">
        <f t="array" ref="H69">IF($A69&lt;&gt;"",INDEX(IDX_COMPOSITION!$K$1:$K$123,SMALL(IF(IDX_COMPOSITION!$R$2:$R$441=VLOOKUP($A$5,IDX_SPECS!$B$2:$V$89,6,0),ROW(IDX_COMPOSITION!$R$2:$R$441)),ROW($B69)-ROW($B$11))),"")</f>
        <v>#N/A</v>
      </c>
    </row>
    <row r="70" spans="1:8" ht="15" customHeight="1" x14ac:dyDescent="0.2">
      <c r="A70" s="20" t="e">
        <f>IF(ROW(A70)-ROW($A$11)&lt;=VLOOKUP($A$5,IDX_SPECS!$B$2:$V$1048576,12,0),ROW(A70)-ROW($A$11),"")</f>
        <v>#N/A</v>
      </c>
      <c r="B70" s="20" t="e">
        <f t="array" ref="B70">IF($A70&lt;&gt;"",INDEX(IDX_COMPOSITION!$A$1:$A$123,SMALL(IF(IDX_COMPOSITION!$R$2:$R$441=VLOOKUP($A$5,IDX_SPECS!$B$2:$V$89,6,0),ROW(IDX_COMPOSITION!$R$2:$R$441)),ROW($A70)-ROW($A$11))),"")</f>
        <v>#N/A</v>
      </c>
      <c r="C70" s="56" t="e">
        <f t="array" ref="C70">IF($A70&lt;&gt;"",INDEX(IDX_COMPOSITION!$B$1:$B$123,SMALL(IF(IDX_COMPOSITION!$R$2:$R$441=VLOOKUP($A$5,IDX_SPECS!$B$2:$V$89,6,0),ROW(IDX_COMPOSITION!$R$2:$R$441)),ROW($B70)-ROW($B$11))),"")</f>
        <v>#N/A</v>
      </c>
      <c r="D70" s="57" t="e">
        <f t="array" ref="D70">IF($A70&lt;&gt;"",INDEX(IDX_COMPOSITION!$C$1:$C$123,SMALL(IF(IDX_COMPOSITION!$R$2:$R$441=VLOOKUP($A$5,IDX_SPECS!$B$2:$V$89,6,0),ROW(IDX_COMPOSITION!$R$2:$R$441)),ROW($B70)-ROW($B$11))),"")</f>
        <v>#N/A</v>
      </c>
      <c r="E70" s="57" t="e">
        <f t="array" ref="E70">IF($A70&lt;&gt;"",INDEX(IDX_COMPOSITION!$D$1:$D$123,SMALL(IF(IDX_COMPOSITION!$R$2:$R$441=VLOOKUP($A$5,IDX_SPECS!$B$2:$V$89,6,0),ROW(IDX_COMPOSITION!$R$2:$R$441)),ROW($B70)-ROW($B$11))),"")</f>
        <v>#N/A</v>
      </c>
      <c r="F70" s="57" t="e">
        <f t="array" ref="F70">IF($A70&lt;&gt;"",INDEX(IDX_COMPOSITION!$E$1:$E$123,SMALL(IF(IDX_COMPOSITION!$R$2:$R$441=VLOOKUP($A$5,IDX_SPECS!$B$2:$V$89,6,0),ROW(IDX_COMPOSITION!$R$2:$R$441)),ROW($B70)-ROW($B$11))),"")</f>
        <v>#N/A</v>
      </c>
      <c r="G70" s="58" t="e">
        <f t="array" ref="G70">IF($A70&lt;&gt;"",INDEX(IDX_COMPOSITION!$F$1:$F$123,SMALL(IF(IDX_COMPOSITION!$R$2:$R$441=VLOOKUP($A$5,IDX_SPECS!$B$2:$V$89,6,0),ROW(IDX_COMPOSITION!$R$2:$R$441)),ROW($B70)-ROW($B$11))),"")</f>
        <v>#N/A</v>
      </c>
      <c r="H70" s="59" t="e">
        <f t="array" ref="H70">IF($A70&lt;&gt;"",INDEX(IDX_COMPOSITION!$K$1:$K$123,SMALL(IF(IDX_COMPOSITION!$R$2:$R$441=VLOOKUP($A$5,IDX_SPECS!$B$2:$V$89,6,0),ROW(IDX_COMPOSITION!$R$2:$R$441)),ROW($B70)-ROW($B$11))),"")</f>
        <v>#N/A</v>
      </c>
    </row>
    <row r="71" spans="1:8" ht="15" customHeight="1" x14ac:dyDescent="0.2">
      <c r="A71" s="20" t="e">
        <f>IF(ROW(A71)-ROW($A$11)&lt;=VLOOKUP($A$5,IDX_SPECS!$B$2:$V$1048576,12,0),ROW(A71)-ROW($A$11),"")</f>
        <v>#N/A</v>
      </c>
      <c r="B71" s="20" t="e">
        <f t="array" ref="B71">IF($A71&lt;&gt;"",INDEX(IDX_COMPOSITION!$A$1:$A$123,SMALL(IF(IDX_COMPOSITION!$R$2:$R$441=VLOOKUP($A$5,IDX_SPECS!$B$2:$V$89,6,0),ROW(IDX_COMPOSITION!$R$2:$R$441)),ROW($A71)-ROW($A$11))),"")</f>
        <v>#N/A</v>
      </c>
      <c r="C71" s="56" t="e">
        <f t="array" ref="C71">IF($A71&lt;&gt;"",INDEX(IDX_COMPOSITION!$B$1:$B$123,SMALL(IF(IDX_COMPOSITION!$R$2:$R$441=VLOOKUP($A$5,IDX_SPECS!$B$2:$V$89,6,0),ROW(IDX_COMPOSITION!$R$2:$R$441)),ROW($B71)-ROW($B$11))),"")</f>
        <v>#N/A</v>
      </c>
      <c r="D71" s="57" t="e">
        <f t="array" ref="D71">IF($A71&lt;&gt;"",INDEX(IDX_COMPOSITION!$C$1:$C$123,SMALL(IF(IDX_COMPOSITION!$R$2:$R$441=VLOOKUP($A$5,IDX_SPECS!$B$2:$V$89,6,0),ROW(IDX_COMPOSITION!$R$2:$R$441)),ROW($B71)-ROW($B$11))),"")</f>
        <v>#N/A</v>
      </c>
      <c r="E71" s="57" t="e">
        <f t="array" ref="E71">IF($A71&lt;&gt;"",INDEX(IDX_COMPOSITION!$D$1:$D$123,SMALL(IF(IDX_COMPOSITION!$R$2:$R$441=VLOOKUP($A$5,IDX_SPECS!$B$2:$V$89,6,0),ROW(IDX_COMPOSITION!$R$2:$R$441)),ROW($B71)-ROW($B$11))),"")</f>
        <v>#N/A</v>
      </c>
      <c r="F71" s="57" t="e">
        <f t="array" ref="F71">IF($A71&lt;&gt;"",INDEX(IDX_COMPOSITION!$E$1:$E$123,SMALL(IF(IDX_COMPOSITION!$R$2:$R$441=VLOOKUP($A$5,IDX_SPECS!$B$2:$V$89,6,0),ROW(IDX_COMPOSITION!$R$2:$R$441)),ROW($B71)-ROW($B$11))),"")</f>
        <v>#N/A</v>
      </c>
      <c r="G71" s="58" t="e">
        <f t="array" ref="G71">IF($A71&lt;&gt;"",INDEX(IDX_COMPOSITION!$F$1:$F$123,SMALL(IF(IDX_COMPOSITION!$R$2:$R$441=VLOOKUP($A$5,IDX_SPECS!$B$2:$V$89,6,0),ROW(IDX_COMPOSITION!$R$2:$R$441)),ROW($B71)-ROW($B$11))),"")</f>
        <v>#N/A</v>
      </c>
      <c r="H71" s="59" t="e">
        <f t="array" ref="H71">IF($A71&lt;&gt;"",INDEX(IDX_COMPOSITION!$K$1:$K$123,SMALL(IF(IDX_COMPOSITION!$R$2:$R$441=VLOOKUP($A$5,IDX_SPECS!$B$2:$V$89,6,0),ROW(IDX_COMPOSITION!$R$2:$R$441)),ROW($B71)-ROW($B$11))),"")</f>
        <v>#N/A</v>
      </c>
    </row>
    <row r="72" spans="1:8" ht="15" customHeight="1" x14ac:dyDescent="0.2">
      <c r="A72" s="20" t="e">
        <f>IF(ROW(A72)-ROW($A$11)&lt;=VLOOKUP($A$5,IDX_SPECS!$B$2:$V$1048576,12,0),ROW(A72)-ROW($A$11),"")</f>
        <v>#N/A</v>
      </c>
      <c r="B72" s="20" t="e">
        <f t="array" ref="B72">IF($A72&lt;&gt;"",INDEX(IDX_COMPOSITION!$A$1:$A$123,SMALL(IF(IDX_COMPOSITION!$R$2:$R$441=VLOOKUP($A$5,IDX_SPECS!$B$2:$V$89,6,0),ROW(IDX_COMPOSITION!$R$2:$R$441)),ROW($A72)-ROW($A$11))),"")</f>
        <v>#N/A</v>
      </c>
      <c r="C72" s="56" t="e">
        <f t="array" ref="C72">IF($A72&lt;&gt;"",INDEX(IDX_COMPOSITION!$B$1:$B$123,SMALL(IF(IDX_COMPOSITION!$R$2:$R$441=VLOOKUP($A$5,IDX_SPECS!$B$2:$V$89,6,0),ROW(IDX_COMPOSITION!$R$2:$R$441)),ROW($B72)-ROW($B$11))),"")</f>
        <v>#N/A</v>
      </c>
      <c r="D72" s="57" t="e">
        <f t="array" ref="D72">IF($A72&lt;&gt;"",INDEX(IDX_COMPOSITION!$C$1:$C$123,SMALL(IF(IDX_COMPOSITION!$R$2:$R$441=VLOOKUP($A$5,IDX_SPECS!$B$2:$V$89,6,0),ROW(IDX_COMPOSITION!$R$2:$R$441)),ROW($B72)-ROW($B$11))),"")</f>
        <v>#N/A</v>
      </c>
      <c r="E72" s="57" t="e">
        <f t="array" ref="E72">IF($A72&lt;&gt;"",INDEX(IDX_COMPOSITION!$D$1:$D$123,SMALL(IF(IDX_COMPOSITION!$R$2:$R$441=VLOOKUP($A$5,IDX_SPECS!$B$2:$V$89,6,0),ROW(IDX_COMPOSITION!$R$2:$R$441)),ROW($B72)-ROW($B$11))),"")</f>
        <v>#N/A</v>
      </c>
      <c r="F72" s="57" t="e">
        <f t="array" ref="F72">IF($A72&lt;&gt;"",INDEX(IDX_COMPOSITION!$E$1:$E$123,SMALL(IF(IDX_COMPOSITION!$R$2:$R$441=VLOOKUP($A$5,IDX_SPECS!$B$2:$V$89,6,0),ROW(IDX_COMPOSITION!$R$2:$R$441)),ROW($B72)-ROW($B$11))),"")</f>
        <v>#N/A</v>
      </c>
      <c r="G72" s="58" t="e">
        <f t="array" ref="G72">IF($A72&lt;&gt;"",INDEX(IDX_COMPOSITION!$F$1:$F$123,SMALL(IF(IDX_COMPOSITION!$R$2:$R$441=VLOOKUP($A$5,IDX_SPECS!$B$2:$V$89,6,0),ROW(IDX_COMPOSITION!$R$2:$R$441)),ROW($B72)-ROW($B$11))),"")</f>
        <v>#N/A</v>
      </c>
      <c r="H72" s="59" t="e">
        <f t="array" ref="H72">IF($A72&lt;&gt;"",INDEX(IDX_COMPOSITION!$K$1:$K$123,SMALL(IF(IDX_COMPOSITION!$R$2:$R$441=VLOOKUP($A$5,IDX_SPECS!$B$2:$V$89,6,0),ROW(IDX_COMPOSITION!$R$2:$R$441)),ROW($B72)-ROW($B$11))),"")</f>
        <v>#N/A</v>
      </c>
    </row>
    <row r="73" spans="1:8" ht="15" customHeight="1" x14ac:dyDescent="0.2">
      <c r="A73" s="20" t="e">
        <f>IF(ROW(A73)-ROW($A$11)&lt;=VLOOKUP($A$5,IDX_SPECS!$B$2:$V$1048576,12,0),ROW(A73)-ROW($A$11),"")</f>
        <v>#N/A</v>
      </c>
      <c r="B73" s="20" t="e">
        <f t="array" ref="B73">IF($A73&lt;&gt;"",INDEX(IDX_COMPOSITION!$A$1:$A$123,SMALL(IF(IDX_COMPOSITION!$R$2:$R$441=VLOOKUP($A$5,IDX_SPECS!$B$2:$V$89,6,0),ROW(IDX_COMPOSITION!$R$2:$R$441)),ROW($A73)-ROW($A$11))),"")</f>
        <v>#N/A</v>
      </c>
      <c r="C73" s="56" t="e">
        <f t="array" ref="C73">IF($A73&lt;&gt;"",INDEX(IDX_COMPOSITION!$B$1:$B$123,SMALL(IF(IDX_COMPOSITION!$R$2:$R$441=VLOOKUP($A$5,IDX_SPECS!$B$2:$V$89,6,0),ROW(IDX_COMPOSITION!$R$2:$R$441)),ROW($B73)-ROW($B$11))),"")</f>
        <v>#N/A</v>
      </c>
      <c r="D73" s="57" t="e">
        <f t="array" ref="D73">IF($A73&lt;&gt;"",INDEX(IDX_COMPOSITION!$C$1:$C$123,SMALL(IF(IDX_COMPOSITION!$R$2:$R$441=VLOOKUP($A$5,IDX_SPECS!$B$2:$V$89,6,0),ROW(IDX_COMPOSITION!$R$2:$R$441)),ROW($B73)-ROW($B$11))),"")</f>
        <v>#N/A</v>
      </c>
      <c r="E73" s="57" t="e">
        <f t="array" ref="E73">IF($A73&lt;&gt;"",INDEX(IDX_COMPOSITION!$D$1:$D$123,SMALL(IF(IDX_COMPOSITION!$R$2:$R$441=VLOOKUP($A$5,IDX_SPECS!$B$2:$V$89,6,0),ROW(IDX_COMPOSITION!$R$2:$R$441)),ROW($B73)-ROW($B$11))),"")</f>
        <v>#N/A</v>
      </c>
      <c r="F73" s="57" t="e">
        <f t="array" ref="F73">IF($A73&lt;&gt;"",INDEX(IDX_COMPOSITION!$E$1:$E$123,SMALL(IF(IDX_COMPOSITION!$R$2:$R$441=VLOOKUP($A$5,IDX_SPECS!$B$2:$V$89,6,0),ROW(IDX_COMPOSITION!$R$2:$R$441)),ROW($B73)-ROW($B$11))),"")</f>
        <v>#N/A</v>
      </c>
      <c r="G73" s="58" t="e">
        <f t="array" ref="G73">IF($A73&lt;&gt;"",INDEX(IDX_COMPOSITION!$F$1:$F$123,SMALL(IF(IDX_COMPOSITION!$R$2:$R$441=VLOOKUP($A$5,IDX_SPECS!$B$2:$V$89,6,0),ROW(IDX_COMPOSITION!$R$2:$R$441)),ROW($B73)-ROW($B$11))),"")</f>
        <v>#N/A</v>
      </c>
      <c r="H73" s="59" t="e">
        <f t="array" ref="H73">IF($A73&lt;&gt;"",INDEX(IDX_COMPOSITION!$K$1:$K$123,SMALL(IF(IDX_COMPOSITION!$R$2:$R$441=VLOOKUP($A$5,IDX_SPECS!$B$2:$V$89,6,0),ROW(IDX_COMPOSITION!$R$2:$R$441)),ROW($B73)-ROW($B$11))),"")</f>
        <v>#N/A</v>
      </c>
    </row>
    <row r="74" spans="1:8" ht="15" customHeight="1" x14ac:dyDescent="0.2">
      <c r="A74" s="20" t="e">
        <f>IF(ROW(A74)-ROW($A$11)&lt;=VLOOKUP($A$5,IDX_SPECS!$B$2:$V$1048576,12,0),ROW(A74)-ROW($A$11),"")</f>
        <v>#N/A</v>
      </c>
      <c r="B74" s="20" t="e">
        <f t="array" ref="B74">IF($A74&lt;&gt;"",INDEX(IDX_COMPOSITION!$A$1:$A$123,SMALL(IF(IDX_COMPOSITION!$R$2:$R$441=VLOOKUP($A$5,IDX_SPECS!$B$2:$V$89,6,0),ROW(IDX_COMPOSITION!$R$2:$R$441)),ROW($A74)-ROW($A$11))),"")</f>
        <v>#N/A</v>
      </c>
      <c r="C74" s="56" t="e">
        <f t="array" ref="C74">IF($A74&lt;&gt;"",INDEX(IDX_COMPOSITION!$B$1:$B$123,SMALL(IF(IDX_COMPOSITION!$R$2:$R$441=VLOOKUP($A$5,IDX_SPECS!$B$2:$V$89,6,0),ROW(IDX_COMPOSITION!$R$2:$R$441)),ROW($B74)-ROW($B$11))),"")</f>
        <v>#N/A</v>
      </c>
      <c r="D74" s="57" t="e">
        <f t="array" ref="D74">IF($A74&lt;&gt;"",INDEX(IDX_COMPOSITION!$C$1:$C$123,SMALL(IF(IDX_COMPOSITION!$R$2:$R$441=VLOOKUP($A$5,IDX_SPECS!$B$2:$V$89,6,0),ROW(IDX_COMPOSITION!$R$2:$R$441)),ROW($B74)-ROW($B$11))),"")</f>
        <v>#N/A</v>
      </c>
      <c r="E74" s="57" t="e">
        <f t="array" ref="E74">IF($A74&lt;&gt;"",INDEX(IDX_COMPOSITION!$D$1:$D$123,SMALL(IF(IDX_COMPOSITION!$R$2:$R$441=VLOOKUP($A$5,IDX_SPECS!$B$2:$V$89,6,0),ROW(IDX_COMPOSITION!$R$2:$R$441)),ROW($B74)-ROW($B$11))),"")</f>
        <v>#N/A</v>
      </c>
      <c r="F74" s="57" t="e">
        <f t="array" ref="F74">IF($A74&lt;&gt;"",INDEX(IDX_COMPOSITION!$E$1:$E$123,SMALL(IF(IDX_COMPOSITION!$R$2:$R$441=VLOOKUP($A$5,IDX_SPECS!$B$2:$V$89,6,0),ROW(IDX_COMPOSITION!$R$2:$R$441)),ROW($B74)-ROW($B$11))),"")</f>
        <v>#N/A</v>
      </c>
      <c r="G74" s="58" t="e">
        <f t="array" ref="G74">IF($A74&lt;&gt;"",INDEX(IDX_COMPOSITION!$F$1:$F$123,SMALL(IF(IDX_COMPOSITION!$R$2:$R$441=VLOOKUP($A$5,IDX_SPECS!$B$2:$V$89,6,0),ROW(IDX_COMPOSITION!$R$2:$R$441)),ROW($B74)-ROW($B$11))),"")</f>
        <v>#N/A</v>
      </c>
      <c r="H74" s="59" t="e">
        <f t="array" ref="H74">IF($A74&lt;&gt;"",INDEX(IDX_COMPOSITION!$K$1:$K$123,SMALL(IF(IDX_COMPOSITION!$R$2:$R$441=VLOOKUP($A$5,IDX_SPECS!$B$2:$V$89,6,0),ROW(IDX_COMPOSITION!$R$2:$R$441)),ROW($B74)-ROW($B$11))),"")</f>
        <v>#N/A</v>
      </c>
    </row>
    <row r="75" spans="1:8" ht="15" customHeight="1" x14ac:dyDescent="0.2">
      <c r="A75" s="20" t="e">
        <f>IF(ROW(A75)-ROW($A$11)&lt;=VLOOKUP($A$5,IDX_SPECS!$B$2:$V$1048576,12,0),ROW(A75)-ROW($A$11),"")</f>
        <v>#N/A</v>
      </c>
      <c r="B75" s="20" t="e">
        <f t="array" ref="B75">IF($A75&lt;&gt;"",INDEX(IDX_COMPOSITION!$A$1:$A$123,SMALL(IF(IDX_COMPOSITION!$R$2:$R$441=VLOOKUP($A$5,IDX_SPECS!$B$2:$V$89,6,0),ROW(IDX_COMPOSITION!$R$2:$R$441)),ROW($A75)-ROW($A$11))),"")</f>
        <v>#N/A</v>
      </c>
      <c r="C75" s="56" t="e">
        <f t="array" ref="C75">IF($A75&lt;&gt;"",INDEX(IDX_COMPOSITION!$B$1:$B$123,SMALL(IF(IDX_COMPOSITION!$R$2:$R$441=VLOOKUP($A$5,IDX_SPECS!$B$2:$V$89,6,0),ROW(IDX_COMPOSITION!$R$2:$R$441)),ROW($B75)-ROW($B$11))),"")</f>
        <v>#N/A</v>
      </c>
      <c r="D75" s="57" t="e">
        <f t="array" ref="D75">IF($A75&lt;&gt;"",INDEX(IDX_COMPOSITION!$C$1:$C$123,SMALL(IF(IDX_COMPOSITION!$R$2:$R$441=VLOOKUP($A$5,IDX_SPECS!$B$2:$V$89,6,0),ROW(IDX_COMPOSITION!$R$2:$R$441)),ROW($B75)-ROW($B$11))),"")</f>
        <v>#N/A</v>
      </c>
      <c r="E75" s="57" t="e">
        <f t="array" ref="E75">IF($A75&lt;&gt;"",INDEX(IDX_COMPOSITION!$D$1:$D$123,SMALL(IF(IDX_COMPOSITION!$R$2:$R$441=VLOOKUP($A$5,IDX_SPECS!$B$2:$V$89,6,0),ROW(IDX_COMPOSITION!$R$2:$R$441)),ROW($B75)-ROW($B$11))),"")</f>
        <v>#N/A</v>
      </c>
      <c r="F75" s="57" t="e">
        <f t="array" ref="F75">IF($A75&lt;&gt;"",INDEX(IDX_COMPOSITION!$E$1:$E$123,SMALL(IF(IDX_COMPOSITION!$R$2:$R$441=VLOOKUP($A$5,IDX_SPECS!$B$2:$V$89,6,0),ROW(IDX_COMPOSITION!$R$2:$R$441)),ROW($B75)-ROW($B$11))),"")</f>
        <v>#N/A</v>
      </c>
      <c r="G75" s="58" t="e">
        <f t="array" ref="G75">IF($A75&lt;&gt;"",INDEX(IDX_COMPOSITION!$F$1:$F$123,SMALL(IF(IDX_COMPOSITION!$R$2:$R$441=VLOOKUP($A$5,IDX_SPECS!$B$2:$V$89,6,0),ROW(IDX_COMPOSITION!$R$2:$R$441)),ROW($B75)-ROW($B$11))),"")</f>
        <v>#N/A</v>
      </c>
      <c r="H75" s="59" t="e">
        <f t="array" ref="H75">IF($A75&lt;&gt;"",INDEX(IDX_COMPOSITION!$K$1:$K$123,SMALL(IF(IDX_COMPOSITION!$R$2:$R$441=VLOOKUP($A$5,IDX_SPECS!$B$2:$V$89,6,0),ROW(IDX_COMPOSITION!$R$2:$R$441)),ROW($B75)-ROW($B$11))),"")</f>
        <v>#N/A</v>
      </c>
    </row>
    <row r="76" spans="1:8" ht="15" customHeight="1" x14ac:dyDescent="0.2">
      <c r="A76" s="20" t="e">
        <f>IF(ROW(A76)-ROW($A$11)&lt;=VLOOKUP($A$5,IDX_SPECS!$B$2:$V$1048576,12,0),ROW(A76)-ROW($A$11),"")</f>
        <v>#N/A</v>
      </c>
      <c r="B76" s="20" t="e">
        <f t="array" ref="B76">IF($A76&lt;&gt;"",INDEX(IDX_COMPOSITION!$A$1:$A$123,SMALL(IF(IDX_COMPOSITION!$R$2:$R$441=VLOOKUP($A$5,IDX_SPECS!$B$2:$V$89,6,0),ROW(IDX_COMPOSITION!$R$2:$R$441)),ROW($A76)-ROW($A$11))),"")</f>
        <v>#N/A</v>
      </c>
      <c r="C76" s="56" t="e">
        <f t="array" ref="C76">IF($A76&lt;&gt;"",INDEX(IDX_COMPOSITION!$B$1:$B$123,SMALL(IF(IDX_COMPOSITION!$R$2:$R$441=VLOOKUP($A$5,IDX_SPECS!$B$2:$V$89,6,0),ROW(IDX_COMPOSITION!$R$2:$R$441)),ROW($B76)-ROW($B$11))),"")</f>
        <v>#N/A</v>
      </c>
      <c r="D76" s="57" t="e">
        <f t="array" ref="D76">IF($A76&lt;&gt;"",INDEX(IDX_COMPOSITION!$C$1:$C$123,SMALL(IF(IDX_COMPOSITION!$R$2:$R$441=VLOOKUP($A$5,IDX_SPECS!$B$2:$V$89,6,0),ROW(IDX_COMPOSITION!$R$2:$R$441)),ROW($B76)-ROW($B$11))),"")</f>
        <v>#N/A</v>
      </c>
      <c r="E76" s="57" t="e">
        <f t="array" ref="E76">IF($A76&lt;&gt;"",INDEX(IDX_COMPOSITION!$D$1:$D$123,SMALL(IF(IDX_COMPOSITION!$R$2:$R$441=VLOOKUP($A$5,IDX_SPECS!$B$2:$V$89,6,0),ROW(IDX_COMPOSITION!$R$2:$R$441)),ROW($B76)-ROW($B$11))),"")</f>
        <v>#N/A</v>
      </c>
      <c r="F76" s="57" t="e">
        <f t="array" ref="F76">IF($A76&lt;&gt;"",INDEX(IDX_COMPOSITION!$E$1:$E$123,SMALL(IF(IDX_COMPOSITION!$R$2:$R$441=VLOOKUP($A$5,IDX_SPECS!$B$2:$V$89,6,0),ROW(IDX_COMPOSITION!$R$2:$R$441)),ROW($B76)-ROW($B$11))),"")</f>
        <v>#N/A</v>
      </c>
      <c r="G76" s="58" t="e">
        <f t="array" ref="G76">IF($A76&lt;&gt;"",INDEX(IDX_COMPOSITION!$F$1:$F$123,SMALL(IF(IDX_COMPOSITION!$R$2:$R$441=VLOOKUP($A$5,IDX_SPECS!$B$2:$V$89,6,0),ROW(IDX_COMPOSITION!$R$2:$R$441)),ROW($B76)-ROW($B$11))),"")</f>
        <v>#N/A</v>
      </c>
      <c r="H76" s="59" t="e">
        <f t="array" ref="H76">IF($A76&lt;&gt;"",INDEX(IDX_COMPOSITION!$K$1:$K$123,SMALL(IF(IDX_COMPOSITION!$R$2:$R$441=VLOOKUP($A$5,IDX_SPECS!$B$2:$V$89,6,0),ROW(IDX_COMPOSITION!$R$2:$R$441)),ROW($B76)-ROW($B$11))),"")</f>
        <v>#N/A</v>
      </c>
    </row>
    <row r="77" spans="1:8" ht="15" customHeight="1" x14ac:dyDescent="0.2">
      <c r="A77" s="20" t="e">
        <f>IF(ROW(A77)-ROW($A$11)&lt;=VLOOKUP($A$5,IDX_SPECS!$B$2:$V$1048576,12,0),ROW(A77)-ROW($A$11),"")</f>
        <v>#N/A</v>
      </c>
      <c r="B77" s="20" t="e">
        <f t="array" ref="B77">IF($A77&lt;&gt;"",INDEX(IDX_COMPOSITION!$A$1:$A$123,SMALL(IF(IDX_COMPOSITION!$R$2:$R$441=VLOOKUP($A$5,IDX_SPECS!$B$2:$V$89,6,0),ROW(IDX_COMPOSITION!$R$2:$R$441)),ROW($A77)-ROW($A$11))),"")</f>
        <v>#N/A</v>
      </c>
      <c r="C77" s="56" t="e">
        <f t="array" ref="C77">IF($A77&lt;&gt;"",INDEX(IDX_COMPOSITION!$B$1:$B$123,SMALL(IF(IDX_COMPOSITION!$R$2:$R$441=VLOOKUP($A$5,IDX_SPECS!$B$2:$V$89,6,0),ROW(IDX_COMPOSITION!$R$2:$R$441)),ROW($B77)-ROW($B$11))),"")</f>
        <v>#N/A</v>
      </c>
      <c r="D77" s="57" t="e">
        <f t="array" ref="D77">IF($A77&lt;&gt;"",INDEX(IDX_COMPOSITION!$C$1:$C$123,SMALL(IF(IDX_COMPOSITION!$R$2:$R$441=VLOOKUP($A$5,IDX_SPECS!$B$2:$V$89,6,0),ROW(IDX_COMPOSITION!$R$2:$R$441)),ROW($B77)-ROW($B$11))),"")</f>
        <v>#N/A</v>
      </c>
      <c r="E77" s="57" t="e">
        <f t="array" ref="E77">IF($A77&lt;&gt;"",INDEX(IDX_COMPOSITION!$D$1:$D$123,SMALL(IF(IDX_COMPOSITION!$R$2:$R$441=VLOOKUP($A$5,IDX_SPECS!$B$2:$V$89,6,0),ROW(IDX_COMPOSITION!$R$2:$R$441)),ROW($B77)-ROW($B$11))),"")</f>
        <v>#N/A</v>
      </c>
      <c r="F77" s="57" t="e">
        <f t="array" ref="F77">IF($A77&lt;&gt;"",INDEX(IDX_COMPOSITION!$E$1:$E$123,SMALL(IF(IDX_COMPOSITION!$R$2:$R$441=VLOOKUP($A$5,IDX_SPECS!$B$2:$V$89,6,0),ROW(IDX_COMPOSITION!$R$2:$R$441)),ROW($B77)-ROW($B$11))),"")</f>
        <v>#N/A</v>
      </c>
      <c r="G77" s="58" t="e">
        <f t="array" ref="G77">IF($A77&lt;&gt;"",INDEX(IDX_COMPOSITION!$F$1:$F$123,SMALL(IF(IDX_COMPOSITION!$R$2:$R$441=VLOOKUP($A$5,IDX_SPECS!$B$2:$V$89,6,0),ROW(IDX_COMPOSITION!$R$2:$R$441)),ROW($B77)-ROW($B$11))),"")</f>
        <v>#N/A</v>
      </c>
      <c r="H77" s="59" t="e">
        <f t="array" ref="H77">IF($A77&lt;&gt;"",INDEX(IDX_COMPOSITION!$K$1:$K$123,SMALL(IF(IDX_COMPOSITION!$R$2:$R$441=VLOOKUP($A$5,IDX_SPECS!$B$2:$V$89,6,0),ROW(IDX_COMPOSITION!$R$2:$R$441)),ROW($B77)-ROW($B$11))),"")</f>
        <v>#N/A</v>
      </c>
    </row>
    <row r="78" spans="1:8" ht="15" customHeight="1" x14ac:dyDescent="0.2">
      <c r="A78" s="20" t="e">
        <f>IF(ROW(A78)-ROW($A$11)&lt;=VLOOKUP($A$5,IDX_SPECS!$B$2:$V$1048576,12,0),ROW(A78)-ROW($A$11),"")</f>
        <v>#N/A</v>
      </c>
      <c r="B78" s="20" t="e">
        <f t="array" ref="B78">IF($A78&lt;&gt;"",INDEX(IDX_COMPOSITION!$A$1:$A$123,SMALL(IF(IDX_COMPOSITION!$R$2:$R$441=VLOOKUP($A$5,IDX_SPECS!$B$2:$V$89,6,0),ROW(IDX_COMPOSITION!$R$2:$R$441)),ROW($A78)-ROW($A$11))),"")</f>
        <v>#N/A</v>
      </c>
      <c r="C78" s="56" t="e">
        <f t="array" ref="C78">IF($A78&lt;&gt;"",INDEX(IDX_COMPOSITION!$B$1:$B$123,SMALL(IF(IDX_COMPOSITION!$R$2:$R$441=VLOOKUP($A$5,IDX_SPECS!$B$2:$V$89,6,0),ROW(IDX_COMPOSITION!$R$2:$R$441)),ROW($B78)-ROW($B$11))),"")</f>
        <v>#N/A</v>
      </c>
      <c r="D78" s="57" t="e">
        <f t="array" ref="D78">IF($A78&lt;&gt;"",INDEX(IDX_COMPOSITION!$C$1:$C$123,SMALL(IF(IDX_COMPOSITION!$R$2:$R$441=VLOOKUP($A$5,IDX_SPECS!$B$2:$V$89,6,0),ROW(IDX_COMPOSITION!$R$2:$R$441)),ROW($B78)-ROW($B$11))),"")</f>
        <v>#N/A</v>
      </c>
      <c r="E78" s="57" t="e">
        <f t="array" ref="E78">IF($A78&lt;&gt;"",INDEX(IDX_COMPOSITION!$D$1:$D$123,SMALL(IF(IDX_COMPOSITION!$R$2:$R$441=VLOOKUP($A$5,IDX_SPECS!$B$2:$V$89,6,0),ROW(IDX_COMPOSITION!$R$2:$R$441)),ROW($B78)-ROW($B$11))),"")</f>
        <v>#N/A</v>
      </c>
      <c r="F78" s="57" t="e">
        <f t="array" ref="F78">IF($A78&lt;&gt;"",INDEX(IDX_COMPOSITION!$E$1:$E$123,SMALL(IF(IDX_COMPOSITION!$R$2:$R$441=VLOOKUP($A$5,IDX_SPECS!$B$2:$V$89,6,0),ROW(IDX_COMPOSITION!$R$2:$R$441)),ROW($B78)-ROW($B$11))),"")</f>
        <v>#N/A</v>
      </c>
      <c r="G78" s="58" t="e">
        <f t="array" ref="G78">IF($A78&lt;&gt;"",INDEX(IDX_COMPOSITION!$F$1:$F$123,SMALL(IF(IDX_COMPOSITION!$R$2:$R$441=VLOOKUP($A$5,IDX_SPECS!$B$2:$V$89,6,0),ROW(IDX_COMPOSITION!$R$2:$R$441)),ROW($B78)-ROW($B$11))),"")</f>
        <v>#N/A</v>
      </c>
      <c r="H78" s="59" t="e">
        <f t="array" ref="H78">IF($A78&lt;&gt;"",INDEX(IDX_COMPOSITION!$K$1:$K$123,SMALL(IF(IDX_COMPOSITION!$R$2:$R$441=VLOOKUP($A$5,IDX_SPECS!$B$2:$V$89,6,0),ROW(IDX_COMPOSITION!$R$2:$R$441)),ROW($B78)-ROW($B$11))),"")</f>
        <v>#N/A</v>
      </c>
    </row>
    <row r="79" spans="1:8" ht="15" customHeight="1" x14ac:dyDescent="0.2">
      <c r="A79" s="20" t="e">
        <f>IF(ROW(A79)-ROW($A$11)&lt;=VLOOKUP($A$5,IDX_SPECS!$B$2:$V$1048576,12,0),ROW(A79)-ROW($A$11),"")</f>
        <v>#N/A</v>
      </c>
      <c r="B79" s="20" t="e">
        <f t="array" ref="B79">IF($A79&lt;&gt;"",INDEX(IDX_COMPOSITION!$A$1:$A$123,SMALL(IF(IDX_COMPOSITION!$R$2:$R$441=VLOOKUP($A$5,IDX_SPECS!$B$2:$V$89,6,0),ROW(IDX_COMPOSITION!$R$2:$R$441)),ROW($A79)-ROW($A$11))),"")</f>
        <v>#N/A</v>
      </c>
      <c r="C79" s="56" t="e">
        <f t="array" ref="C79">IF($A79&lt;&gt;"",INDEX(IDX_COMPOSITION!$B$1:$B$123,SMALL(IF(IDX_COMPOSITION!$R$2:$R$441=VLOOKUP($A$5,IDX_SPECS!$B$2:$V$89,6,0),ROW(IDX_COMPOSITION!$R$2:$R$441)),ROW($B79)-ROW($B$11))),"")</f>
        <v>#N/A</v>
      </c>
      <c r="D79" s="57" t="e">
        <f t="array" ref="D79">IF($A79&lt;&gt;"",INDEX(IDX_COMPOSITION!$C$1:$C$123,SMALL(IF(IDX_COMPOSITION!$R$2:$R$441=VLOOKUP($A$5,IDX_SPECS!$B$2:$V$89,6,0),ROW(IDX_COMPOSITION!$R$2:$R$441)),ROW($B79)-ROW($B$11))),"")</f>
        <v>#N/A</v>
      </c>
      <c r="E79" s="57" t="e">
        <f t="array" ref="E79">IF($A79&lt;&gt;"",INDEX(IDX_COMPOSITION!$D$1:$D$123,SMALL(IF(IDX_COMPOSITION!$R$2:$R$441=VLOOKUP($A$5,IDX_SPECS!$B$2:$V$89,6,0),ROW(IDX_COMPOSITION!$R$2:$R$441)),ROW($B79)-ROW($B$11))),"")</f>
        <v>#N/A</v>
      </c>
      <c r="F79" s="57" t="e">
        <f t="array" ref="F79">IF($A79&lt;&gt;"",INDEX(IDX_COMPOSITION!$E$1:$E$123,SMALL(IF(IDX_COMPOSITION!$R$2:$R$441=VLOOKUP($A$5,IDX_SPECS!$B$2:$V$89,6,0),ROW(IDX_COMPOSITION!$R$2:$R$441)),ROW($B79)-ROW($B$11))),"")</f>
        <v>#N/A</v>
      </c>
      <c r="G79" s="58" t="e">
        <f t="array" ref="G79">IF($A79&lt;&gt;"",INDEX(IDX_COMPOSITION!$F$1:$F$123,SMALL(IF(IDX_COMPOSITION!$R$2:$R$441=VLOOKUP($A$5,IDX_SPECS!$B$2:$V$89,6,0),ROW(IDX_COMPOSITION!$R$2:$R$441)),ROW($B79)-ROW($B$11))),"")</f>
        <v>#N/A</v>
      </c>
      <c r="H79" s="59" t="e">
        <f t="array" ref="H79">IF($A79&lt;&gt;"",INDEX(IDX_COMPOSITION!$K$1:$K$123,SMALL(IF(IDX_COMPOSITION!$R$2:$R$441=VLOOKUP($A$5,IDX_SPECS!$B$2:$V$89,6,0),ROW(IDX_COMPOSITION!$R$2:$R$441)),ROW($B79)-ROW($B$11))),"")</f>
        <v>#N/A</v>
      </c>
    </row>
    <row r="80" spans="1:8" ht="15" customHeight="1" x14ac:dyDescent="0.2">
      <c r="A80" s="20" t="e">
        <f>IF(ROW(A80)-ROW($A$11)&lt;=VLOOKUP($A$5,IDX_SPECS!$B$2:$V$1048576,12,0),ROW(A80)-ROW($A$11),"")</f>
        <v>#N/A</v>
      </c>
      <c r="B80" s="20" t="e">
        <f t="array" ref="B80">IF($A80&lt;&gt;"",INDEX(IDX_COMPOSITION!$A$1:$A$123,SMALL(IF(IDX_COMPOSITION!$R$2:$R$441=VLOOKUP($A$5,IDX_SPECS!$B$2:$V$89,6,0),ROW(IDX_COMPOSITION!$R$2:$R$441)),ROW($A80)-ROW($A$11))),"")</f>
        <v>#N/A</v>
      </c>
      <c r="C80" s="56" t="e">
        <f t="array" ref="C80">IF($A80&lt;&gt;"",INDEX(IDX_COMPOSITION!$B$1:$B$123,SMALL(IF(IDX_COMPOSITION!$R$2:$R$441=VLOOKUP($A$5,IDX_SPECS!$B$2:$V$89,6,0),ROW(IDX_COMPOSITION!$R$2:$R$441)),ROW($B80)-ROW($B$11))),"")</f>
        <v>#N/A</v>
      </c>
      <c r="D80" s="57" t="e">
        <f t="array" ref="D80">IF($A80&lt;&gt;"",INDEX(IDX_COMPOSITION!$C$1:$C$123,SMALL(IF(IDX_COMPOSITION!$R$2:$R$441=VLOOKUP($A$5,IDX_SPECS!$B$2:$V$89,6,0),ROW(IDX_COMPOSITION!$R$2:$R$441)),ROW($B80)-ROW($B$11))),"")</f>
        <v>#N/A</v>
      </c>
      <c r="E80" s="57" t="e">
        <f t="array" ref="E80">IF($A80&lt;&gt;"",INDEX(IDX_COMPOSITION!$D$1:$D$123,SMALL(IF(IDX_COMPOSITION!$R$2:$R$441=VLOOKUP($A$5,IDX_SPECS!$B$2:$V$89,6,0),ROW(IDX_COMPOSITION!$R$2:$R$441)),ROW($B80)-ROW($B$11))),"")</f>
        <v>#N/A</v>
      </c>
      <c r="F80" s="57" t="e">
        <f t="array" ref="F80">IF($A80&lt;&gt;"",INDEX(IDX_COMPOSITION!$E$1:$E$123,SMALL(IF(IDX_COMPOSITION!$R$2:$R$441=VLOOKUP($A$5,IDX_SPECS!$B$2:$V$89,6,0),ROW(IDX_COMPOSITION!$R$2:$R$441)),ROW($B80)-ROW($B$11))),"")</f>
        <v>#N/A</v>
      </c>
      <c r="G80" s="58" t="e">
        <f t="array" ref="G80">IF($A80&lt;&gt;"",INDEX(IDX_COMPOSITION!$F$1:$F$123,SMALL(IF(IDX_COMPOSITION!$R$2:$R$441=VLOOKUP($A$5,IDX_SPECS!$B$2:$V$89,6,0),ROW(IDX_COMPOSITION!$R$2:$R$441)),ROW($B80)-ROW($B$11))),"")</f>
        <v>#N/A</v>
      </c>
      <c r="H80" s="59" t="e">
        <f t="array" ref="H80">IF($A80&lt;&gt;"",INDEX(IDX_COMPOSITION!$K$1:$K$123,SMALL(IF(IDX_COMPOSITION!$R$2:$R$441=VLOOKUP($A$5,IDX_SPECS!$B$2:$V$89,6,0),ROW(IDX_COMPOSITION!$R$2:$R$441)),ROW($B80)-ROW($B$11))),"")</f>
        <v>#N/A</v>
      </c>
    </row>
    <row r="81" spans="1:8" ht="15" customHeight="1" x14ac:dyDescent="0.2">
      <c r="A81" s="20" t="e">
        <f>IF(ROW(A81)-ROW($A$11)&lt;=VLOOKUP($A$5,IDX_SPECS!$B$2:$V$1048576,12,0),ROW(A81)-ROW($A$11),"")</f>
        <v>#N/A</v>
      </c>
      <c r="B81" s="20" t="e">
        <f t="array" ref="B81">IF($A81&lt;&gt;"",INDEX(IDX_COMPOSITION!$A$1:$A$123,SMALL(IF(IDX_COMPOSITION!$R$2:$R$441=VLOOKUP($A$5,IDX_SPECS!$B$2:$V$89,6,0),ROW(IDX_COMPOSITION!$R$2:$R$441)),ROW($A81)-ROW($A$11))),"")</f>
        <v>#N/A</v>
      </c>
      <c r="C81" s="56" t="e">
        <f t="array" ref="C81">IF($A81&lt;&gt;"",INDEX(IDX_COMPOSITION!$B$1:$B$123,SMALL(IF(IDX_COMPOSITION!$R$2:$R$441=VLOOKUP($A$5,IDX_SPECS!$B$2:$V$89,6,0),ROW(IDX_COMPOSITION!$R$2:$R$441)),ROW($B81)-ROW($B$11))),"")</f>
        <v>#N/A</v>
      </c>
      <c r="D81" s="57" t="e">
        <f t="array" ref="D81">IF($A81&lt;&gt;"",INDEX(IDX_COMPOSITION!$C$1:$C$123,SMALL(IF(IDX_COMPOSITION!$R$2:$R$441=VLOOKUP($A$5,IDX_SPECS!$B$2:$V$89,6,0),ROW(IDX_COMPOSITION!$R$2:$R$441)),ROW($B81)-ROW($B$11))),"")</f>
        <v>#N/A</v>
      </c>
      <c r="E81" s="57" t="e">
        <f t="array" ref="E81">IF($A81&lt;&gt;"",INDEX(IDX_COMPOSITION!$D$1:$D$123,SMALL(IF(IDX_COMPOSITION!$R$2:$R$441=VLOOKUP($A$5,IDX_SPECS!$B$2:$V$89,6,0),ROW(IDX_COMPOSITION!$R$2:$R$441)),ROW($B81)-ROW($B$11))),"")</f>
        <v>#N/A</v>
      </c>
      <c r="F81" s="57" t="e">
        <f t="array" ref="F81">IF($A81&lt;&gt;"",INDEX(IDX_COMPOSITION!$E$1:$E$123,SMALL(IF(IDX_COMPOSITION!$R$2:$R$441=VLOOKUP($A$5,IDX_SPECS!$B$2:$V$89,6,0),ROW(IDX_COMPOSITION!$R$2:$R$441)),ROW($B81)-ROW($B$11))),"")</f>
        <v>#N/A</v>
      </c>
      <c r="G81" s="58" t="e">
        <f t="array" ref="G81">IF($A81&lt;&gt;"",INDEX(IDX_COMPOSITION!$F$1:$F$123,SMALL(IF(IDX_COMPOSITION!$R$2:$R$441=VLOOKUP($A$5,IDX_SPECS!$B$2:$V$89,6,0),ROW(IDX_COMPOSITION!$R$2:$R$441)),ROW($B81)-ROW($B$11))),"")</f>
        <v>#N/A</v>
      </c>
      <c r="H81" s="59" t="e">
        <f t="array" ref="H81">IF($A81&lt;&gt;"",INDEX(IDX_COMPOSITION!$K$1:$K$123,SMALL(IF(IDX_COMPOSITION!$R$2:$R$441=VLOOKUP($A$5,IDX_SPECS!$B$2:$V$89,6,0),ROW(IDX_COMPOSITION!$R$2:$R$441)),ROW($B81)-ROW($B$11))),"")</f>
        <v>#N/A</v>
      </c>
    </row>
    <row r="82" spans="1:8" ht="15" customHeight="1" x14ac:dyDescent="0.2">
      <c r="A82" s="20" t="e">
        <f>IF(ROW(A82)-ROW($A$11)&lt;=VLOOKUP($A$5,IDX_SPECS!$B$2:$V$1048576,12,0),ROW(A82)-ROW($A$11),"")</f>
        <v>#N/A</v>
      </c>
      <c r="B82" s="20" t="e">
        <f t="array" ref="B82">IF($A82&lt;&gt;"",INDEX(IDX_COMPOSITION!$A$1:$A$123,SMALL(IF(IDX_COMPOSITION!$R$2:$R$441=VLOOKUP($A$5,IDX_SPECS!$B$2:$V$89,6,0),ROW(IDX_COMPOSITION!$R$2:$R$441)),ROW($A82)-ROW($A$11))),"")</f>
        <v>#N/A</v>
      </c>
      <c r="C82" s="56" t="e">
        <f t="array" ref="C82">IF($A82&lt;&gt;"",INDEX(IDX_COMPOSITION!$B$1:$B$123,SMALL(IF(IDX_COMPOSITION!$R$2:$R$441=VLOOKUP($A$5,IDX_SPECS!$B$2:$V$89,6,0),ROW(IDX_COMPOSITION!$R$2:$R$441)),ROW($B82)-ROW($B$11))),"")</f>
        <v>#N/A</v>
      </c>
      <c r="D82" s="57" t="e">
        <f t="array" ref="D82">IF($A82&lt;&gt;"",INDEX(IDX_COMPOSITION!$C$1:$C$123,SMALL(IF(IDX_COMPOSITION!$R$2:$R$441=VLOOKUP($A$5,IDX_SPECS!$B$2:$V$89,6,0),ROW(IDX_COMPOSITION!$R$2:$R$441)),ROW($B82)-ROW($B$11))),"")</f>
        <v>#N/A</v>
      </c>
      <c r="E82" s="57" t="e">
        <f t="array" ref="E82">IF($A82&lt;&gt;"",INDEX(IDX_COMPOSITION!$D$1:$D$123,SMALL(IF(IDX_COMPOSITION!$R$2:$R$441=VLOOKUP($A$5,IDX_SPECS!$B$2:$V$89,6,0),ROW(IDX_COMPOSITION!$R$2:$R$441)),ROW($B82)-ROW($B$11))),"")</f>
        <v>#N/A</v>
      </c>
      <c r="F82" s="57" t="e">
        <f t="array" ref="F82">IF($A82&lt;&gt;"",INDEX(IDX_COMPOSITION!$E$1:$E$123,SMALL(IF(IDX_COMPOSITION!$R$2:$R$441=VLOOKUP($A$5,IDX_SPECS!$B$2:$V$89,6,0),ROW(IDX_COMPOSITION!$R$2:$R$441)),ROW($B82)-ROW($B$11))),"")</f>
        <v>#N/A</v>
      </c>
      <c r="G82" s="58" t="e">
        <f t="array" ref="G82">IF($A82&lt;&gt;"",INDEX(IDX_COMPOSITION!$F$1:$F$123,SMALL(IF(IDX_COMPOSITION!$R$2:$R$441=VLOOKUP($A$5,IDX_SPECS!$B$2:$V$89,6,0),ROW(IDX_COMPOSITION!$R$2:$R$441)),ROW($B82)-ROW($B$11))),"")</f>
        <v>#N/A</v>
      </c>
      <c r="H82" s="59" t="e">
        <f t="array" ref="H82">IF($A82&lt;&gt;"",INDEX(IDX_COMPOSITION!$K$1:$K$123,SMALL(IF(IDX_COMPOSITION!$R$2:$R$441=VLOOKUP($A$5,IDX_SPECS!$B$2:$V$89,6,0),ROW(IDX_COMPOSITION!$R$2:$R$441)),ROW($B82)-ROW($B$11))),"")</f>
        <v>#N/A</v>
      </c>
    </row>
    <row r="83" spans="1:8" ht="15" customHeight="1" x14ac:dyDescent="0.2">
      <c r="A83" s="20" t="e">
        <f>IF(ROW(A83)-ROW($A$11)&lt;=VLOOKUP($A$5,IDX_SPECS!$B$2:$V$1048576,12,0),ROW(A83)-ROW($A$11),"")</f>
        <v>#N/A</v>
      </c>
      <c r="B83" s="20" t="e">
        <f t="array" ref="B83">IF($A83&lt;&gt;"",INDEX(IDX_COMPOSITION!$A$1:$A$123,SMALL(IF(IDX_COMPOSITION!$R$2:$R$441=VLOOKUP($A$5,IDX_SPECS!$B$2:$V$89,6,0),ROW(IDX_COMPOSITION!$R$2:$R$441)),ROW($A83)-ROW($A$11))),"")</f>
        <v>#N/A</v>
      </c>
      <c r="C83" s="56" t="e">
        <f t="array" ref="C83">IF($A83&lt;&gt;"",INDEX(IDX_COMPOSITION!$B$1:$B$123,SMALL(IF(IDX_COMPOSITION!$R$2:$R$441=VLOOKUP($A$5,IDX_SPECS!$B$2:$V$89,6,0),ROW(IDX_COMPOSITION!$R$2:$R$441)),ROW($B83)-ROW($B$11))),"")</f>
        <v>#N/A</v>
      </c>
      <c r="D83" s="57" t="e">
        <f t="array" ref="D83">IF($A83&lt;&gt;"",INDEX(IDX_COMPOSITION!$C$1:$C$123,SMALL(IF(IDX_COMPOSITION!$R$2:$R$441=VLOOKUP($A$5,IDX_SPECS!$B$2:$V$89,6,0),ROW(IDX_COMPOSITION!$R$2:$R$441)),ROW($B83)-ROW($B$11))),"")</f>
        <v>#N/A</v>
      </c>
      <c r="E83" s="57" t="e">
        <f t="array" ref="E83">IF($A83&lt;&gt;"",INDEX(IDX_COMPOSITION!$D$1:$D$123,SMALL(IF(IDX_COMPOSITION!$R$2:$R$441=VLOOKUP($A$5,IDX_SPECS!$B$2:$V$89,6,0),ROW(IDX_COMPOSITION!$R$2:$R$441)),ROW($B83)-ROW($B$11))),"")</f>
        <v>#N/A</v>
      </c>
      <c r="F83" s="57" t="e">
        <f t="array" ref="F83">IF($A83&lt;&gt;"",INDEX(IDX_COMPOSITION!$E$1:$E$123,SMALL(IF(IDX_COMPOSITION!$R$2:$R$441=VLOOKUP($A$5,IDX_SPECS!$B$2:$V$89,6,0),ROW(IDX_COMPOSITION!$R$2:$R$441)),ROW($B83)-ROW($B$11))),"")</f>
        <v>#N/A</v>
      </c>
      <c r="G83" s="58" t="e">
        <f t="array" ref="G83">IF($A83&lt;&gt;"",INDEX(IDX_COMPOSITION!$F$1:$F$123,SMALL(IF(IDX_COMPOSITION!$R$2:$R$441=VLOOKUP($A$5,IDX_SPECS!$B$2:$V$89,6,0),ROW(IDX_COMPOSITION!$R$2:$R$441)),ROW($B83)-ROW($B$11))),"")</f>
        <v>#N/A</v>
      </c>
      <c r="H83" s="59" t="e">
        <f t="array" ref="H83">IF($A83&lt;&gt;"",INDEX(IDX_COMPOSITION!$K$1:$K$123,SMALL(IF(IDX_COMPOSITION!$R$2:$R$441=VLOOKUP($A$5,IDX_SPECS!$B$2:$V$89,6,0),ROW(IDX_COMPOSITION!$R$2:$R$441)),ROW($B83)-ROW($B$11))),"")</f>
        <v>#N/A</v>
      </c>
    </row>
    <row r="84" spans="1:8" ht="15" customHeight="1" x14ac:dyDescent="0.2">
      <c r="A84" s="20" t="e">
        <f>IF(ROW(A84)-ROW($A$11)&lt;=VLOOKUP($A$5,IDX_SPECS!$B$2:$V$1048576,12,0),ROW(A84)-ROW($A$11),"")</f>
        <v>#N/A</v>
      </c>
      <c r="B84" s="20" t="e">
        <f t="array" ref="B84">IF($A84&lt;&gt;"",INDEX(IDX_COMPOSITION!$A$1:$A$123,SMALL(IF(IDX_COMPOSITION!$R$2:$R$441=VLOOKUP($A$5,IDX_SPECS!$B$2:$V$89,6,0),ROW(IDX_COMPOSITION!$R$2:$R$441)),ROW($A84)-ROW($A$11))),"")</f>
        <v>#N/A</v>
      </c>
      <c r="C84" s="56" t="e">
        <f t="array" ref="C84">IF($A84&lt;&gt;"",INDEX(IDX_COMPOSITION!$B$1:$B$123,SMALL(IF(IDX_COMPOSITION!$R$2:$R$441=VLOOKUP($A$5,IDX_SPECS!$B$2:$V$89,6,0),ROW(IDX_COMPOSITION!$R$2:$R$441)),ROW($B84)-ROW($B$11))),"")</f>
        <v>#N/A</v>
      </c>
      <c r="D84" s="57" t="e">
        <f t="array" ref="D84">IF($A84&lt;&gt;"",INDEX(IDX_COMPOSITION!$C$1:$C$123,SMALL(IF(IDX_COMPOSITION!$R$2:$R$441=VLOOKUP($A$5,IDX_SPECS!$B$2:$V$89,6,0),ROW(IDX_COMPOSITION!$R$2:$R$441)),ROW($B84)-ROW($B$11))),"")</f>
        <v>#N/A</v>
      </c>
      <c r="E84" s="57" t="e">
        <f t="array" ref="E84">IF($A84&lt;&gt;"",INDEX(IDX_COMPOSITION!$D$1:$D$123,SMALL(IF(IDX_COMPOSITION!$R$2:$R$441=VLOOKUP($A$5,IDX_SPECS!$B$2:$V$89,6,0),ROW(IDX_COMPOSITION!$R$2:$R$441)),ROW($B84)-ROW($B$11))),"")</f>
        <v>#N/A</v>
      </c>
      <c r="F84" s="57" t="e">
        <f t="array" ref="F84">IF($A84&lt;&gt;"",INDEX(IDX_COMPOSITION!$E$1:$E$123,SMALL(IF(IDX_COMPOSITION!$R$2:$R$441=VLOOKUP($A$5,IDX_SPECS!$B$2:$V$89,6,0),ROW(IDX_COMPOSITION!$R$2:$R$441)),ROW($B84)-ROW($B$11))),"")</f>
        <v>#N/A</v>
      </c>
      <c r="G84" s="58" t="e">
        <f t="array" ref="G84">IF($A84&lt;&gt;"",INDEX(IDX_COMPOSITION!$F$1:$F$123,SMALL(IF(IDX_COMPOSITION!$R$2:$R$441=VLOOKUP($A$5,IDX_SPECS!$B$2:$V$89,6,0),ROW(IDX_COMPOSITION!$R$2:$R$441)),ROW($B84)-ROW($B$11))),"")</f>
        <v>#N/A</v>
      </c>
      <c r="H84" s="59" t="e">
        <f t="array" ref="H84">IF($A84&lt;&gt;"",INDEX(IDX_COMPOSITION!$K$1:$K$123,SMALL(IF(IDX_COMPOSITION!$R$2:$R$441=VLOOKUP($A$5,IDX_SPECS!$B$2:$V$89,6,0),ROW(IDX_COMPOSITION!$R$2:$R$441)),ROW($B84)-ROW($B$11))),"")</f>
        <v>#N/A</v>
      </c>
    </row>
    <row r="85" spans="1:8" ht="15" customHeight="1" x14ac:dyDescent="0.2">
      <c r="A85" s="20" t="e">
        <f>IF(ROW(A85)-ROW($A$11)&lt;=VLOOKUP($A$5,IDX_SPECS!$B$2:$V$1048576,12,0),ROW(A85)-ROW($A$11),"")</f>
        <v>#N/A</v>
      </c>
      <c r="B85" s="20" t="e">
        <f t="array" ref="B85">IF($A85&lt;&gt;"",INDEX(IDX_COMPOSITION!$A$1:$A$123,SMALL(IF(IDX_COMPOSITION!$R$2:$R$441=VLOOKUP($A$5,IDX_SPECS!$B$2:$V$89,6,0),ROW(IDX_COMPOSITION!$R$2:$R$441)),ROW($A85)-ROW($A$11))),"")</f>
        <v>#N/A</v>
      </c>
      <c r="C85" s="56" t="e">
        <f t="array" ref="C85">IF($A85&lt;&gt;"",INDEX(IDX_COMPOSITION!$B$1:$B$123,SMALL(IF(IDX_COMPOSITION!$R$2:$R$441=VLOOKUP($A$5,IDX_SPECS!$B$2:$V$89,6,0),ROW(IDX_COMPOSITION!$R$2:$R$441)),ROW($B85)-ROW($B$11))),"")</f>
        <v>#N/A</v>
      </c>
      <c r="D85" s="57" t="e">
        <f t="array" ref="D85">IF($A85&lt;&gt;"",INDEX(IDX_COMPOSITION!$C$1:$C$123,SMALL(IF(IDX_COMPOSITION!$R$2:$R$441=VLOOKUP($A$5,IDX_SPECS!$B$2:$V$89,6,0),ROW(IDX_COMPOSITION!$R$2:$R$441)),ROW($B85)-ROW($B$11))),"")</f>
        <v>#N/A</v>
      </c>
      <c r="E85" s="57" t="e">
        <f t="array" ref="E85">IF($A85&lt;&gt;"",INDEX(IDX_COMPOSITION!$D$1:$D$123,SMALL(IF(IDX_COMPOSITION!$R$2:$R$441=VLOOKUP($A$5,IDX_SPECS!$B$2:$V$89,6,0),ROW(IDX_COMPOSITION!$R$2:$R$441)),ROW($B85)-ROW($B$11))),"")</f>
        <v>#N/A</v>
      </c>
      <c r="F85" s="57" t="e">
        <f t="array" ref="F85">IF($A85&lt;&gt;"",INDEX(IDX_COMPOSITION!$E$1:$E$123,SMALL(IF(IDX_COMPOSITION!$R$2:$R$441=VLOOKUP($A$5,IDX_SPECS!$B$2:$V$89,6,0),ROW(IDX_COMPOSITION!$R$2:$R$441)),ROW($B85)-ROW($B$11))),"")</f>
        <v>#N/A</v>
      </c>
      <c r="G85" s="58" t="e">
        <f t="array" ref="G85">IF($A85&lt;&gt;"",INDEX(IDX_COMPOSITION!$F$1:$F$123,SMALL(IF(IDX_COMPOSITION!$R$2:$R$441=VLOOKUP($A$5,IDX_SPECS!$B$2:$V$89,6,0),ROW(IDX_COMPOSITION!$R$2:$R$441)),ROW($B85)-ROW($B$11))),"")</f>
        <v>#N/A</v>
      </c>
      <c r="H85" s="59" t="e">
        <f t="array" ref="H85">IF($A85&lt;&gt;"",INDEX(IDX_COMPOSITION!$K$1:$K$123,SMALL(IF(IDX_COMPOSITION!$R$2:$R$441=VLOOKUP($A$5,IDX_SPECS!$B$2:$V$89,6,0),ROW(IDX_COMPOSITION!$R$2:$R$441)),ROW($B85)-ROW($B$11))),"")</f>
        <v>#N/A</v>
      </c>
    </row>
    <row r="86" spans="1:8" ht="15" customHeight="1" x14ac:dyDescent="0.2">
      <c r="A86" s="20" t="e">
        <f>IF(ROW(A86)-ROW($A$11)&lt;=VLOOKUP($A$5,IDX_SPECS!$B$2:$V$1048576,12,0),ROW(A86)-ROW($A$11),"")</f>
        <v>#N/A</v>
      </c>
      <c r="B86" s="20" t="e">
        <f t="array" ref="B86">IF($A86&lt;&gt;"",INDEX(IDX_COMPOSITION!$A$1:$A$123,SMALL(IF(IDX_COMPOSITION!$R$2:$R$441=VLOOKUP($A$5,IDX_SPECS!$B$2:$V$89,6,0),ROW(IDX_COMPOSITION!$R$2:$R$441)),ROW($A86)-ROW($A$11))),"")</f>
        <v>#N/A</v>
      </c>
      <c r="C86" s="56" t="e">
        <f t="array" ref="C86">IF($A86&lt;&gt;"",INDEX(IDX_COMPOSITION!$B$1:$B$123,SMALL(IF(IDX_COMPOSITION!$R$2:$R$441=VLOOKUP($A$5,IDX_SPECS!$B$2:$V$89,6,0),ROW(IDX_COMPOSITION!$R$2:$R$441)),ROW($B86)-ROW($B$11))),"")</f>
        <v>#N/A</v>
      </c>
      <c r="D86" s="57" t="e">
        <f t="array" ref="D86">IF($A86&lt;&gt;"",INDEX(IDX_COMPOSITION!$C$1:$C$123,SMALL(IF(IDX_COMPOSITION!$R$2:$R$441=VLOOKUP($A$5,IDX_SPECS!$B$2:$V$89,6,0),ROW(IDX_COMPOSITION!$R$2:$R$441)),ROW($B86)-ROW($B$11))),"")</f>
        <v>#N/A</v>
      </c>
      <c r="E86" s="57" t="e">
        <f t="array" ref="E86">IF($A86&lt;&gt;"",INDEX(IDX_COMPOSITION!$D$1:$D$123,SMALL(IF(IDX_COMPOSITION!$R$2:$R$441=VLOOKUP($A$5,IDX_SPECS!$B$2:$V$89,6,0),ROW(IDX_COMPOSITION!$R$2:$R$441)),ROW($B86)-ROW($B$11))),"")</f>
        <v>#N/A</v>
      </c>
      <c r="F86" s="57" t="e">
        <f t="array" ref="F86">IF($A86&lt;&gt;"",INDEX(IDX_COMPOSITION!$E$1:$E$123,SMALL(IF(IDX_COMPOSITION!$R$2:$R$441=VLOOKUP($A$5,IDX_SPECS!$B$2:$V$89,6,0),ROW(IDX_COMPOSITION!$R$2:$R$441)),ROW($B86)-ROW($B$11))),"")</f>
        <v>#N/A</v>
      </c>
      <c r="G86" s="58" t="e">
        <f t="array" ref="G86">IF($A86&lt;&gt;"",INDEX(IDX_COMPOSITION!$F$1:$F$123,SMALL(IF(IDX_COMPOSITION!$R$2:$R$441=VLOOKUP($A$5,IDX_SPECS!$B$2:$V$89,6,0),ROW(IDX_COMPOSITION!$R$2:$R$441)),ROW($B86)-ROW($B$11))),"")</f>
        <v>#N/A</v>
      </c>
      <c r="H86" s="59" t="e">
        <f t="array" ref="H86">IF($A86&lt;&gt;"",INDEX(IDX_COMPOSITION!$K$1:$K$123,SMALL(IF(IDX_COMPOSITION!$R$2:$R$441=VLOOKUP($A$5,IDX_SPECS!$B$2:$V$89,6,0),ROW(IDX_COMPOSITION!$R$2:$R$441)),ROW($B86)-ROW($B$11))),"")</f>
        <v>#N/A</v>
      </c>
    </row>
    <row r="87" spans="1:8" ht="15" customHeight="1" x14ac:dyDescent="0.2">
      <c r="A87" s="20" t="e">
        <f>IF(ROW(A87)-ROW($A$11)&lt;=VLOOKUP($A$5,IDX_SPECS!$B$2:$V$1048576,12,0),ROW(A87)-ROW($A$11),"")</f>
        <v>#N/A</v>
      </c>
      <c r="B87" s="20" t="e">
        <f t="array" ref="B87">IF($A87&lt;&gt;"",INDEX(IDX_COMPOSITION!$A$1:$A$123,SMALL(IF(IDX_COMPOSITION!$R$2:$R$441=VLOOKUP($A$5,IDX_SPECS!$B$2:$V$89,6,0),ROW(IDX_COMPOSITION!$R$2:$R$441)),ROW($A87)-ROW($A$11))),"")</f>
        <v>#N/A</v>
      </c>
      <c r="C87" s="56" t="e">
        <f t="array" ref="C87">IF($A87&lt;&gt;"",INDEX(IDX_COMPOSITION!$B$1:$B$123,SMALL(IF(IDX_COMPOSITION!$R$2:$R$441=VLOOKUP($A$5,IDX_SPECS!$B$2:$V$89,6,0),ROW(IDX_COMPOSITION!$R$2:$R$441)),ROW($B87)-ROW($B$11))),"")</f>
        <v>#N/A</v>
      </c>
      <c r="D87" s="57" t="e">
        <f t="array" ref="D87">IF($A87&lt;&gt;"",INDEX(IDX_COMPOSITION!$C$1:$C$123,SMALL(IF(IDX_COMPOSITION!$R$2:$R$441=VLOOKUP($A$5,IDX_SPECS!$B$2:$V$89,6,0),ROW(IDX_COMPOSITION!$R$2:$R$441)),ROW($B87)-ROW($B$11))),"")</f>
        <v>#N/A</v>
      </c>
      <c r="E87" s="57" t="e">
        <f t="array" ref="E87">IF($A87&lt;&gt;"",INDEX(IDX_COMPOSITION!$D$1:$D$123,SMALL(IF(IDX_COMPOSITION!$R$2:$R$441=VLOOKUP($A$5,IDX_SPECS!$B$2:$V$89,6,0),ROW(IDX_COMPOSITION!$R$2:$R$441)),ROW($B87)-ROW($B$11))),"")</f>
        <v>#N/A</v>
      </c>
      <c r="F87" s="57" t="e">
        <f t="array" ref="F87">IF($A87&lt;&gt;"",INDEX(IDX_COMPOSITION!$E$1:$E$123,SMALL(IF(IDX_COMPOSITION!$R$2:$R$441=VLOOKUP($A$5,IDX_SPECS!$B$2:$V$89,6,0),ROW(IDX_COMPOSITION!$R$2:$R$441)),ROW($B87)-ROW($B$11))),"")</f>
        <v>#N/A</v>
      </c>
      <c r="G87" s="58" t="e">
        <f t="array" ref="G87">IF($A87&lt;&gt;"",INDEX(IDX_COMPOSITION!$F$1:$F$123,SMALL(IF(IDX_COMPOSITION!$R$2:$R$441=VLOOKUP($A$5,IDX_SPECS!$B$2:$V$89,6,0),ROW(IDX_COMPOSITION!$R$2:$R$441)),ROW($B87)-ROW($B$11))),"")</f>
        <v>#N/A</v>
      </c>
      <c r="H87" s="59" t="e">
        <f t="array" ref="H87">IF($A87&lt;&gt;"",INDEX(IDX_COMPOSITION!$K$1:$K$123,SMALL(IF(IDX_COMPOSITION!$R$2:$R$441=VLOOKUP($A$5,IDX_SPECS!$B$2:$V$89,6,0),ROW(IDX_COMPOSITION!$R$2:$R$441)),ROW($B87)-ROW($B$11))),"")</f>
        <v>#N/A</v>
      </c>
    </row>
    <row r="88" spans="1:8" ht="15" customHeight="1" x14ac:dyDescent="0.2">
      <c r="A88" s="20" t="e">
        <f>IF(ROW(A88)-ROW($A$11)&lt;=VLOOKUP($A$5,IDX_SPECS!$B$2:$V$1048576,12,0),ROW(A88)-ROW($A$11),"")</f>
        <v>#N/A</v>
      </c>
      <c r="B88" s="20" t="e">
        <f t="array" ref="B88">IF($A88&lt;&gt;"",INDEX(IDX_COMPOSITION!$A$1:$A$123,SMALL(IF(IDX_COMPOSITION!$R$2:$R$441=VLOOKUP($A$5,IDX_SPECS!$B$2:$V$89,6,0),ROW(IDX_COMPOSITION!$R$2:$R$441)),ROW($A88)-ROW($A$11))),"")</f>
        <v>#N/A</v>
      </c>
      <c r="C88" s="56" t="e">
        <f t="array" ref="C88">IF($A88&lt;&gt;"",INDEX(IDX_COMPOSITION!$B$1:$B$123,SMALL(IF(IDX_COMPOSITION!$R$2:$R$441=VLOOKUP($A$5,IDX_SPECS!$B$2:$V$89,6,0),ROW(IDX_COMPOSITION!$R$2:$R$441)),ROW($B88)-ROW($B$11))),"")</f>
        <v>#N/A</v>
      </c>
      <c r="D88" s="57" t="e">
        <f t="array" ref="D88">IF($A88&lt;&gt;"",INDEX(IDX_COMPOSITION!$C$1:$C$123,SMALL(IF(IDX_COMPOSITION!$R$2:$R$441=VLOOKUP($A$5,IDX_SPECS!$B$2:$V$89,6,0),ROW(IDX_COMPOSITION!$R$2:$R$441)),ROW($B88)-ROW($B$11))),"")</f>
        <v>#N/A</v>
      </c>
      <c r="E88" s="57" t="e">
        <f t="array" ref="E88">IF($A88&lt;&gt;"",INDEX(IDX_COMPOSITION!$D$1:$D$123,SMALL(IF(IDX_COMPOSITION!$R$2:$R$441=VLOOKUP($A$5,IDX_SPECS!$B$2:$V$89,6,0),ROW(IDX_COMPOSITION!$R$2:$R$441)),ROW($B88)-ROW($B$11))),"")</f>
        <v>#N/A</v>
      </c>
      <c r="F88" s="57" t="e">
        <f t="array" ref="F88">IF($A88&lt;&gt;"",INDEX(IDX_COMPOSITION!$E$1:$E$123,SMALL(IF(IDX_COMPOSITION!$R$2:$R$441=VLOOKUP($A$5,IDX_SPECS!$B$2:$V$89,6,0),ROW(IDX_COMPOSITION!$R$2:$R$441)),ROW($B88)-ROW($B$11))),"")</f>
        <v>#N/A</v>
      </c>
      <c r="G88" s="58" t="e">
        <f t="array" ref="G88">IF($A88&lt;&gt;"",INDEX(IDX_COMPOSITION!$F$1:$F$123,SMALL(IF(IDX_COMPOSITION!$R$2:$R$441=VLOOKUP($A$5,IDX_SPECS!$B$2:$V$89,6,0),ROW(IDX_COMPOSITION!$R$2:$R$441)),ROW($B88)-ROW($B$11))),"")</f>
        <v>#N/A</v>
      </c>
      <c r="H88" s="59" t="e">
        <f t="array" ref="H88">IF($A88&lt;&gt;"",INDEX(IDX_COMPOSITION!$K$1:$K$123,SMALL(IF(IDX_COMPOSITION!$R$2:$R$441=VLOOKUP($A$5,IDX_SPECS!$B$2:$V$89,6,0),ROW(IDX_COMPOSITION!$R$2:$R$441)),ROW($B88)-ROW($B$11))),"")</f>
        <v>#N/A</v>
      </c>
    </row>
    <row r="89" spans="1:8" ht="15" customHeight="1" x14ac:dyDescent="0.2">
      <c r="A89" s="20" t="e">
        <f>IF(ROW(A89)-ROW($A$11)&lt;=VLOOKUP($A$5,IDX_SPECS!$B$2:$V$1048576,12,0),ROW(A89)-ROW($A$11),"")</f>
        <v>#N/A</v>
      </c>
      <c r="B89" s="20" t="e">
        <f t="array" ref="B89">IF($A89&lt;&gt;"",INDEX(IDX_COMPOSITION!$A$1:$A$123,SMALL(IF(IDX_COMPOSITION!$R$2:$R$441=VLOOKUP($A$5,IDX_SPECS!$B$2:$V$89,6,0),ROW(IDX_COMPOSITION!$R$2:$R$441)),ROW($A89)-ROW($A$11))),"")</f>
        <v>#N/A</v>
      </c>
      <c r="C89" s="56" t="e">
        <f t="array" ref="C89">IF($A89&lt;&gt;"",INDEX(IDX_COMPOSITION!$B$1:$B$123,SMALL(IF(IDX_COMPOSITION!$R$2:$R$441=VLOOKUP($A$5,IDX_SPECS!$B$2:$V$89,6,0),ROW(IDX_COMPOSITION!$R$2:$R$441)),ROW($B89)-ROW($B$11))),"")</f>
        <v>#N/A</v>
      </c>
      <c r="D89" s="57" t="e">
        <f t="array" ref="D89">IF($A89&lt;&gt;"",INDEX(IDX_COMPOSITION!$C$1:$C$123,SMALL(IF(IDX_COMPOSITION!$R$2:$R$441=VLOOKUP($A$5,IDX_SPECS!$B$2:$V$89,6,0),ROW(IDX_COMPOSITION!$R$2:$R$441)),ROW($B89)-ROW($B$11))),"")</f>
        <v>#N/A</v>
      </c>
      <c r="E89" s="57" t="e">
        <f t="array" ref="E89">IF($A89&lt;&gt;"",INDEX(IDX_COMPOSITION!$D$1:$D$123,SMALL(IF(IDX_COMPOSITION!$R$2:$R$441=VLOOKUP($A$5,IDX_SPECS!$B$2:$V$89,6,0),ROW(IDX_COMPOSITION!$R$2:$R$441)),ROW($B89)-ROW($B$11))),"")</f>
        <v>#N/A</v>
      </c>
      <c r="F89" s="57" t="e">
        <f t="array" ref="F89">IF($A89&lt;&gt;"",INDEX(IDX_COMPOSITION!$E$1:$E$123,SMALL(IF(IDX_COMPOSITION!$R$2:$R$441=VLOOKUP($A$5,IDX_SPECS!$B$2:$V$89,6,0),ROW(IDX_COMPOSITION!$R$2:$R$441)),ROW($B89)-ROW($B$11))),"")</f>
        <v>#N/A</v>
      </c>
      <c r="G89" s="58" t="e">
        <f t="array" ref="G89">IF($A89&lt;&gt;"",INDEX(IDX_COMPOSITION!$F$1:$F$123,SMALL(IF(IDX_COMPOSITION!$R$2:$R$441=VLOOKUP($A$5,IDX_SPECS!$B$2:$V$89,6,0),ROW(IDX_COMPOSITION!$R$2:$R$441)),ROW($B89)-ROW($B$11))),"")</f>
        <v>#N/A</v>
      </c>
      <c r="H89" s="59" t="e">
        <f t="array" ref="H89">IF($A89&lt;&gt;"",INDEX(IDX_COMPOSITION!$K$1:$K$123,SMALL(IF(IDX_COMPOSITION!$R$2:$R$441=VLOOKUP($A$5,IDX_SPECS!$B$2:$V$89,6,0),ROW(IDX_COMPOSITION!$R$2:$R$441)),ROW($B89)-ROW($B$11))),"")</f>
        <v>#N/A</v>
      </c>
    </row>
    <row r="90" spans="1:8" ht="15" customHeight="1" x14ac:dyDescent="0.2">
      <c r="A90" s="20" t="e">
        <f>IF(ROW(A90)-ROW($A$11)&lt;=VLOOKUP($A$5,IDX_SPECS!$B$2:$V$1048576,12,0),ROW(A90)-ROW($A$11),"")</f>
        <v>#N/A</v>
      </c>
      <c r="B90" s="20" t="e">
        <f t="array" ref="B90">IF($A90&lt;&gt;"",INDEX(IDX_COMPOSITION!$A$1:$A$123,SMALL(IF(IDX_COMPOSITION!$R$2:$R$441=VLOOKUP($A$5,IDX_SPECS!$B$2:$V$89,6,0),ROW(IDX_COMPOSITION!$R$2:$R$441)),ROW($A90)-ROW($A$11))),"")</f>
        <v>#N/A</v>
      </c>
      <c r="C90" s="56" t="e">
        <f t="array" ref="C90">IF($A90&lt;&gt;"",INDEX(IDX_COMPOSITION!$B$1:$B$123,SMALL(IF(IDX_COMPOSITION!$R$2:$R$441=VLOOKUP($A$5,IDX_SPECS!$B$2:$V$89,6,0),ROW(IDX_COMPOSITION!$R$2:$R$441)),ROW($B90)-ROW($B$11))),"")</f>
        <v>#N/A</v>
      </c>
      <c r="D90" s="57" t="e">
        <f t="array" ref="D90">IF($A90&lt;&gt;"",INDEX(IDX_COMPOSITION!$C$1:$C$123,SMALL(IF(IDX_COMPOSITION!$R$2:$R$441=VLOOKUP($A$5,IDX_SPECS!$B$2:$V$89,6,0),ROW(IDX_COMPOSITION!$R$2:$R$441)),ROW($B90)-ROW($B$11))),"")</f>
        <v>#N/A</v>
      </c>
      <c r="E90" s="57" t="e">
        <f t="array" ref="E90">IF($A90&lt;&gt;"",INDEX(IDX_COMPOSITION!$D$1:$D$123,SMALL(IF(IDX_COMPOSITION!$R$2:$R$441=VLOOKUP($A$5,IDX_SPECS!$B$2:$V$89,6,0),ROW(IDX_COMPOSITION!$R$2:$R$441)),ROW($B90)-ROW($B$11))),"")</f>
        <v>#N/A</v>
      </c>
      <c r="F90" s="57" t="e">
        <f t="array" ref="F90">IF($A90&lt;&gt;"",INDEX(IDX_COMPOSITION!$E$1:$E$123,SMALL(IF(IDX_COMPOSITION!$R$2:$R$441=VLOOKUP($A$5,IDX_SPECS!$B$2:$V$89,6,0),ROW(IDX_COMPOSITION!$R$2:$R$441)),ROW($B90)-ROW($B$11))),"")</f>
        <v>#N/A</v>
      </c>
      <c r="G90" s="58" t="e">
        <f t="array" ref="G90">IF($A90&lt;&gt;"",INDEX(IDX_COMPOSITION!$F$1:$F$123,SMALL(IF(IDX_COMPOSITION!$R$2:$R$441=VLOOKUP($A$5,IDX_SPECS!$B$2:$V$89,6,0),ROW(IDX_COMPOSITION!$R$2:$R$441)),ROW($B90)-ROW($B$11))),"")</f>
        <v>#N/A</v>
      </c>
      <c r="H90" s="59" t="e">
        <f t="array" ref="H90">IF($A90&lt;&gt;"",INDEX(IDX_COMPOSITION!$K$1:$K$123,SMALL(IF(IDX_COMPOSITION!$R$2:$R$441=VLOOKUP($A$5,IDX_SPECS!$B$2:$V$89,6,0),ROW(IDX_COMPOSITION!$R$2:$R$441)),ROW($B90)-ROW($B$11))),"")</f>
        <v>#N/A</v>
      </c>
    </row>
    <row r="91" spans="1:8" ht="15" customHeight="1" x14ac:dyDescent="0.2">
      <c r="A91" s="20" t="e">
        <f>IF(ROW(A91)-ROW($A$11)&lt;=VLOOKUP($A$5,IDX_SPECS!$B$2:$V$1048576,12,0),ROW(A91)-ROW($A$11),"")</f>
        <v>#N/A</v>
      </c>
      <c r="B91" s="20" t="e">
        <f t="array" ref="B91">IF($A91&lt;&gt;"",INDEX(IDX_COMPOSITION!$A$1:$A$123,SMALL(IF(IDX_COMPOSITION!$R$2:$R$441=VLOOKUP($A$5,IDX_SPECS!$B$2:$V$89,6,0),ROW(IDX_COMPOSITION!$R$2:$R$441)),ROW($A91)-ROW($A$11))),"")</f>
        <v>#N/A</v>
      </c>
      <c r="C91" s="56" t="e">
        <f t="array" ref="C91">IF($A91&lt;&gt;"",INDEX(IDX_COMPOSITION!$B$1:$B$123,SMALL(IF(IDX_COMPOSITION!$R$2:$R$441=VLOOKUP($A$5,IDX_SPECS!$B$2:$V$89,6,0),ROW(IDX_COMPOSITION!$R$2:$R$441)),ROW($B91)-ROW($B$11))),"")</f>
        <v>#N/A</v>
      </c>
      <c r="D91" s="57" t="e">
        <f t="array" ref="D91">IF($A91&lt;&gt;"",INDEX(IDX_COMPOSITION!$C$1:$C$123,SMALL(IF(IDX_COMPOSITION!$R$2:$R$441=VLOOKUP($A$5,IDX_SPECS!$B$2:$V$89,6,0),ROW(IDX_COMPOSITION!$R$2:$R$441)),ROW($B91)-ROW($B$11))),"")</f>
        <v>#N/A</v>
      </c>
      <c r="E91" s="57" t="e">
        <f t="array" ref="E91">IF($A91&lt;&gt;"",INDEX(IDX_COMPOSITION!$D$1:$D$123,SMALL(IF(IDX_COMPOSITION!$R$2:$R$441=VLOOKUP($A$5,IDX_SPECS!$B$2:$V$89,6,0),ROW(IDX_COMPOSITION!$R$2:$R$441)),ROW($B91)-ROW($B$11))),"")</f>
        <v>#N/A</v>
      </c>
      <c r="F91" s="57" t="e">
        <f t="array" ref="F91">IF($A91&lt;&gt;"",INDEX(IDX_COMPOSITION!$E$1:$E$123,SMALL(IF(IDX_COMPOSITION!$R$2:$R$441=VLOOKUP($A$5,IDX_SPECS!$B$2:$V$89,6,0),ROW(IDX_COMPOSITION!$R$2:$R$441)),ROW($B91)-ROW($B$11))),"")</f>
        <v>#N/A</v>
      </c>
      <c r="G91" s="58" t="e">
        <f t="array" ref="G91">IF($A91&lt;&gt;"",INDEX(IDX_COMPOSITION!$F$1:$F$123,SMALL(IF(IDX_COMPOSITION!$R$2:$R$441=VLOOKUP($A$5,IDX_SPECS!$B$2:$V$89,6,0),ROW(IDX_COMPOSITION!$R$2:$R$441)),ROW($B91)-ROW($B$11))),"")</f>
        <v>#N/A</v>
      </c>
      <c r="H91" s="59" t="e">
        <f t="array" ref="H91">IF($A91&lt;&gt;"",INDEX(IDX_COMPOSITION!$K$1:$K$123,SMALL(IF(IDX_COMPOSITION!$R$2:$R$441=VLOOKUP($A$5,IDX_SPECS!$B$2:$V$89,6,0),ROW(IDX_COMPOSITION!$R$2:$R$441)),ROW($B91)-ROW($B$11))),"")</f>
        <v>#N/A</v>
      </c>
    </row>
    <row r="92" spans="1:8" ht="15" customHeight="1" x14ac:dyDescent="0.2">
      <c r="A92" s="20" t="e">
        <f>IF(ROW(A92)-ROW($A$11)&lt;=VLOOKUP($A$5,IDX_SPECS!$B$2:$V$1048576,12,0),ROW(A92)-ROW($A$11),"")</f>
        <v>#N/A</v>
      </c>
      <c r="B92" s="20" t="e">
        <f t="array" ref="B92">IF($A92&lt;&gt;"",INDEX(IDX_COMPOSITION!$A$1:$A$123,SMALL(IF(IDX_COMPOSITION!$R$2:$R$441=VLOOKUP($A$5,IDX_SPECS!$B$2:$V$89,6,0),ROW(IDX_COMPOSITION!$R$2:$R$441)),ROW($A92)-ROW($A$11))),"")</f>
        <v>#N/A</v>
      </c>
      <c r="C92" s="56" t="e">
        <f t="array" ref="C92">IF($A92&lt;&gt;"",INDEX(IDX_COMPOSITION!$B$1:$B$123,SMALL(IF(IDX_COMPOSITION!$R$2:$R$441=VLOOKUP($A$5,IDX_SPECS!$B$2:$V$89,6,0),ROW(IDX_COMPOSITION!$R$2:$R$441)),ROW($B92)-ROW($B$11))),"")</f>
        <v>#N/A</v>
      </c>
      <c r="D92" s="57" t="e">
        <f t="array" ref="D92">IF($A92&lt;&gt;"",INDEX(IDX_COMPOSITION!$C$1:$C$123,SMALL(IF(IDX_COMPOSITION!$R$2:$R$441=VLOOKUP($A$5,IDX_SPECS!$B$2:$V$89,6,0),ROW(IDX_COMPOSITION!$R$2:$R$441)),ROW($B92)-ROW($B$11))),"")</f>
        <v>#N/A</v>
      </c>
      <c r="E92" s="57" t="e">
        <f t="array" ref="E92">IF($A92&lt;&gt;"",INDEX(IDX_COMPOSITION!$D$1:$D$123,SMALL(IF(IDX_COMPOSITION!$R$2:$R$441=VLOOKUP($A$5,IDX_SPECS!$B$2:$V$89,6,0),ROW(IDX_COMPOSITION!$R$2:$R$441)),ROW($B92)-ROW($B$11))),"")</f>
        <v>#N/A</v>
      </c>
      <c r="F92" s="57" t="e">
        <f t="array" ref="F92">IF($A92&lt;&gt;"",INDEX(IDX_COMPOSITION!$E$1:$E$123,SMALL(IF(IDX_COMPOSITION!$R$2:$R$441=VLOOKUP($A$5,IDX_SPECS!$B$2:$V$89,6,0),ROW(IDX_COMPOSITION!$R$2:$R$441)),ROW($B92)-ROW($B$11))),"")</f>
        <v>#N/A</v>
      </c>
      <c r="G92" s="58" t="e">
        <f t="array" ref="G92">IF($A92&lt;&gt;"",INDEX(IDX_COMPOSITION!$F$1:$F$123,SMALL(IF(IDX_COMPOSITION!$R$2:$R$441=VLOOKUP($A$5,IDX_SPECS!$B$2:$V$89,6,0),ROW(IDX_COMPOSITION!$R$2:$R$441)),ROW($B92)-ROW($B$11))),"")</f>
        <v>#N/A</v>
      </c>
      <c r="H92" s="59" t="e">
        <f t="array" ref="H92">IF($A92&lt;&gt;"",INDEX(IDX_COMPOSITION!$K$1:$K$123,SMALL(IF(IDX_COMPOSITION!$R$2:$R$441=VLOOKUP($A$5,IDX_SPECS!$B$2:$V$89,6,0),ROW(IDX_COMPOSITION!$R$2:$R$441)),ROW($B92)-ROW($B$11))),"")</f>
        <v>#N/A</v>
      </c>
    </row>
    <row r="93" spans="1:8" ht="15" customHeight="1" x14ac:dyDescent="0.2">
      <c r="A93" s="20" t="e">
        <f>IF(ROW(A93)-ROW($A$11)&lt;=VLOOKUP($A$5,IDX_SPECS!$B$2:$V$1048576,12,0),ROW(A93)-ROW($A$11),"")</f>
        <v>#N/A</v>
      </c>
      <c r="B93" s="20" t="e">
        <f t="array" ref="B93">IF($A93&lt;&gt;"",INDEX(IDX_COMPOSITION!$A$1:$A$123,SMALL(IF(IDX_COMPOSITION!$R$2:$R$441=VLOOKUP($A$5,IDX_SPECS!$B$2:$V$89,6,0),ROW(IDX_COMPOSITION!$R$2:$R$441)),ROW($A93)-ROW($A$11))),"")</f>
        <v>#N/A</v>
      </c>
      <c r="C93" s="56" t="e">
        <f t="array" ref="C93">IF($A93&lt;&gt;"",INDEX(IDX_COMPOSITION!$B$1:$B$123,SMALL(IF(IDX_COMPOSITION!$R$2:$R$441=VLOOKUP($A$5,IDX_SPECS!$B$2:$V$89,6,0),ROW(IDX_COMPOSITION!$R$2:$R$441)),ROW($B93)-ROW($B$11))),"")</f>
        <v>#N/A</v>
      </c>
      <c r="D93" s="57" t="e">
        <f t="array" ref="D93">IF($A93&lt;&gt;"",INDEX(IDX_COMPOSITION!$C$1:$C$123,SMALL(IF(IDX_COMPOSITION!$R$2:$R$441=VLOOKUP($A$5,IDX_SPECS!$B$2:$V$89,6,0),ROW(IDX_COMPOSITION!$R$2:$R$441)),ROW($B93)-ROW($B$11))),"")</f>
        <v>#N/A</v>
      </c>
      <c r="E93" s="57" t="e">
        <f t="array" ref="E93">IF($A93&lt;&gt;"",INDEX(IDX_COMPOSITION!$D$1:$D$123,SMALL(IF(IDX_COMPOSITION!$R$2:$R$441=VLOOKUP($A$5,IDX_SPECS!$B$2:$V$89,6,0),ROW(IDX_COMPOSITION!$R$2:$R$441)),ROW($B93)-ROW($B$11))),"")</f>
        <v>#N/A</v>
      </c>
      <c r="F93" s="57" t="e">
        <f t="array" ref="F93">IF($A93&lt;&gt;"",INDEX(IDX_COMPOSITION!$E$1:$E$123,SMALL(IF(IDX_COMPOSITION!$R$2:$R$441=VLOOKUP($A$5,IDX_SPECS!$B$2:$V$89,6,0),ROW(IDX_COMPOSITION!$R$2:$R$441)),ROW($B93)-ROW($B$11))),"")</f>
        <v>#N/A</v>
      </c>
      <c r="G93" s="58" t="e">
        <f t="array" ref="G93">IF($A93&lt;&gt;"",INDEX(IDX_COMPOSITION!$F$1:$F$123,SMALL(IF(IDX_COMPOSITION!$R$2:$R$441=VLOOKUP($A$5,IDX_SPECS!$B$2:$V$89,6,0),ROW(IDX_COMPOSITION!$R$2:$R$441)),ROW($B93)-ROW($B$11))),"")</f>
        <v>#N/A</v>
      </c>
      <c r="H93" s="59" t="e">
        <f t="array" ref="H93">IF($A93&lt;&gt;"",INDEX(IDX_COMPOSITION!$K$1:$K$123,SMALL(IF(IDX_COMPOSITION!$R$2:$R$441=VLOOKUP($A$5,IDX_SPECS!$B$2:$V$89,6,0),ROW(IDX_COMPOSITION!$R$2:$R$441)),ROW($B93)-ROW($B$11))),"")</f>
        <v>#N/A</v>
      </c>
    </row>
    <row r="94" spans="1:8" ht="15" customHeight="1" x14ac:dyDescent="0.2">
      <c r="A94" s="20" t="e">
        <f>IF(ROW(A94)-ROW($A$11)&lt;=VLOOKUP($A$5,IDX_SPECS!$B$2:$V$1048576,12,0),ROW(A94)-ROW($A$11),"")</f>
        <v>#N/A</v>
      </c>
      <c r="B94" s="20" t="e">
        <f t="array" ref="B94">IF($A94&lt;&gt;"",INDEX(IDX_COMPOSITION!$A$1:$A$123,SMALL(IF(IDX_COMPOSITION!$R$2:$R$441=VLOOKUP($A$5,IDX_SPECS!$B$2:$V$89,6,0),ROW(IDX_COMPOSITION!$R$2:$R$441)),ROW($A94)-ROW($A$11))),"")</f>
        <v>#N/A</v>
      </c>
      <c r="C94" s="56" t="e">
        <f t="array" ref="C94">IF($A94&lt;&gt;"",INDEX(IDX_COMPOSITION!$B$1:$B$123,SMALL(IF(IDX_COMPOSITION!$R$2:$R$441=VLOOKUP($A$5,IDX_SPECS!$B$2:$V$89,6,0),ROW(IDX_COMPOSITION!$R$2:$R$441)),ROW($B94)-ROW($B$11))),"")</f>
        <v>#N/A</v>
      </c>
      <c r="D94" s="57" t="e">
        <f t="array" ref="D94">IF($A94&lt;&gt;"",INDEX(IDX_COMPOSITION!$C$1:$C$123,SMALL(IF(IDX_COMPOSITION!$R$2:$R$441=VLOOKUP($A$5,IDX_SPECS!$B$2:$V$89,6,0),ROW(IDX_COMPOSITION!$R$2:$R$441)),ROW($B94)-ROW($B$11))),"")</f>
        <v>#N/A</v>
      </c>
      <c r="E94" s="57" t="e">
        <f t="array" ref="E94">IF($A94&lt;&gt;"",INDEX(IDX_COMPOSITION!$D$1:$D$123,SMALL(IF(IDX_COMPOSITION!$R$2:$R$441=VLOOKUP($A$5,IDX_SPECS!$B$2:$V$89,6,0),ROW(IDX_COMPOSITION!$R$2:$R$441)),ROW($B94)-ROW($B$11))),"")</f>
        <v>#N/A</v>
      </c>
      <c r="F94" s="57" t="e">
        <f t="array" ref="F94">IF($A94&lt;&gt;"",INDEX(IDX_COMPOSITION!$E$1:$E$123,SMALL(IF(IDX_COMPOSITION!$R$2:$R$441=VLOOKUP($A$5,IDX_SPECS!$B$2:$V$89,6,0),ROW(IDX_COMPOSITION!$R$2:$R$441)),ROW($B94)-ROW($B$11))),"")</f>
        <v>#N/A</v>
      </c>
      <c r="G94" s="58" t="e">
        <f t="array" ref="G94">IF($A94&lt;&gt;"",INDEX(IDX_COMPOSITION!$F$1:$F$123,SMALL(IF(IDX_COMPOSITION!$R$2:$R$441=VLOOKUP($A$5,IDX_SPECS!$B$2:$V$89,6,0),ROW(IDX_COMPOSITION!$R$2:$R$441)),ROW($B94)-ROW($B$11))),"")</f>
        <v>#N/A</v>
      </c>
      <c r="H94" s="59" t="e">
        <f t="array" ref="H94">IF($A94&lt;&gt;"",INDEX(IDX_COMPOSITION!$K$1:$K$123,SMALL(IF(IDX_COMPOSITION!$R$2:$R$441=VLOOKUP($A$5,IDX_SPECS!$B$2:$V$89,6,0),ROW(IDX_COMPOSITION!$R$2:$R$441)),ROW($B94)-ROW($B$11))),"")</f>
        <v>#N/A</v>
      </c>
    </row>
    <row r="95" spans="1:8" ht="15" customHeight="1" x14ac:dyDescent="0.2">
      <c r="A95" s="20" t="e">
        <f>IF(ROW(A95)-ROW($A$11)&lt;=VLOOKUP($A$5,IDX_SPECS!$B$2:$V$1048576,12,0),ROW(A95)-ROW($A$11),"")</f>
        <v>#N/A</v>
      </c>
      <c r="B95" s="20" t="e">
        <f t="array" ref="B95">IF($A95&lt;&gt;"",INDEX(IDX_COMPOSITION!$A$1:$A$123,SMALL(IF(IDX_COMPOSITION!$R$2:$R$441=VLOOKUP($A$5,IDX_SPECS!$B$2:$V$89,6,0),ROW(IDX_COMPOSITION!$R$2:$R$441)),ROW($A95)-ROW($A$11))),"")</f>
        <v>#N/A</v>
      </c>
      <c r="C95" s="56" t="e">
        <f t="array" ref="C95">IF($A95&lt;&gt;"",INDEX(IDX_COMPOSITION!$B$1:$B$123,SMALL(IF(IDX_COMPOSITION!$R$2:$R$441=VLOOKUP($A$5,IDX_SPECS!$B$2:$V$89,6,0),ROW(IDX_COMPOSITION!$R$2:$R$441)),ROW($B95)-ROW($B$11))),"")</f>
        <v>#N/A</v>
      </c>
      <c r="D95" s="57" t="e">
        <f t="array" ref="D95">IF($A95&lt;&gt;"",INDEX(IDX_COMPOSITION!$C$1:$C$123,SMALL(IF(IDX_COMPOSITION!$R$2:$R$441=VLOOKUP($A$5,IDX_SPECS!$B$2:$V$89,6,0),ROW(IDX_COMPOSITION!$R$2:$R$441)),ROW($B95)-ROW($B$11))),"")</f>
        <v>#N/A</v>
      </c>
      <c r="E95" s="57" t="e">
        <f t="array" ref="E95">IF($A95&lt;&gt;"",INDEX(IDX_COMPOSITION!$D$1:$D$123,SMALL(IF(IDX_COMPOSITION!$R$2:$R$441=VLOOKUP($A$5,IDX_SPECS!$B$2:$V$89,6,0),ROW(IDX_COMPOSITION!$R$2:$R$441)),ROW($B95)-ROW($B$11))),"")</f>
        <v>#N/A</v>
      </c>
      <c r="F95" s="57" t="e">
        <f t="array" ref="F95">IF($A95&lt;&gt;"",INDEX(IDX_COMPOSITION!$E$1:$E$123,SMALL(IF(IDX_COMPOSITION!$R$2:$R$441=VLOOKUP($A$5,IDX_SPECS!$B$2:$V$89,6,0),ROW(IDX_COMPOSITION!$R$2:$R$441)),ROW($B95)-ROW($B$11))),"")</f>
        <v>#N/A</v>
      </c>
      <c r="G95" s="58" t="e">
        <f t="array" ref="G95">IF($A95&lt;&gt;"",INDEX(IDX_COMPOSITION!$F$1:$F$123,SMALL(IF(IDX_COMPOSITION!$R$2:$R$441=VLOOKUP($A$5,IDX_SPECS!$B$2:$V$89,6,0),ROW(IDX_COMPOSITION!$R$2:$R$441)),ROW($B95)-ROW($B$11))),"")</f>
        <v>#N/A</v>
      </c>
      <c r="H95" s="59" t="e">
        <f t="array" ref="H95">IF($A95&lt;&gt;"",INDEX(IDX_COMPOSITION!$K$1:$K$123,SMALL(IF(IDX_COMPOSITION!$R$2:$R$441=VLOOKUP($A$5,IDX_SPECS!$B$2:$V$89,6,0),ROW(IDX_COMPOSITION!$R$2:$R$441)),ROW($B95)-ROW($B$11))),"")</f>
        <v>#N/A</v>
      </c>
    </row>
    <row r="96" spans="1:8" ht="15" customHeight="1" x14ac:dyDescent="0.2">
      <c r="A96" s="20" t="e">
        <f>IF(ROW(A96)-ROW($A$11)&lt;=VLOOKUP($A$5,IDX_SPECS!$B$2:$V$1048576,12,0),ROW(A96)-ROW($A$11),"")</f>
        <v>#N/A</v>
      </c>
      <c r="B96" s="20" t="e">
        <f t="array" ref="B96">IF($A96&lt;&gt;"",INDEX(IDX_COMPOSITION!$A$1:$A$123,SMALL(IF(IDX_COMPOSITION!$R$2:$R$441=VLOOKUP($A$5,IDX_SPECS!$B$2:$V$89,6,0),ROW(IDX_COMPOSITION!$R$2:$R$441)),ROW($A96)-ROW($A$11))),"")</f>
        <v>#N/A</v>
      </c>
      <c r="C96" s="56" t="e">
        <f t="array" ref="C96">IF($A96&lt;&gt;"",INDEX(IDX_COMPOSITION!$B$1:$B$123,SMALL(IF(IDX_COMPOSITION!$R$2:$R$441=VLOOKUP($A$5,IDX_SPECS!$B$2:$V$89,6,0),ROW(IDX_COMPOSITION!$R$2:$R$441)),ROW($B96)-ROW($B$11))),"")</f>
        <v>#N/A</v>
      </c>
      <c r="D96" s="57" t="e">
        <f t="array" ref="D96">IF($A96&lt;&gt;"",INDEX(IDX_COMPOSITION!$C$1:$C$123,SMALL(IF(IDX_COMPOSITION!$R$2:$R$441=VLOOKUP($A$5,IDX_SPECS!$B$2:$V$89,6,0),ROW(IDX_COMPOSITION!$R$2:$R$441)),ROW($B96)-ROW($B$11))),"")</f>
        <v>#N/A</v>
      </c>
      <c r="E96" s="57" t="e">
        <f t="array" ref="E96">IF($A96&lt;&gt;"",INDEX(IDX_COMPOSITION!$D$1:$D$123,SMALL(IF(IDX_COMPOSITION!$R$2:$R$441=VLOOKUP($A$5,IDX_SPECS!$B$2:$V$89,6,0),ROW(IDX_COMPOSITION!$R$2:$R$441)),ROW($B96)-ROW($B$11))),"")</f>
        <v>#N/A</v>
      </c>
      <c r="F96" s="57" t="e">
        <f t="array" ref="F96">IF($A96&lt;&gt;"",INDEX(IDX_COMPOSITION!$E$1:$E$123,SMALL(IF(IDX_COMPOSITION!$R$2:$R$441=VLOOKUP($A$5,IDX_SPECS!$B$2:$V$89,6,0),ROW(IDX_COMPOSITION!$R$2:$R$441)),ROW($B96)-ROW($B$11))),"")</f>
        <v>#N/A</v>
      </c>
      <c r="G96" s="58" t="e">
        <f t="array" ref="G96">IF($A96&lt;&gt;"",INDEX(IDX_COMPOSITION!$F$1:$F$123,SMALL(IF(IDX_COMPOSITION!$R$2:$R$441=VLOOKUP($A$5,IDX_SPECS!$B$2:$V$89,6,0),ROW(IDX_COMPOSITION!$R$2:$R$441)),ROW($B96)-ROW($B$11))),"")</f>
        <v>#N/A</v>
      </c>
      <c r="H96" s="59" t="e">
        <f t="array" ref="H96">IF($A96&lt;&gt;"",INDEX(IDX_COMPOSITION!$K$1:$K$123,SMALL(IF(IDX_COMPOSITION!$R$2:$R$441=VLOOKUP($A$5,IDX_SPECS!$B$2:$V$89,6,0),ROW(IDX_COMPOSITION!$R$2:$R$441)),ROW($B96)-ROW($B$11))),"")</f>
        <v>#N/A</v>
      </c>
    </row>
    <row r="97" spans="1:8" x14ac:dyDescent="0.2">
      <c r="A97" s="20" t="e">
        <f>IF(ROW(A97)-ROW($A$11)&lt;=VLOOKUP($A$5,IDX_SPECS!$B$2:$V$1048576,12,0),ROW(A97)-ROW($A$11),"")</f>
        <v>#N/A</v>
      </c>
      <c r="B97" s="20" t="e">
        <f t="array" ref="B97">IF($A97&lt;&gt;"",INDEX(IDX_COMPOSITION!$A$1:$A$123,SMALL(IF(IDX_COMPOSITION!$R$2:$R$441=VLOOKUP($A$5,IDX_SPECS!$B$2:$V$89,6,0),ROW(IDX_COMPOSITION!$R$2:$R$441)),ROW($A97)-ROW($A$11))),"")</f>
        <v>#N/A</v>
      </c>
      <c r="C97" s="56" t="e">
        <f t="array" ref="C97">IF($A97&lt;&gt;"",INDEX(IDX_COMPOSITION!$B$1:$B$123,SMALL(IF(IDX_COMPOSITION!$R$2:$R$441=VLOOKUP($A$5,IDX_SPECS!$B$2:$V$89,6,0),ROW(IDX_COMPOSITION!$R$2:$R$441)),ROW($B97)-ROW($B$11))),"")</f>
        <v>#N/A</v>
      </c>
      <c r="D97" s="57" t="e">
        <f t="array" ref="D97">IF($A97&lt;&gt;"",INDEX(IDX_COMPOSITION!$C$1:$C$123,SMALL(IF(IDX_COMPOSITION!$R$2:$R$441=VLOOKUP($A$5,IDX_SPECS!$B$2:$V$89,6,0),ROW(IDX_COMPOSITION!$R$2:$R$441)),ROW($B97)-ROW($B$11))),"")</f>
        <v>#N/A</v>
      </c>
      <c r="E97" s="57" t="e">
        <f t="array" ref="E97">IF($A97&lt;&gt;"",INDEX(IDX_COMPOSITION!$D$1:$D$123,SMALL(IF(IDX_COMPOSITION!$R$2:$R$441=VLOOKUP($A$5,IDX_SPECS!$B$2:$V$89,6,0),ROW(IDX_COMPOSITION!$R$2:$R$441)),ROW($B97)-ROW($B$11))),"")</f>
        <v>#N/A</v>
      </c>
      <c r="F97" s="57" t="e">
        <f t="array" ref="F97">IF($A97&lt;&gt;"",INDEX(IDX_COMPOSITION!$E$1:$E$123,SMALL(IF(IDX_COMPOSITION!$R$2:$R$441=VLOOKUP($A$5,IDX_SPECS!$B$2:$V$89,6,0),ROW(IDX_COMPOSITION!$R$2:$R$441)),ROW($B97)-ROW($B$11))),"")</f>
        <v>#N/A</v>
      </c>
      <c r="G97" s="58" t="e">
        <f t="array" ref="G97">IF($A97&lt;&gt;"",INDEX(IDX_COMPOSITION!$F$1:$F$123,SMALL(IF(IDX_COMPOSITION!$R$2:$R$441=VLOOKUP($A$5,IDX_SPECS!$B$2:$V$89,6,0),ROW(IDX_COMPOSITION!$R$2:$R$441)),ROW($B97)-ROW($B$11))),"")</f>
        <v>#N/A</v>
      </c>
      <c r="H97" s="59" t="e">
        <f t="array" ref="H97">IF($A97&lt;&gt;"",INDEX(IDX_COMPOSITION!$K$1:$K$123,SMALL(IF(IDX_COMPOSITION!$R$2:$R$441=VLOOKUP($A$5,IDX_SPECS!$B$2:$V$89,6,0),ROW(IDX_COMPOSITION!$R$2:$R$441)),ROW($B97)-ROW($B$11))),"")</f>
        <v>#N/A</v>
      </c>
    </row>
    <row r="98" spans="1:8" x14ac:dyDescent="0.2">
      <c r="A98" s="20" t="e">
        <f>IF(ROW(A98)-ROW($A$11)&lt;=VLOOKUP($A$5,IDX_SPECS!$B$2:$V$1048576,12,0),ROW(A98)-ROW($A$11),"")</f>
        <v>#N/A</v>
      </c>
      <c r="B98" s="20" t="e">
        <f t="array" ref="B98">IF($A98&lt;&gt;"",INDEX(IDX_COMPOSITION!$A$1:$A$123,SMALL(IF(IDX_COMPOSITION!$R$2:$R$441=VLOOKUP($A$5,IDX_SPECS!$B$2:$V$89,6,0),ROW(IDX_COMPOSITION!$R$2:$R$441)),ROW($A98)-ROW($A$11))),"")</f>
        <v>#N/A</v>
      </c>
      <c r="C98" s="56" t="e">
        <f t="array" ref="C98">IF($A98&lt;&gt;"",INDEX(IDX_COMPOSITION!$B$1:$B$123,SMALL(IF(IDX_COMPOSITION!$R$2:$R$441=VLOOKUP($A$5,IDX_SPECS!$B$2:$V$89,6,0),ROW(IDX_COMPOSITION!$R$2:$R$441)),ROW($B98)-ROW($B$11))),"")</f>
        <v>#N/A</v>
      </c>
      <c r="D98" s="57" t="e">
        <f t="array" ref="D98">IF($A98&lt;&gt;"",INDEX(IDX_COMPOSITION!$C$1:$C$123,SMALL(IF(IDX_COMPOSITION!$R$2:$R$441=VLOOKUP($A$5,IDX_SPECS!$B$2:$V$89,6,0),ROW(IDX_COMPOSITION!$R$2:$R$441)),ROW($B98)-ROW($B$11))),"")</f>
        <v>#N/A</v>
      </c>
      <c r="E98" s="57" t="e">
        <f t="array" ref="E98">IF($A98&lt;&gt;"",INDEX(IDX_COMPOSITION!$D$1:$D$123,SMALL(IF(IDX_COMPOSITION!$R$2:$R$441=VLOOKUP($A$5,IDX_SPECS!$B$2:$V$89,6,0),ROW(IDX_COMPOSITION!$R$2:$R$441)),ROW($B98)-ROW($B$11))),"")</f>
        <v>#N/A</v>
      </c>
      <c r="F98" s="57" t="e">
        <f t="array" ref="F98">IF($A98&lt;&gt;"",INDEX(IDX_COMPOSITION!$E$1:$E$123,SMALL(IF(IDX_COMPOSITION!$R$2:$R$441=VLOOKUP($A$5,IDX_SPECS!$B$2:$V$89,6,0),ROW(IDX_COMPOSITION!$R$2:$R$441)),ROW($B98)-ROW($B$11))),"")</f>
        <v>#N/A</v>
      </c>
      <c r="G98" s="58" t="e">
        <f t="array" ref="G98">IF($A98&lt;&gt;"",INDEX(IDX_COMPOSITION!$F$1:$F$123,SMALL(IF(IDX_COMPOSITION!$R$2:$R$441=VLOOKUP($A$5,IDX_SPECS!$B$2:$V$89,6,0),ROW(IDX_COMPOSITION!$R$2:$R$441)),ROW($B98)-ROW($B$11))),"")</f>
        <v>#N/A</v>
      </c>
      <c r="H98" s="59" t="e">
        <f t="array" ref="H98">IF($A98&lt;&gt;"",INDEX(IDX_COMPOSITION!$K$1:$K$123,SMALL(IF(IDX_COMPOSITION!$R$2:$R$441=VLOOKUP($A$5,IDX_SPECS!$B$2:$V$89,6,0),ROW(IDX_COMPOSITION!$R$2:$R$441)),ROW($B98)-ROW($B$11))),"")</f>
        <v>#N/A</v>
      </c>
    </row>
    <row r="99" spans="1:8" x14ac:dyDescent="0.2">
      <c r="A99" s="20" t="e">
        <f>IF(ROW(A99)-ROW($A$11)&lt;=VLOOKUP($A$5,IDX_SPECS!$B$2:$V$1048576,12,0),ROW(A99)-ROW($A$11),"")</f>
        <v>#N/A</v>
      </c>
      <c r="B99" s="20" t="e">
        <f t="array" ref="B99">IF($A99&lt;&gt;"",INDEX(IDX_COMPOSITION!$A$1:$A$123,SMALL(IF(IDX_COMPOSITION!$R$2:$R$441=VLOOKUP($A$5,IDX_SPECS!$B$2:$V$89,6,0),ROW(IDX_COMPOSITION!$R$2:$R$441)),ROW($A99)-ROW($A$11))),"")</f>
        <v>#N/A</v>
      </c>
      <c r="C99" s="56" t="e">
        <f t="array" ref="C99">IF($A99&lt;&gt;"",INDEX(IDX_COMPOSITION!$B$1:$B$123,SMALL(IF(IDX_COMPOSITION!$R$2:$R$441=VLOOKUP($A$5,IDX_SPECS!$B$2:$V$89,6,0),ROW(IDX_COMPOSITION!$R$2:$R$441)),ROW($B99)-ROW($B$11))),"")</f>
        <v>#N/A</v>
      </c>
      <c r="D99" s="57" t="e">
        <f t="array" ref="D99">IF($A99&lt;&gt;"",INDEX(IDX_COMPOSITION!$C$1:$C$123,SMALL(IF(IDX_COMPOSITION!$R$2:$R$441=VLOOKUP($A$5,IDX_SPECS!$B$2:$V$89,6,0),ROW(IDX_COMPOSITION!$R$2:$R$441)),ROW($B99)-ROW($B$11))),"")</f>
        <v>#N/A</v>
      </c>
      <c r="E99" s="57" t="e">
        <f t="array" ref="E99">IF($A99&lt;&gt;"",INDEX(IDX_COMPOSITION!$D$1:$D$123,SMALL(IF(IDX_COMPOSITION!$R$2:$R$441=VLOOKUP($A$5,IDX_SPECS!$B$2:$V$89,6,0),ROW(IDX_COMPOSITION!$R$2:$R$441)),ROW($B99)-ROW($B$11))),"")</f>
        <v>#N/A</v>
      </c>
      <c r="F99" s="57" t="e">
        <f t="array" ref="F99">IF($A99&lt;&gt;"",INDEX(IDX_COMPOSITION!$E$1:$E$123,SMALL(IF(IDX_COMPOSITION!$R$2:$R$441=VLOOKUP($A$5,IDX_SPECS!$B$2:$V$89,6,0),ROW(IDX_COMPOSITION!$R$2:$R$441)),ROW($B99)-ROW($B$11))),"")</f>
        <v>#N/A</v>
      </c>
      <c r="G99" s="58" t="e">
        <f t="array" ref="G99">IF($A99&lt;&gt;"",INDEX(IDX_COMPOSITION!$F$1:$F$123,SMALL(IF(IDX_COMPOSITION!$R$2:$R$441=VLOOKUP($A$5,IDX_SPECS!$B$2:$V$89,6,0),ROW(IDX_COMPOSITION!$R$2:$R$441)),ROW($B99)-ROW($B$11))),"")</f>
        <v>#N/A</v>
      </c>
      <c r="H99" s="59" t="e">
        <f t="array" ref="H99">IF($A99&lt;&gt;"",INDEX(IDX_COMPOSITION!$K$1:$K$123,SMALL(IF(IDX_COMPOSITION!$R$2:$R$441=VLOOKUP($A$5,IDX_SPECS!$B$2:$V$89,6,0),ROW(IDX_COMPOSITION!$R$2:$R$441)),ROW($B99)-ROW($B$11))),"")</f>
        <v>#N/A</v>
      </c>
    </row>
    <row r="100" spans="1:8" x14ac:dyDescent="0.2">
      <c r="A100" s="20" t="e">
        <f>IF(ROW(A100)-ROW($A$11)&lt;=VLOOKUP($A$5,IDX_SPECS!$B$2:$V$1048576,12,0),ROW(A100)-ROW($A$11),"")</f>
        <v>#N/A</v>
      </c>
      <c r="B100" s="20" t="e">
        <f t="array" ref="B100">IF($A100&lt;&gt;"",INDEX(IDX_COMPOSITION!$A$1:$A$123,SMALL(IF(IDX_COMPOSITION!$R$2:$R$441=VLOOKUP($A$5,IDX_SPECS!$B$2:$V$89,6,0),ROW(IDX_COMPOSITION!$R$2:$R$441)),ROW($A100)-ROW($A$11))),"")</f>
        <v>#N/A</v>
      </c>
      <c r="C100" s="56" t="e">
        <f t="array" ref="C100">IF($A100&lt;&gt;"",INDEX(IDX_COMPOSITION!$B$1:$B$123,SMALL(IF(IDX_COMPOSITION!$R$2:$R$441=VLOOKUP($A$5,IDX_SPECS!$B$2:$V$89,6,0),ROW(IDX_COMPOSITION!$R$2:$R$441)),ROW($B100)-ROW($B$11))),"")</f>
        <v>#N/A</v>
      </c>
      <c r="D100" s="57" t="e">
        <f t="array" ref="D100">IF($A100&lt;&gt;"",INDEX(IDX_COMPOSITION!$C$1:$C$123,SMALL(IF(IDX_COMPOSITION!$R$2:$R$441=VLOOKUP($A$5,IDX_SPECS!$B$2:$V$89,6,0),ROW(IDX_COMPOSITION!$R$2:$R$441)),ROW($B100)-ROW($B$11))),"")</f>
        <v>#N/A</v>
      </c>
      <c r="E100" s="57" t="e">
        <f t="array" ref="E100">IF($A100&lt;&gt;"",INDEX(IDX_COMPOSITION!$D$1:$D$123,SMALL(IF(IDX_COMPOSITION!$R$2:$R$441=VLOOKUP($A$5,IDX_SPECS!$B$2:$V$89,6,0),ROW(IDX_COMPOSITION!$R$2:$R$441)),ROW($B100)-ROW($B$11))),"")</f>
        <v>#N/A</v>
      </c>
      <c r="F100" s="57" t="e">
        <f t="array" ref="F100">IF($A100&lt;&gt;"",INDEX(IDX_COMPOSITION!$E$1:$E$123,SMALL(IF(IDX_COMPOSITION!$R$2:$R$441=VLOOKUP($A$5,IDX_SPECS!$B$2:$V$89,6,0),ROW(IDX_COMPOSITION!$R$2:$R$441)),ROW($B100)-ROW($B$11))),"")</f>
        <v>#N/A</v>
      </c>
      <c r="G100" s="58" t="e">
        <f t="array" ref="G100">IF($A100&lt;&gt;"",INDEX(IDX_COMPOSITION!$F$1:$F$123,SMALL(IF(IDX_COMPOSITION!$R$2:$R$441=VLOOKUP($A$5,IDX_SPECS!$B$2:$V$89,6,0),ROW(IDX_COMPOSITION!$R$2:$R$441)),ROW($B100)-ROW($B$11))),"")</f>
        <v>#N/A</v>
      </c>
      <c r="H100" s="59" t="e">
        <f t="array" ref="H100">IF($A100&lt;&gt;"",INDEX(IDX_COMPOSITION!$K$1:$K$123,SMALL(IF(IDX_COMPOSITION!$R$2:$R$441=VLOOKUP($A$5,IDX_SPECS!$B$2:$V$89,6,0),ROW(IDX_COMPOSITION!$R$2:$R$441)),ROW($B100)-ROW($B$11))),"")</f>
        <v>#N/A</v>
      </c>
    </row>
    <row r="101" spans="1:8" x14ac:dyDescent="0.2">
      <c r="A101" s="20" t="e">
        <f>IF(ROW(A101)-ROW($A$11)&lt;=VLOOKUP($A$5,IDX_SPECS!$B$2:$V$1048576,12,0),ROW(A101)-ROW($A$11),"")</f>
        <v>#N/A</v>
      </c>
      <c r="B101" s="20" t="e">
        <f t="array" ref="B101">IF($A101&lt;&gt;"",INDEX(IDX_COMPOSITION!$A$1:$A$123,SMALL(IF(IDX_COMPOSITION!$R$2:$R$441=VLOOKUP($A$5,IDX_SPECS!$B$2:$V$89,6,0),ROW(IDX_COMPOSITION!$R$2:$R$441)),ROW($A101)-ROW($A$11))),"")</f>
        <v>#N/A</v>
      </c>
      <c r="C101" s="56" t="e">
        <f t="array" ref="C101">IF($A101&lt;&gt;"",INDEX(IDX_COMPOSITION!$B$1:$B$123,SMALL(IF(IDX_COMPOSITION!$R$2:$R$441=VLOOKUP($A$5,IDX_SPECS!$B$2:$V$89,6,0),ROW(IDX_COMPOSITION!$R$2:$R$441)),ROW($B101)-ROW($B$11))),"")</f>
        <v>#N/A</v>
      </c>
      <c r="D101" s="57" t="e">
        <f t="array" ref="D101">IF($A101&lt;&gt;"",INDEX(IDX_COMPOSITION!$C$1:$C$123,SMALL(IF(IDX_COMPOSITION!$R$2:$R$441=VLOOKUP($A$5,IDX_SPECS!$B$2:$V$89,6,0),ROW(IDX_COMPOSITION!$R$2:$R$441)),ROW($B101)-ROW($B$11))),"")</f>
        <v>#N/A</v>
      </c>
      <c r="E101" s="57" t="e">
        <f t="array" ref="E101">IF($A101&lt;&gt;"",INDEX(IDX_COMPOSITION!$D$1:$D$123,SMALL(IF(IDX_COMPOSITION!$R$2:$R$441=VLOOKUP($A$5,IDX_SPECS!$B$2:$V$89,6,0),ROW(IDX_COMPOSITION!$R$2:$R$441)),ROW($B101)-ROW($B$11))),"")</f>
        <v>#N/A</v>
      </c>
      <c r="F101" s="57" t="e">
        <f t="array" ref="F101">IF($A101&lt;&gt;"",INDEX(IDX_COMPOSITION!$E$1:$E$123,SMALL(IF(IDX_COMPOSITION!$R$2:$R$441=VLOOKUP($A$5,IDX_SPECS!$B$2:$V$89,6,0),ROW(IDX_COMPOSITION!$R$2:$R$441)),ROW($B101)-ROW($B$11))),"")</f>
        <v>#N/A</v>
      </c>
      <c r="G101" s="58" t="e">
        <f t="array" ref="G101">IF($A101&lt;&gt;"",INDEX(IDX_COMPOSITION!$F$1:$F$123,SMALL(IF(IDX_COMPOSITION!$R$2:$R$441=VLOOKUP($A$5,IDX_SPECS!$B$2:$V$89,6,0),ROW(IDX_COMPOSITION!$R$2:$R$441)),ROW($B101)-ROW($B$11))),"")</f>
        <v>#N/A</v>
      </c>
      <c r="H101" s="59" t="e">
        <f t="array" ref="H101">IF($A101&lt;&gt;"",INDEX(IDX_COMPOSITION!$K$1:$K$123,SMALL(IF(IDX_COMPOSITION!$R$2:$R$441=VLOOKUP($A$5,IDX_SPECS!$B$2:$V$89,6,0),ROW(IDX_COMPOSITION!$R$2:$R$441)),ROW($B101)-ROW($B$11))),"")</f>
        <v>#N/A</v>
      </c>
    </row>
    <row r="102" spans="1:8" x14ac:dyDescent="0.2">
      <c r="A102" s="20" t="e">
        <f>IF(ROW(A102)-ROW($A$11)&lt;=VLOOKUP($A$5,IDX_SPECS!$B$2:$V$1048576,12,0),ROW(A102)-ROW($A$11),"")</f>
        <v>#N/A</v>
      </c>
      <c r="B102" s="20" t="e">
        <f t="array" ref="B102">IF($A102&lt;&gt;"",INDEX(IDX_COMPOSITION!$A$1:$A$123,SMALL(IF(IDX_COMPOSITION!$R$2:$R$441=VLOOKUP($A$5,IDX_SPECS!$B$2:$V$89,6,0),ROW(IDX_COMPOSITION!$R$2:$R$441)),ROW($A102)-ROW($A$11))),"")</f>
        <v>#N/A</v>
      </c>
      <c r="C102" s="56" t="e">
        <f t="array" ref="C102">IF($A102&lt;&gt;"",INDEX(IDX_COMPOSITION!$B$1:$B$123,SMALL(IF(IDX_COMPOSITION!$R$2:$R$441=VLOOKUP($A$5,IDX_SPECS!$B$2:$V$89,6,0),ROW(IDX_COMPOSITION!$R$2:$R$441)),ROW($B102)-ROW($B$11))),"")</f>
        <v>#N/A</v>
      </c>
      <c r="D102" s="57" t="e">
        <f t="array" ref="D102">IF($A102&lt;&gt;"",INDEX(IDX_COMPOSITION!$C$1:$C$123,SMALL(IF(IDX_COMPOSITION!$R$2:$R$441=VLOOKUP($A$5,IDX_SPECS!$B$2:$V$89,6,0),ROW(IDX_COMPOSITION!$R$2:$R$441)),ROW($B102)-ROW($B$11))),"")</f>
        <v>#N/A</v>
      </c>
      <c r="E102" s="57" t="e">
        <f t="array" ref="E102">IF($A102&lt;&gt;"",INDEX(IDX_COMPOSITION!$D$1:$D$123,SMALL(IF(IDX_COMPOSITION!$R$2:$R$441=VLOOKUP($A$5,IDX_SPECS!$B$2:$V$89,6,0),ROW(IDX_COMPOSITION!$R$2:$R$441)),ROW($B102)-ROW($B$11))),"")</f>
        <v>#N/A</v>
      </c>
      <c r="F102" s="57" t="e">
        <f t="array" ref="F102">IF($A102&lt;&gt;"",INDEX(IDX_COMPOSITION!$E$1:$E$123,SMALL(IF(IDX_COMPOSITION!$R$2:$R$441=VLOOKUP($A$5,IDX_SPECS!$B$2:$V$89,6,0),ROW(IDX_COMPOSITION!$R$2:$R$441)),ROW($B102)-ROW($B$11))),"")</f>
        <v>#N/A</v>
      </c>
      <c r="G102" s="58" t="e">
        <f t="array" ref="G102">IF($A102&lt;&gt;"",INDEX(IDX_COMPOSITION!$F$1:$F$123,SMALL(IF(IDX_COMPOSITION!$R$2:$R$441=VLOOKUP($A$5,IDX_SPECS!$B$2:$V$89,6,0),ROW(IDX_COMPOSITION!$R$2:$R$441)),ROW($B102)-ROW($B$11))),"")</f>
        <v>#N/A</v>
      </c>
      <c r="H102" s="59" t="e">
        <f t="array" ref="H102">IF($A102&lt;&gt;"",INDEX(IDX_COMPOSITION!$K$1:$K$123,SMALL(IF(IDX_COMPOSITION!$R$2:$R$441=VLOOKUP($A$5,IDX_SPECS!$B$2:$V$89,6,0),ROW(IDX_COMPOSITION!$R$2:$R$441)),ROW($B102)-ROW($B$11))),"")</f>
        <v>#N/A</v>
      </c>
    </row>
  </sheetData>
  <customSheetViews>
    <customSheetView guid="{8EF2C042-D97C-40EA-9E42-A17331664713}">
      <selection activeCell="F9" sqref="F9"/>
      <pageMargins left="0.7" right="0.7" top="0.75" bottom="0.75" header="0.3" footer="0.3"/>
      <pageSetup orientation="portrait" horizontalDpi="0" verticalDpi="0" r:id="rId1"/>
    </customSheetView>
    <customSheetView guid="{A93D23F5-27FE-48DF-A0DC-3D7A8C6F3CF5}">
      <selection activeCell="F9" sqref="F9"/>
      <pageMargins left="0.7" right="0.7" top="0.75" bottom="0.75" header="0.3" footer="0.3"/>
      <pageSetup orientation="portrait" horizontalDpi="0" verticalDpi="0" r:id="rId2"/>
    </customSheetView>
  </customSheetViews>
  <pageMargins left="0.7" right="0.7" top="0.75" bottom="0.75" header="0.3" footer="0.3"/>
  <pageSetup orientation="portrait" horizontalDpi="0" verticalDpi="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IDX_REF!$C$2:$C$89</xm:f>
          </x14:formula1>
          <xm:sqref>C5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E1" sqref="E1:E1048576"/>
    </sheetView>
  </sheetViews>
  <sheetFormatPr defaultRowHeight="12.75" x14ac:dyDescent="0.2"/>
  <cols>
    <col min="1" max="1" width="21.140625" customWidth="1"/>
    <col min="2" max="2" width="11.7109375" customWidth="1"/>
    <col min="3" max="3" width="14.140625" customWidth="1"/>
    <col min="4" max="4" width="15" customWidth="1"/>
    <col min="5" max="5" width="20.7109375" style="8" customWidth="1"/>
    <col min="6" max="6" width="15" customWidth="1"/>
  </cols>
  <sheetData>
    <row r="1" spans="1:6" x14ac:dyDescent="0.2">
      <c r="A1" s="3" t="s">
        <v>57</v>
      </c>
      <c r="B1" s="46" t="s">
        <v>232</v>
      </c>
      <c r="C1" s="46" t="s">
        <v>233</v>
      </c>
      <c r="D1" s="46" t="s">
        <v>414</v>
      </c>
      <c r="E1" s="7" t="s">
        <v>79</v>
      </c>
      <c r="F1" s="23" t="s">
        <v>116</v>
      </c>
    </row>
    <row r="2" spans="1:6" x14ac:dyDescent="0.2">
      <c r="A2" t="s">
        <v>278</v>
      </c>
      <c r="B2">
        <v>20111018</v>
      </c>
      <c r="C2">
        <v>130000</v>
      </c>
      <c r="D2">
        <v>50</v>
      </c>
      <c r="E2" s="8">
        <v>29424354124600</v>
      </c>
      <c r="F2" s="30">
        <v>980.81180415333336</v>
      </c>
    </row>
    <row r="3" spans="1:6" x14ac:dyDescent="0.2">
      <c r="A3" t="s">
        <v>278</v>
      </c>
      <c r="B3">
        <v>20111018</v>
      </c>
      <c r="C3">
        <v>130100</v>
      </c>
      <c r="D3">
        <v>51</v>
      </c>
      <c r="E3" s="8">
        <f t="shared" ref="E3:E8" ca="1" si="0">E2+1000*RAND()</f>
        <v>29424354124779.289</v>
      </c>
      <c r="F3" s="30">
        <f t="shared" ref="F3:F8" ca="1" si="1">F2+1*RAND()</f>
        <v>981.38747645165472</v>
      </c>
    </row>
    <row r="4" spans="1:6" x14ac:dyDescent="0.2">
      <c r="A4" t="s">
        <v>278</v>
      </c>
      <c r="B4">
        <v>20111018</v>
      </c>
      <c r="C4">
        <v>130200</v>
      </c>
      <c r="D4">
        <v>52</v>
      </c>
      <c r="E4" s="8">
        <f t="shared" ca="1" si="0"/>
        <v>29424354124849.789</v>
      </c>
      <c r="F4" s="30">
        <f t="shared" ca="1" si="1"/>
        <v>981.7173712588409</v>
      </c>
    </row>
    <row r="5" spans="1:6" x14ac:dyDescent="0.2">
      <c r="A5" t="s">
        <v>278</v>
      </c>
      <c r="B5">
        <v>20111018</v>
      </c>
      <c r="C5">
        <v>130300</v>
      </c>
      <c r="D5">
        <v>53</v>
      </c>
      <c r="E5" s="8">
        <f t="shared" ca="1" si="0"/>
        <v>29424354124880.672</v>
      </c>
      <c r="F5" s="30">
        <f t="shared" ca="1" si="1"/>
        <v>981.99544985478735</v>
      </c>
    </row>
    <row r="6" spans="1:6" x14ac:dyDescent="0.2">
      <c r="A6" t="s">
        <v>278</v>
      </c>
      <c r="B6">
        <v>20111018</v>
      </c>
      <c r="C6">
        <v>130400</v>
      </c>
      <c r="D6">
        <v>54</v>
      </c>
      <c r="E6" s="8">
        <f t="shared" ca="1" si="0"/>
        <v>29424354125762.523</v>
      </c>
      <c r="F6" s="30">
        <f t="shared" ca="1" si="1"/>
        <v>982.24902228195765</v>
      </c>
    </row>
    <row r="7" spans="1:6" x14ac:dyDescent="0.2">
      <c r="A7" t="s">
        <v>278</v>
      </c>
      <c r="B7">
        <v>20111018</v>
      </c>
      <c r="C7">
        <v>130500</v>
      </c>
      <c r="D7">
        <v>55</v>
      </c>
      <c r="E7" s="8">
        <f t="shared" ca="1" si="0"/>
        <v>29424354125909.371</v>
      </c>
      <c r="F7" s="30">
        <f t="shared" ca="1" si="1"/>
        <v>982.97852927777672</v>
      </c>
    </row>
    <row r="8" spans="1:6" x14ac:dyDescent="0.2">
      <c r="A8" t="s">
        <v>278</v>
      </c>
      <c r="B8">
        <v>20111018</v>
      </c>
      <c r="C8">
        <v>130600</v>
      </c>
      <c r="D8">
        <v>56</v>
      </c>
      <c r="E8" s="8">
        <f t="shared" ca="1" si="0"/>
        <v>29424354125924.504</v>
      </c>
      <c r="F8" s="30">
        <f t="shared" ca="1" si="1"/>
        <v>983.09891111073284</v>
      </c>
    </row>
  </sheetData>
  <customSheetViews>
    <customSheetView guid="{8EF2C042-D97C-40EA-9E42-A17331664713}">
      <selection activeCell="D7" sqref="D7"/>
      <pageMargins left="0.7" right="0.7" top="0.75" bottom="0.75" header="0.3" footer="0.3"/>
    </customSheetView>
    <customSheetView guid="{E8497AD8-A45C-484D-A252-6E26647DB053}">
      <selection activeCell="K15" sqref="K15"/>
      <pageMargins left="0.7" right="0.7" top="0.75" bottom="0.75" header="0.3" footer="0.3"/>
    </customSheetView>
    <customSheetView guid="{AAB8C83D-EE7C-4F2D-A040-F04A230A06FD}">
      <selection activeCell="K15" sqref="K15"/>
      <pageMargins left="0.7" right="0.7" top="0.75" bottom="0.75" header="0.3" footer="0.3"/>
    </customSheetView>
    <customSheetView guid="{A93D23F5-27FE-48DF-A0DC-3D7A8C6F3CF5}">
      <selection activeCell="E1" sqref="E1:E1048576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L12" sqref="L12"/>
    </sheetView>
  </sheetViews>
  <sheetFormatPr defaultRowHeight="15" customHeight="1" x14ac:dyDescent="0.2"/>
  <cols>
    <col min="1" max="1" width="19" customWidth="1"/>
    <col min="2" max="2" width="11.140625" customWidth="1"/>
    <col min="3" max="3" width="16" customWidth="1"/>
    <col min="4" max="4" width="12.85546875" customWidth="1"/>
    <col min="5" max="6" width="12" customWidth="1"/>
  </cols>
  <sheetData>
    <row r="1" spans="1:6" s="15" customFormat="1" ht="15" customHeight="1" x14ac:dyDescent="0.2">
      <c r="A1" s="14" t="s">
        <v>57</v>
      </c>
      <c r="B1" s="14" t="s">
        <v>232</v>
      </c>
      <c r="C1" s="47" t="s">
        <v>234</v>
      </c>
      <c r="D1" s="47" t="s">
        <v>235</v>
      </c>
      <c r="E1" s="47" t="s">
        <v>236</v>
      </c>
      <c r="F1" s="47" t="s">
        <v>237</v>
      </c>
    </row>
    <row r="2" spans="1:6" s="15" customFormat="1" ht="15" customHeight="1" x14ac:dyDescent="0.2">
      <c r="A2" s="13" t="str">
        <f>IF(INDEX(IDX_REF!$A:$A,ROW(IDX_REF!A2))=0,"",INDEX(IDX_REF!$A:$A,ROW(IDX_REF!A2)))</f>
        <v>VNX10PRVND</v>
      </c>
      <c r="B2" s="15">
        <v>20111018</v>
      </c>
      <c r="C2" s="48">
        <f ca="1">F2+RAND()</f>
        <v>981.79039381396501</v>
      </c>
      <c r="D2" s="48">
        <f ca="1">MAX(F2,C2)</f>
        <v>981.79039381396501</v>
      </c>
      <c r="E2" s="48">
        <f ca="1">MIN(F2,C2)</f>
        <v>980.81180415333336</v>
      </c>
      <c r="F2" s="48">
        <v>980.81180415333336</v>
      </c>
    </row>
    <row r="3" spans="1:6" s="15" customFormat="1" ht="15" customHeight="1" x14ac:dyDescent="0.2">
      <c r="A3" s="13" t="str">
        <f>IF(INDEX(IDX_REF!$A:$A,ROW(IDX_REF!A3))=0,"",INDEX(IDX_REF!$A:$A,ROW(IDX_REF!A3)))</f>
        <v>VNX10PRUSD</v>
      </c>
      <c r="B3" s="15">
        <v>20111018</v>
      </c>
      <c r="C3" s="48">
        <f ca="1">C2+IF(RAND()&lt;0.5,-RAND(),RAND())</f>
        <v>981.03880098954994</v>
      </c>
      <c r="D3" s="48">
        <f t="shared" ref="D3:D66" ca="1" si="0">MAX(F3,C3)</f>
        <v>981.18403503828733</v>
      </c>
      <c r="E3" s="48">
        <f t="shared" ref="E3:E66" ca="1" si="1">MIN(F3,C3)</f>
        <v>981.03880098954994</v>
      </c>
      <c r="F3" s="48">
        <f ca="1">F2+IF(RAND()&lt;0.5,-RAND(),RAND())</f>
        <v>981.18403503828733</v>
      </c>
    </row>
    <row r="4" spans="1:6" s="15" customFormat="1" ht="15" customHeight="1" x14ac:dyDescent="0.2">
      <c r="A4" s="13" t="str">
        <f>IF(INDEX(IDX_REF!$A:$A,ROW(IDX_REF!A4))=0,"",INDEX(IDX_REF!$A:$A,ROW(IDX_REF!A4)))</f>
        <v>VNX10PRJPY</v>
      </c>
      <c r="B4" s="15">
        <v>20111018</v>
      </c>
      <c r="C4" s="48">
        <f t="shared" ref="C4:C67" ca="1" si="2">C3+IF(RAND()&lt;0.5,-RAND(),RAND())</f>
        <v>981.93527016452515</v>
      </c>
      <c r="D4" s="48">
        <f t="shared" ca="1" si="0"/>
        <v>982.1704226450986</v>
      </c>
      <c r="E4" s="48">
        <f t="shared" ca="1" si="1"/>
        <v>981.93527016452515</v>
      </c>
      <c r="F4" s="48">
        <f t="shared" ref="F4:F67" ca="1" si="3">F3+IF(RAND()&lt;0.5,-RAND(),RAND())</f>
        <v>982.1704226450986</v>
      </c>
    </row>
    <row r="5" spans="1:6" s="15" customFormat="1" ht="15" customHeight="1" x14ac:dyDescent="0.2">
      <c r="A5" s="13" t="str">
        <f>IF(INDEX(IDX_REF!$A:$A,ROW(IDX_REF!A5))=0,"",INDEX(IDX_REF!$A:$A,ROW(IDX_REF!A5)))</f>
        <v>VNX10PREUR</v>
      </c>
      <c r="B5" s="15">
        <v>20111018</v>
      </c>
      <c r="C5" s="48">
        <f t="shared" ca="1" si="2"/>
        <v>982.19440811178288</v>
      </c>
      <c r="D5" s="48">
        <f t="shared" ca="1" si="0"/>
        <v>983.04664492199925</v>
      </c>
      <c r="E5" s="48">
        <f t="shared" ca="1" si="1"/>
        <v>982.19440811178288</v>
      </c>
      <c r="F5" s="48">
        <f t="shared" ca="1" si="3"/>
        <v>983.04664492199925</v>
      </c>
    </row>
    <row r="6" spans="1:6" s="15" customFormat="1" ht="15" customHeight="1" x14ac:dyDescent="0.2">
      <c r="A6" s="13" t="str">
        <f>IF(INDEX(IDX_REF!$A:$A,ROW(IDX_REF!A6))=0,"",INDEX(IDX_REF!$A:$A,ROW(IDX_REF!A6)))</f>
        <v>VNX10TRVND</v>
      </c>
      <c r="B6" s="15">
        <v>20111018</v>
      </c>
      <c r="C6" s="48">
        <f t="shared" ca="1" si="2"/>
        <v>982.85561938863827</v>
      </c>
      <c r="D6" s="48">
        <f t="shared" ca="1" si="0"/>
        <v>983.73898372048131</v>
      </c>
      <c r="E6" s="48">
        <f t="shared" ca="1" si="1"/>
        <v>982.85561938863827</v>
      </c>
      <c r="F6" s="48">
        <f t="shared" ca="1" si="3"/>
        <v>983.73898372048131</v>
      </c>
    </row>
    <row r="7" spans="1:6" s="15" customFormat="1" ht="15" customHeight="1" x14ac:dyDescent="0.2">
      <c r="A7" s="13" t="str">
        <f>IF(INDEX(IDX_REF!$A:$A,ROW(IDX_REF!A7))=0,"",INDEX(IDX_REF!$A:$A,ROW(IDX_REF!A7)))</f>
        <v>VNX10TRUSD</v>
      </c>
      <c r="B7" s="15">
        <v>20111018</v>
      </c>
      <c r="C7" s="48">
        <f t="shared" ca="1" si="2"/>
        <v>981.98405651204791</v>
      </c>
      <c r="D7" s="48">
        <f t="shared" ca="1" si="0"/>
        <v>984.0828834727115</v>
      </c>
      <c r="E7" s="48">
        <f t="shared" ca="1" si="1"/>
        <v>981.98405651204791</v>
      </c>
      <c r="F7" s="48">
        <f t="shared" ca="1" si="3"/>
        <v>984.0828834727115</v>
      </c>
    </row>
    <row r="8" spans="1:6" s="15" customFormat="1" ht="15" customHeight="1" x14ac:dyDescent="0.2">
      <c r="A8" s="13" t="str">
        <f>IF(INDEX(IDX_REF!$A:$A,ROW(IDX_REF!A8))=0,"",INDEX(IDX_REF!$A:$A,ROW(IDX_REF!A8)))</f>
        <v>VNX10TRJPY</v>
      </c>
      <c r="B8" s="15">
        <v>20111018</v>
      </c>
      <c r="C8" s="48">
        <f t="shared" ca="1" si="2"/>
        <v>982.7049794755693</v>
      </c>
      <c r="D8" s="48">
        <f t="shared" ca="1" si="0"/>
        <v>983.78180802386646</v>
      </c>
      <c r="E8" s="48">
        <f t="shared" ca="1" si="1"/>
        <v>982.7049794755693</v>
      </c>
      <c r="F8" s="48">
        <f t="shared" ca="1" si="3"/>
        <v>983.78180802386646</v>
      </c>
    </row>
    <row r="9" spans="1:6" s="15" customFormat="1" ht="15" customHeight="1" x14ac:dyDescent="0.2">
      <c r="A9" s="13" t="str">
        <f>IF(INDEX(IDX_REF!$A:$A,ROW(IDX_REF!A9))=0,"",INDEX(IDX_REF!$A:$A,ROW(IDX_REF!A9)))</f>
        <v>VNX10TREUR</v>
      </c>
      <c r="B9" s="15">
        <v>20111018</v>
      </c>
      <c r="C9" s="48">
        <f t="shared" ca="1" si="2"/>
        <v>983.23191058059774</v>
      </c>
      <c r="D9" s="48">
        <f t="shared" ca="1" si="0"/>
        <v>983.23191058059774</v>
      </c>
      <c r="E9" s="48">
        <f t="shared" ca="1" si="1"/>
        <v>982.97292268618628</v>
      </c>
      <c r="F9" s="48">
        <f t="shared" ca="1" si="3"/>
        <v>982.97292268618628</v>
      </c>
    </row>
    <row r="10" spans="1:6" s="15" customFormat="1" ht="15" customHeight="1" x14ac:dyDescent="0.2">
      <c r="A10" s="13" t="str">
        <f>IF(INDEX(IDX_REF!$A:$A,ROW(IDX_REF!A10))=0,"",INDEX(IDX_REF!$A:$A,ROW(IDX_REF!A10)))</f>
        <v>VNXASPRVND</v>
      </c>
      <c r="B10" s="15">
        <v>20111018</v>
      </c>
      <c r="C10" s="48">
        <f t="shared" ca="1" si="2"/>
        <v>982.82616249018201</v>
      </c>
      <c r="D10" s="48">
        <f t="shared" ca="1" si="0"/>
        <v>983.63155307325985</v>
      </c>
      <c r="E10" s="48">
        <f t="shared" ca="1" si="1"/>
        <v>982.82616249018201</v>
      </c>
      <c r="F10" s="48">
        <f t="shared" ca="1" si="3"/>
        <v>983.63155307325985</v>
      </c>
    </row>
    <row r="11" spans="1:6" s="15" customFormat="1" ht="15" customHeight="1" x14ac:dyDescent="0.2">
      <c r="A11" s="13" t="str">
        <f>IF(INDEX(IDX_REF!$A:$A,ROW(IDX_REF!A11))=0,"",INDEX(IDX_REF!$A:$A,ROW(IDX_REF!A11)))</f>
        <v>VNXASPRUSD</v>
      </c>
      <c r="B11" s="15">
        <v>20111018</v>
      </c>
      <c r="C11" s="48">
        <f t="shared" ca="1" si="2"/>
        <v>982.8108375039053</v>
      </c>
      <c r="D11" s="48">
        <f t="shared" ca="1" si="0"/>
        <v>984.04717276405449</v>
      </c>
      <c r="E11" s="48">
        <f t="shared" ca="1" si="1"/>
        <v>982.8108375039053</v>
      </c>
      <c r="F11" s="48">
        <f t="shared" ca="1" si="3"/>
        <v>984.04717276405449</v>
      </c>
    </row>
    <row r="12" spans="1:6" s="15" customFormat="1" ht="15" customHeight="1" x14ac:dyDescent="0.2">
      <c r="A12" s="13" t="str">
        <f>IF(INDEX(IDX_REF!$A:$A,ROW(IDX_REF!A12))=0,"",INDEX(IDX_REF!$A:$A,ROW(IDX_REF!A12)))</f>
        <v>VNXASPRJPY</v>
      </c>
      <c r="B12" s="15">
        <v>20111018</v>
      </c>
      <c r="C12" s="48">
        <f t="shared" ca="1" si="2"/>
        <v>983.66757726640276</v>
      </c>
      <c r="D12" s="48">
        <f t="shared" ca="1" si="0"/>
        <v>983.66757726640276</v>
      </c>
      <c r="E12" s="48">
        <f t="shared" ca="1" si="1"/>
        <v>983.38125639149268</v>
      </c>
      <c r="F12" s="48">
        <f t="shared" ca="1" si="3"/>
        <v>983.38125639149268</v>
      </c>
    </row>
    <row r="13" spans="1:6" s="15" customFormat="1" ht="15" customHeight="1" x14ac:dyDescent="0.2">
      <c r="A13" s="13" t="str">
        <f>IF(INDEX(IDX_REF!$A:$A,ROW(IDX_REF!A13))=0,"",INDEX(IDX_REF!$A:$A,ROW(IDX_REF!A13)))</f>
        <v>VNXASPREUR</v>
      </c>
      <c r="B13" s="15">
        <v>20111018</v>
      </c>
      <c r="C13" s="48">
        <f t="shared" ca="1" si="2"/>
        <v>983.58400011715651</v>
      </c>
      <c r="D13" s="48">
        <f t="shared" ca="1" si="0"/>
        <v>983.58400011715651</v>
      </c>
      <c r="E13" s="48">
        <f t="shared" ca="1" si="1"/>
        <v>983.19742333405713</v>
      </c>
      <c r="F13" s="48">
        <f t="shared" ca="1" si="3"/>
        <v>983.19742333405713</v>
      </c>
    </row>
    <row r="14" spans="1:6" s="15" customFormat="1" ht="15" customHeight="1" x14ac:dyDescent="0.2">
      <c r="A14" s="13" t="str">
        <f>IF(INDEX(IDX_REF!$A:$A,ROW(IDX_REF!A14))=0,"",INDEX(IDX_REF!$A:$A,ROW(IDX_REF!A14)))</f>
        <v>VNXASTRVND</v>
      </c>
      <c r="B14" s="15">
        <v>20111018</v>
      </c>
      <c r="C14" s="48">
        <f t="shared" ca="1" si="2"/>
        <v>983.78348806089468</v>
      </c>
      <c r="D14" s="48">
        <f t="shared" ca="1" si="0"/>
        <v>983.78348806089468</v>
      </c>
      <c r="E14" s="48">
        <f t="shared" ca="1" si="1"/>
        <v>982.86966272599977</v>
      </c>
      <c r="F14" s="48">
        <f t="shared" ca="1" si="3"/>
        <v>982.86966272599977</v>
      </c>
    </row>
    <row r="15" spans="1:6" s="15" customFormat="1" ht="15" customHeight="1" x14ac:dyDescent="0.2">
      <c r="A15" s="13" t="str">
        <f>IF(INDEX(IDX_REF!$A:$A,ROW(IDX_REF!A15))=0,"",INDEX(IDX_REF!$A:$A,ROW(IDX_REF!A15)))</f>
        <v>VNXASTRUSD</v>
      </c>
      <c r="B15" s="15">
        <v>20111018</v>
      </c>
      <c r="C15" s="48">
        <f t="shared" ca="1" si="2"/>
        <v>983.94278443729172</v>
      </c>
      <c r="D15" s="48">
        <f t="shared" ca="1" si="0"/>
        <v>983.94278443729172</v>
      </c>
      <c r="E15" s="48">
        <f t="shared" ca="1" si="1"/>
        <v>983.46777330248733</v>
      </c>
      <c r="F15" s="48">
        <f t="shared" ca="1" si="3"/>
        <v>983.46777330248733</v>
      </c>
    </row>
    <row r="16" spans="1:6" s="15" customFormat="1" ht="15" customHeight="1" x14ac:dyDescent="0.2">
      <c r="A16" s="13" t="str">
        <f>IF(INDEX(IDX_REF!$A:$A,ROW(IDX_REF!A16))=0,"",INDEX(IDX_REF!$A:$A,ROW(IDX_REF!A16)))</f>
        <v>VNXASTRJPY</v>
      </c>
      <c r="B16" s="15">
        <v>20111018</v>
      </c>
      <c r="C16" s="48">
        <f t="shared" ca="1" si="2"/>
        <v>984.59141097601184</v>
      </c>
      <c r="D16" s="48">
        <f t="shared" ca="1" si="0"/>
        <v>984.59141097601184</v>
      </c>
      <c r="E16" s="48">
        <f t="shared" ca="1" si="1"/>
        <v>982.48298611186374</v>
      </c>
      <c r="F16" s="48">
        <f t="shared" ca="1" si="3"/>
        <v>982.48298611186374</v>
      </c>
    </row>
    <row r="17" spans="1:6" s="15" customFormat="1" ht="15" customHeight="1" x14ac:dyDescent="0.2">
      <c r="A17" s="13" t="str">
        <f>IF(INDEX(IDX_REF!$A:$A,ROW(IDX_REF!A17))=0,"",INDEX(IDX_REF!$A:$A,ROW(IDX_REF!A17)))</f>
        <v>VNXASTREUR</v>
      </c>
      <c r="B17" s="15">
        <v>20111018</v>
      </c>
      <c r="C17" s="48">
        <f t="shared" ca="1" si="2"/>
        <v>983.96199861748539</v>
      </c>
      <c r="D17" s="48">
        <f t="shared" ca="1" si="0"/>
        <v>983.96199861748539</v>
      </c>
      <c r="E17" s="48">
        <f t="shared" ca="1" si="1"/>
        <v>981.87352025964321</v>
      </c>
      <c r="F17" s="48">
        <f t="shared" ca="1" si="3"/>
        <v>981.87352025964321</v>
      </c>
    </row>
    <row r="18" spans="1:6" s="15" customFormat="1" ht="15" customHeight="1" x14ac:dyDescent="0.2">
      <c r="A18" s="13" t="str">
        <f>IF(INDEX(IDX_REF!$A:$A,ROW(IDX_REF!A18))=0,"",INDEX(IDX_REF!$A:$A,ROW(IDX_REF!A18)))</f>
        <v>VNXCOPRVND</v>
      </c>
      <c r="B18" s="15">
        <v>20111018</v>
      </c>
      <c r="C18" s="48">
        <f t="shared" ca="1" si="2"/>
        <v>983.88108034067659</v>
      </c>
      <c r="D18" s="48">
        <f t="shared" ca="1" si="0"/>
        <v>983.88108034067659</v>
      </c>
      <c r="E18" s="48">
        <f t="shared" ca="1" si="1"/>
        <v>980.95669076311128</v>
      </c>
      <c r="F18" s="48">
        <f t="shared" ca="1" si="3"/>
        <v>980.95669076311128</v>
      </c>
    </row>
    <row r="19" spans="1:6" s="15" customFormat="1" ht="15" customHeight="1" x14ac:dyDescent="0.2">
      <c r="A19" s="13" t="str">
        <f>IF(INDEX(IDX_REF!$A:$A,ROW(IDX_REF!A19))=0,"",INDEX(IDX_REF!$A:$A,ROW(IDX_REF!A19)))</f>
        <v>VNXCOPRUSD</v>
      </c>
      <c r="B19" s="15">
        <v>20111018</v>
      </c>
      <c r="C19" s="48">
        <f t="shared" ca="1" si="2"/>
        <v>984.70168493762003</v>
      </c>
      <c r="D19" s="48">
        <f t="shared" ca="1" si="0"/>
        <v>984.70168493762003</v>
      </c>
      <c r="E19" s="48">
        <f t="shared" ca="1" si="1"/>
        <v>981.33246198591121</v>
      </c>
      <c r="F19" s="48">
        <f t="shared" ca="1" si="3"/>
        <v>981.33246198591121</v>
      </c>
    </row>
    <row r="20" spans="1:6" s="15" customFormat="1" ht="15" customHeight="1" x14ac:dyDescent="0.2">
      <c r="A20" s="13" t="str">
        <f>IF(INDEX(IDX_REF!$A:$A,ROW(IDX_REF!A20))=0,"",INDEX(IDX_REF!$A:$A,ROW(IDX_REF!A20)))</f>
        <v>VNXCOPRJPY</v>
      </c>
      <c r="B20" s="15">
        <v>20111018</v>
      </c>
      <c r="C20" s="48">
        <f t="shared" ca="1" si="2"/>
        <v>984.3654971677089</v>
      </c>
      <c r="D20" s="48">
        <f t="shared" ca="1" si="0"/>
        <v>984.3654971677089</v>
      </c>
      <c r="E20" s="48">
        <f t="shared" ca="1" si="1"/>
        <v>981.62757550481865</v>
      </c>
      <c r="F20" s="48">
        <f t="shared" ca="1" si="3"/>
        <v>981.62757550481865</v>
      </c>
    </row>
    <row r="21" spans="1:6" s="15" customFormat="1" ht="15" customHeight="1" x14ac:dyDescent="0.2">
      <c r="A21" s="13" t="str">
        <f>IF(INDEX(IDX_REF!$A:$A,ROW(IDX_REF!A21))=0,"",INDEX(IDX_REF!$A:$A,ROW(IDX_REF!A21)))</f>
        <v>VNXCOPREUR</v>
      </c>
      <c r="B21" s="15">
        <v>20111018</v>
      </c>
      <c r="C21" s="48">
        <f t="shared" ca="1" si="2"/>
        <v>983.49630676378092</v>
      </c>
      <c r="D21" s="48">
        <f t="shared" ca="1" si="0"/>
        <v>983.49630676378092</v>
      </c>
      <c r="E21" s="48">
        <f t="shared" ca="1" si="1"/>
        <v>982.4099475405269</v>
      </c>
      <c r="F21" s="48">
        <f t="shared" ca="1" si="3"/>
        <v>982.4099475405269</v>
      </c>
    </row>
    <row r="22" spans="1:6" s="15" customFormat="1" ht="15" customHeight="1" x14ac:dyDescent="0.2">
      <c r="A22" s="13" t="str">
        <f>IF(INDEX(IDX_REF!$A:$A,ROW(IDX_REF!A22))=0,"",INDEX(IDX_REF!$A:$A,ROW(IDX_REF!A22)))</f>
        <v>VNXCOTRVND</v>
      </c>
      <c r="B22" s="15">
        <v>20111018</v>
      </c>
      <c r="C22" s="48">
        <f t="shared" ca="1" si="2"/>
        <v>983.73916992093609</v>
      </c>
      <c r="D22" s="48">
        <f t="shared" ca="1" si="0"/>
        <v>983.73916992093609</v>
      </c>
      <c r="E22" s="48">
        <f t="shared" ca="1" si="1"/>
        <v>981.68510819509208</v>
      </c>
      <c r="F22" s="48">
        <f t="shared" ca="1" si="3"/>
        <v>981.68510819509208</v>
      </c>
    </row>
    <row r="23" spans="1:6" s="15" customFormat="1" ht="15" customHeight="1" x14ac:dyDescent="0.2">
      <c r="A23" s="13" t="str">
        <f>IF(INDEX(IDX_REF!$A:$A,ROW(IDX_REF!A23))=0,"",INDEX(IDX_REF!$A:$A,ROW(IDX_REF!A23)))</f>
        <v>VNXCOTRUSD</v>
      </c>
      <c r="B23" s="15">
        <v>20111018</v>
      </c>
      <c r="C23" s="48">
        <f t="shared" ca="1" si="2"/>
        <v>982.96119664604032</v>
      </c>
      <c r="D23" s="48">
        <f t="shared" ca="1" si="0"/>
        <v>982.96119664604032</v>
      </c>
      <c r="E23" s="48">
        <f t="shared" ca="1" si="1"/>
        <v>980.78119985851401</v>
      </c>
      <c r="F23" s="48">
        <f t="shared" ca="1" si="3"/>
        <v>980.78119985851401</v>
      </c>
    </row>
    <row r="24" spans="1:6" s="15" customFormat="1" ht="15" customHeight="1" x14ac:dyDescent="0.2">
      <c r="A24" s="13" t="str">
        <f>IF(INDEX(IDX_REF!$A:$A,ROW(IDX_REF!A24))=0,"",INDEX(IDX_REF!$A:$A,ROW(IDX_REF!A24)))</f>
        <v>VNXCOTRJPY</v>
      </c>
      <c r="B24" s="15">
        <v>20111018</v>
      </c>
      <c r="C24" s="48">
        <f t="shared" ca="1" si="2"/>
        <v>983.2579430448053</v>
      </c>
      <c r="D24" s="48">
        <f t="shared" ca="1" si="0"/>
        <v>983.2579430448053</v>
      </c>
      <c r="E24" s="48">
        <f t="shared" ca="1" si="1"/>
        <v>980.28983358534538</v>
      </c>
      <c r="F24" s="48">
        <f t="shared" ca="1" si="3"/>
        <v>980.28983358534538</v>
      </c>
    </row>
    <row r="25" spans="1:6" s="15" customFormat="1" ht="15" customHeight="1" x14ac:dyDescent="0.2">
      <c r="A25" s="13" t="str">
        <f>IF(INDEX(IDX_REF!$A:$A,ROW(IDX_REF!A25))=0,"",INDEX(IDX_REF!$A:$A,ROW(IDX_REF!A25)))</f>
        <v>VNXCOTREUR</v>
      </c>
      <c r="B25" s="15">
        <v>20111018</v>
      </c>
      <c r="C25" s="48">
        <f t="shared" ca="1" si="2"/>
        <v>982.41101954810131</v>
      </c>
      <c r="D25" s="48">
        <f t="shared" ca="1" si="0"/>
        <v>982.41101954810131</v>
      </c>
      <c r="E25" s="48">
        <f t="shared" ca="1" si="1"/>
        <v>980.42776511601028</v>
      </c>
      <c r="F25" s="48">
        <f t="shared" ca="1" si="3"/>
        <v>980.42776511601028</v>
      </c>
    </row>
    <row r="26" spans="1:6" s="15" customFormat="1" ht="15" customHeight="1" x14ac:dyDescent="0.2">
      <c r="A26" s="13" t="str">
        <f>IF(INDEX(IDX_REF!$A:$A,ROW(IDX_REF!A26))=0,"",INDEX(IDX_REF!$A:$A,ROW(IDX_REF!A26)))</f>
        <v>VNXHSXPRVND</v>
      </c>
      <c r="B26" s="15">
        <v>20111018</v>
      </c>
      <c r="C26" s="48">
        <f t="shared" ca="1" si="2"/>
        <v>983.08986429284312</v>
      </c>
      <c r="D26" s="48">
        <f t="shared" ca="1" si="0"/>
        <v>983.08986429284312</v>
      </c>
      <c r="E26" s="48">
        <f t="shared" ca="1" si="1"/>
        <v>980.12098017460767</v>
      </c>
      <c r="F26" s="48">
        <f t="shared" ca="1" si="3"/>
        <v>980.12098017460767</v>
      </c>
    </row>
    <row r="27" spans="1:6" s="15" customFormat="1" ht="15" customHeight="1" x14ac:dyDescent="0.2">
      <c r="A27" s="13" t="str">
        <f>IF(INDEX(IDX_REF!$A:$A,ROW(IDX_REF!A27))=0,"",INDEX(IDX_REF!$A:$A,ROW(IDX_REF!A27)))</f>
        <v>VNXHSXPRUSD</v>
      </c>
      <c r="B27" s="15">
        <v>20111018</v>
      </c>
      <c r="C27" s="48">
        <f t="shared" ca="1" si="2"/>
        <v>982.63897655315566</v>
      </c>
      <c r="D27" s="48">
        <f t="shared" ca="1" si="0"/>
        <v>982.63897655315566</v>
      </c>
      <c r="E27" s="48">
        <f t="shared" ca="1" si="1"/>
        <v>979.4487237221781</v>
      </c>
      <c r="F27" s="48">
        <f t="shared" ca="1" si="3"/>
        <v>979.4487237221781</v>
      </c>
    </row>
    <row r="28" spans="1:6" s="15" customFormat="1" ht="15" customHeight="1" x14ac:dyDescent="0.2">
      <c r="A28" s="13" t="str">
        <f>IF(INDEX(IDX_REF!$A:$A,ROW(IDX_REF!A28))=0,"",INDEX(IDX_REF!$A:$A,ROW(IDX_REF!A28)))</f>
        <v>VNXHSXPRJPY</v>
      </c>
      <c r="B28" s="15">
        <v>20111018</v>
      </c>
      <c r="C28" s="48">
        <f t="shared" ca="1" si="2"/>
        <v>983.33677917149419</v>
      </c>
      <c r="D28" s="48">
        <f t="shared" ca="1" si="0"/>
        <v>983.33677917149419</v>
      </c>
      <c r="E28" s="48">
        <f t="shared" ca="1" si="1"/>
        <v>979.14622728288464</v>
      </c>
      <c r="F28" s="48">
        <f t="shared" ca="1" si="3"/>
        <v>979.14622728288464</v>
      </c>
    </row>
    <row r="29" spans="1:6" s="15" customFormat="1" ht="15" customHeight="1" x14ac:dyDescent="0.2">
      <c r="A29" s="13" t="str">
        <f>IF(INDEX(IDX_REF!$A:$A,ROW(IDX_REF!A29))=0,"",INDEX(IDX_REF!$A:$A,ROW(IDX_REF!A29)))</f>
        <v>VNXHSXPREUR</v>
      </c>
      <c r="B29" s="15">
        <v>20111018</v>
      </c>
      <c r="C29" s="48">
        <f t="shared" ca="1" si="2"/>
        <v>983.41180496311927</v>
      </c>
      <c r="D29" s="48">
        <f t="shared" ca="1" si="0"/>
        <v>983.41180496311927</v>
      </c>
      <c r="E29" s="48">
        <f t="shared" ca="1" si="1"/>
        <v>979.12520704633346</v>
      </c>
      <c r="F29" s="48">
        <f t="shared" ca="1" si="3"/>
        <v>979.12520704633346</v>
      </c>
    </row>
    <row r="30" spans="1:6" s="15" customFormat="1" ht="15" customHeight="1" x14ac:dyDescent="0.2">
      <c r="A30" s="13" t="str">
        <f>IF(INDEX(IDX_REF!$A:$A,ROW(IDX_REF!A30))=0,"",INDEX(IDX_REF!$A:$A,ROW(IDX_REF!A30)))</f>
        <v>VNXHSXTRVND</v>
      </c>
      <c r="B30" s="15">
        <v>20111018</v>
      </c>
      <c r="C30" s="48">
        <f t="shared" ca="1" si="2"/>
        <v>983.70187123689743</v>
      </c>
      <c r="D30" s="48">
        <f t="shared" ca="1" si="0"/>
        <v>983.70187123689743</v>
      </c>
      <c r="E30" s="48">
        <f t="shared" ca="1" si="1"/>
        <v>978.56559869043087</v>
      </c>
      <c r="F30" s="48">
        <f t="shared" ca="1" si="3"/>
        <v>978.56559869043087</v>
      </c>
    </row>
    <row r="31" spans="1:6" s="15" customFormat="1" ht="15" customHeight="1" x14ac:dyDescent="0.2">
      <c r="A31" s="13" t="str">
        <f>IF(INDEX(IDX_REF!$A:$A,ROW(IDX_REF!A31))=0,"",INDEX(IDX_REF!$A:$A,ROW(IDX_REF!A31)))</f>
        <v>VNXHSXTRUSD</v>
      </c>
      <c r="B31" s="15">
        <v>20111018</v>
      </c>
      <c r="C31" s="48">
        <f t="shared" ca="1" si="2"/>
        <v>983.79969781862496</v>
      </c>
      <c r="D31" s="48">
        <f t="shared" ca="1" si="0"/>
        <v>983.79969781862496</v>
      </c>
      <c r="E31" s="48">
        <f t="shared" ca="1" si="1"/>
        <v>978.59172807857556</v>
      </c>
      <c r="F31" s="48">
        <f t="shared" ca="1" si="3"/>
        <v>978.59172807857556</v>
      </c>
    </row>
    <row r="32" spans="1:6" s="15" customFormat="1" ht="15" customHeight="1" x14ac:dyDescent="0.2">
      <c r="A32" s="13" t="str">
        <f>IF(INDEX(IDX_REF!$A:$A,ROW(IDX_REF!A32))=0,"",INDEX(IDX_REF!$A:$A,ROW(IDX_REF!A32)))</f>
        <v>VNXHSXTRJPY</v>
      </c>
      <c r="B32" s="15">
        <v>20111018</v>
      </c>
      <c r="C32" s="48">
        <f t="shared" ca="1" si="2"/>
        <v>984.39460053224161</v>
      </c>
      <c r="D32" s="48">
        <f t="shared" ca="1" si="0"/>
        <v>984.39460053224161</v>
      </c>
      <c r="E32" s="48">
        <f t="shared" ca="1" si="1"/>
        <v>978.18975538984159</v>
      </c>
      <c r="F32" s="48">
        <f t="shared" ca="1" si="3"/>
        <v>978.18975538984159</v>
      </c>
    </row>
    <row r="33" spans="1:6" s="15" customFormat="1" ht="15" customHeight="1" x14ac:dyDescent="0.2">
      <c r="A33" s="13" t="str">
        <f>IF(INDEX(IDX_REF!$A:$A,ROW(IDX_REF!A33))=0,"",INDEX(IDX_REF!$A:$A,ROW(IDX_REF!A33)))</f>
        <v>VNXHSXTREUR</v>
      </c>
      <c r="B33" s="15">
        <v>20111018</v>
      </c>
      <c r="C33" s="48">
        <f t="shared" ca="1" si="2"/>
        <v>983.41429161771748</v>
      </c>
      <c r="D33" s="48">
        <f t="shared" ca="1" si="0"/>
        <v>983.41429161771748</v>
      </c>
      <c r="E33" s="48">
        <f t="shared" ca="1" si="1"/>
        <v>977.77091106783359</v>
      </c>
      <c r="F33" s="48">
        <f t="shared" ca="1" si="3"/>
        <v>977.77091106783359</v>
      </c>
    </row>
    <row r="34" spans="1:6" s="15" customFormat="1" ht="15" customHeight="1" x14ac:dyDescent="0.2">
      <c r="A34" s="13" t="str">
        <f>IF(INDEX(IDX_REF!$A:$A,ROW(IDX_REF!A34))=0,"",INDEX(IDX_REF!$A:$A,ROW(IDX_REF!A34)))</f>
        <v>VNXHNXPRVND</v>
      </c>
      <c r="B34" s="15">
        <v>20111018</v>
      </c>
      <c r="C34" s="48">
        <f t="shared" ca="1" si="2"/>
        <v>984.14448273585651</v>
      </c>
      <c r="D34" s="48">
        <f t="shared" ca="1" si="0"/>
        <v>984.14448273585651</v>
      </c>
      <c r="E34" s="48">
        <f t="shared" ca="1" si="1"/>
        <v>978.60717571301905</v>
      </c>
      <c r="F34" s="48">
        <f t="shared" ca="1" si="3"/>
        <v>978.60717571301905</v>
      </c>
    </row>
    <row r="35" spans="1:6" s="15" customFormat="1" ht="15" customHeight="1" x14ac:dyDescent="0.2">
      <c r="A35" s="13" t="str">
        <f>IF(INDEX(IDX_REF!$A:$A,ROW(IDX_REF!A35))=0,"",INDEX(IDX_REF!$A:$A,ROW(IDX_REF!A35)))</f>
        <v>VNXHNXPRUSD</v>
      </c>
      <c r="B35" s="15">
        <v>20111018</v>
      </c>
      <c r="C35" s="48">
        <f t="shared" ca="1" si="2"/>
        <v>984.47345121531964</v>
      </c>
      <c r="D35" s="48">
        <f t="shared" ca="1" si="0"/>
        <v>984.47345121531964</v>
      </c>
      <c r="E35" s="48">
        <f t="shared" ca="1" si="1"/>
        <v>979.44643633887995</v>
      </c>
      <c r="F35" s="48">
        <f t="shared" ca="1" si="3"/>
        <v>979.44643633887995</v>
      </c>
    </row>
    <row r="36" spans="1:6" s="15" customFormat="1" ht="15" customHeight="1" x14ac:dyDescent="0.2">
      <c r="A36" s="13" t="str">
        <f>IF(INDEX(IDX_REF!$A:$A,ROW(IDX_REF!A36))=0,"",INDEX(IDX_REF!$A:$A,ROW(IDX_REF!A36)))</f>
        <v>VNXHNXPRJPY</v>
      </c>
      <c r="B36" s="15">
        <v>20111018</v>
      </c>
      <c r="C36" s="48">
        <f t="shared" ca="1" si="2"/>
        <v>984.50858067156503</v>
      </c>
      <c r="D36" s="48">
        <f t="shared" ca="1" si="0"/>
        <v>984.50858067156503</v>
      </c>
      <c r="E36" s="48">
        <f t="shared" ca="1" si="1"/>
        <v>980.08029736509616</v>
      </c>
      <c r="F36" s="48">
        <f t="shared" ca="1" si="3"/>
        <v>980.08029736509616</v>
      </c>
    </row>
    <row r="37" spans="1:6" s="15" customFormat="1" ht="15" customHeight="1" x14ac:dyDescent="0.2">
      <c r="A37" s="13" t="str">
        <f>IF(INDEX(IDX_REF!$A:$A,ROW(IDX_REF!A37))=0,"",INDEX(IDX_REF!$A:$A,ROW(IDX_REF!A37)))</f>
        <v>VNXHNXPREUR</v>
      </c>
      <c r="B37" s="15">
        <v>20111018</v>
      </c>
      <c r="C37" s="48">
        <f t="shared" ca="1" si="2"/>
        <v>984.55526657799999</v>
      </c>
      <c r="D37" s="48">
        <f t="shared" ca="1" si="0"/>
        <v>984.55526657799999</v>
      </c>
      <c r="E37" s="48">
        <f t="shared" ca="1" si="1"/>
        <v>980.36624259931682</v>
      </c>
      <c r="F37" s="48">
        <f t="shared" ca="1" si="3"/>
        <v>980.36624259931682</v>
      </c>
    </row>
    <row r="38" spans="1:6" s="15" customFormat="1" ht="15" customHeight="1" x14ac:dyDescent="0.2">
      <c r="A38" s="13" t="str">
        <f>IF(INDEX(IDX_REF!$A:$A,ROW(IDX_REF!A38))=0,"",INDEX(IDX_REF!$A:$A,ROW(IDX_REF!A38)))</f>
        <v>VNXHNXTRVND</v>
      </c>
      <c r="B38" s="15">
        <v>20111018</v>
      </c>
      <c r="C38" s="48">
        <f t="shared" ca="1" si="2"/>
        <v>985.31159909805478</v>
      </c>
      <c r="D38" s="48">
        <f t="shared" ca="1" si="0"/>
        <v>985.31159909805478</v>
      </c>
      <c r="E38" s="48">
        <f t="shared" ca="1" si="1"/>
        <v>981.3338702846587</v>
      </c>
      <c r="F38" s="48">
        <f t="shared" ca="1" si="3"/>
        <v>981.3338702846587</v>
      </c>
    </row>
    <row r="39" spans="1:6" s="15" customFormat="1" ht="15" customHeight="1" x14ac:dyDescent="0.2">
      <c r="A39" s="13" t="str">
        <f>IF(INDEX(IDX_REF!$A:$A,ROW(IDX_REF!A39))=0,"",INDEX(IDX_REF!$A:$A,ROW(IDX_REF!A39)))</f>
        <v>VNXHNXTRUSD</v>
      </c>
      <c r="B39" s="15">
        <v>20111018</v>
      </c>
      <c r="C39" s="48">
        <f t="shared" ca="1" si="2"/>
        <v>985.34320925198369</v>
      </c>
      <c r="D39" s="48">
        <f t="shared" ca="1" si="0"/>
        <v>985.34320925198369</v>
      </c>
      <c r="E39" s="48">
        <f t="shared" ca="1" si="1"/>
        <v>980.79719597740927</v>
      </c>
      <c r="F39" s="48">
        <f t="shared" ca="1" si="3"/>
        <v>980.79719597740927</v>
      </c>
    </row>
    <row r="40" spans="1:6" s="15" customFormat="1" ht="15" customHeight="1" x14ac:dyDescent="0.2">
      <c r="A40" s="13" t="str">
        <f>IF(INDEX(IDX_REF!$A:$A,ROW(IDX_REF!A40))=0,"",INDEX(IDX_REF!$A:$A,ROW(IDX_REF!A40)))</f>
        <v>VNXHNXTRJPY</v>
      </c>
      <c r="B40" s="15">
        <v>20111018</v>
      </c>
      <c r="C40" s="48">
        <f t="shared" ca="1" si="2"/>
        <v>985.94915486728837</v>
      </c>
      <c r="D40" s="48">
        <f t="shared" ca="1" si="0"/>
        <v>985.94915486728837</v>
      </c>
      <c r="E40" s="48">
        <f t="shared" ca="1" si="1"/>
        <v>981.64559617880661</v>
      </c>
      <c r="F40" s="48">
        <f t="shared" ca="1" si="3"/>
        <v>981.64559617880661</v>
      </c>
    </row>
    <row r="41" spans="1:6" s="15" customFormat="1" ht="15" customHeight="1" x14ac:dyDescent="0.2">
      <c r="A41" s="13" t="str">
        <f>IF(INDEX(IDX_REF!$A:$A,ROW(IDX_REF!A41))=0,"",INDEX(IDX_REF!$A:$A,ROW(IDX_REF!A41)))</f>
        <v>VNXHNXTREUR</v>
      </c>
      <c r="B41" s="15">
        <v>20111018</v>
      </c>
      <c r="C41" s="48">
        <f t="shared" ca="1" si="2"/>
        <v>986.90680278802949</v>
      </c>
      <c r="D41" s="48">
        <f t="shared" ca="1" si="0"/>
        <v>986.90680278802949</v>
      </c>
      <c r="E41" s="48">
        <f t="shared" ca="1" si="1"/>
        <v>980.71872295326943</v>
      </c>
      <c r="F41" s="48">
        <f t="shared" ca="1" si="3"/>
        <v>980.71872295326943</v>
      </c>
    </row>
    <row r="42" spans="1:6" s="15" customFormat="1" ht="15" customHeight="1" x14ac:dyDescent="0.2">
      <c r="A42" s="13" t="str">
        <f>IF(INDEX(IDX_REF!$A:$A,ROW(IDX_REF!A42))=0,"",INDEX(IDX_REF!$A:$A,ROW(IDX_REF!A42)))</f>
        <v>VNXBMPRVND</v>
      </c>
      <c r="B42" s="15">
        <v>20111018</v>
      </c>
      <c r="C42" s="48">
        <f t="shared" ca="1" si="2"/>
        <v>987.74201814565879</v>
      </c>
      <c r="D42" s="48">
        <f t="shared" ca="1" si="0"/>
        <v>987.74201814565879</v>
      </c>
      <c r="E42" s="48">
        <f t="shared" ca="1" si="1"/>
        <v>980.34070178949173</v>
      </c>
      <c r="F42" s="48">
        <f t="shared" ca="1" si="3"/>
        <v>980.34070178949173</v>
      </c>
    </row>
    <row r="43" spans="1:6" s="15" customFormat="1" ht="15" customHeight="1" x14ac:dyDescent="0.2">
      <c r="A43" s="13" t="str">
        <f>IF(INDEX(IDX_REF!$A:$A,ROW(IDX_REF!A43))=0,"",INDEX(IDX_REF!$A:$A,ROW(IDX_REF!A43)))</f>
        <v>VNXBMPRUSD</v>
      </c>
      <c r="B43" s="15">
        <v>20111018</v>
      </c>
      <c r="C43" s="48">
        <f t="shared" ca="1" si="2"/>
        <v>986.95991674155187</v>
      </c>
      <c r="D43" s="48">
        <f t="shared" ca="1" si="0"/>
        <v>986.95991674155187</v>
      </c>
      <c r="E43" s="48">
        <f t="shared" ca="1" si="1"/>
        <v>979.88431191595146</v>
      </c>
      <c r="F43" s="48">
        <f t="shared" ca="1" si="3"/>
        <v>979.88431191595146</v>
      </c>
    </row>
    <row r="44" spans="1:6" s="15" customFormat="1" ht="15" customHeight="1" x14ac:dyDescent="0.2">
      <c r="A44" s="13" t="str">
        <f>IF(INDEX(IDX_REF!$A:$A,ROW(IDX_REF!A44))=0,"",INDEX(IDX_REF!$A:$A,ROW(IDX_REF!A44)))</f>
        <v>VNXBMPRJPY</v>
      </c>
      <c r="B44" s="15">
        <v>20111018</v>
      </c>
      <c r="C44" s="48">
        <f t="shared" ca="1" si="2"/>
        <v>986.21633568564062</v>
      </c>
      <c r="D44" s="48">
        <f t="shared" ca="1" si="0"/>
        <v>986.21633568564062</v>
      </c>
      <c r="E44" s="48">
        <f t="shared" ca="1" si="1"/>
        <v>979.68910529044956</v>
      </c>
      <c r="F44" s="48">
        <f t="shared" ca="1" si="3"/>
        <v>979.68910529044956</v>
      </c>
    </row>
    <row r="45" spans="1:6" s="15" customFormat="1" ht="15" customHeight="1" x14ac:dyDescent="0.2">
      <c r="A45" s="13" t="str">
        <f>IF(INDEX(IDX_REF!$A:$A,ROW(IDX_REF!A45))=0,"",INDEX(IDX_REF!$A:$A,ROW(IDX_REF!A45)))</f>
        <v>VNXBMPREUR</v>
      </c>
      <c r="B45" s="15">
        <v>20111018</v>
      </c>
      <c r="C45" s="48">
        <f t="shared" ca="1" si="2"/>
        <v>986.66598386843611</v>
      </c>
      <c r="D45" s="48">
        <f t="shared" ca="1" si="0"/>
        <v>986.66598386843611</v>
      </c>
      <c r="E45" s="48">
        <f t="shared" ca="1" si="1"/>
        <v>980.64137803750805</v>
      </c>
      <c r="F45" s="48">
        <f t="shared" ca="1" si="3"/>
        <v>980.64137803750805</v>
      </c>
    </row>
    <row r="46" spans="1:6" s="15" customFormat="1" ht="15" customHeight="1" x14ac:dyDescent="0.2">
      <c r="A46" s="13" t="str">
        <f>IF(INDEX(IDX_REF!$A:$A,ROW(IDX_REF!A46))=0,"",INDEX(IDX_REF!$A:$A,ROW(IDX_REF!A46)))</f>
        <v>VNXCSPRVND</v>
      </c>
      <c r="B46" s="15">
        <v>20111018</v>
      </c>
      <c r="C46" s="48">
        <f t="shared" ca="1" si="2"/>
        <v>986.29081743773168</v>
      </c>
      <c r="D46" s="48">
        <f t="shared" ca="1" si="0"/>
        <v>986.29081743773168</v>
      </c>
      <c r="E46" s="48">
        <f t="shared" ca="1" si="1"/>
        <v>980.89273849240794</v>
      </c>
      <c r="F46" s="48">
        <f t="shared" ca="1" si="3"/>
        <v>980.89273849240794</v>
      </c>
    </row>
    <row r="47" spans="1:6" s="15" customFormat="1" ht="15" customHeight="1" x14ac:dyDescent="0.2">
      <c r="A47" s="13" t="str">
        <f>IF(INDEX(IDX_REF!$A:$A,ROW(IDX_REF!A47))=0,"",INDEX(IDX_REF!$A:$A,ROW(IDX_REF!A47)))</f>
        <v>VNXCSPRUSD</v>
      </c>
      <c r="B47" s="15">
        <v>20111018</v>
      </c>
      <c r="C47" s="48">
        <f t="shared" ca="1" si="2"/>
        <v>986.45925870624774</v>
      </c>
      <c r="D47" s="48">
        <f t="shared" ca="1" si="0"/>
        <v>986.45925870624774</v>
      </c>
      <c r="E47" s="48">
        <f t="shared" ca="1" si="1"/>
        <v>981.12106842225103</v>
      </c>
      <c r="F47" s="48">
        <f t="shared" ca="1" si="3"/>
        <v>981.12106842225103</v>
      </c>
    </row>
    <row r="48" spans="1:6" s="15" customFormat="1" ht="15" customHeight="1" x14ac:dyDescent="0.2">
      <c r="A48" s="13" t="str">
        <f>IF(INDEX(IDX_REF!$A:$A,ROW(IDX_REF!A48))=0,"",INDEX(IDX_REF!$A:$A,ROW(IDX_REF!A48)))</f>
        <v>VNXCSPRJPY</v>
      </c>
      <c r="B48" s="15">
        <v>20111018</v>
      </c>
      <c r="C48" s="48">
        <f t="shared" ca="1" si="2"/>
        <v>985.7407731012421</v>
      </c>
      <c r="D48" s="48">
        <f t="shared" ca="1" si="0"/>
        <v>985.7407731012421</v>
      </c>
      <c r="E48" s="48">
        <f t="shared" ca="1" si="1"/>
        <v>980.50231321067474</v>
      </c>
      <c r="F48" s="48">
        <f t="shared" ca="1" si="3"/>
        <v>980.50231321067474</v>
      </c>
    </row>
    <row r="49" spans="1:6" s="15" customFormat="1" ht="15" customHeight="1" x14ac:dyDescent="0.2">
      <c r="A49" s="13" t="str">
        <f>IF(INDEX(IDX_REF!$A:$A,ROW(IDX_REF!A49))=0,"",INDEX(IDX_REF!$A:$A,ROW(IDX_REF!A49)))</f>
        <v>VNXCSPREUR</v>
      </c>
      <c r="B49" s="15">
        <v>20111018</v>
      </c>
      <c r="C49" s="48">
        <f t="shared" ca="1" si="2"/>
        <v>985.93388604240488</v>
      </c>
      <c r="D49" s="48">
        <f t="shared" ca="1" si="0"/>
        <v>985.93388604240488</v>
      </c>
      <c r="E49" s="48">
        <f t="shared" ca="1" si="1"/>
        <v>980.38976683340923</v>
      </c>
      <c r="F49" s="48">
        <f t="shared" ca="1" si="3"/>
        <v>980.38976683340923</v>
      </c>
    </row>
    <row r="50" spans="1:6" s="15" customFormat="1" ht="15" customHeight="1" x14ac:dyDescent="0.2">
      <c r="A50" s="13" t="str">
        <f>IF(INDEX(IDX_REF!$A:$A,ROW(IDX_REF!A50))=0,"",INDEX(IDX_REF!$A:$A,ROW(IDX_REF!A50)))</f>
        <v>VNXFIPRVND</v>
      </c>
      <c r="B50" s="15">
        <v>20111018</v>
      </c>
      <c r="C50" s="48">
        <f t="shared" ca="1" si="2"/>
        <v>985.17533301917365</v>
      </c>
      <c r="D50" s="48">
        <f t="shared" ca="1" si="0"/>
        <v>985.17533301917365</v>
      </c>
      <c r="E50" s="48">
        <f t="shared" ca="1" si="1"/>
        <v>981.20436794258683</v>
      </c>
      <c r="F50" s="48">
        <f t="shared" ca="1" si="3"/>
        <v>981.20436794258683</v>
      </c>
    </row>
    <row r="51" spans="1:6" s="15" customFormat="1" ht="15" customHeight="1" x14ac:dyDescent="0.2">
      <c r="A51" s="13" t="str">
        <f>IF(INDEX(IDX_REF!$A:$A,ROW(IDX_REF!A51))=0,"",INDEX(IDX_REF!$A:$A,ROW(IDX_REF!A51)))</f>
        <v>VNXFIPRUSD</v>
      </c>
      <c r="B51" s="15">
        <v>20111018</v>
      </c>
      <c r="C51" s="48">
        <f t="shared" ca="1" si="2"/>
        <v>985.00213987912355</v>
      </c>
      <c r="D51" s="48">
        <f t="shared" ca="1" si="0"/>
        <v>985.00213987912355</v>
      </c>
      <c r="E51" s="48">
        <f t="shared" ca="1" si="1"/>
        <v>981.61954230684444</v>
      </c>
      <c r="F51" s="48">
        <f t="shared" ca="1" si="3"/>
        <v>981.61954230684444</v>
      </c>
    </row>
    <row r="52" spans="1:6" s="15" customFormat="1" ht="15" customHeight="1" x14ac:dyDescent="0.2">
      <c r="A52" s="13" t="str">
        <f>IF(INDEX(IDX_REF!$A:$A,ROW(IDX_REF!A52))=0,"",INDEX(IDX_REF!$A:$A,ROW(IDX_REF!A52)))</f>
        <v>VNXFIPRJPY</v>
      </c>
      <c r="B52" s="15">
        <v>20111018</v>
      </c>
      <c r="C52" s="48">
        <f t="shared" ca="1" si="2"/>
        <v>985.95062889395422</v>
      </c>
      <c r="D52" s="48">
        <f t="shared" ca="1" si="0"/>
        <v>985.95062889395422</v>
      </c>
      <c r="E52" s="48">
        <f t="shared" ca="1" si="1"/>
        <v>981.11885369773427</v>
      </c>
      <c r="F52" s="48">
        <f t="shared" ca="1" si="3"/>
        <v>981.11885369773427</v>
      </c>
    </row>
    <row r="53" spans="1:6" s="15" customFormat="1" ht="15" customHeight="1" x14ac:dyDescent="0.2">
      <c r="A53" s="13" t="str">
        <f>IF(INDEX(IDX_REF!$A:$A,ROW(IDX_REF!A53))=0,"",INDEX(IDX_REF!$A:$A,ROW(IDX_REF!A53)))</f>
        <v>VNXFIPREUR</v>
      </c>
      <c r="B53" s="15">
        <v>20111018</v>
      </c>
      <c r="C53" s="48">
        <f t="shared" ca="1" si="2"/>
        <v>985.73434006163336</v>
      </c>
      <c r="D53" s="48">
        <f t="shared" ca="1" si="0"/>
        <v>985.73434006163336</v>
      </c>
      <c r="E53" s="48">
        <f t="shared" ca="1" si="1"/>
        <v>981.733918132496</v>
      </c>
      <c r="F53" s="48">
        <f t="shared" ca="1" si="3"/>
        <v>981.733918132496</v>
      </c>
    </row>
    <row r="54" spans="1:6" s="15" customFormat="1" ht="15" customHeight="1" x14ac:dyDescent="0.2">
      <c r="A54" s="13" t="str">
        <f>IF(INDEX(IDX_REF!$A:$A,ROW(IDX_REF!A54))=0,"",INDEX(IDX_REF!$A:$A,ROW(IDX_REF!A54)))</f>
        <v>VNXINPRVND</v>
      </c>
      <c r="B54" s="15">
        <v>20111018</v>
      </c>
      <c r="C54" s="48">
        <f t="shared" ca="1" si="2"/>
        <v>986.21588431102725</v>
      </c>
      <c r="D54" s="48">
        <f t="shared" ca="1" si="0"/>
        <v>986.21588431102725</v>
      </c>
      <c r="E54" s="48">
        <f t="shared" ca="1" si="1"/>
        <v>980.89350986449028</v>
      </c>
      <c r="F54" s="48">
        <f t="shared" ca="1" si="3"/>
        <v>980.89350986449028</v>
      </c>
    </row>
    <row r="55" spans="1:6" s="15" customFormat="1" ht="15" customHeight="1" x14ac:dyDescent="0.2">
      <c r="A55" s="13" t="str">
        <f>IF(INDEX(IDX_REF!$A:$A,ROW(IDX_REF!A55))=0,"",INDEX(IDX_REF!$A:$A,ROW(IDX_REF!A55)))</f>
        <v>VNXINPRUSD</v>
      </c>
      <c r="B55" s="15">
        <v>20111018</v>
      </c>
      <c r="C55" s="48">
        <f t="shared" ca="1" si="2"/>
        <v>987.00038991059591</v>
      </c>
      <c r="D55" s="48">
        <f t="shared" ca="1" si="0"/>
        <v>987.00038991059591</v>
      </c>
      <c r="E55" s="48">
        <f t="shared" ca="1" si="1"/>
        <v>981.85000459713103</v>
      </c>
      <c r="F55" s="48">
        <f t="shared" ca="1" si="3"/>
        <v>981.85000459713103</v>
      </c>
    </row>
    <row r="56" spans="1:6" s="15" customFormat="1" ht="15" customHeight="1" x14ac:dyDescent="0.2">
      <c r="A56" s="13" t="str">
        <f>IF(INDEX(IDX_REF!$A:$A,ROW(IDX_REF!A56))=0,"",INDEX(IDX_REF!$A:$A,ROW(IDX_REF!A56)))</f>
        <v>VNXINPRJPY</v>
      </c>
      <c r="B56" s="15">
        <v>20111018</v>
      </c>
      <c r="C56" s="48">
        <f t="shared" ca="1" si="2"/>
        <v>987.74504022962049</v>
      </c>
      <c r="D56" s="48">
        <f t="shared" ca="1" si="0"/>
        <v>987.74504022962049</v>
      </c>
      <c r="E56" s="48">
        <f t="shared" ca="1" si="1"/>
        <v>981.42635032491069</v>
      </c>
      <c r="F56" s="48">
        <f t="shared" ca="1" si="3"/>
        <v>981.42635032491069</v>
      </c>
    </row>
    <row r="57" spans="1:6" s="15" customFormat="1" ht="15" customHeight="1" x14ac:dyDescent="0.2">
      <c r="A57" s="13" t="str">
        <f>IF(INDEX(IDX_REF!$A:$A,ROW(IDX_REF!A57))=0,"",INDEX(IDX_REF!$A:$A,ROW(IDX_REF!A57)))</f>
        <v>VNXINPREUR</v>
      </c>
      <c r="B57" s="15">
        <v>20111018</v>
      </c>
      <c r="C57" s="48">
        <f t="shared" ca="1" si="2"/>
        <v>987.144090092346</v>
      </c>
      <c r="D57" s="48">
        <f t="shared" ca="1" si="0"/>
        <v>987.144090092346</v>
      </c>
      <c r="E57" s="48">
        <f t="shared" ca="1" si="1"/>
        <v>982.05942340958654</v>
      </c>
      <c r="F57" s="48">
        <f t="shared" ca="1" si="3"/>
        <v>982.05942340958654</v>
      </c>
    </row>
    <row r="58" spans="1:6" s="15" customFormat="1" ht="15" customHeight="1" x14ac:dyDescent="0.2">
      <c r="A58" s="13" t="str">
        <f>IF(INDEX(IDX_REF!$A:$A,ROW(IDX_REF!A58))=0,"",INDEX(IDX_REF!$A:$A,ROW(IDX_REF!A58)))</f>
        <v>VNXOGPRVND</v>
      </c>
      <c r="B58" s="15">
        <v>20111018</v>
      </c>
      <c r="C58" s="48">
        <f t="shared" ca="1" si="2"/>
        <v>986.20562000869893</v>
      </c>
      <c r="D58" s="48">
        <f t="shared" ca="1" si="0"/>
        <v>986.20562000869893</v>
      </c>
      <c r="E58" s="48">
        <f t="shared" ca="1" si="1"/>
        <v>982.65008798135807</v>
      </c>
      <c r="F58" s="48">
        <f t="shared" ca="1" si="3"/>
        <v>982.65008798135807</v>
      </c>
    </row>
    <row r="59" spans="1:6" s="15" customFormat="1" ht="15" customHeight="1" x14ac:dyDescent="0.2">
      <c r="A59" s="13" t="str">
        <f>IF(INDEX(IDX_REF!$A:$A,ROW(IDX_REF!A59))=0,"",INDEX(IDX_REF!$A:$A,ROW(IDX_REF!A59)))</f>
        <v>VNXOGPRUSD</v>
      </c>
      <c r="B59" s="15">
        <v>20111018</v>
      </c>
      <c r="C59" s="48">
        <f t="shared" ca="1" si="2"/>
        <v>985.48181659333875</v>
      </c>
      <c r="D59" s="48">
        <f t="shared" ca="1" si="0"/>
        <v>985.48181659333875</v>
      </c>
      <c r="E59" s="48">
        <f t="shared" ca="1" si="1"/>
        <v>983.22083158734722</v>
      </c>
      <c r="F59" s="48">
        <f t="shared" ca="1" si="3"/>
        <v>983.22083158734722</v>
      </c>
    </row>
    <row r="60" spans="1:6" s="15" customFormat="1" ht="15" customHeight="1" x14ac:dyDescent="0.2">
      <c r="A60" s="13" t="str">
        <f>IF(INDEX(IDX_REF!$A:$A,ROW(IDX_REF!A60))=0,"",INDEX(IDX_REF!$A:$A,ROW(IDX_REF!A60)))</f>
        <v>VNXOGPRJPY</v>
      </c>
      <c r="B60" s="15">
        <v>20111018</v>
      </c>
      <c r="C60" s="48">
        <f t="shared" ca="1" si="2"/>
        <v>984.94998090719582</v>
      </c>
      <c r="D60" s="48">
        <f t="shared" ca="1" si="0"/>
        <v>984.94998090719582</v>
      </c>
      <c r="E60" s="48">
        <f t="shared" ca="1" si="1"/>
        <v>982.58657138355375</v>
      </c>
      <c r="F60" s="48">
        <f t="shared" ca="1" si="3"/>
        <v>982.58657138355375</v>
      </c>
    </row>
    <row r="61" spans="1:6" s="15" customFormat="1" ht="15" customHeight="1" x14ac:dyDescent="0.2">
      <c r="A61" s="13" t="str">
        <f>IF(INDEX(IDX_REF!$A:$A,ROW(IDX_REF!A61))=0,"",INDEX(IDX_REF!$A:$A,ROW(IDX_REF!A61)))</f>
        <v>VNXOGPREUR</v>
      </c>
      <c r="B61" s="15">
        <v>20111018</v>
      </c>
      <c r="C61" s="48">
        <f t="shared" ca="1" si="2"/>
        <v>984.62113185637895</v>
      </c>
      <c r="D61" s="48">
        <f t="shared" ca="1" si="0"/>
        <v>984.62113185637895</v>
      </c>
      <c r="E61" s="48">
        <f t="shared" ca="1" si="1"/>
        <v>982.41701460777654</v>
      </c>
      <c r="F61" s="48">
        <f t="shared" ca="1" si="3"/>
        <v>982.41701460777654</v>
      </c>
    </row>
    <row r="62" spans="1:6" s="15" customFormat="1" ht="15" customHeight="1" x14ac:dyDescent="0.2">
      <c r="A62" s="13" t="str">
        <f>IF(INDEX(IDX_REF!$A:$A,ROW(IDX_REF!A62))=0,"",INDEX(IDX_REF!$A:$A,ROW(IDX_REF!A62)))</f>
        <v>VNXUTPRVND</v>
      </c>
      <c r="B62" s="15">
        <v>20111018</v>
      </c>
      <c r="C62" s="48">
        <f t="shared" ca="1" si="2"/>
        <v>985.18772094944757</v>
      </c>
      <c r="D62" s="48">
        <f t="shared" ca="1" si="0"/>
        <v>985.18772094944757</v>
      </c>
      <c r="E62" s="48">
        <f t="shared" ca="1" si="1"/>
        <v>983.32118409226007</v>
      </c>
      <c r="F62" s="48">
        <f t="shared" ca="1" si="3"/>
        <v>983.32118409226007</v>
      </c>
    </row>
    <row r="63" spans="1:6" s="15" customFormat="1" ht="15" customHeight="1" x14ac:dyDescent="0.2">
      <c r="A63" s="13" t="str">
        <f>IF(INDEX(IDX_REF!$A:$A,ROW(IDX_REF!A63))=0,"",INDEX(IDX_REF!$A:$A,ROW(IDX_REF!A63)))</f>
        <v>VNXUTPRUSD</v>
      </c>
      <c r="B63" s="15">
        <v>20111018</v>
      </c>
      <c r="C63" s="48">
        <f t="shared" ca="1" si="2"/>
        <v>984.37351220833523</v>
      </c>
      <c r="D63" s="48">
        <f t="shared" ca="1" si="0"/>
        <v>984.37351220833523</v>
      </c>
      <c r="E63" s="48">
        <f t="shared" ca="1" si="1"/>
        <v>982.67148770141159</v>
      </c>
      <c r="F63" s="48">
        <f t="shared" ca="1" si="3"/>
        <v>982.67148770141159</v>
      </c>
    </row>
    <row r="64" spans="1:6" s="15" customFormat="1" ht="15" customHeight="1" x14ac:dyDescent="0.2">
      <c r="A64" s="13" t="str">
        <f>IF(INDEX(IDX_REF!$A:$A,ROW(IDX_REF!A64))=0,"",INDEX(IDX_REF!$A:$A,ROW(IDX_REF!A64)))</f>
        <v>VNXUTPRJPY</v>
      </c>
      <c r="B64" s="15">
        <v>20111018</v>
      </c>
      <c r="C64" s="48">
        <f t="shared" ca="1" si="2"/>
        <v>984.46760670073002</v>
      </c>
      <c r="D64" s="48">
        <f t="shared" ca="1" si="0"/>
        <v>984.46760670073002</v>
      </c>
      <c r="E64" s="48">
        <f t="shared" ca="1" si="1"/>
        <v>981.9356310476827</v>
      </c>
      <c r="F64" s="48">
        <f t="shared" ca="1" si="3"/>
        <v>981.9356310476827</v>
      </c>
    </row>
    <row r="65" spans="1:6" s="15" customFormat="1" ht="15" customHeight="1" x14ac:dyDescent="0.2">
      <c r="A65" s="13" t="str">
        <f>IF(INDEX(IDX_REF!$A:$A,ROW(IDX_REF!A65))=0,"",INDEX(IDX_REF!$A:$A,ROW(IDX_REF!A65)))</f>
        <v>VNXUTPREUR</v>
      </c>
      <c r="B65" s="15">
        <v>20111018</v>
      </c>
      <c r="C65" s="48">
        <f t="shared" ca="1" si="2"/>
        <v>984.36270938342125</v>
      </c>
      <c r="D65" s="48">
        <f t="shared" ca="1" si="0"/>
        <v>984.36270938342125</v>
      </c>
      <c r="E65" s="48">
        <f t="shared" ca="1" si="1"/>
        <v>982.65275545810346</v>
      </c>
      <c r="F65" s="48">
        <f t="shared" ca="1" si="3"/>
        <v>982.65275545810346</v>
      </c>
    </row>
    <row r="66" spans="1:6" s="15" customFormat="1" ht="15" customHeight="1" x14ac:dyDescent="0.2">
      <c r="A66" s="13" t="str">
        <f>IF(INDEX(IDX_REF!$A:$A,ROW(IDX_REF!A66))=0,"",INDEX(IDX_REF!$A:$A,ROW(IDX_REF!A66)))</f>
        <v>VNXBMTRVND</v>
      </c>
      <c r="B66" s="15">
        <v>20111018</v>
      </c>
      <c r="C66" s="48">
        <f t="shared" ca="1" si="2"/>
        <v>984.21214940051993</v>
      </c>
      <c r="D66" s="48">
        <f t="shared" ca="1" si="0"/>
        <v>984.21214940051993</v>
      </c>
      <c r="E66" s="48">
        <f t="shared" ca="1" si="1"/>
        <v>983.34996485109389</v>
      </c>
      <c r="F66" s="48">
        <f t="shared" ca="1" si="3"/>
        <v>983.34996485109389</v>
      </c>
    </row>
    <row r="67" spans="1:6" s="15" customFormat="1" ht="15" customHeight="1" x14ac:dyDescent="0.2">
      <c r="A67" s="13" t="str">
        <f>IF(INDEX(IDX_REF!$A:$A,ROW(IDX_REF!A67))=0,"",INDEX(IDX_REF!$A:$A,ROW(IDX_REF!A67)))</f>
        <v>VNXBMTRUSD</v>
      </c>
      <c r="B67" s="15">
        <v>20111018</v>
      </c>
      <c r="C67" s="48">
        <f t="shared" ca="1" si="2"/>
        <v>984.04389205359826</v>
      </c>
      <c r="D67" s="48">
        <f t="shared" ref="D67:D89" ca="1" si="4">MAX(F67,C67)</f>
        <v>984.04389205359826</v>
      </c>
      <c r="E67" s="48">
        <f t="shared" ref="E67:E89" ca="1" si="5">MIN(F67,C67)</f>
        <v>982.62397421943092</v>
      </c>
      <c r="F67" s="48">
        <f t="shared" ca="1" si="3"/>
        <v>982.62397421943092</v>
      </c>
    </row>
    <row r="68" spans="1:6" s="15" customFormat="1" ht="15" customHeight="1" x14ac:dyDescent="0.2">
      <c r="A68" s="13" t="str">
        <f>IF(INDEX(IDX_REF!$A:$A,ROW(IDX_REF!A68))=0,"",INDEX(IDX_REF!$A:$A,ROW(IDX_REF!A68)))</f>
        <v>VNXBMTRJPY</v>
      </c>
      <c r="B68" s="15">
        <v>20111018</v>
      </c>
      <c r="C68" s="48">
        <f t="shared" ref="C68:C89" ca="1" si="6">C67+IF(RAND()&lt;0.5,-RAND(),RAND())</f>
        <v>983.22862165881702</v>
      </c>
      <c r="D68" s="48">
        <f t="shared" ca="1" si="4"/>
        <v>983.22862165881702</v>
      </c>
      <c r="E68" s="48">
        <f t="shared" ca="1" si="5"/>
        <v>982.88158141894155</v>
      </c>
      <c r="F68" s="48">
        <f t="shared" ref="F68:F89" ca="1" si="7">F67+IF(RAND()&lt;0.5,-RAND(),RAND())</f>
        <v>982.88158141894155</v>
      </c>
    </row>
    <row r="69" spans="1:6" s="15" customFormat="1" ht="15" customHeight="1" x14ac:dyDescent="0.2">
      <c r="A69" s="13" t="str">
        <f>IF(INDEX(IDX_REF!$A:$A,ROW(IDX_REF!A69))=0,"",INDEX(IDX_REF!$A:$A,ROW(IDX_REF!A69)))</f>
        <v>VNXBMTREUR</v>
      </c>
      <c r="B69" s="15">
        <v>20111018</v>
      </c>
      <c r="C69" s="48">
        <f t="shared" ca="1" si="6"/>
        <v>983.84947386204499</v>
      </c>
      <c r="D69" s="48">
        <f t="shared" ca="1" si="4"/>
        <v>983.84947386204499</v>
      </c>
      <c r="E69" s="48">
        <f t="shared" ca="1" si="5"/>
        <v>983.13335551719069</v>
      </c>
      <c r="F69" s="48">
        <f t="shared" ca="1" si="7"/>
        <v>983.13335551719069</v>
      </c>
    </row>
    <row r="70" spans="1:6" s="15" customFormat="1" ht="15" customHeight="1" x14ac:dyDescent="0.2">
      <c r="A70" s="13" t="str">
        <f>IF(INDEX(IDX_REF!$A:$A,ROW(IDX_REF!A70))=0,"",INDEX(IDX_REF!$A:$A,ROW(IDX_REF!A70)))</f>
        <v>VNXCSTRVND</v>
      </c>
      <c r="B70" s="15">
        <v>20111018</v>
      </c>
      <c r="C70" s="48">
        <f t="shared" ca="1" si="6"/>
        <v>984.31025957731424</v>
      </c>
      <c r="D70" s="48">
        <f t="shared" ca="1" si="4"/>
        <v>984.31025957731424</v>
      </c>
      <c r="E70" s="48">
        <f t="shared" ca="1" si="5"/>
        <v>982.27906609711147</v>
      </c>
      <c r="F70" s="48">
        <f t="shared" ca="1" si="7"/>
        <v>982.27906609711147</v>
      </c>
    </row>
    <row r="71" spans="1:6" s="15" customFormat="1" ht="15" customHeight="1" x14ac:dyDescent="0.2">
      <c r="A71" s="13" t="str">
        <f>IF(INDEX(IDX_REF!$A:$A,ROW(IDX_REF!A71))=0,"",INDEX(IDX_REF!$A:$A,ROW(IDX_REF!A71)))</f>
        <v>VNXCSTRUSD</v>
      </c>
      <c r="B71" s="15">
        <v>20111018</v>
      </c>
      <c r="C71" s="48">
        <f t="shared" ca="1" si="6"/>
        <v>983.69063158478525</v>
      </c>
      <c r="D71" s="48">
        <f t="shared" ca="1" si="4"/>
        <v>983.69063158478525</v>
      </c>
      <c r="E71" s="48">
        <f t="shared" ca="1" si="5"/>
        <v>983.19465764416407</v>
      </c>
      <c r="F71" s="48">
        <f t="shared" ca="1" si="7"/>
        <v>983.19465764416407</v>
      </c>
    </row>
    <row r="72" spans="1:6" s="15" customFormat="1" ht="15" customHeight="1" x14ac:dyDescent="0.2">
      <c r="A72" s="13" t="str">
        <f>IF(INDEX(IDX_REF!$A:$A,ROW(IDX_REF!A72))=0,"",INDEX(IDX_REF!$A:$A,ROW(IDX_REF!A72)))</f>
        <v>VNXCSTRJPY</v>
      </c>
      <c r="B72" s="15">
        <v>20111018</v>
      </c>
      <c r="C72" s="48">
        <f t="shared" ca="1" si="6"/>
        <v>983.52689260636873</v>
      </c>
      <c r="D72" s="48">
        <f t="shared" ca="1" si="4"/>
        <v>983.93266349629391</v>
      </c>
      <c r="E72" s="48">
        <f t="shared" ca="1" si="5"/>
        <v>983.52689260636873</v>
      </c>
      <c r="F72" s="48">
        <f t="shared" ca="1" si="7"/>
        <v>983.93266349629391</v>
      </c>
    </row>
    <row r="73" spans="1:6" s="15" customFormat="1" ht="15" customHeight="1" x14ac:dyDescent="0.2">
      <c r="A73" s="13" t="str">
        <f>IF(INDEX(IDX_REF!$A:$A,ROW(IDX_REF!A73))=0,"",INDEX(IDX_REF!$A:$A,ROW(IDX_REF!A73)))</f>
        <v>VNXCSTREUR</v>
      </c>
      <c r="B73" s="15">
        <v>20111018</v>
      </c>
      <c r="C73" s="48">
        <f t="shared" ca="1" si="6"/>
        <v>983.10656298821482</v>
      </c>
      <c r="D73" s="48">
        <f t="shared" ca="1" si="4"/>
        <v>983.13361766535468</v>
      </c>
      <c r="E73" s="48">
        <f t="shared" ca="1" si="5"/>
        <v>983.10656298821482</v>
      </c>
      <c r="F73" s="48">
        <f t="shared" ca="1" si="7"/>
        <v>983.13361766535468</v>
      </c>
    </row>
    <row r="74" spans="1:6" s="15" customFormat="1" ht="15" customHeight="1" x14ac:dyDescent="0.2">
      <c r="A74" s="13" t="str">
        <f>IF(INDEX(IDX_REF!$A:$A,ROW(IDX_REF!A74))=0,"",INDEX(IDX_REF!$A:$A,ROW(IDX_REF!A74)))</f>
        <v>VNXFITRVND</v>
      </c>
      <c r="B74" s="15">
        <v>20111018</v>
      </c>
      <c r="C74" s="48">
        <f t="shared" ca="1" si="6"/>
        <v>983.80667288145776</v>
      </c>
      <c r="D74" s="48">
        <f t="shared" ca="1" si="4"/>
        <v>983.80667288145776</v>
      </c>
      <c r="E74" s="48">
        <f t="shared" ca="1" si="5"/>
        <v>982.36218940887466</v>
      </c>
      <c r="F74" s="48">
        <f t="shared" ca="1" si="7"/>
        <v>982.36218940887466</v>
      </c>
    </row>
    <row r="75" spans="1:6" s="15" customFormat="1" ht="15" customHeight="1" x14ac:dyDescent="0.2">
      <c r="A75" s="13" t="str">
        <f>IF(INDEX(IDX_REF!$A:$A,ROW(IDX_REF!A75))=0,"",INDEX(IDX_REF!$A:$A,ROW(IDX_REF!A75)))</f>
        <v>VNXFITRUSD</v>
      </c>
      <c r="B75" s="15">
        <v>20111018</v>
      </c>
      <c r="C75" s="48">
        <f t="shared" ca="1" si="6"/>
        <v>984.10186757454278</v>
      </c>
      <c r="D75" s="48">
        <f t="shared" ca="1" si="4"/>
        <v>984.10186757454278</v>
      </c>
      <c r="E75" s="48">
        <f t="shared" ca="1" si="5"/>
        <v>982.83134693694046</v>
      </c>
      <c r="F75" s="48">
        <f t="shared" ca="1" si="7"/>
        <v>982.83134693694046</v>
      </c>
    </row>
    <row r="76" spans="1:6" s="15" customFormat="1" ht="15" customHeight="1" x14ac:dyDescent="0.2">
      <c r="A76" s="13" t="str">
        <f>IF(INDEX(IDX_REF!$A:$A,ROW(IDX_REF!A76))=0,"",INDEX(IDX_REF!$A:$A,ROW(IDX_REF!A76)))</f>
        <v>VNXFITRJPY</v>
      </c>
      <c r="B76" s="15">
        <v>20111018</v>
      </c>
      <c r="C76" s="48">
        <f t="shared" ca="1" si="6"/>
        <v>983.4874111399223</v>
      </c>
      <c r="D76" s="48">
        <f t="shared" ca="1" si="4"/>
        <v>983.4874111399223</v>
      </c>
      <c r="E76" s="48">
        <f t="shared" ca="1" si="5"/>
        <v>983.36535716325955</v>
      </c>
      <c r="F76" s="48">
        <f t="shared" ca="1" si="7"/>
        <v>983.36535716325955</v>
      </c>
    </row>
    <row r="77" spans="1:6" s="15" customFormat="1" ht="15" customHeight="1" x14ac:dyDescent="0.2">
      <c r="A77" s="13" t="str">
        <f>IF(INDEX(IDX_REF!$A:$A,ROW(IDX_REF!A77))=0,"",INDEX(IDX_REF!$A:$A,ROW(IDX_REF!A77)))</f>
        <v>VNXFITREUR</v>
      </c>
      <c r="B77" s="15">
        <v>20111018</v>
      </c>
      <c r="C77" s="48">
        <f t="shared" ca="1" si="6"/>
        <v>983.8874150411724</v>
      </c>
      <c r="D77" s="48">
        <f t="shared" ca="1" si="4"/>
        <v>983.8874150411724</v>
      </c>
      <c r="E77" s="48">
        <f t="shared" ca="1" si="5"/>
        <v>983.09648310347643</v>
      </c>
      <c r="F77" s="48">
        <f t="shared" ca="1" si="7"/>
        <v>983.09648310347643</v>
      </c>
    </row>
    <row r="78" spans="1:6" s="15" customFormat="1" ht="15" customHeight="1" x14ac:dyDescent="0.2">
      <c r="A78" s="13" t="str">
        <f>IF(INDEX(IDX_REF!$A:$A,ROW(IDX_REF!A78))=0,"",INDEX(IDX_REF!$A:$A,ROW(IDX_REF!A78)))</f>
        <v>VNXINTRVND</v>
      </c>
      <c r="B78" s="15">
        <v>20111018</v>
      </c>
      <c r="C78" s="48">
        <f t="shared" ca="1" si="6"/>
        <v>983.09977846427546</v>
      </c>
      <c r="D78" s="48">
        <f t="shared" ca="1" si="4"/>
        <v>983.28869290804539</v>
      </c>
      <c r="E78" s="48">
        <f t="shared" ca="1" si="5"/>
        <v>983.09977846427546</v>
      </c>
      <c r="F78" s="48">
        <f t="shared" ca="1" si="7"/>
        <v>983.28869290804539</v>
      </c>
    </row>
    <row r="79" spans="1:6" s="15" customFormat="1" ht="15" customHeight="1" x14ac:dyDescent="0.2">
      <c r="A79" s="13" t="str">
        <f>IF(INDEX(IDX_REF!$A:$A,ROW(IDX_REF!A79))=0,"",INDEX(IDX_REF!$A:$A,ROW(IDX_REF!A79)))</f>
        <v>VNXINTRUSD</v>
      </c>
      <c r="B79" s="15">
        <v>20111018</v>
      </c>
      <c r="C79" s="48">
        <f t="shared" ca="1" si="6"/>
        <v>982.33761363638939</v>
      </c>
      <c r="D79" s="48">
        <f t="shared" ca="1" si="4"/>
        <v>982.97649824703217</v>
      </c>
      <c r="E79" s="48">
        <f t="shared" ca="1" si="5"/>
        <v>982.33761363638939</v>
      </c>
      <c r="F79" s="48">
        <f t="shared" ca="1" si="7"/>
        <v>982.97649824703217</v>
      </c>
    </row>
    <row r="80" spans="1:6" s="15" customFormat="1" ht="15" customHeight="1" x14ac:dyDescent="0.2">
      <c r="A80" s="13" t="str">
        <f>IF(INDEX(IDX_REF!$A:$A,ROW(IDX_REF!A80))=0,"",INDEX(IDX_REF!$A:$A,ROW(IDX_REF!A80)))</f>
        <v>VNXINTRJPY</v>
      </c>
      <c r="B80" s="15">
        <v>20111018</v>
      </c>
      <c r="C80" s="48">
        <f t="shared" ca="1" si="6"/>
        <v>983.14557590343975</v>
      </c>
      <c r="D80" s="48">
        <f t="shared" ca="1" si="4"/>
        <v>983.14557590343975</v>
      </c>
      <c r="E80" s="48">
        <f t="shared" ca="1" si="5"/>
        <v>982.31183946826673</v>
      </c>
      <c r="F80" s="48">
        <f t="shared" ca="1" si="7"/>
        <v>982.31183946826673</v>
      </c>
    </row>
    <row r="81" spans="1:6" s="15" customFormat="1" ht="15" customHeight="1" x14ac:dyDescent="0.2">
      <c r="A81" s="13" t="str">
        <f>IF(INDEX(IDX_REF!$A:$A,ROW(IDX_REF!A81))=0,"",INDEX(IDX_REF!$A:$A,ROW(IDX_REF!A81)))</f>
        <v>VNXINTREUR</v>
      </c>
      <c r="B81" s="15">
        <v>20111018</v>
      </c>
      <c r="C81" s="48">
        <f t="shared" ca="1" si="6"/>
        <v>982.4304933626014</v>
      </c>
      <c r="D81" s="48">
        <f t="shared" ca="1" si="4"/>
        <v>982.4304933626014</v>
      </c>
      <c r="E81" s="48">
        <f t="shared" ca="1" si="5"/>
        <v>982.07161367326239</v>
      </c>
      <c r="F81" s="48">
        <f t="shared" ca="1" si="7"/>
        <v>982.07161367326239</v>
      </c>
    </row>
    <row r="82" spans="1:6" s="15" customFormat="1" ht="15" customHeight="1" x14ac:dyDescent="0.2">
      <c r="A82" s="13" t="str">
        <f>IF(INDEX(IDX_REF!$A:$A,ROW(IDX_REF!A82))=0,"",INDEX(IDX_REF!$A:$A,ROW(IDX_REF!A82)))</f>
        <v>VNXOGTRVND</v>
      </c>
      <c r="B82" s="15">
        <v>20111018</v>
      </c>
      <c r="C82" s="48">
        <f t="shared" ca="1" si="6"/>
        <v>982.14514155879851</v>
      </c>
      <c r="D82" s="48">
        <f t="shared" ca="1" si="4"/>
        <v>982.14514155879851</v>
      </c>
      <c r="E82" s="48">
        <f t="shared" ca="1" si="5"/>
        <v>981.52628699769946</v>
      </c>
      <c r="F82" s="48">
        <f t="shared" ca="1" si="7"/>
        <v>981.52628699769946</v>
      </c>
    </row>
    <row r="83" spans="1:6" s="15" customFormat="1" ht="15" customHeight="1" x14ac:dyDescent="0.2">
      <c r="A83" s="13" t="str">
        <f>IF(INDEX(IDX_REF!$A:$A,ROW(IDX_REF!A83))=0,"",INDEX(IDX_REF!$A:$A,ROW(IDX_REF!A83)))</f>
        <v>VNXOGTRUSD</v>
      </c>
      <c r="B83" s="15">
        <v>20111018</v>
      </c>
      <c r="C83" s="48">
        <f t="shared" ca="1" si="6"/>
        <v>981.90164876603967</v>
      </c>
      <c r="D83" s="48">
        <f t="shared" ca="1" si="4"/>
        <v>981.90164876603967</v>
      </c>
      <c r="E83" s="48">
        <f t="shared" ca="1" si="5"/>
        <v>981.77902165362786</v>
      </c>
      <c r="F83" s="48">
        <f t="shared" ca="1" si="7"/>
        <v>981.77902165362786</v>
      </c>
    </row>
    <row r="84" spans="1:6" s="15" customFormat="1" ht="15" customHeight="1" x14ac:dyDescent="0.2">
      <c r="A84" s="13" t="str">
        <f>IF(INDEX(IDX_REF!$A:$A,ROW(IDX_REF!A84))=0,"",INDEX(IDX_REF!$A:$A,ROW(IDX_REF!A84)))</f>
        <v>VNXOGTRJPY</v>
      </c>
      <c r="B84" s="15">
        <v>20111018</v>
      </c>
      <c r="C84" s="48">
        <f t="shared" ca="1" si="6"/>
        <v>981.48778981553755</v>
      </c>
      <c r="D84" s="48">
        <f t="shared" ca="1" si="4"/>
        <v>982.33214503988199</v>
      </c>
      <c r="E84" s="48">
        <f t="shared" ca="1" si="5"/>
        <v>981.48778981553755</v>
      </c>
      <c r="F84" s="48">
        <f t="shared" ca="1" si="7"/>
        <v>982.33214503988199</v>
      </c>
    </row>
    <row r="85" spans="1:6" s="15" customFormat="1" ht="15" customHeight="1" x14ac:dyDescent="0.2">
      <c r="A85" s="13" t="str">
        <f>IF(INDEX(IDX_REF!$A:$A,ROW(IDX_REF!A85))=0,"",INDEX(IDX_REF!$A:$A,ROW(IDX_REF!A85)))</f>
        <v>VNXOGTREUR</v>
      </c>
      <c r="B85" s="15">
        <v>20111018</v>
      </c>
      <c r="C85" s="48">
        <f t="shared" ca="1" si="6"/>
        <v>980.58004024359479</v>
      </c>
      <c r="D85" s="48">
        <f t="shared" ca="1" si="4"/>
        <v>982.78981559190208</v>
      </c>
      <c r="E85" s="48">
        <f t="shared" ca="1" si="5"/>
        <v>980.58004024359479</v>
      </c>
      <c r="F85" s="48">
        <f t="shared" ca="1" si="7"/>
        <v>982.78981559190208</v>
      </c>
    </row>
    <row r="86" spans="1:6" s="15" customFormat="1" ht="15" customHeight="1" x14ac:dyDescent="0.2">
      <c r="A86" s="13" t="str">
        <f>IF(INDEX(IDX_REF!$A:$A,ROW(IDX_REF!A86))=0,"",INDEX(IDX_REF!$A:$A,ROW(IDX_REF!A86)))</f>
        <v>VNXUTTRVND</v>
      </c>
      <c r="B86" s="15">
        <v>20111018</v>
      </c>
      <c r="C86" s="48">
        <f t="shared" ca="1" si="6"/>
        <v>980.36720479915323</v>
      </c>
      <c r="D86" s="48">
        <f t="shared" ca="1" si="4"/>
        <v>982.8780682403426</v>
      </c>
      <c r="E86" s="48">
        <f t="shared" ca="1" si="5"/>
        <v>980.36720479915323</v>
      </c>
      <c r="F86" s="48">
        <f t="shared" ca="1" si="7"/>
        <v>982.8780682403426</v>
      </c>
    </row>
    <row r="87" spans="1:6" s="15" customFormat="1" ht="15" customHeight="1" x14ac:dyDescent="0.2">
      <c r="A87" s="13" t="str">
        <f>IF(INDEX(IDX_REF!$A:$A,ROW(IDX_REF!A87))=0,"",INDEX(IDX_REF!$A:$A,ROW(IDX_REF!A87)))</f>
        <v>VNXUTTRUSD</v>
      </c>
      <c r="B87" s="15">
        <v>20111018</v>
      </c>
      <c r="C87" s="48">
        <f t="shared" ca="1" si="6"/>
        <v>981.35366146561955</v>
      </c>
      <c r="D87" s="48">
        <f t="shared" ca="1" si="4"/>
        <v>982.45583954995448</v>
      </c>
      <c r="E87" s="48">
        <f t="shared" ca="1" si="5"/>
        <v>981.35366146561955</v>
      </c>
      <c r="F87" s="48">
        <f t="shared" ca="1" si="7"/>
        <v>982.45583954995448</v>
      </c>
    </row>
    <row r="88" spans="1:6" s="15" customFormat="1" ht="15" customHeight="1" x14ac:dyDescent="0.2">
      <c r="A88" s="13" t="str">
        <f>IF(INDEX(IDX_REF!$A:$A,ROW(IDX_REF!A88))=0,"",INDEX(IDX_REF!$A:$A,ROW(IDX_REF!A88)))</f>
        <v>VNXUTTRJPY</v>
      </c>
      <c r="B88" s="15">
        <v>20111018</v>
      </c>
      <c r="C88" s="48">
        <f t="shared" ca="1" si="6"/>
        <v>980.39297048639071</v>
      </c>
      <c r="D88" s="48">
        <f t="shared" ca="1" si="4"/>
        <v>983.34090946019353</v>
      </c>
      <c r="E88" s="48">
        <f t="shared" ca="1" si="5"/>
        <v>980.39297048639071</v>
      </c>
      <c r="F88" s="48">
        <f t="shared" ca="1" si="7"/>
        <v>983.34090946019353</v>
      </c>
    </row>
    <row r="89" spans="1:6" s="15" customFormat="1" ht="15" customHeight="1" x14ac:dyDescent="0.2">
      <c r="A89" s="13" t="str">
        <f>IF(INDEX(IDX_REF!$A:$A,ROW(IDX_REF!A89))=0,"",INDEX(IDX_REF!$A:$A,ROW(IDX_REF!A89)))</f>
        <v>VNXUTTREUR</v>
      </c>
      <c r="B89" s="15">
        <v>20111018</v>
      </c>
      <c r="C89" s="48">
        <f t="shared" ca="1" si="6"/>
        <v>980.20122551550185</v>
      </c>
      <c r="D89" s="48">
        <f t="shared" ca="1" si="4"/>
        <v>984.29962421343794</v>
      </c>
      <c r="E89" s="48">
        <f t="shared" ca="1" si="5"/>
        <v>980.20122551550185</v>
      </c>
      <c r="F89" s="48">
        <f t="shared" ca="1" si="7"/>
        <v>984.29962421343794</v>
      </c>
    </row>
  </sheetData>
  <customSheetViews>
    <customSheetView guid="{8EF2C042-D97C-40EA-9E42-A17331664713}">
      <selection activeCell="L12" sqref="L12"/>
      <pageMargins left="0.7" right="0.7" top="0.75" bottom="0.75" header="0.3" footer="0.3"/>
    </customSheetView>
    <customSheetView guid="{A93D23F5-27FE-48DF-A0DC-3D7A8C6F3CF5}">
      <selection activeCell="L12" sqref="L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20" sqref="E20"/>
    </sheetView>
  </sheetViews>
  <sheetFormatPr defaultRowHeight="12.75" x14ac:dyDescent="0.2"/>
  <cols>
    <col min="1" max="1" width="13.42578125" bestFit="1" customWidth="1"/>
    <col min="2" max="2" width="9" bestFit="1" customWidth="1"/>
    <col min="3" max="6" width="13.42578125" bestFit="1" customWidth="1"/>
  </cols>
  <sheetData>
    <row r="1" spans="1:6" ht="15" customHeight="1" x14ac:dyDescent="0.2">
      <c r="A1" s="14" t="s">
        <v>57</v>
      </c>
      <c r="B1" s="14" t="s">
        <v>232</v>
      </c>
      <c r="C1" s="47" t="s">
        <v>234</v>
      </c>
      <c r="D1" s="47" t="s">
        <v>235</v>
      </c>
      <c r="E1" s="47" t="s">
        <v>236</v>
      </c>
      <c r="F1" s="47" t="s">
        <v>237</v>
      </c>
    </row>
    <row r="2" spans="1:6" ht="15" customHeight="1" x14ac:dyDescent="0.2">
      <c r="A2" s="16" t="s">
        <v>278</v>
      </c>
      <c r="B2" s="15">
        <v>20111018</v>
      </c>
      <c r="C2" s="48">
        <f ca="1">F2+RAND()</f>
        <v>981.1313294291906</v>
      </c>
      <c r="D2" s="48">
        <f ca="1">MAX(F2,C2)</f>
        <v>981.1313294291906</v>
      </c>
      <c r="E2" s="48">
        <f ca="1">MIN(F2,C2)</f>
        <v>980.81180415333336</v>
      </c>
      <c r="F2" s="48">
        <v>980.81180415333336</v>
      </c>
    </row>
    <row r="3" spans="1:6" ht="15" customHeight="1" x14ac:dyDescent="0.2">
      <c r="A3" s="16" t="s">
        <v>278</v>
      </c>
      <c r="B3" s="15">
        <v>20111017</v>
      </c>
      <c r="C3" s="48">
        <f ca="1">C2+IF(RAND()&lt;0.5,-RAND(),RAND())</f>
        <v>980.96919649259678</v>
      </c>
      <c r="D3" s="48">
        <f t="shared" ref="D3:D26" ca="1" si="0">MAX(F3,C3)</f>
        <v>980.96919649259678</v>
      </c>
      <c r="E3" s="48">
        <f t="shared" ref="E3:E26" ca="1" si="1">MIN(F3,C3)</f>
        <v>980.75521706847576</v>
      </c>
      <c r="F3" s="48">
        <f t="shared" ref="F3:F26" ca="1" si="2">F2+IF(RAND()&lt;0.5,-RAND(),RAND())</f>
        <v>980.75521706847576</v>
      </c>
    </row>
    <row r="4" spans="1:6" ht="15" customHeight="1" x14ac:dyDescent="0.2">
      <c r="A4" s="16" t="s">
        <v>278</v>
      </c>
      <c r="B4" s="15">
        <v>20111016</v>
      </c>
      <c r="C4" s="48">
        <f t="shared" ref="C4:C26" ca="1" si="3">C3+IF(RAND()&lt;0.5,-RAND(),RAND())</f>
        <v>981.73985375656912</v>
      </c>
      <c r="D4" s="48">
        <f t="shared" ca="1" si="0"/>
        <v>981.73985375656912</v>
      </c>
      <c r="E4" s="48">
        <f t="shared" ca="1" si="1"/>
        <v>980.75384915198845</v>
      </c>
      <c r="F4" s="48">
        <f t="shared" ca="1" si="2"/>
        <v>980.75384915198845</v>
      </c>
    </row>
    <row r="5" spans="1:6" ht="15" customHeight="1" x14ac:dyDescent="0.2">
      <c r="A5" t="s">
        <v>278</v>
      </c>
      <c r="B5" s="15">
        <v>20111015</v>
      </c>
      <c r="C5" s="48">
        <f t="shared" ca="1" si="3"/>
        <v>980.83765341248375</v>
      </c>
      <c r="D5" s="48">
        <f t="shared" ca="1" si="0"/>
        <v>980.83765341248375</v>
      </c>
      <c r="E5" s="48">
        <f t="shared" ca="1" si="1"/>
        <v>980.38420552339119</v>
      </c>
      <c r="F5" s="48">
        <f t="shared" ca="1" si="2"/>
        <v>980.38420552339119</v>
      </c>
    </row>
    <row r="6" spans="1:6" ht="15" customHeight="1" x14ac:dyDescent="0.2">
      <c r="A6" t="s">
        <v>278</v>
      </c>
      <c r="B6" s="15">
        <v>20111014</v>
      </c>
      <c r="C6" s="48">
        <f t="shared" ca="1" si="3"/>
        <v>981.11937120251912</v>
      </c>
      <c r="D6" s="48">
        <f t="shared" ca="1" si="0"/>
        <v>981.11937120251912</v>
      </c>
      <c r="E6" s="48">
        <f t="shared" ca="1" si="1"/>
        <v>980.77920480365196</v>
      </c>
      <c r="F6" s="48">
        <f t="shared" ca="1" si="2"/>
        <v>980.77920480365196</v>
      </c>
    </row>
    <row r="7" spans="1:6" ht="15" customHeight="1" x14ac:dyDescent="0.2">
      <c r="A7" t="s">
        <v>278</v>
      </c>
      <c r="B7" s="15">
        <v>20111013</v>
      </c>
      <c r="C7" s="48">
        <f t="shared" ca="1" si="3"/>
        <v>980.81753354864406</v>
      </c>
      <c r="D7" s="48">
        <f t="shared" ca="1" si="0"/>
        <v>980.81753354864406</v>
      </c>
      <c r="E7" s="48">
        <f t="shared" ca="1" si="1"/>
        <v>980.39482708931553</v>
      </c>
      <c r="F7" s="48">
        <f t="shared" ca="1" si="2"/>
        <v>980.39482708931553</v>
      </c>
    </row>
    <row r="8" spans="1:6" ht="15" customHeight="1" x14ac:dyDescent="0.2">
      <c r="A8" t="s">
        <v>278</v>
      </c>
      <c r="B8" s="15">
        <v>20111012</v>
      </c>
      <c r="C8" s="48">
        <f t="shared" ca="1" si="3"/>
        <v>979.94516390724198</v>
      </c>
      <c r="D8" s="48">
        <f t="shared" ca="1" si="0"/>
        <v>980.06889224520773</v>
      </c>
      <c r="E8" s="48">
        <f t="shared" ca="1" si="1"/>
        <v>979.94516390724198</v>
      </c>
      <c r="F8" s="48">
        <f t="shared" ca="1" si="2"/>
        <v>980.06889224520773</v>
      </c>
    </row>
    <row r="9" spans="1:6" ht="15" customHeight="1" x14ac:dyDescent="0.2">
      <c r="A9" t="s">
        <v>278</v>
      </c>
      <c r="B9" s="15">
        <v>20111011</v>
      </c>
      <c r="C9" s="48">
        <f t="shared" ca="1" si="3"/>
        <v>979.23743529371973</v>
      </c>
      <c r="D9" s="48">
        <f t="shared" ca="1" si="0"/>
        <v>979.23743529371973</v>
      </c>
      <c r="E9" s="48">
        <f t="shared" ca="1" si="1"/>
        <v>979.2281400061155</v>
      </c>
      <c r="F9" s="48">
        <f t="shared" ca="1" si="2"/>
        <v>979.2281400061155</v>
      </c>
    </row>
    <row r="10" spans="1:6" ht="15" customHeight="1" x14ac:dyDescent="0.2">
      <c r="A10" t="s">
        <v>278</v>
      </c>
      <c r="B10" s="15">
        <v>20111010</v>
      </c>
      <c r="C10" s="48">
        <f t="shared" ca="1" si="3"/>
        <v>979.87974275944487</v>
      </c>
      <c r="D10" s="48">
        <f t="shared" ca="1" si="0"/>
        <v>979.87974275944487</v>
      </c>
      <c r="E10" s="48">
        <f t="shared" ca="1" si="1"/>
        <v>979.3679689333336</v>
      </c>
      <c r="F10" s="48">
        <f t="shared" ca="1" si="2"/>
        <v>979.3679689333336</v>
      </c>
    </row>
    <row r="11" spans="1:6" ht="15" customHeight="1" x14ac:dyDescent="0.2">
      <c r="A11" t="s">
        <v>278</v>
      </c>
      <c r="B11" s="15">
        <v>20111009</v>
      </c>
      <c r="C11" s="48">
        <f t="shared" ca="1" si="3"/>
        <v>980.45904846374629</v>
      </c>
      <c r="D11" s="48">
        <f t="shared" ca="1" si="0"/>
        <v>980.45904846374629</v>
      </c>
      <c r="E11" s="48">
        <f t="shared" ca="1" si="1"/>
        <v>979.63417221168947</v>
      </c>
      <c r="F11" s="48">
        <f t="shared" ca="1" si="2"/>
        <v>979.63417221168947</v>
      </c>
    </row>
    <row r="12" spans="1:6" ht="15" customHeight="1" x14ac:dyDescent="0.2">
      <c r="A12" t="s">
        <v>278</v>
      </c>
      <c r="B12" s="15">
        <v>20111008</v>
      </c>
      <c r="C12" s="48">
        <f t="shared" ca="1" si="3"/>
        <v>981.30604670904313</v>
      </c>
      <c r="D12" s="48">
        <f t="shared" ca="1" si="0"/>
        <v>981.30604670904313</v>
      </c>
      <c r="E12" s="48">
        <f t="shared" ca="1" si="1"/>
        <v>979.64412702670347</v>
      </c>
      <c r="F12" s="48">
        <f t="shared" ca="1" si="2"/>
        <v>979.64412702670347</v>
      </c>
    </row>
    <row r="13" spans="1:6" ht="15" customHeight="1" x14ac:dyDescent="0.2">
      <c r="A13" t="s">
        <v>278</v>
      </c>
      <c r="B13" s="15">
        <v>20111007</v>
      </c>
      <c r="C13" s="48">
        <f t="shared" ca="1" si="3"/>
        <v>981.24840477020894</v>
      </c>
      <c r="D13" s="48">
        <f t="shared" ca="1" si="0"/>
        <v>981.24840477020894</v>
      </c>
      <c r="E13" s="48">
        <f t="shared" ca="1" si="1"/>
        <v>980.14194652768526</v>
      </c>
      <c r="F13" s="48">
        <f t="shared" ca="1" si="2"/>
        <v>980.14194652768526</v>
      </c>
    </row>
    <row r="14" spans="1:6" ht="15" customHeight="1" x14ac:dyDescent="0.2">
      <c r="A14" t="s">
        <v>278</v>
      </c>
      <c r="B14" s="15">
        <v>20111006</v>
      </c>
      <c r="C14" s="48">
        <f t="shared" ca="1" si="3"/>
        <v>982.10291697652599</v>
      </c>
      <c r="D14" s="48">
        <f t="shared" ca="1" si="0"/>
        <v>982.10291697652599</v>
      </c>
      <c r="E14" s="48">
        <f t="shared" ca="1" si="1"/>
        <v>979.78840563016252</v>
      </c>
      <c r="F14" s="48">
        <f t="shared" ca="1" si="2"/>
        <v>979.78840563016252</v>
      </c>
    </row>
    <row r="15" spans="1:6" ht="15" customHeight="1" x14ac:dyDescent="0.2">
      <c r="A15" t="s">
        <v>278</v>
      </c>
      <c r="B15" s="15">
        <v>20111005</v>
      </c>
      <c r="C15" s="48">
        <f t="shared" ca="1" si="3"/>
        <v>982.02446814127211</v>
      </c>
      <c r="D15" s="48">
        <f t="shared" ca="1" si="0"/>
        <v>982.02446814127211</v>
      </c>
      <c r="E15" s="48">
        <f t="shared" ca="1" si="1"/>
        <v>979.15044539597886</v>
      </c>
      <c r="F15" s="48">
        <f t="shared" ca="1" si="2"/>
        <v>979.15044539597886</v>
      </c>
    </row>
    <row r="16" spans="1:6" ht="15" customHeight="1" x14ac:dyDescent="0.2">
      <c r="A16" t="s">
        <v>278</v>
      </c>
      <c r="B16" s="15">
        <v>20111004</v>
      </c>
      <c r="C16" s="48">
        <f t="shared" ca="1" si="3"/>
        <v>981.62685823556933</v>
      </c>
      <c r="D16" s="48">
        <f t="shared" ca="1" si="0"/>
        <v>981.62685823556933</v>
      </c>
      <c r="E16" s="48">
        <f t="shared" ca="1" si="1"/>
        <v>979.15726809406715</v>
      </c>
      <c r="F16" s="48">
        <f t="shared" ca="1" si="2"/>
        <v>979.15726809406715</v>
      </c>
    </row>
    <row r="17" spans="1:6" ht="15" customHeight="1" x14ac:dyDescent="0.2">
      <c r="A17" t="s">
        <v>278</v>
      </c>
      <c r="B17" s="15">
        <v>20111003</v>
      </c>
      <c r="C17" s="48">
        <f t="shared" ca="1" si="3"/>
        <v>980.98753281281461</v>
      </c>
      <c r="D17" s="48">
        <f t="shared" ca="1" si="0"/>
        <v>980.98753281281461</v>
      </c>
      <c r="E17" s="48">
        <f t="shared" ca="1" si="1"/>
        <v>978.7588973242888</v>
      </c>
      <c r="F17" s="48">
        <f t="shared" ca="1" si="2"/>
        <v>978.7588973242888</v>
      </c>
    </row>
    <row r="18" spans="1:6" ht="15" customHeight="1" x14ac:dyDescent="0.2">
      <c r="A18" t="s">
        <v>278</v>
      </c>
      <c r="B18" s="15">
        <v>20111002</v>
      </c>
      <c r="C18" s="48">
        <f t="shared" ca="1" si="3"/>
        <v>980.23130780069278</v>
      </c>
      <c r="D18" s="48">
        <f t="shared" ca="1" si="0"/>
        <v>980.23130780069278</v>
      </c>
      <c r="E18" s="48">
        <f t="shared" ca="1" si="1"/>
        <v>978.27653228625707</v>
      </c>
      <c r="F18" s="48">
        <f t="shared" ca="1" si="2"/>
        <v>978.27653228625707</v>
      </c>
    </row>
    <row r="19" spans="1:6" ht="15" customHeight="1" x14ac:dyDescent="0.2">
      <c r="A19" t="s">
        <v>278</v>
      </c>
      <c r="B19" s="15">
        <v>20111001</v>
      </c>
      <c r="C19" s="48">
        <f t="shared" ca="1" si="3"/>
        <v>979.64531785117276</v>
      </c>
      <c r="D19" s="48">
        <f t="shared" ca="1" si="0"/>
        <v>979.64531785117276</v>
      </c>
      <c r="E19" s="48">
        <f t="shared" ca="1" si="1"/>
        <v>979.12565553560148</v>
      </c>
      <c r="F19" s="48">
        <f t="shared" ca="1" si="2"/>
        <v>979.12565553560148</v>
      </c>
    </row>
    <row r="20" spans="1:6" ht="15" customHeight="1" x14ac:dyDescent="0.2">
      <c r="A20" t="s">
        <v>278</v>
      </c>
      <c r="B20" s="15">
        <v>20111000</v>
      </c>
      <c r="C20" s="48">
        <f t="shared" ca="1" si="3"/>
        <v>979.56048023408744</v>
      </c>
      <c r="D20" s="48">
        <f t="shared" ca="1" si="0"/>
        <v>979.56048023408744</v>
      </c>
      <c r="E20" s="48">
        <f t="shared" ca="1" si="1"/>
        <v>979.01422402264768</v>
      </c>
      <c r="F20" s="48">
        <f t="shared" ca="1" si="2"/>
        <v>979.01422402264768</v>
      </c>
    </row>
    <row r="21" spans="1:6" ht="15" customHeight="1" x14ac:dyDescent="0.2">
      <c r="A21" t="s">
        <v>278</v>
      </c>
      <c r="B21" s="15">
        <v>20110999</v>
      </c>
      <c r="C21" s="48">
        <f t="shared" ca="1" si="3"/>
        <v>980.11156382275169</v>
      </c>
      <c r="D21" s="48">
        <f t="shared" ca="1" si="0"/>
        <v>980.11156382275169</v>
      </c>
      <c r="E21" s="48">
        <f t="shared" ca="1" si="1"/>
        <v>978.28170836024242</v>
      </c>
      <c r="F21" s="48">
        <f t="shared" ca="1" si="2"/>
        <v>978.28170836024242</v>
      </c>
    </row>
    <row r="22" spans="1:6" ht="15" customHeight="1" x14ac:dyDescent="0.2">
      <c r="A22" t="s">
        <v>278</v>
      </c>
      <c r="B22" s="15">
        <v>20110998</v>
      </c>
      <c r="C22" s="48">
        <f t="shared" ca="1" si="3"/>
        <v>979.95576025276682</v>
      </c>
      <c r="D22" s="48">
        <f t="shared" ca="1" si="0"/>
        <v>979.95576025276682</v>
      </c>
      <c r="E22" s="48">
        <f t="shared" ca="1" si="1"/>
        <v>978.03986365018477</v>
      </c>
      <c r="F22" s="48">
        <f t="shared" ca="1" si="2"/>
        <v>978.03986365018477</v>
      </c>
    </row>
    <row r="23" spans="1:6" ht="15" customHeight="1" x14ac:dyDescent="0.2">
      <c r="A23" t="s">
        <v>278</v>
      </c>
      <c r="B23" s="15">
        <v>20110997</v>
      </c>
      <c r="C23" s="48">
        <f t="shared" ca="1" si="3"/>
        <v>979.00970782772345</v>
      </c>
      <c r="D23" s="48">
        <f t="shared" ca="1" si="0"/>
        <v>979.00970782772345</v>
      </c>
      <c r="E23" s="48">
        <f t="shared" ca="1" si="1"/>
        <v>978.91496405796852</v>
      </c>
      <c r="F23" s="48">
        <f t="shared" ca="1" si="2"/>
        <v>978.91496405796852</v>
      </c>
    </row>
    <row r="24" spans="1:6" ht="15" customHeight="1" x14ac:dyDescent="0.2">
      <c r="A24" t="s">
        <v>278</v>
      </c>
      <c r="B24" s="15">
        <v>20110996</v>
      </c>
      <c r="C24" s="48">
        <f t="shared" ca="1" si="3"/>
        <v>978.46870435344931</v>
      </c>
      <c r="D24" s="48">
        <f t="shared" ca="1" si="0"/>
        <v>978.46870435344931</v>
      </c>
      <c r="E24" s="48">
        <f t="shared" ca="1" si="1"/>
        <v>978.21040294661043</v>
      </c>
      <c r="F24" s="48">
        <f t="shared" ca="1" si="2"/>
        <v>978.21040294661043</v>
      </c>
    </row>
    <row r="25" spans="1:6" ht="15" customHeight="1" x14ac:dyDescent="0.2">
      <c r="A25" t="s">
        <v>278</v>
      </c>
      <c r="B25" s="15">
        <v>20110995</v>
      </c>
      <c r="C25" s="48">
        <f t="shared" ca="1" si="3"/>
        <v>978.14697944862257</v>
      </c>
      <c r="D25" s="48">
        <f t="shared" ca="1" si="0"/>
        <v>978.68418287524275</v>
      </c>
      <c r="E25" s="48">
        <f t="shared" ca="1" si="1"/>
        <v>978.14697944862257</v>
      </c>
      <c r="F25" s="48">
        <f t="shared" ca="1" si="2"/>
        <v>978.68418287524275</v>
      </c>
    </row>
    <row r="26" spans="1:6" ht="15" customHeight="1" x14ac:dyDescent="0.2">
      <c r="A26" t="s">
        <v>278</v>
      </c>
      <c r="B26" s="15">
        <v>20110994</v>
      </c>
      <c r="C26" s="48">
        <f t="shared" ca="1" si="3"/>
        <v>978.65316593448802</v>
      </c>
      <c r="D26" s="48">
        <f t="shared" ca="1" si="0"/>
        <v>978.65316593448802</v>
      </c>
      <c r="E26" s="48">
        <f t="shared" ca="1" si="1"/>
        <v>978.38460539167784</v>
      </c>
      <c r="F26" s="48">
        <f t="shared" ca="1" si="2"/>
        <v>978.38460539167784</v>
      </c>
    </row>
  </sheetData>
  <customSheetViews>
    <customSheetView guid="{8EF2C042-D97C-40EA-9E42-A17331664713}">
      <selection activeCell="E20" sqref="E20"/>
      <pageMargins left="0.7" right="0.7" top="0.75" bottom="0.75" header="0.3" footer="0.3"/>
    </customSheetView>
    <customSheetView guid="{E8497AD8-A45C-484D-A252-6E26647DB053}">
      <selection activeCell="J13" sqref="J13"/>
      <pageMargins left="0.7" right="0.7" top="0.75" bottom="0.75" header="0.3" footer="0.3"/>
    </customSheetView>
    <customSheetView guid="{AAB8C83D-EE7C-4F2D-A040-F04A230A06FD}">
      <selection activeCell="J13" sqref="J13"/>
      <pageMargins left="0.7" right="0.7" top="0.75" bottom="0.75" header="0.3" footer="0.3"/>
    </customSheetView>
    <customSheetView guid="{A93D23F5-27FE-48DF-A0DC-3D7A8C6F3CF5}">
      <selection activeCell="E20" sqref="E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workbookViewId="0">
      <selection activeCell="I9" sqref="I9"/>
    </sheetView>
  </sheetViews>
  <sheetFormatPr defaultRowHeight="12.75" x14ac:dyDescent="0.2"/>
  <cols>
    <col min="1" max="1" width="10.85546875" bestFit="1" customWidth="1"/>
    <col min="2" max="3" width="10.85546875" customWidth="1"/>
    <col min="4" max="4" width="49.5703125" bestFit="1" customWidth="1"/>
    <col min="5" max="5" width="17.7109375" bestFit="1" customWidth="1"/>
    <col min="6" max="6" width="16.140625" bestFit="1" customWidth="1"/>
    <col min="7" max="7" width="15.140625" bestFit="1" customWidth="1"/>
    <col min="8" max="8" width="11.28515625" bestFit="1" customWidth="1"/>
    <col min="9" max="10" width="10.85546875" bestFit="1" customWidth="1"/>
    <col min="11" max="11" width="12.42578125" bestFit="1" customWidth="1"/>
    <col min="12" max="12" width="17.42578125" bestFit="1" customWidth="1"/>
    <col min="13" max="13" width="18.7109375" bestFit="1" customWidth="1"/>
    <col min="14" max="14" width="16" bestFit="1" customWidth="1"/>
    <col min="15" max="15" width="18.7109375" bestFit="1" customWidth="1"/>
    <col min="16" max="16" width="12.5703125" bestFit="1" customWidth="1"/>
    <col min="17" max="17" width="10.28515625" bestFit="1" customWidth="1"/>
    <col min="18" max="18" width="15.28515625" bestFit="1" customWidth="1"/>
    <col min="19" max="19" width="10.140625" bestFit="1" customWidth="1"/>
  </cols>
  <sheetData>
    <row r="1" spans="1:19" x14ac:dyDescent="0.2">
      <c r="A1" s="3" t="s">
        <v>1</v>
      </c>
      <c r="B1" s="3" t="s">
        <v>232</v>
      </c>
      <c r="C1" s="3" t="s">
        <v>233</v>
      </c>
      <c r="D1" s="4" t="s">
        <v>2</v>
      </c>
      <c r="E1" s="4" t="s">
        <v>54</v>
      </c>
      <c r="F1" s="4" t="s">
        <v>55</v>
      </c>
      <c r="G1" s="4" t="s">
        <v>56</v>
      </c>
      <c r="H1" s="4" t="s">
        <v>7</v>
      </c>
      <c r="I1" s="4" t="s">
        <v>8</v>
      </c>
      <c r="J1" s="4" t="s">
        <v>9</v>
      </c>
      <c r="K1" s="4" t="s">
        <v>82</v>
      </c>
      <c r="L1" s="3" t="s">
        <v>136</v>
      </c>
      <c r="M1" s="22" t="s">
        <v>127</v>
      </c>
      <c r="N1" s="22" t="s">
        <v>119</v>
      </c>
      <c r="O1" s="7" t="s">
        <v>120</v>
      </c>
      <c r="P1" s="4" t="s">
        <v>121</v>
      </c>
      <c r="Q1" s="3" t="s">
        <v>74</v>
      </c>
      <c r="R1" s="3" t="s">
        <v>57</v>
      </c>
      <c r="S1" s="3" t="s">
        <v>122</v>
      </c>
    </row>
    <row r="2" spans="1:19" x14ac:dyDescent="0.2">
      <c r="A2" s="2" t="s">
        <v>36</v>
      </c>
      <c r="B2">
        <v>20111018</v>
      </c>
      <c r="C2">
        <v>130000</v>
      </c>
      <c r="D2" t="s">
        <v>152</v>
      </c>
      <c r="E2">
        <v>377647740</v>
      </c>
      <c r="F2">
        <v>100</v>
      </c>
      <c r="G2">
        <v>100</v>
      </c>
      <c r="H2" s="10">
        <v>33</v>
      </c>
      <c r="I2" t="s">
        <v>14</v>
      </c>
      <c r="J2">
        <v>1E-3</v>
      </c>
      <c r="K2" s="8">
        <v>1</v>
      </c>
      <c r="L2" s="10">
        <v>33</v>
      </c>
      <c r="M2" s="25">
        <v>12462375420000</v>
      </c>
      <c r="N2" s="25">
        <v>377647740000</v>
      </c>
      <c r="O2" s="29">
        <v>1</v>
      </c>
      <c r="P2" s="29">
        <v>1</v>
      </c>
      <c r="Q2" t="s">
        <v>14</v>
      </c>
      <c r="R2" s="2" t="s">
        <v>278</v>
      </c>
      <c r="S2" s="27">
        <v>0.42353947234413308</v>
      </c>
    </row>
    <row r="3" spans="1:19" x14ac:dyDescent="0.2">
      <c r="A3" s="2" t="s">
        <v>39</v>
      </c>
      <c r="B3">
        <v>20111018</v>
      </c>
      <c r="C3">
        <v>130000</v>
      </c>
      <c r="D3" t="s">
        <v>68</v>
      </c>
      <c r="E3">
        <v>209740215</v>
      </c>
      <c r="F3">
        <v>100</v>
      </c>
      <c r="G3">
        <v>100</v>
      </c>
      <c r="H3" s="10">
        <v>8</v>
      </c>
      <c r="I3" t="s">
        <v>14</v>
      </c>
      <c r="J3">
        <v>1E-3</v>
      </c>
      <c r="K3" s="8">
        <v>1</v>
      </c>
      <c r="L3" s="10">
        <v>8</v>
      </c>
      <c r="M3" s="25">
        <v>1677921720000</v>
      </c>
      <c r="N3" s="25" t="s">
        <v>415</v>
      </c>
      <c r="O3" s="29" t="s">
        <v>415</v>
      </c>
      <c r="P3" s="29" t="s">
        <v>415</v>
      </c>
      <c r="Q3" t="s">
        <v>14</v>
      </c>
      <c r="R3" s="2" t="s">
        <v>278</v>
      </c>
      <c r="S3" s="27">
        <v>5.702492951568941E-2</v>
      </c>
    </row>
    <row r="4" spans="1:19" x14ac:dyDescent="0.2">
      <c r="A4" s="2" t="s">
        <v>35</v>
      </c>
      <c r="B4">
        <v>20111018</v>
      </c>
      <c r="C4">
        <v>130000</v>
      </c>
      <c r="D4" t="s">
        <v>64</v>
      </c>
      <c r="E4">
        <v>600000000</v>
      </c>
      <c r="F4">
        <v>100</v>
      </c>
      <c r="G4">
        <v>100</v>
      </c>
      <c r="H4" s="10">
        <v>10.9</v>
      </c>
      <c r="I4" t="s">
        <v>14</v>
      </c>
      <c r="J4">
        <v>1E-3</v>
      </c>
      <c r="K4" s="8">
        <v>1</v>
      </c>
      <c r="L4" s="10">
        <v>10.9</v>
      </c>
      <c r="M4" s="25">
        <v>6540000000000</v>
      </c>
      <c r="N4" s="25" t="s">
        <v>415</v>
      </c>
      <c r="O4" s="29" t="s">
        <v>415</v>
      </c>
      <c r="P4" s="29" t="s">
        <v>415</v>
      </c>
      <c r="Q4" t="s">
        <v>14</v>
      </c>
      <c r="R4" s="2" t="s">
        <v>278</v>
      </c>
      <c r="S4" s="27">
        <v>0.22226486169605619</v>
      </c>
    </row>
    <row r="5" spans="1:19" x14ac:dyDescent="0.2">
      <c r="A5" s="2" t="s">
        <v>47</v>
      </c>
      <c r="B5">
        <v>20111018</v>
      </c>
      <c r="C5">
        <v>130000</v>
      </c>
      <c r="D5" t="s">
        <v>69</v>
      </c>
      <c r="E5">
        <v>297802094</v>
      </c>
      <c r="F5">
        <v>100</v>
      </c>
      <c r="G5">
        <v>100</v>
      </c>
      <c r="H5" s="10">
        <v>4.5</v>
      </c>
      <c r="I5" t="s">
        <v>14</v>
      </c>
      <c r="J5">
        <v>1E-3</v>
      </c>
      <c r="K5" s="8">
        <v>1</v>
      </c>
      <c r="L5" s="10">
        <v>4.5</v>
      </c>
      <c r="M5" s="25">
        <v>1340109423000</v>
      </c>
      <c r="N5" s="25">
        <v>357362512800</v>
      </c>
      <c r="O5" s="29">
        <v>1.2</v>
      </c>
      <c r="P5" s="29">
        <v>1.2</v>
      </c>
      <c r="Q5" t="s">
        <v>14</v>
      </c>
      <c r="R5" s="2" t="s">
        <v>278</v>
      </c>
      <c r="S5" s="27">
        <v>4.5544225620898576E-2</v>
      </c>
    </row>
    <row r="6" spans="1:19" x14ac:dyDescent="0.2">
      <c r="A6" s="2" t="s">
        <v>24</v>
      </c>
      <c r="B6">
        <v>20111018</v>
      </c>
      <c r="C6">
        <v>130000</v>
      </c>
      <c r="D6" t="s">
        <v>63</v>
      </c>
      <c r="E6">
        <v>250000000</v>
      </c>
      <c r="F6">
        <v>100</v>
      </c>
      <c r="G6">
        <v>100</v>
      </c>
      <c r="H6" s="10">
        <v>7</v>
      </c>
      <c r="I6" t="s">
        <v>14</v>
      </c>
      <c r="J6">
        <v>1E-3</v>
      </c>
      <c r="K6" s="8">
        <v>1</v>
      </c>
      <c r="L6" s="10">
        <v>7</v>
      </c>
      <c r="M6" s="25">
        <v>1750000000000</v>
      </c>
      <c r="N6" s="25" t="s">
        <v>415</v>
      </c>
      <c r="O6" s="29" t="s">
        <v>415</v>
      </c>
      <c r="P6" s="29" t="s">
        <v>415</v>
      </c>
      <c r="Q6" t="s">
        <v>14</v>
      </c>
      <c r="R6" s="2" t="s">
        <v>278</v>
      </c>
      <c r="S6" s="27">
        <v>5.9474542502767333E-2</v>
      </c>
    </row>
    <row r="7" spans="1:19" x14ac:dyDescent="0.2">
      <c r="A7" s="2" t="s">
        <v>48</v>
      </c>
      <c r="B7">
        <v>20111018</v>
      </c>
      <c r="C7">
        <v>130000</v>
      </c>
      <c r="D7" t="s">
        <v>66</v>
      </c>
      <c r="E7">
        <v>157531264</v>
      </c>
      <c r="F7">
        <v>100</v>
      </c>
      <c r="G7">
        <v>100</v>
      </c>
      <c r="H7" s="10">
        <v>4.4000000000000004</v>
      </c>
      <c r="I7" t="s">
        <v>14</v>
      </c>
      <c r="J7">
        <v>1E-3</v>
      </c>
      <c r="K7" s="8">
        <v>1</v>
      </c>
      <c r="L7" s="10">
        <v>4.4000000000000004</v>
      </c>
      <c r="M7" s="25">
        <v>693137561600</v>
      </c>
      <c r="N7" s="25" t="s">
        <v>415</v>
      </c>
      <c r="O7" s="29" t="s">
        <v>415</v>
      </c>
      <c r="P7" s="29" t="s">
        <v>415</v>
      </c>
      <c r="Q7" t="s">
        <v>14</v>
      </c>
      <c r="R7" s="2" t="s">
        <v>278</v>
      </c>
      <c r="S7" s="27">
        <v>2.3556593924367836E-2</v>
      </c>
    </row>
    <row r="8" spans="1:19" x14ac:dyDescent="0.2">
      <c r="A8" s="2" t="s">
        <v>34</v>
      </c>
      <c r="B8">
        <v>20111018</v>
      </c>
      <c r="C8">
        <v>130000</v>
      </c>
      <c r="D8" t="s">
        <v>67</v>
      </c>
      <c r="E8">
        <v>42900000</v>
      </c>
      <c r="F8">
        <v>100</v>
      </c>
      <c r="G8">
        <v>100</v>
      </c>
      <c r="H8" s="10">
        <v>12.3</v>
      </c>
      <c r="I8" t="s">
        <v>14</v>
      </c>
      <c r="J8">
        <v>1E-3</v>
      </c>
      <c r="K8" s="8">
        <v>1</v>
      </c>
      <c r="L8" s="10">
        <v>12.3</v>
      </c>
      <c r="M8" s="25">
        <v>527670000000</v>
      </c>
      <c r="N8" s="25" t="s">
        <v>415</v>
      </c>
      <c r="O8" s="29" t="s">
        <v>415</v>
      </c>
      <c r="P8" s="29" t="s">
        <v>415</v>
      </c>
      <c r="Q8" t="s">
        <v>14</v>
      </c>
      <c r="R8" s="2" t="s">
        <v>278</v>
      </c>
      <c r="S8" s="27">
        <v>1.7933103909962993E-2</v>
      </c>
    </row>
    <row r="9" spans="1:19" x14ac:dyDescent="0.2">
      <c r="A9" s="2" t="s">
        <v>21</v>
      </c>
      <c r="B9">
        <v>20111018</v>
      </c>
      <c r="C9">
        <v>130000</v>
      </c>
      <c r="D9" t="s">
        <v>156</v>
      </c>
      <c r="E9">
        <v>256000000</v>
      </c>
      <c r="F9">
        <v>100</v>
      </c>
      <c r="G9">
        <v>100</v>
      </c>
      <c r="H9" s="10">
        <v>6</v>
      </c>
      <c r="I9" t="s">
        <v>14</v>
      </c>
      <c r="J9">
        <v>1E-3</v>
      </c>
      <c r="K9" s="8">
        <v>1</v>
      </c>
      <c r="L9" s="10">
        <v>6</v>
      </c>
      <c r="M9" s="25">
        <v>1536000000000</v>
      </c>
      <c r="N9" s="25" t="s">
        <v>415</v>
      </c>
      <c r="O9" s="29" t="s">
        <v>415</v>
      </c>
      <c r="P9" s="29" t="s">
        <v>415</v>
      </c>
      <c r="Q9" t="s">
        <v>14</v>
      </c>
      <c r="R9" s="2" t="s">
        <v>278</v>
      </c>
      <c r="S9" s="27">
        <v>5.2201655591000359E-2</v>
      </c>
    </row>
    <row r="10" spans="1:19" x14ac:dyDescent="0.2">
      <c r="A10" s="2" t="s">
        <v>37</v>
      </c>
      <c r="B10">
        <v>20111018</v>
      </c>
      <c r="C10">
        <v>130000</v>
      </c>
      <c r="D10" t="s">
        <v>62</v>
      </c>
      <c r="E10">
        <v>232600000</v>
      </c>
      <c r="F10">
        <v>100</v>
      </c>
      <c r="G10">
        <v>100</v>
      </c>
      <c r="H10" s="10">
        <v>11.9</v>
      </c>
      <c r="I10" t="s">
        <v>14</v>
      </c>
      <c r="J10">
        <v>1E-3</v>
      </c>
      <c r="K10" s="8">
        <v>1</v>
      </c>
      <c r="L10" s="10">
        <v>11.9</v>
      </c>
      <c r="M10" s="25">
        <v>2767940000000</v>
      </c>
      <c r="N10" s="25" t="s">
        <v>415</v>
      </c>
      <c r="O10" s="29" t="s">
        <v>415</v>
      </c>
      <c r="P10" s="29" t="s">
        <v>415</v>
      </c>
      <c r="Q10" t="s">
        <v>14</v>
      </c>
      <c r="R10" s="2" t="s">
        <v>278</v>
      </c>
      <c r="S10" s="27">
        <v>9.4069694385777031E-2</v>
      </c>
    </row>
    <row r="11" spans="1:19" x14ac:dyDescent="0.2">
      <c r="A11" s="2" t="s">
        <v>44</v>
      </c>
      <c r="B11">
        <v>20111018</v>
      </c>
      <c r="C11">
        <v>130000</v>
      </c>
      <c r="D11" t="s">
        <v>59</v>
      </c>
      <c r="E11">
        <v>38000000</v>
      </c>
      <c r="F11">
        <v>100</v>
      </c>
      <c r="G11">
        <v>100</v>
      </c>
      <c r="H11" s="10">
        <v>3.4</v>
      </c>
      <c r="I11" t="s">
        <v>14</v>
      </c>
      <c r="J11">
        <v>1E-3</v>
      </c>
      <c r="K11" s="8">
        <v>1</v>
      </c>
      <c r="L11" s="10">
        <v>3.4</v>
      </c>
      <c r="M11" s="25">
        <v>129200000000</v>
      </c>
      <c r="N11" s="25" t="s">
        <v>415</v>
      </c>
      <c r="O11" s="29" t="s">
        <v>415</v>
      </c>
      <c r="P11" s="29" t="s">
        <v>415</v>
      </c>
      <c r="Q11" t="s">
        <v>14</v>
      </c>
      <c r="R11" s="2" t="s">
        <v>278</v>
      </c>
      <c r="S11" s="27">
        <v>4.3909205093471656E-3</v>
      </c>
    </row>
    <row r="12" spans="1:19" x14ac:dyDescent="0.2">
      <c r="A12" s="2" t="s">
        <v>36</v>
      </c>
      <c r="B12">
        <v>20111018</v>
      </c>
      <c r="C12">
        <v>130000</v>
      </c>
      <c r="D12" t="s">
        <v>152</v>
      </c>
      <c r="E12">
        <v>377647740</v>
      </c>
      <c r="F12">
        <v>100</v>
      </c>
      <c r="G12">
        <v>100</v>
      </c>
      <c r="H12" s="10">
        <v>33</v>
      </c>
      <c r="I12" t="s">
        <v>14</v>
      </c>
      <c r="J12">
        <v>1E-3</v>
      </c>
      <c r="K12" s="8">
        <v>1</v>
      </c>
      <c r="L12" s="10">
        <v>33</v>
      </c>
      <c r="M12" s="25">
        <v>12462375420000</v>
      </c>
      <c r="N12" s="25">
        <v>377647740000</v>
      </c>
      <c r="O12" s="29">
        <v>1</v>
      </c>
      <c r="P12" s="29">
        <v>1</v>
      </c>
      <c r="Q12" t="s">
        <v>14</v>
      </c>
      <c r="R12" s="2" t="s">
        <v>286</v>
      </c>
      <c r="S12" s="27">
        <v>0.42353947234413308</v>
      </c>
    </row>
    <row r="13" spans="1:19" x14ac:dyDescent="0.2">
      <c r="A13" s="2" t="s">
        <v>39</v>
      </c>
      <c r="B13">
        <v>20111018</v>
      </c>
      <c r="C13">
        <v>130000</v>
      </c>
      <c r="D13" t="s">
        <v>68</v>
      </c>
      <c r="E13">
        <v>209740215</v>
      </c>
      <c r="F13">
        <v>100</v>
      </c>
      <c r="G13">
        <v>100</v>
      </c>
      <c r="H13" s="10">
        <v>8</v>
      </c>
      <c r="I13" t="s">
        <v>14</v>
      </c>
      <c r="J13">
        <v>1E-3</v>
      </c>
      <c r="K13" s="8">
        <v>1</v>
      </c>
      <c r="L13" s="10">
        <v>8</v>
      </c>
      <c r="M13" s="25">
        <v>1677921720000</v>
      </c>
      <c r="N13" s="25" t="s">
        <v>415</v>
      </c>
      <c r="O13" s="29" t="s">
        <v>415</v>
      </c>
      <c r="P13" s="29" t="s">
        <v>415</v>
      </c>
      <c r="Q13" t="s">
        <v>14</v>
      </c>
      <c r="R13" s="2" t="s">
        <v>286</v>
      </c>
      <c r="S13" s="27">
        <v>5.702492951568941E-2</v>
      </c>
    </row>
    <row r="14" spans="1:19" x14ac:dyDescent="0.2">
      <c r="A14" s="2" t="s">
        <v>35</v>
      </c>
      <c r="B14">
        <v>20111018</v>
      </c>
      <c r="C14">
        <v>130000</v>
      </c>
      <c r="D14" t="s">
        <v>64</v>
      </c>
      <c r="E14">
        <v>600000000</v>
      </c>
      <c r="F14">
        <v>100</v>
      </c>
      <c r="G14">
        <v>100</v>
      </c>
      <c r="H14" s="10">
        <v>10.9</v>
      </c>
      <c r="I14" t="s">
        <v>14</v>
      </c>
      <c r="J14">
        <v>1E-3</v>
      </c>
      <c r="K14" s="8">
        <v>1</v>
      </c>
      <c r="L14" s="10">
        <v>10.9</v>
      </c>
      <c r="M14" s="25">
        <v>6540000000000</v>
      </c>
      <c r="N14" s="25" t="s">
        <v>415</v>
      </c>
      <c r="O14" s="29" t="s">
        <v>415</v>
      </c>
      <c r="P14" s="29" t="s">
        <v>415</v>
      </c>
      <c r="Q14" t="s">
        <v>14</v>
      </c>
      <c r="R14" s="2" t="s">
        <v>286</v>
      </c>
      <c r="S14" s="27">
        <v>0.22226486169605619</v>
      </c>
    </row>
    <row r="15" spans="1:19" x14ac:dyDescent="0.2">
      <c r="A15" s="2" t="s">
        <v>47</v>
      </c>
      <c r="B15">
        <v>20111018</v>
      </c>
      <c r="C15">
        <v>130000</v>
      </c>
      <c r="D15" t="s">
        <v>69</v>
      </c>
      <c r="E15">
        <v>297802094</v>
      </c>
      <c r="F15">
        <v>100</v>
      </c>
      <c r="G15">
        <v>100</v>
      </c>
      <c r="H15" s="10">
        <v>4.5</v>
      </c>
      <c r="I15" t="s">
        <v>14</v>
      </c>
      <c r="J15">
        <v>1E-3</v>
      </c>
      <c r="K15" s="8">
        <v>1</v>
      </c>
      <c r="L15" s="10">
        <v>4.5</v>
      </c>
      <c r="M15" s="25">
        <v>1340109423000</v>
      </c>
      <c r="N15" s="25">
        <v>357362512800</v>
      </c>
      <c r="O15" s="29">
        <v>1.2</v>
      </c>
      <c r="P15" s="29">
        <v>1.2</v>
      </c>
      <c r="Q15" t="s">
        <v>14</v>
      </c>
      <c r="R15" s="2" t="s">
        <v>286</v>
      </c>
      <c r="S15" s="27">
        <v>4.5544225620898576E-2</v>
      </c>
    </row>
    <row r="16" spans="1:19" x14ac:dyDescent="0.2">
      <c r="A16" s="2" t="s">
        <v>24</v>
      </c>
      <c r="B16">
        <v>20111018</v>
      </c>
      <c r="C16">
        <v>130000</v>
      </c>
      <c r="D16" t="s">
        <v>63</v>
      </c>
      <c r="E16">
        <v>250000000</v>
      </c>
      <c r="F16">
        <v>100</v>
      </c>
      <c r="G16">
        <v>100</v>
      </c>
      <c r="H16" s="10">
        <v>7</v>
      </c>
      <c r="I16" t="s">
        <v>14</v>
      </c>
      <c r="J16">
        <v>1E-3</v>
      </c>
      <c r="K16" s="8">
        <v>1</v>
      </c>
      <c r="L16" s="10">
        <v>7</v>
      </c>
      <c r="M16" s="25">
        <v>1750000000000</v>
      </c>
      <c r="N16" s="25" t="s">
        <v>415</v>
      </c>
      <c r="O16" s="29" t="s">
        <v>415</v>
      </c>
      <c r="P16" s="29" t="s">
        <v>415</v>
      </c>
      <c r="Q16" t="s">
        <v>14</v>
      </c>
      <c r="R16" s="2" t="s">
        <v>286</v>
      </c>
      <c r="S16" s="27">
        <v>5.9474542502767333E-2</v>
      </c>
    </row>
    <row r="17" spans="1:19" x14ac:dyDescent="0.2">
      <c r="A17" s="2" t="s">
        <v>48</v>
      </c>
      <c r="B17">
        <v>20111018</v>
      </c>
      <c r="C17">
        <v>130000</v>
      </c>
      <c r="D17" t="s">
        <v>66</v>
      </c>
      <c r="E17">
        <v>157531264</v>
      </c>
      <c r="F17">
        <v>100</v>
      </c>
      <c r="G17">
        <v>100</v>
      </c>
      <c r="H17" s="10">
        <v>4.4000000000000004</v>
      </c>
      <c r="I17" t="s">
        <v>14</v>
      </c>
      <c r="J17">
        <v>1E-3</v>
      </c>
      <c r="K17" s="8">
        <v>1</v>
      </c>
      <c r="L17" s="10">
        <v>4.4000000000000004</v>
      </c>
      <c r="M17" s="25">
        <v>693137561600</v>
      </c>
      <c r="N17" s="25" t="s">
        <v>415</v>
      </c>
      <c r="O17" s="29" t="s">
        <v>415</v>
      </c>
      <c r="P17" s="29" t="s">
        <v>415</v>
      </c>
      <c r="Q17" t="s">
        <v>14</v>
      </c>
      <c r="R17" s="2" t="s">
        <v>286</v>
      </c>
      <c r="S17" s="27">
        <v>2.3556593924367836E-2</v>
      </c>
    </row>
    <row r="18" spans="1:19" x14ac:dyDescent="0.2">
      <c r="A18" s="2" t="s">
        <v>34</v>
      </c>
      <c r="B18">
        <v>20111018</v>
      </c>
      <c r="C18">
        <v>130000</v>
      </c>
      <c r="D18" t="s">
        <v>67</v>
      </c>
      <c r="E18">
        <v>42900000</v>
      </c>
      <c r="F18">
        <v>100</v>
      </c>
      <c r="G18">
        <v>100</v>
      </c>
      <c r="H18" s="10">
        <v>12.3</v>
      </c>
      <c r="I18" t="s">
        <v>14</v>
      </c>
      <c r="J18">
        <v>1E-3</v>
      </c>
      <c r="K18" s="8">
        <v>1</v>
      </c>
      <c r="L18" s="10">
        <v>12.3</v>
      </c>
      <c r="M18" s="25">
        <v>527670000000</v>
      </c>
      <c r="N18" s="25" t="s">
        <v>415</v>
      </c>
      <c r="O18" s="29" t="s">
        <v>415</v>
      </c>
      <c r="P18" s="29" t="s">
        <v>415</v>
      </c>
      <c r="Q18" t="s">
        <v>14</v>
      </c>
      <c r="R18" s="2" t="s">
        <v>286</v>
      </c>
      <c r="S18" s="27">
        <v>1.7933103909962993E-2</v>
      </c>
    </row>
    <row r="19" spans="1:19" x14ac:dyDescent="0.2">
      <c r="A19" s="2" t="s">
        <v>21</v>
      </c>
      <c r="B19">
        <v>20111018</v>
      </c>
      <c r="C19">
        <v>130000</v>
      </c>
      <c r="D19" t="s">
        <v>156</v>
      </c>
      <c r="E19">
        <v>256000000</v>
      </c>
      <c r="F19">
        <v>100</v>
      </c>
      <c r="G19">
        <v>100</v>
      </c>
      <c r="H19" s="10">
        <v>6</v>
      </c>
      <c r="I19" t="s">
        <v>14</v>
      </c>
      <c r="J19">
        <v>1E-3</v>
      </c>
      <c r="K19" s="8">
        <v>1</v>
      </c>
      <c r="L19" s="10">
        <v>6</v>
      </c>
      <c r="M19" s="25">
        <v>1536000000000</v>
      </c>
      <c r="N19" s="25" t="s">
        <v>415</v>
      </c>
      <c r="O19" s="29" t="s">
        <v>415</v>
      </c>
      <c r="P19" s="29" t="s">
        <v>415</v>
      </c>
      <c r="Q19" t="s">
        <v>14</v>
      </c>
      <c r="R19" s="2" t="s">
        <v>286</v>
      </c>
      <c r="S19" s="27">
        <v>5.2201655591000359E-2</v>
      </c>
    </row>
    <row r="20" spans="1:19" x14ac:dyDescent="0.2">
      <c r="A20" s="2" t="s">
        <v>37</v>
      </c>
      <c r="B20">
        <v>20111018</v>
      </c>
      <c r="C20">
        <v>130000</v>
      </c>
      <c r="D20" t="s">
        <v>62</v>
      </c>
      <c r="E20">
        <v>232600000</v>
      </c>
      <c r="F20">
        <v>100</v>
      </c>
      <c r="G20">
        <v>100</v>
      </c>
      <c r="H20" s="10">
        <v>11.9</v>
      </c>
      <c r="I20" t="s">
        <v>14</v>
      </c>
      <c r="J20">
        <v>1E-3</v>
      </c>
      <c r="K20" s="8">
        <v>1</v>
      </c>
      <c r="L20" s="10">
        <v>11.9</v>
      </c>
      <c r="M20" s="25">
        <v>2767940000000</v>
      </c>
      <c r="N20" s="25" t="s">
        <v>415</v>
      </c>
      <c r="O20" s="29" t="s">
        <v>415</v>
      </c>
      <c r="P20" s="29" t="s">
        <v>415</v>
      </c>
      <c r="Q20" t="s">
        <v>14</v>
      </c>
      <c r="R20" s="2" t="s">
        <v>286</v>
      </c>
      <c r="S20" s="27">
        <v>9.4069694385777031E-2</v>
      </c>
    </row>
    <row r="21" spans="1:19" x14ac:dyDescent="0.2">
      <c r="A21" s="2" t="s">
        <v>44</v>
      </c>
      <c r="B21">
        <v>20111018</v>
      </c>
      <c r="C21">
        <v>130000</v>
      </c>
      <c r="D21" t="s">
        <v>59</v>
      </c>
      <c r="E21">
        <v>38000000</v>
      </c>
      <c r="F21">
        <v>100</v>
      </c>
      <c r="G21">
        <v>100</v>
      </c>
      <c r="H21" s="10">
        <v>3.4</v>
      </c>
      <c r="I21" t="s">
        <v>14</v>
      </c>
      <c r="J21">
        <v>1E-3</v>
      </c>
      <c r="K21" s="8">
        <v>1</v>
      </c>
      <c r="L21" s="10">
        <v>3.4</v>
      </c>
      <c r="M21" s="25">
        <v>129200000000</v>
      </c>
      <c r="N21" s="25" t="s">
        <v>415</v>
      </c>
      <c r="O21" s="29" t="s">
        <v>415</v>
      </c>
      <c r="P21" s="29" t="s">
        <v>415</v>
      </c>
      <c r="Q21" t="s">
        <v>14</v>
      </c>
      <c r="R21" s="2" t="s">
        <v>286</v>
      </c>
      <c r="S21" s="27">
        <v>4.3909205093471656E-3</v>
      </c>
    </row>
    <row r="22" spans="1:19" x14ac:dyDescent="0.2">
      <c r="A22" s="2" t="s">
        <v>38</v>
      </c>
      <c r="B22">
        <v>20111018</v>
      </c>
      <c r="C22">
        <v>130000</v>
      </c>
      <c r="D22" t="s">
        <v>60</v>
      </c>
      <c r="E22">
        <v>70371300</v>
      </c>
      <c r="F22">
        <v>100</v>
      </c>
      <c r="G22">
        <v>100</v>
      </c>
      <c r="H22" s="10">
        <v>12</v>
      </c>
      <c r="I22" t="s">
        <v>14</v>
      </c>
      <c r="J22">
        <v>1E-3</v>
      </c>
      <c r="K22" s="8">
        <v>1</v>
      </c>
      <c r="L22" s="10">
        <v>12</v>
      </c>
      <c r="M22" s="25">
        <v>844455600000</v>
      </c>
      <c r="N22" s="25" t="s">
        <v>415</v>
      </c>
      <c r="O22" s="29" t="s">
        <v>415</v>
      </c>
      <c r="P22" s="29" t="s">
        <v>415</v>
      </c>
      <c r="Q22" t="s">
        <v>14</v>
      </c>
      <c r="R22" s="2" t="s">
        <v>286</v>
      </c>
      <c r="S22" s="27">
        <v>2.869920598508565E-2</v>
      </c>
    </row>
    <row r="23" spans="1:19" x14ac:dyDescent="0.2">
      <c r="A23" s="2" t="s">
        <v>22</v>
      </c>
      <c r="B23">
        <v>20111018</v>
      </c>
      <c r="C23">
        <v>130000</v>
      </c>
      <c r="D23" t="s">
        <v>148</v>
      </c>
      <c r="E23">
        <v>100000000</v>
      </c>
      <c r="F23">
        <v>100</v>
      </c>
      <c r="G23">
        <v>100</v>
      </c>
      <c r="H23" s="10">
        <v>15.4</v>
      </c>
      <c r="I23" t="s">
        <v>14</v>
      </c>
      <c r="J23">
        <v>1E-3</v>
      </c>
      <c r="K23" s="8">
        <v>1</v>
      </c>
      <c r="L23" s="10">
        <v>15.4</v>
      </c>
      <c r="M23" s="25">
        <v>1540000000000</v>
      </c>
      <c r="N23" s="25" t="s">
        <v>415</v>
      </c>
      <c r="O23" s="29" t="s">
        <v>415</v>
      </c>
      <c r="P23" s="29" t="s">
        <v>415</v>
      </c>
      <c r="Q23" t="s">
        <v>14</v>
      </c>
      <c r="R23" s="2" t="s">
        <v>286</v>
      </c>
      <c r="S23" s="27">
        <v>5.2337597402435251E-2</v>
      </c>
    </row>
    <row r="24" spans="1:19" x14ac:dyDescent="0.2">
      <c r="A24" s="2" t="s">
        <v>45</v>
      </c>
      <c r="B24">
        <v>20111018</v>
      </c>
      <c r="C24">
        <v>130000</v>
      </c>
      <c r="D24" t="s">
        <v>46</v>
      </c>
      <c r="E24">
        <v>35000000</v>
      </c>
      <c r="F24">
        <v>100</v>
      </c>
      <c r="G24">
        <v>100</v>
      </c>
      <c r="H24" s="10">
        <v>37.700000000000003</v>
      </c>
      <c r="I24" t="s">
        <v>14</v>
      </c>
      <c r="J24">
        <v>1E-3</v>
      </c>
      <c r="K24" s="8">
        <v>1</v>
      </c>
      <c r="L24" s="10">
        <v>37.700000000000003</v>
      </c>
      <c r="M24" s="25">
        <v>1319500000000</v>
      </c>
      <c r="N24" s="25" t="s">
        <v>415</v>
      </c>
      <c r="O24" s="29" t="s">
        <v>415</v>
      </c>
      <c r="P24" s="29" t="s">
        <v>415</v>
      </c>
      <c r="Q24" t="s">
        <v>14</v>
      </c>
      <c r="R24" s="2" t="s">
        <v>286</v>
      </c>
      <c r="S24" s="27">
        <v>4.4843805047086571E-2</v>
      </c>
    </row>
    <row r="25" spans="1:19" x14ac:dyDescent="0.2">
      <c r="A25" s="2" t="s">
        <v>41</v>
      </c>
      <c r="B25">
        <v>20111018</v>
      </c>
      <c r="C25">
        <v>130000</v>
      </c>
      <c r="D25" t="s">
        <v>65</v>
      </c>
      <c r="E25">
        <v>52356713</v>
      </c>
      <c r="F25">
        <v>100</v>
      </c>
      <c r="G25">
        <v>100</v>
      </c>
      <c r="H25" s="10">
        <v>23</v>
      </c>
      <c r="I25" t="s">
        <v>14</v>
      </c>
      <c r="J25">
        <v>1E-3</v>
      </c>
      <c r="K25" s="8">
        <v>1</v>
      </c>
      <c r="L25" s="10">
        <v>23</v>
      </c>
      <c r="M25" s="25">
        <v>1204204399000</v>
      </c>
      <c r="N25" s="25" t="s">
        <v>415</v>
      </c>
      <c r="O25" s="29" t="s">
        <v>415</v>
      </c>
      <c r="P25" s="29" t="s">
        <v>415</v>
      </c>
      <c r="Q25" t="s">
        <v>14</v>
      </c>
      <c r="R25" s="2" t="s">
        <v>286</v>
      </c>
      <c r="S25" s="27">
        <v>4.0925431834482794E-2</v>
      </c>
    </row>
    <row r="26" spans="1:19" x14ac:dyDescent="0.2">
      <c r="A26" s="2" t="s">
        <v>30</v>
      </c>
      <c r="B26">
        <v>20111018</v>
      </c>
      <c r="C26">
        <v>130000</v>
      </c>
      <c r="D26" t="s">
        <v>150</v>
      </c>
      <c r="E26">
        <v>37518001</v>
      </c>
      <c r="F26">
        <v>100</v>
      </c>
      <c r="G26">
        <v>100</v>
      </c>
      <c r="H26" s="10">
        <v>8</v>
      </c>
      <c r="I26" t="s">
        <v>14</v>
      </c>
      <c r="J26">
        <v>1E-3</v>
      </c>
      <c r="K26" s="8">
        <v>1</v>
      </c>
      <c r="L26" s="10">
        <v>8</v>
      </c>
      <c r="M26" s="25">
        <v>300144008000</v>
      </c>
      <c r="N26" s="25" t="s">
        <v>415</v>
      </c>
      <c r="O26" s="29" t="s">
        <v>415</v>
      </c>
      <c r="P26" s="29" t="s">
        <v>415</v>
      </c>
      <c r="Q26" t="s">
        <v>14</v>
      </c>
      <c r="R26" s="2" t="s">
        <v>286</v>
      </c>
      <c r="S26" s="27">
        <v>1.0200530034712536E-2</v>
      </c>
    </row>
    <row r="27" spans="1:19" x14ac:dyDescent="0.2">
      <c r="A27" s="2" t="s">
        <v>40</v>
      </c>
      <c r="B27">
        <v>20111018</v>
      </c>
      <c r="C27">
        <v>130000</v>
      </c>
      <c r="D27" t="s">
        <v>145</v>
      </c>
      <c r="E27">
        <v>59841300</v>
      </c>
      <c r="F27">
        <v>100</v>
      </c>
      <c r="G27">
        <v>100</v>
      </c>
      <c r="H27" s="10">
        <v>5</v>
      </c>
      <c r="I27" t="s">
        <v>14</v>
      </c>
      <c r="J27">
        <v>1E-3</v>
      </c>
      <c r="K27" s="8">
        <v>1</v>
      </c>
      <c r="L27" s="10">
        <v>5</v>
      </c>
      <c r="M27" s="25">
        <v>299206500000</v>
      </c>
      <c r="N27" s="25" t="s">
        <v>415</v>
      </c>
      <c r="O27" s="29" t="s">
        <v>415</v>
      </c>
      <c r="P27" s="29" t="s">
        <v>415</v>
      </c>
      <c r="Q27" t="s">
        <v>14</v>
      </c>
      <c r="R27" s="2" t="s">
        <v>286</v>
      </c>
      <c r="S27" s="27">
        <v>1.0168668400773859E-2</v>
      </c>
    </row>
    <row r="28" spans="1:19" x14ac:dyDescent="0.2">
      <c r="A28" s="2" t="s">
        <v>42</v>
      </c>
      <c r="B28">
        <v>20111018</v>
      </c>
      <c r="C28">
        <v>130000</v>
      </c>
      <c r="D28" t="s">
        <v>58</v>
      </c>
      <c r="E28">
        <v>27719850</v>
      </c>
      <c r="F28">
        <v>100</v>
      </c>
      <c r="G28">
        <v>100</v>
      </c>
      <c r="H28" s="10">
        <v>2.6</v>
      </c>
      <c r="I28" t="s">
        <v>14</v>
      </c>
      <c r="J28">
        <v>1E-3</v>
      </c>
      <c r="K28" s="8">
        <v>1</v>
      </c>
      <c r="L28" s="10">
        <v>2.6</v>
      </c>
      <c r="M28" s="25">
        <v>72071610000</v>
      </c>
      <c r="N28" s="25" t="s">
        <v>415</v>
      </c>
      <c r="O28" s="29" t="s">
        <v>415</v>
      </c>
      <c r="P28" s="29" t="s">
        <v>415</v>
      </c>
      <c r="Q28" t="s">
        <v>14</v>
      </c>
      <c r="R28" s="2" t="s">
        <v>286</v>
      </c>
      <c r="S28" s="27">
        <v>2.4493863041073548E-3</v>
      </c>
    </row>
    <row r="29" spans="1:19" x14ac:dyDescent="0.2">
      <c r="A29" s="2" t="s">
        <v>263</v>
      </c>
      <c r="B29">
        <v>20111018</v>
      </c>
      <c r="C29">
        <v>130000</v>
      </c>
      <c r="D29" t="s">
        <v>274</v>
      </c>
      <c r="E29">
        <v>50000000</v>
      </c>
      <c r="F29">
        <v>100</v>
      </c>
      <c r="G29">
        <v>100</v>
      </c>
      <c r="H29" s="10">
        <v>15.8</v>
      </c>
      <c r="I29" t="s">
        <v>14</v>
      </c>
      <c r="J29">
        <v>1E-3</v>
      </c>
      <c r="K29" s="8">
        <v>1</v>
      </c>
      <c r="L29" s="10">
        <v>15.8</v>
      </c>
      <c r="M29" s="25">
        <v>790000000000</v>
      </c>
      <c r="N29" s="25" t="s">
        <v>415</v>
      </c>
      <c r="O29" s="29" t="s">
        <v>415</v>
      </c>
      <c r="P29" s="29" t="s">
        <v>415</v>
      </c>
      <c r="Q29" t="s">
        <v>14</v>
      </c>
      <c r="R29" s="2" t="s">
        <v>286</v>
      </c>
      <c r="S29" s="27">
        <v>2.684850775839211E-2</v>
      </c>
    </row>
    <row r="30" spans="1:19" x14ac:dyDescent="0.2">
      <c r="A30" s="2" t="s">
        <v>269</v>
      </c>
      <c r="B30">
        <v>20111018</v>
      </c>
      <c r="C30">
        <v>130000</v>
      </c>
      <c r="D30" t="s">
        <v>277</v>
      </c>
      <c r="E30">
        <v>35000000</v>
      </c>
      <c r="F30">
        <v>100</v>
      </c>
      <c r="G30">
        <v>100</v>
      </c>
      <c r="H30" s="10">
        <v>4.5999999999999996</v>
      </c>
      <c r="I30" t="s">
        <v>14</v>
      </c>
      <c r="J30">
        <v>1E-3</v>
      </c>
      <c r="K30" s="8">
        <v>1</v>
      </c>
      <c r="L30" s="10">
        <v>4.5999999999999996</v>
      </c>
      <c r="M30" s="25">
        <v>161000000000</v>
      </c>
      <c r="N30" s="25" t="s">
        <v>415</v>
      </c>
      <c r="O30" s="29" t="s">
        <v>415</v>
      </c>
      <c r="P30" s="29" t="s">
        <v>415</v>
      </c>
      <c r="Q30" t="s">
        <v>14</v>
      </c>
      <c r="R30" s="2" t="s">
        <v>286</v>
      </c>
      <c r="S30" s="27">
        <v>5.4716579102545944E-3</v>
      </c>
    </row>
    <row r="31" spans="1:19" x14ac:dyDescent="0.2">
      <c r="A31" s="2" t="s">
        <v>28</v>
      </c>
      <c r="B31">
        <v>20111018</v>
      </c>
      <c r="C31">
        <v>130000</v>
      </c>
      <c r="D31" t="s">
        <v>149</v>
      </c>
      <c r="E31">
        <v>30000000</v>
      </c>
      <c r="F31">
        <v>100</v>
      </c>
      <c r="G31">
        <v>100</v>
      </c>
      <c r="H31" s="10">
        <v>7</v>
      </c>
      <c r="I31" t="s">
        <v>14</v>
      </c>
      <c r="J31">
        <v>1E-3</v>
      </c>
      <c r="K31" s="8">
        <v>1</v>
      </c>
      <c r="L31" s="10">
        <v>7</v>
      </c>
      <c r="M31" s="25">
        <v>210000000000</v>
      </c>
      <c r="N31" s="25" t="s">
        <v>415</v>
      </c>
      <c r="O31" s="29" t="s">
        <v>415</v>
      </c>
      <c r="P31" s="29" t="s">
        <v>415</v>
      </c>
      <c r="Q31" t="s">
        <v>14</v>
      </c>
      <c r="R31" s="2" t="s">
        <v>286</v>
      </c>
      <c r="S31" s="27">
        <v>7.1369451003320799E-3</v>
      </c>
    </row>
    <row r="32" spans="1:19" x14ac:dyDescent="0.2">
      <c r="A32" s="2" t="s">
        <v>43</v>
      </c>
      <c r="B32">
        <v>20111018</v>
      </c>
      <c r="C32">
        <v>130000</v>
      </c>
      <c r="D32" t="s">
        <v>147</v>
      </c>
      <c r="E32">
        <v>18000000</v>
      </c>
      <c r="F32">
        <v>100</v>
      </c>
      <c r="G32">
        <v>100</v>
      </c>
      <c r="H32" s="10">
        <v>6.8</v>
      </c>
      <c r="I32" t="s">
        <v>14</v>
      </c>
      <c r="J32">
        <v>1E-3</v>
      </c>
      <c r="K32" s="8">
        <v>1</v>
      </c>
      <c r="L32" s="10">
        <v>6.8</v>
      </c>
      <c r="M32" s="25">
        <v>122400000000</v>
      </c>
      <c r="N32" s="25" t="s">
        <v>415</v>
      </c>
      <c r="O32" s="29" t="s">
        <v>415</v>
      </c>
      <c r="P32" s="29" t="s">
        <v>415</v>
      </c>
      <c r="Q32" t="s">
        <v>14</v>
      </c>
      <c r="R32" s="2" t="s">
        <v>286</v>
      </c>
      <c r="S32" s="27">
        <v>4.1598194299078406E-3</v>
      </c>
    </row>
    <row r="33" spans="1:19" x14ac:dyDescent="0.2">
      <c r="A33" s="2" t="s">
        <v>267</v>
      </c>
      <c r="B33">
        <v>20111018</v>
      </c>
      <c r="C33">
        <v>130000</v>
      </c>
      <c r="D33" t="s">
        <v>276</v>
      </c>
      <c r="E33">
        <v>15000000</v>
      </c>
      <c r="F33">
        <v>100</v>
      </c>
      <c r="G33">
        <v>100</v>
      </c>
      <c r="H33" s="10">
        <v>12.5</v>
      </c>
      <c r="I33" t="s">
        <v>14</v>
      </c>
      <c r="J33">
        <v>1E-3</v>
      </c>
      <c r="K33" s="8">
        <v>1</v>
      </c>
      <c r="L33" s="10">
        <v>12.5</v>
      </c>
      <c r="M33" s="25">
        <v>187500000000</v>
      </c>
      <c r="N33" s="25" t="s">
        <v>415</v>
      </c>
      <c r="O33" s="29" t="s">
        <v>415</v>
      </c>
      <c r="P33" s="29" t="s">
        <v>415</v>
      </c>
      <c r="Q33" t="s">
        <v>14</v>
      </c>
      <c r="R33" s="2" t="s">
        <v>286</v>
      </c>
      <c r="S33" s="27">
        <v>6.3722724110107862E-3</v>
      </c>
    </row>
    <row r="34" spans="1:19" x14ac:dyDescent="0.2">
      <c r="A34" s="2" t="s">
        <v>26</v>
      </c>
      <c r="B34">
        <v>20111018</v>
      </c>
      <c r="C34">
        <v>130000</v>
      </c>
      <c r="D34" t="s">
        <v>61</v>
      </c>
      <c r="E34">
        <v>15000000</v>
      </c>
      <c r="F34">
        <v>100</v>
      </c>
      <c r="G34">
        <v>100</v>
      </c>
      <c r="H34" s="10">
        <v>15.6</v>
      </c>
      <c r="I34" t="s">
        <v>14</v>
      </c>
      <c r="J34">
        <v>1E-3</v>
      </c>
      <c r="K34" s="8">
        <v>1</v>
      </c>
      <c r="L34" s="10">
        <v>15.6</v>
      </c>
      <c r="M34" s="25">
        <v>234000000000</v>
      </c>
      <c r="N34" s="25" t="s">
        <v>415</v>
      </c>
      <c r="O34" s="29" t="s">
        <v>415</v>
      </c>
      <c r="P34" s="29" t="s">
        <v>415</v>
      </c>
      <c r="Q34" t="s">
        <v>14</v>
      </c>
      <c r="R34" s="2" t="s">
        <v>286</v>
      </c>
      <c r="S34" s="27">
        <v>7.9525959689414599E-3</v>
      </c>
    </row>
    <row r="35" spans="1:19" x14ac:dyDescent="0.2">
      <c r="A35" s="2" t="s">
        <v>32</v>
      </c>
      <c r="B35">
        <v>20111018</v>
      </c>
      <c r="C35">
        <v>130000</v>
      </c>
      <c r="D35" t="s">
        <v>151</v>
      </c>
      <c r="E35">
        <v>20000000</v>
      </c>
      <c r="F35">
        <v>100</v>
      </c>
      <c r="G35">
        <v>100</v>
      </c>
      <c r="H35" s="10">
        <v>10.199999999999999</v>
      </c>
      <c r="I35" t="s">
        <v>14</v>
      </c>
      <c r="J35">
        <v>1E-3</v>
      </c>
      <c r="K35" s="8">
        <v>1</v>
      </c>
      <c r="L35" s="10">
        <v>10.199999999999999</v>
      </c>
      <c r="M35" s="25">
        <v>204000000000</v>
      </c>
      <c r="N35" s="25" t="s">
        <v>415</v>
      </c>
      <c r="O35" s="29" t="s">
        <v>415</v>
      </c>
      <c r="P35" s="29" t="s">
        <v>415</v>
      </c>
      <c r="Q35" t="s">
        <v>14</v>
      </c>
      <c r="R35" s="2" t="s">
        <v>286</v>
      </c>
      <c r="S35" s="27">
        <v>6.9330323831797349E-3</v>
      </c>
    </row>
    <row r="36" spans="1:19" x14ac:dyDescent="0.2">
      <c r="A36" s="2" t="s">
        <v>19</v>
      </c>
      <c r="B36">
        <v>20111018</v>
      </c>
      <c r="C36">
        <v>130000</v>
      </c>
      <c r="D36" t="s">
        <v>155</v>
      </c>
      <c r="E36">
        <v>22500000</v>
      </c>
      <c r="F36">
        <v>100</v>
      </c>
      <c r="G36">
        <v>100</v>
      </c>
      <c r="H36" s="10">
        <v>7</v>
      </c>
      <c r="I36" t="s">
        <v>14</v>
      </c>
      <c r="J36">
        <v>1E-3</v>
      </c>
      <c r="K36" s="8">
        <v>1</v>
      </c>
      <c r="L36" s="10">
        <v>7</v>
      </c>
      <c r="M36" s="25">
        <v>157500000000</v>
      </c>
      <c r="N36" s="25" t="s">
        <v>415</v>
      </c>
      <c r="O36" s="29" t="s">
        <v>415</v>
      </c>
      <c r="P36" s="29" t="s">
        <v>415</v>
      </c>
      <c r="Q36" t="s">
        <v>14</v>
      </c>
      <c r="R36" s="2" t="s">
        <v>286</v>
      </c>
      <c r="S36" s="27">
        <v>5.3527088252490604E-3</v>
      </c>
    </row>
    <row r="37" spans="1:19" x14ac:dyDescent="0.2">
      <c r="A37" s="2" t="s">
        <v>265</v>
      </c>
      <c r="B37">
        <v>20111018</v>
      </c>
      <c r="C37">
        <v>130000</v>
      </c>
      <c r="D37" t="s">
        <v>273</v>
      </c>
      <c r="E37">
        <v>18870000</v>
      </c>
      <c r="F37">
        <v>100</v>
      </c>
      <c r="G37">
        <v>100</v>
      </c>
      <c r="H37" s="10">
        <v>5.9</v>
      </c>
      <c r="I37" t="s">
        <v>14</v>
      </c>
      <c r="J37">
        <v>1E-3</v>
      </c>
      <c r="K37" s="8">
        <v>1</v>
      </c>
      <c r="L37" s="10">
        <v>5.9</v>
      </c>
      <c r="M37" s="25">
        <v>111333000000</v>
      </c>
      <c r="N37" s="25" t="s">
        <v>415</v>
      </c>
      <c r="O37" s="29" t="s">
        <v>415</v>
      </c>
      <c r="P37" s="29" t="s">
        <v>415</v>
      </c>
      <c r="Q37" t="s">
        <v>14</v>
      </c>
      <c r="R37" s="2" t="s">
        <v>286</v>
      </c>
      <c r="S37" s="27">
        <v>3.7837024231203403E-3</v>
      </c>
    </row>
    <row r="38" spans="1:19" x14ac:dyDescent="0.2">
      <c r="A38" s="2" t="s">
        <v>15</v>
      </c>
      <c r="B38">
        <v>20111018</v>
      </c>
      <c r="C38">
        <v>130000</v>
      </c>
      <c r="D38" t="s">
        <v>153</v>
      </c>
      <c r="E38">
        <v>23000000</v>
      </c>
      <c r="F38">
        <v>100</v>
      </c>
      <c r="G38">
        <v>100</v>
      </c>
      <c r="H38" s="10">
        <v>5.8</v>
      </c>
      <c r="I38" t="s">
        <v>14</v>
      </c>
      <c r="J38">
        <v>1E-3</v>
      </c>
      <c r="K38" s="8">
        <v>1</v>
      </c>
      <c r="L38" s="10">
        <v>5.8</v>
      </c>
      <c r="M38" s="25">
        <v>133400000000</v>
      </c>
      <c r="N38" s="25" t="s">
        <v>415</v>
      </c>
      <c r="O38" s="29" t="s">
        <v>415</v>
      </c>
      <c r="P38" s="29" t="s">
        <v>415</v>
      </c>
      <c r="Q38" t="s">
        <v>14</v>
      </c>
      <c r="R38" s="2" t="s">
        <v>286</v>
      </c>
      <c r="S38" s="27">
        <v>4.5336594113538067E-3</v>
      </c>
    </row>
    <row r="39" spans="1:19" x14ac:dyDescent="0.2">
      <c r="A39" s="2" t="s">
        <v>12</v>
      </c>
      <c r="B39">
        <v>20111018</v>
      </c>
      <c r="C39">
        <v>130000</v>
      </c>
      <c r="D39" t="s">
        <v>158</v>
      </c>
      <c r="E39">
        <v>10000000</v>
      </c>
      <c r="F39">
        <v>100</v>
      </c>
      <c r="G39">
        <v>100</v>
      </c>
      <c r="H39" s="10">
        <v>3.5</v>
      </c>
      <c r="I39" t="s">
        <v>14</v>
      </c>
      <c r="J39">
        <v>1E-3</v>
      </c>
      <c r="K39" s="8">
        <v>1</v>
      </c>
      <c r="L39" s="10">
        <v>3.5</v>
      </c>
      <c r="M39" s="25">
        <v>35000000000</v>
      </c>
      <c r="N39" s="25" t="s">
        <v>415</v>
      </c>
      <c r="O39" s="29" t="s">
        <v>415</v>
      </c>
      <c r="P39" s="29" t="s">
        <v>415</v>
      </c>
      <c r="Q39" t="s">
        <v>14</v>
      </c>
      <c r="R39" s="2" t="s">
        <v>286</v>
      </c>
      <c r="S39" s="27">
        <v>1.1894908500553467E-3</v>
      </c>
    </row>
    <row r="40" spans="1:19" x14ac:dyDescent="0.2">
      <c r="A40" s="2" t="s">
        <v>17</v>
      </c>
      <c r="B40">
        <v>20111018</v>
      </c>
      <c r="C40">
        <v>130000</v>
      </c>
      <c r="D40" t="s">
        <v>154</v>
      </c>
      <c r="E40">
        <v>10000000</v>
      </c>
      <c r="F40">
        <v>100</v>
      </c>
      <c r="G40">
        <v>100</v>
      </c>
      <c r="H40" s="10">
        <v>10.8</v>
      </c>
      <c r="I40" t="s">
        <v>14</v>
      </c>
      <c r="J40">
        <v>1E-3</v>
      </c>
      <c r="K40" s="8">
        <v>1</v>
      </c>
      <c r="L40" s="10">
        <v>10.8</v>
      </c>
      <c r="M40" s="25">
        <v>108000000000</v>
      </c>
      <c r="N40" s="25" t="s">
        <v>415</v>
      </c>
      <c r="O40" s="29" t="s">
        <v>415</v>
      </c>
      <c r="P40" s="29" t="s">
        <v>415</v>
      </c>
      <c r="Q40" t="s">
        <v>14</v>
      </c>
      <c r="R40" s="2" t="s">
        <v>286</v>
      </c>
      <c r="S40" s="27">
        <v>3.6704289087422124E-3</v>
      </c>
    </row>
    <row r="41" spans="1:19" x14ac:dyDescent="0.2">
      <c r="A41" s="2" t="s">
        <v>271</v>
      </c>
      <c r="B41">
        <v>20111018</v>
      </c>
      <c r="C41">
        <v>130000</v>
      </c>
      <c r="D41" t="s">
        <v>275</v>
      </c>
      <c r="E41">
        <v>2000000</v>
      </c>
      <c r="F41">
        <v>100</v>
      </c>
      <c r="G41">
        <v>100</v>
      </c>
      <c r="H41" s="10">
        <v>35.200000000000003</v>
      </c>
      <c r="I41" t="s">
        <v>14</v>
      </c>
      <c r="J41">
        <v>1E-3</v>
      </c>
      <c r="K41" s="8">
        <v>1</v>
      </c>
      <c r="L41" s="10">
        <v>35.200000000000003</v>
      </c>
      <c r="M41" s="25">
        <v>70400000000</v>
      </c>
      <c r="N41" s="25" t="s">
        <v>415</v>
      </c>
      <c r="O41" s="29" t="s">
        <v>415</v>
      </c>
      <c r="P41" s="29" t="s">
        <v>415</v>
      </c>
      <c r="Q41" t="s">
        <v>14</v>
      </c>
      <c r="R41" s="2" t="s">
        <v>286</v>
      </c>
      <c r="S41" s="27">
        <v>2.392575881254183E-3</v>
      </c>
    </row>
    <row r="42" spans="1:19" x14ac:dyDescent="0.2">
      <c r="A42" s="2" t="s">
        <v>36</v>
      </c>
      <c r="B42">
        <v>20111018</v>
      </c>
      <c r="C42">
        <v>130000</v>
      </c>
      <c r="D42" t="s">
        <v>152</v>
      </c>
      <c r="E42">
        <v>377647740</v>
      </c>
      <c r="F42">
        <v>100</v>
      </c>
      <c r="G42">
        <v>100</v>
      </c>
      <c r="H42" s="10">
        <v>33</v>
      </c>
      <c r="I42" t="s">
        <v>14</v>
      </c>
      <c r="J42">
        <v>1E-3</v>
      </c>
      <c r="K42" s="8">
        <v>1</v>
      </c>
      <c r="L42" s="10">
        <v>33</v>
      </c>
      <c r="M42" s="25">
        <v>12462375420000</v>
      </c>
      <c r="N42" s="25">
        <v>377647740000</v>
      </c>
      <c r="O42" s="29">
        <v>1</v>
      </c>
      <c r="P42" s="29">
        <v>1</v>
      </c>
      <c r="Q42" t="s">
        <v>14</v>
      </c>
      <c r="R42" s="2" t="s">
        <v>378</v>
      </c>
      <c r="S42" s="27">
        <v>0.42353947234413308</v>
      </c>
    </row>
    <row r="43" spans="1:19" x14ac:dyDescent="0.2">
      <c r="A43" s="2" t="s">
        <v>38</v>
      </c>
      <c r="B43">
        <v>20111018</v>
      </c>
      <c r="C43">
        <v>130000</v>
      </c>
      <c r="D43" t="s">
        <v>60</v>
      </c>
      <c r="E43">
        <v>70371300</v>
      </c>
      <c r="F43">
        <v>100</v>
      </c>
      <c r="G43">
        <v>100</v>
      </c>
      <c r="H43" s="10">
        <v>12</v>
      </c>
      <c r="I43" t="s">
        <v>14</v>
      </c>
      <c r="J43">
        <v>1E-3</v>
      </c>
      <c r="K43" s="8">
        <v>1</v>
      </c>
      <c r="L43" s="10">
        <v>12</v>
      </c>
      <c r="M43" s="25">
        <v>844455600000</v>
      </c>
      <c r="N43" s="25" t="s">
        <v>415</v>
      </c>
      <c r="O43" s="29" t="s">
        <v>415</v>
      </c>
      <c r="P43" s="29" t="s">
        <v>415</v>
      </c>
      <c r="Q43" t="s">
        <v>14</v>
      </c>
      <c r="R43" s="2" t="s">
        <v>378</v>
      </c>
      <c r="S43" s="27">
        <v>2.869920598508565E-2</v>
      </c>
    </row>
    <row r="44" spans="1:19" x14ac:dyDescent="0.2">
      <c r="A44" s="2" t="s">
        <v>22</v>
      </c>
      <c r="B44">
        <v>20111018</v>
      </c>
      <c r="C44">
        <v>130000</v>
      </c>
      <c r="D44" t="s">
        <v>148</v>
      </c>
      <c r="E44">
        <v>100000000</v>
      </c>
      <c r="F44">
        <v>100</v>
      </c>
      <c r="G44">
        <v>100</v>
      </c>
      <c r="H44" s="10">
        <v>15.4</v>
      </c>
      <c r="I44" t="s">
        <v>14</v>
      </c>
      <c r="J44">
        <v>1E-3</v>
      </c>
      <c r="K44" s="8">
        <v>1</v>
      </c>
      <c r="L44" s="10">
        <v>15.4</v>
      </c>
      <c r="M44" s="25">
        <v>1540000000000</v>
      </c>
      <c r="N44" s="25" t="s">
        <v>415</v>
      </c>
      <c r="O44" s="29" t="s">
        <v>415</v>
      </c>
      <c r="P44" s="29" t="s">
        <v>415</v>
      </c>
      <c r="Q44" t="s">
        <v>14</v>
      </c>
      <c r="R44" s="2" t="s">
        <v>378</v>
      </c>
      <c r="S44" s="27">
        <v>5.2337597402435251E-2</v>
      </c>
    </row>
    <row r="45" spans="1:19" x14ac:dyDescent="0.2">
      <c r="A45" s="2" t="s">
        <v>35</v>
      </c>
      <c r="B45">
        <v>20111018</v>
      </c>
      <c r="C45">
        <v>130000</v>
      </c>
      <c r="D45" t="s">
        <v>64</v>
      </c>
      <c r="E45">
        <v>600000000</v>
      </c>
      <c r="F45">
        <v>100</v>
      </c>
      <c r="G45">
        <v>100</v>
      </c>
      <c r="H45" s="10">
        <v>10.9</v>
      </c>
      <c r="I45" t="s">
        <v>14</v>
      </c>
      <c r="J45">
        <v>1E-3</v>
      </c>
      <c r="K45" s="8">
        <v>1</v>
      </c>
      <c r="L45" s="10">
        <v>10.9</v>
      </c>
      <c r="M45" s="25">
        <v>6540000000000</v>
      </c>
      <c r="N45" s="25" t="s">
        <v>415</v>
      </c>
      <c r="O45" s="29" t="s">
        <v>415</v>
      </c>
      <c r="P45" s="29" t="s">
        <v>415</v>
      </c>
      <c r="Q45" t="s">
        <v>14</v>
      </c>
      <c r="R45" s="2" t="s">
        <v>378</v>
      </c>
      <c r="S45" s="27">
        <v>0.22226486169605619</v>
      </c>
    </row>
    <row r="46" spans="1:19" x14ac:dyDescent="0.2">
      <c r="A46" s="2" t="s">
        <v>37</v>
      </c>
      <c r="B46">
        <v>20111018</v>
      </c>
      <c r="C46">
        <v>130000</v>
      </c>
      <c r="D46" t="s">
        <v>62</v>
      </c>
      <c r="E46">
        <v>232600000</v>
      </c>
      <c r="F46">
        <v>100</v>
      </c>
      <c r="G46">
        <v>100</v>
      </c>
      <c r="H46" s="10">
        <v>11.9</v>
      </c>
      <c r="I46" t="s">
        <v>14</v>
      </c>
      <c r="J46">
        <v>1E-3</v>
      </c>
      <c r="K46" s="8">
        <v>1</v>
      </c>
      <c r="L46" s="10">
        <v>11.9</v>
      </c>
      <c r="M46" s="25">
        <v>2767940000000</v>
      </c>
      <c r="N46" s="25" t="s">
        <v>415</v>
      </c>
      <c r="O46" s="29" t="s">
        <v>415</v>
      </c>
      <c r="P46" s="29" t="s">
        <v>415</v>
      </c>
      <c r="Q46" t="s">
        <v>14</v>
      </c>
      <c r="R46" s="2" t="s">
        <v>378</v>
      </c>
      <c r="S46" s="27">
        <v>9.4069694385777031E-2</v>
      </c>
    </row>
    <row r="47" spans="1:19" x14ac:dyDescent="0.2">
      <c r="A47" s="2" t="s">
        <v>28</v>
      </c>
      <c r="B47">
        <v>20111018</v>
      </c>
      <c r="C47">
        <v>130000</v>
      </c>
      <c r="D47" t="s">
        <v>149</v>
      </c>
      <c r="E47">
        <v>30000000</v>
      </c>
      <c r="F47">
        <v>100</v>
      </c>
      <c r="G47">
        <v>100</v>
      </c>
      <c r="H47" s="10">
        <v>7</v>
      </c>
      <c r="I47" t="s">
        <v>14</v>
      </c>
      <c r="J47">
        <v>1E-3</v>
      </c>
      <c r="K47" s="8">
        <v>1</v>
      </c>
      <c r="L47" s="10">
        <v>7</v>
      </c>
      <c r="M47" s="25">
        <v>210000000000</v>
      </c>
      <c r="N47" s="25" t="s">
        <v>415</v>
      </c>
      <c r="O47" s="29" t="s">
        <v>415</v>
      </c>
      <c r="P47" s="29" t="s">
        <v>415</v>
      </c>
      <c r="Q47" t="s">
        <v>14</v>
      </c>
      <c r="R47" s="2" t="s">
        <v>378</v>
      </c>
      <c r="S47" s="27">
        <v>7.1369451003320799E-3</v>
      </c>
    </row>
    <row r="48" spans="1:19" x14ac:dyDescent="0.2">
      <c r="A48" s="2" t="s">
        <v>26</v>
      </c>
      <c r="B48">
        <v>20111018</v>
      </c>
      <c r="C48">
        <v>130000</v>
      </c>
      <c r="D48" t="s">
        <v>61</v>
      </c>
      <c r="E48">
        <v>15000000</v>
      </c>
      <c r="F48">
        <v>100</v>
      </c>
      <c r="G48">
        <v>100</v>
      </c>
      <c r="H48" s="10">
        <v>15.6</v>
      </c>
      <c r="I48" t="s">
        <v>14</v>
      </c>
      <c r="J48">
        <v>1E-3</v>
      </c>
      <c r="K48" s="8">
        <v>1</v>
      </c>
      <c r="L48" s="10">
        <v>15.6</v>
      </c>
      <c r="M48" s="25">
        <v>234000000000</v>
      </c>
      <c r="N48" s="25" t="s">
        <v>415</v>
      </c>
      <c r="O48" s="29" t="s">
        <v>415</v>
      </c>
      <c r="P48" s="29" t="s">
        <v>415</v>
      </c>
      <c r="Q48" t="s">
        <v>14</v>
      </c>
      <c r="R48" s="2" t="s">
        <v>378</v>
      </c>
      <c r="S48" s="27">
        <v>7.9525959689414599E-3</v>
      </c>
    </row>
    <row r="49" spans="1:19" x14ac:dyDescent="0.2">
      <c r="A49" s="2" t="s">
        <v>30</v>
      </c>
      <c r="B49">
        <v>20111018</v>
      </c>
      <c r="C49">
        <v>130000</v>
      </c>
      <c r="D49" t="s">
        <v>150</v>
      </c>
      <c r="E49">
        <v>37518001</v>
      </c>
      <c r="F49">
        <v>100</v>
      </c>
      <c r="G49">
        <v>100</v>
      </c>
      <c r="H49" s="10">
        <v>8</v>
      </c>
      <c r="I49" t="s">
        <v>14</v>
      </c>
      <c r="J49">
        <v>1E-3</v>
      </c>
      <c r="K49" s="8">
        <v>1</v>
      </c>
      <c r="L49" s="10">
        <v>8</v>
      </c>
      <c r="M49" s="25">
        <v>300144008000</v>
      </c>
      <c r="N49" s="25" t="s">
        <v>415</v>
      </c>
      <c r="O49" s="29" t="s">
        <v>415</v>
      </c>
      <c r="P49" s="29" t="s">
        <v>415</v>
      </c>
      <c r="Q49" t="s">
        <v>14</v>
      </c>
      <c r="R49" s="2" t="s">
        <v>378</v>
      </c>
      <c r="S49" s="27">
        <v>1.0200530034712536E-2</v>
      </c>
    </row>
    <row r="50" spans="1:19" x14ac:dyDescent="0.2">
      <c r="A50" s="2" t="s">
        <v>32</v>
      </c>
      <c r="B50">
        <v>20111018</v>
      </c>
      <c r="C50">
        <v>130000</v>
      </c>
      <c r="D50" t="s">
        <v>151</v>
      </c>
      <c r="E50">
        <v>20000000</v>
      </c>
      <c r="F50">
        <v>100</v>
      </c>
      <c r="G50">
        <v>100</v>
      </c>
      <c r="H50" s="10">
        <v>10.199999999999999</v>
      </c>
      <c r="I50" t="s">
        <v>14</v>
      </c>
      <c r="J50">
        <v>1E-3</v>
      </c>
      <c r="K50" s="8">
        <v>1</v>
      </c>
      <c r="L50" s="10">
        <v>10.199999999999999</v>
      </c>
      <c r="M50" s="25">
        <v>204000000000</v>
      </c>
      <c r="N50" s="25" t="s">
        <v>415</v>
      </c>
      <c r="O50" s="29" t="s">
        <v>415</v>
      </c>
      <c r="P50" s="29" t="s">
        <v>415</v>
      </c>
      <c r="Q50" t="s">
        <v>14</v>
      </c>
      <c r="R50" s="2" t="s">
        <v>378</v>
      </c>
      <c r="S50" s="27">
        <v>6.9330323831797349E-3</v>
      </c>
    </row>
    <row r="51" spans="1:19" x14ac:dyDescent="0.2">
      <c r="A51" s="2" t="s">
        <v>34</v>
      </c>
      <c r="B51">
        <v>20111018</v>
      </c>
      <c r="C51">
        <v>130000</v>
      </c>
      <c r="D51" t="s">
        <v>67</v>
      </c>
      <c r="E51">
        <v>42900000</v>
      </c>
      <c r="F51">
        <v>100</v>
      </c>
      <c r="G51">
        <v>100</v>
      </c>
      <c r="H51" s="10">
        <v>12.3</v>
      </c>
      <c r="I51" t="s">
        <v>14</v>
      </c>
      <c r="J51">
        <v>1E-3</v>
      </c>
      <c r="K51" s="8">
        <v>1</v>
      </c>
      <c r="L51" s="10">
        <v>12.3</v>
      </c>
      <c r="M51" s="25">
        <v>527670000000</v>
      </c>
      <c r="N51" s="25" t="s">
        <v>415</v>
      </c>
      <c r="O51" s="29" t="s">
        <v>415</v>
      </c>
      <c r="P51" s="29" t="s">
        <v>415</v>
      </c>
      <c r="Q51" t="s">
        <v>14</v>
      </c>
      <c r="R51" s="2" t="s">
        <v>378</v>
      </c>
      <c r="S51" s="27">
        <v>1.7933103909962993E-2</v>
      </c>
    </row>
    <row r="52" spans="1:19" x14ac:dyDescent="0.2">
      <c r="A52" s="2" t="s">
        <v>39</v>
      </c>
      <c r="B52">
        <v>20111018</v>
      </c>
      <c r="C52">
        <v>130000</v>
      </c>
      <c r="D52" t="s">
        <v>68</v>
      </c>
      <c r="E52">
        <v>209740215</v>
      </c>
      <c r="F52">
        <v>100</v>
      </c>
      <c r="G52">
        <v>100</v>
      </c>
      <c r="H52" s="10">
        <v>8</v>
      </c>
      <c r="I52" t="s">
        <v>14</v>
      </c>
      <c r="J52">
        <v>1E-3</v>
      </c>
      <c r="K52" s="8">
        <v>1</v>
      </c>
      <c r="L52" s="10">
        <v>8</v>
      </c>
      <c r="M52" s="25">
        <v>1677921720000</v>
      </c>
      <c r="N52" s="25" t="s">
        <v>415</v>
      </c>
      <c r="O52" s="29" t="s">
        <v>415</v>
      </c>
      <c r="P52" s="29" t="s">
        <v>415</v>
      </c>
      <c r="Q52" t="s">
        <v>14</v>
      </c>
      <c r="R52" s="2" t="s">
        <v>378</v>
      </c>
      <c r="S52" s="27">
        <v>5.702492951568941E-2</v>
      </c>
    </row>
    <row r="53" spans="1:19" x14ac:dyDescent="0.2">
      <c r="A53" s="2" t="s">
        <v>263</v>
      </c>
      <c r="B53">
        <v>20111018</v>
      </c>
      <c r="C53">
        <v>130000</v>
      </c>
      <c r="D53" t="s">
        <v>274</v>
      </c>
      <c r="E53">
        <v>50000000</v>
      </c>
      <c r="F53">
        <v>100</v>
      </c>
      <c r="G53">
        <v>100</v>
      </c>
      <c r="H53" s="10">
        <v>15.8</v>
      </c>
      <c r="I53" t="s">
        <v>14</v>
      </c>
      <c r="J53">
        <v>1E-3</v>
      </c>
      <c r="K53" s="8">
        <v>1</v>
      </c>
      <c r="L53" s="10">
        <v>15.8</v>
      </c>
      <c r="M53" s="25">
        <v>790000000000</v>
      </c>
      <c r="N53" s="25" t="s">
        <v>415</v>
      </c>
      <c r="O53" s="29" t="s">
        <v>415</v>
      </c>
      <c r="P53" s="29" t="s">
        <v>415</v>
      </c>
      <c r="Q53" t="s">
        <v>14</v>
      </c>
      <c r="R53" s="2" t="s">
        <v>378</v>
      </c>
      <c r="S53" s="27">
        <v>2.684850775839211E-2</v>
      </c>
    </row>
    <row r="54" spans="1:19" x14ac:dyDescent="0.2">
      <c r="A54" s="2" t="s">
        <v>45</v>
      </c>
      <c r="B54">
        <v>20111018</v>
      </c>
      <c r="C54">
        <v>130000</v>
      </c>
      <c r="D54" t="s">
        <v>46</v>
      </c>
      <c r="E54">
        <v>35000000</v>
      </c>
      <c r="F54">
        <v>100</v>
      </c>
      <c r="G54">
        <v>100</v>
      </c>
      <c r="H54" s="10">
        <v>37.700000000000003</v>
      </c>
      <c r="I54" t="s">
        <v>14</v>
      </c>
      <c r="J54">
        <v>1E-3</v>
      </c>
      <c r="K54" s="8">
        <v>1</v>
      </c>
      <c r="L54" s="10">
        <v>37.700000000000003</v>
      </c>
      <c r="M54" s="25">
        <v>1319500000000</v>
      </c>
      <c r="N54" s="25" t="s">
        <v>415</v>
      </c>
      <c r="O54" s="29" t="s">
        <v>415</v>
      </c>
      <c r="P54" s="29" t="s">
        <v>415</v>
      </c>
      <c r="Q54" t="s">
        <v>14</v>
      </c>
      <c r="R54" s="2" t="s">
        <v>378</v>
      </c>
      <c r="S54" s="27">
        <v>4.4843805047086571E-2</v>
      </c>
    </row>
    <row r="55" spans="1:19" x14ac:dyDescent="0.2">
      <c r="A55" s="2" t="s">
        <v>271</v>
      </c>
      <c r="B55">
        <v>20111018</v>
      </c>
      <c r="C55">
        <v>130000</v>
      </c>
      <c r="D55" t="s">
        <v>275</v>
      </c>
      <c r="E55">
        <v>2000000</v>
      </c>
      <c r="F55">
        <v>100</v>
      </c>
      <c r="G55">
        <v>100</v>
      </c>
      <c r="H55" s="10">
        <v>35.200000000000003</v>
      </c>
      <c r="I55" t="s">
        <v>14</v>
      </c>
      <c r="J55">
        <v>1E-3</v>
      </c>
      <c r="K55" s="8">
        <v>1</v>
      </c>
      <c r="L55" s="10">
        <v>35.200000000000003</v>
      </c>
      <c r="M55" s="25">
        <v>70400000000</v>
      </c>
      <c r="N55" s="25" t="s">
        <v>415</v>
      </c>
      <c r="O55" s="29" t="s">
        <v>415</v>
      </c>
      <c r="P55" s="29" t="s">
        <v>415</v>
      </c>
      <c r="Q55" t="s">
        <v>14</v>
      </c>
      <c r="R55" s="2" t="s">
        <v>378</v>
      </c>
      <c r="S55" s="27">
        <v>2.392575881254183E-3</v>
      </c>
    </row>
    <row r="56" spans="1:19" x14ac:dyDescent="0.2">
      <c r="A56" s="2" t="s">
        <v>40</v>
      </c>
      <c r="B56">
        <v>20111018</v>
      </c>
      <c r="C56">
        <v>130000</v>
      </c>
      <c r="D56" t="s">
        <v>145</v>
      </c>
      <c r="E56">
        <v>59841300</v>
      </c>
      <c r="F56">
        <v>100</v>
      </c>
      <c r="G56">
        <v>100</v>
      </c>
      <c r="H56" s="10">
        <v>5</v>
      </c>
      <c r="I56" t="s">
        <v>14</v>
      </c>
      <c r="J56">
        <v>1E-3</v>
      </c>
      <c r="K56" s="8">
        <v>1</v>
      </c>
      <c r="L56" s="10">
        <v>5</v>
      </c>
      <c r="M56" s="25">
        <v>299206500000</v>
      </c>
      <c r="N56" s="25" t="s">
        <v>415</v>
      </c>
      <c r="O56" s="29" t="s">
        <v>415</v>
      </c>
      <c r="P56" s="29" t="s">
        <v>415</v>
      </c>
      <c r="Q56" t="s">
        <v>14</v>
      </c>
      <c r="R56" s="2" t="s">
        <v>378</v>
      </c>
      <c r="S56" s="27">
        <v>1.0168668400773859E-2</v>
      </c>
    </row>
    <row r="57" spans="1:19" x14ac:dyDescent="0.2">
      <c r="A57" s="2" t="s">
        <v>48</v>
      </c>
      <c r="B57">
        <v>20111018</v>
      </c>
      <c r="C57">
        <v>130000</v>
      </c>
      <c r="D57" t="s">
        <v>66</v>
      </c>
      <c r="E57">
        <v>157531264</v>
      </c>
      <c r="F57">
        <v>100</v>
      </c>
      <c r="G57">
        <v>100</v>
      </c>
      <c r="H57" s="10">
        <v>4.4000000000000004</v>
      </c>
      <c r="I57" t="s">
        <v>14</v>
      </c>
      <c r="J57">
        <v>1E-3</v>
      </c>
      <c r="K57" s="8">
        <v>1</v>
      </c>
      <c r="L57" s="10">
        <v>4.4000000000000004</v>
      </c>
      <c r="M57" s="25">
        <v>693137561600</v>
      </c>
      <c r="N57" s="25" t="s">
        <v>415</v>
      </c>
      <c r="O57" s="29" t="s">
        <v>415</v>
      </c>
      <c r="P57" s="29" t="s">
        <v>415</v>
      </c>
      <c r="Q57" t="s">
        <v>14</v>
      </c>
      <c r="R57" s="2" t="s">
        <v>378</v>
      </c>
      <c r="S57" s="27">
        <v>2.3556593924367836E-2</v>
      </c>
    </row>
    <row r="58" spans="1:19" x14ac:dyDescent="0.2">
      <c r="A58" s="2" t="s">
        <v>41</v>
      </c>
      <c r="B58">
        <v>20111018</v>
      </c>
      <c r="C58">
        <v>130000</v>
      </c>
      <c r="D58" t="s">
        <v>65</v>
      </c>
      <c r="E58">
        <v>52356713</v>
      </c>
      <c r="F58">
        <v>100</v>
      </c>
      <c r="G58">
        <v>100</v>
      </c>
      <c r="H58" s="10">
        <v>23</v>
      </c>
      <c r="I58" t="s">
        <v>14</v>
      </c>
      <c r="J58">
        <v>1E-3</v>
      </c>
      <c r="K58" s="8">
        <v>1</v>
      </c>
      <c r="L58" s="10">
        <v>23</v>
      </c>
      <c r="M58" s="25">
        <v>1204204399000</v>
      </c>
      <c r="N58" s="25" t="s">
        <v>415</v>
      </c>
      <c r="O58" s="29" t="s">
        <v>415</v>
      </c>
      <c r="P58" s="29" t="s">
        <v>415</v>
      </c>
      <c r="Q58" t="s">
        <v>14</v>
      </c>
      <c r="R58" s="2" t="s">
        <v>378</v>
      </c>
      <c r="S58" s="27">
        <v>4.0925431834482794E-2</v>
      </c>
    </row>
    <row r="59" spans="1:19" x14ac:dyDescent="0.2">
      <c r="A59" s="2" t="s">
        <v>15</v>
      </c>
      <c r="B59">
        <v>20111018</v>
      </c>
      <c r="C59">
        <v>130000</v>
      </c>
      <c r="D59" t="s">
        <v>153</v>
      </c>
      <c r="E59">
        <v>23000000</v>
      </c>
      <c r="F59">
        <v>100</v>
      </c>
      <c r="G59">
        <v>100</v>
      </c>
      <c r="H59" s="10">
        <v>5.8</v>
      </c>
      <c r="I59" t="s">
        <v>14</v>
      </c>
      <c r="J59">
        <v>1E-3</v>
      </c>
      <c r="K59" s="8">
        <v>1</v>
      </c>
      <c r="L59" s="10">
        <v>5.8</v>
      </c>
      <c r="M59" s="25">
        <v>133400000000</v>
      </c>
      <c r="N59" s="25" t="s">
        <v>415</v>
      </c>
      <c r="O59" s="29" t="s">
        <v>415</v>
      </c>
      <c r="P59" s="29" t="s">
        <v>415</v>
      </c>
      <c r="Q59" t="s">
        <v>14</v>
      </c>
      <c r="R59" s="2" t="s">
        <v>378</v>
      </c>
      <c r="S59" s="27">
        <v>4.5336594113538067E-3</v>
      </c>
    </row>
    <row r="60" spans="1:19" x14ac:dyDescent="0.2">
      <c r="A60" s="2" t="s">
        <v>267</v>
      </c>
      <c r="B60">
        <v>20111018</v>
      </c>
      <c r="C60">
        <v>130000</v>
      </c>
      <c r="D60" t="s">
        <v>276</v>
      </c>
      <c r="E60">
        <v>15000000</v>
      </c>
      <c r="F60">
        <v>100</v>
      </c>
      <c r="G60">
        <v>100</v>
      </c>
      <c r="H60" s="10">
        <v>12.5</v>
      </c>
      <c r="I60" t="s">
        <v>14</v>
      </c>
      <c r="J60">
        <v>1E-3</v>
      </c>
      <c r="K60" s="8">
        <v>1</v>
      </c>
      <c r="L60" s="10">
        <v>12.5</v>
      </c>
      <c r="M60" s="25">
        <v>187500000000</v>
      </c>
      <c r="N60" s="25" t="s">
        <v>415</v>
      </c>
      <c r="O60" s="29" t="s">
        <v>415</v>
      </c>
      <c r="P60" s="29" t="s">
        <v>415</v>
      </c>
      <c r="Q60" t="s">
        <v>14</v>
      </c>
      <c r="R60" s="2" t="s">
        <v>378</v>
      </c>
      <c r="S60" s="27">
        <v>6.3722724110107862E-3</v>
      </c>
    </row>
    <row r="61" spans="1:19" x14ac:dyDescent="0.2">
      <c r="A61" s="2" t="s">
        <v>43</v>
      </c>
      <c r="B61">
        <v>20111018</v>
      </c>
      <c r="C61">
        <v>130000</v>
      </c>
      <c r="D61" t="s">
        <v>147</v>
      </c>
      <c r="E61">
        <v>18000000</v>
      </c>
      <c r="F61">
        <v>100</v>
      </c>
      <c r="G61">
        <v>100</v>
      </c>
      <c r="H61" s="10">
        <v>6.8</v>
      </c>
      <c r="I61" t="s">
        <v>14</v>
      </c>
      <c r="J61">
        <v>1E-3</v>
      </c>
      <c r="K61" s="8">
        <v>1</v>
      </c>
      <c r="L61" s="10">
        <v>6.8</v>
      </c>
      <c r="M61" s="25">
        <v>122400000000</v>
      </c>
      <c r="N61" s="25" t="s">
        <v>415</v>
      </c>
      <c r="O61" s="29" t="s">
        <v>415</v>
      </c>
      <c r="P61" s="29" t="s">
        <v>415</v>
      </c>
      <c r="Q61" t="s">
        <v>14</v>
      </c>
      <c r="R61" s="2" t="s">
        <v>378</v>
      </c>
      <c r="S61" s="27">
        <v>4.1598194299078406E-3</v>
      </c>
    </row>
    <row r="62" spans="1:19" x14ac:dyDescent="0.2">
      <c r="A62" s="2" t="s">
        <v>24</v>
      </c>
      <c r="B62">
        <v>20111018</v>
      </c>
      <c r="C62">
        <v>130000</v>
      </c>
      <c r="D62" t="s">
        <v>63</v>
      </c>
      <c r="E62">
        <v>250000000</v>
      </c>
      <c r="F62">
        <v>100</v>
      </c>
      <c r="G62">
        <v>100</v>
      </c>
      <c r="H62" s="10">
        <v>7</v>
      </c>
      <c r="I62" t="s">
        <v>14</v>
      </c>
      <c r="J62">
        <v>1E-3</v>
      </c>
      <c r="K62" s="8">
        <v>1</v>
      </c>
      <c r="L62" s="10">
        <v>7</v>
      </c>
      <c r="M62" s="25">
        <v>1750000000000</v>
      </c>
      <c r="N62" s="25" t="s">
        <v>415</v>
      </c>
      <c r="O62" s="29" t="s">
        <v>415</v>
      </c>
      <c r="P62" s="29" t="s">
        <v>415</v>
      </c>
      <c r="Q62" t="s">
        <v>14</v>
      </c>
      <c r="R62" s="2" t="s">
        <v>378</v>
      </c>
      <c r="S62" s="27">
        <v>5.9474542502767333E-2</v>
      </c>
    </row>
    <row r="63" spans="1:19" x14ac:dyDescent="0.2">
      <c r="A63" s="2" t="s">
        <v>265</v>
      </c>
      <c r="B63">
        <v>20111018</v>
      </c>
      <c r="C63">
        <v>130000</v>
      </c>
      <c r="D63" t="s">
        <v>273</v>
      </c>
      <c r="E63">
        <v>18870000</v>
      </c>
      <c r="F63">
        <v>100</v>
      </c>
      <c r="G63">
        <v>100</v>
      </c>
      <c r="H63" s="10">
        <v>5.9</v>
      </c>
      <c r="I63" t="s">
        <v>14</v>
      </c>
      <c r="J63">
        <v>1E-3</v>
      </c>
      <c r="K63" s="8">
        <v>1</v>
      </c>
      <c r="L63" s="10">
        <v>5.9</v>
      </c>
      <c r="M63" s="25">
        <v>111333000000</v>
      </c>
      <c r="N63" s="25" t="s">
        <v>415</v>
      </c>
      <c r="O63" s="29" t="s">
        <v>415</v>
      </c>
      <c r="P63" s="29" t="s">
        <v>415</v>
      </c>
      <c r="Q63" t="s">
        <v>14</v>
      </c>
      <c r="R63" s="2" t="s">
        <v>378</v>
      </c>
      <c r="S63" s="27">
        <v>3.7837024231203403E-3</v>
      </c>
    </row>
    <row r="64" spans="1:19" x14ac:dyDescent="0.2">
      <c r="A64" s="2" t="s">
        <v>269</v>
      </c>
      <c r="B64">
        <v>20111018</v>
      </c>
      <c r="C64">
        <v>130000</v>
      </c>
      <c r="D64" t="s">
        <v>277</v>
      </c>
      <c r="E64">
        <v>35000000</v>
      </c>
      <c r="F64">
        <v>100</v>
      </c>
      <c r="G64">
        <v>100</v>
      </c>
      <c r="H64" s="10">
        <v>4.5999999999999996</v>
      </c>
      <c r="I64" t="s">
        <v>14</v>
      </c>
      <c r="J64">
        <v>1E-3</v>
      </c>
      <c r="K64" s="8">
        <v>1</v>
      </c>
      <c r="L64" s="10">
        <v>4.5999999999999996</v>
      </c>
      <c r="M64" s="25">
        <v>161000000000</v>
      </c>
      <c r="N64" s="25" t="s">
        <v>415</v>
      </c>
      <c r="O64" s="29" t="s">
        <v>415</v>
      </c>
      <c r="P64" s="29" t="s">
        <v>415</v>
      </c>
      <c r="Q64" t="s">
        <v>14</v>
      </c>
      <c r="R64" s="2" t="s">
        <v>378</v>
      </c>
      <c r="S64" s="27">
        <v>5.4716579102545944E-3</v>
      </c>
    </row>
    <row r="65" spans="1:19" x14ac:dyDescent="0.2">
      <c r="A65" s="2" t="s">
        <v>47</v>
      </c>
      <c r="B65">
        <v>20111018</v>
      </c>
      <c r="C65">
        <v>130000</v>
      </c>
      <c r="D65" t="s">
        <v>69</v>
      </c>
      <c r="E65">
        <v>297802094</v>
      </c>
      <c r="F65">
        <v>100</v>
      </c>
      <c r="G65">
        <v>100</v>
      </c>
      <c r="H65" s="10">
        <v>4.5</v>
      </c>
      <c r="I65" t="s">
        <v>14</v>
      </c>
      <c r="J65">
        <v>1E-3</v>
      </c>
      <c r="K65" s="8">
        <v>1</v>
      </c>
      <c r="L65" s="10">
        <v>4.5</v>
      </c>
      <c r="M65" s="25">
        <v>1340109423000</v>
      </c>
      <c r="N65" s="25">
        <v>357362512800</v>
      </c>
      <c r="O65" s="29">
        <v>1.2</v>
      </c>
      <c r="P65" s="29">
        <v>1.2</v>
      </c>
      <c r="Q65" t="s">
        <v>14</v>
      </c>
      <c r="R65" s="2" t="s">
        <v>378</v>
      </c>
      <c r="S65" s="27">
        <v>4.5544225620898576E-2</v>
      </c>
    </row>
    <row r="66" spans="1:19" x14ac:dyDescent="0.2">
      <c r="A66" s="2" t="s">
        <v>44</v>
      </c>
      <c r="B66">
        <v>20111018</v>
      </c>
      <c r="C66">
        <v>130000</v>
      </c>
      <c r="D66" t="s">
        <v>59</v>
      </c>
      <c r="E66">
        <v>38000000</v>
      </c>
      <c r="F66">
        <v>100</v>
      </c>
      <c r="G66">
        <v>100</v>
      </c>
      <c r="H66" s="10">
        <v>3.4</v>
      </c>
      <c r="I66" t="s">
        <v>14</v>
      </c>
      <c r="J66">
        <v>1E-3</v>
      </c>
      <c r="K66" s="8">
        <v>1</v>
      </c>
      <c r="L66" s="10">
        <v>3.4</v>
      </c>
      <c r="M66" s="25">
        <v>129200000000</v>
      </c>
      <c r="N66" s="25" t="s">
        <v>415</v>
      </c>
      <c r="O66" s="29" t="s">
        <v>415</v>
      </c>
      <c r="P66" s="29" t="s">
        <v>415</v>
      </c>
      <c r="Q66" t="s">
        <v>14</v>
      </c>
      <c r="R66" s="2" t="s">
        <v>378</v>
      </c>
      <c r="S66" s="27">
        <v>4.3909205093471656E-3</v>
      </c>
    </row>
    <row r="67" spans="1:19" x14ac:dyDescent="0.2">
      <c r="A67" s="2" t="s">
        <v>42</v>
      </c>
      <c r="B67">
        <v>20111018</v>
      </c>
      <c r="C67">
        <v>130000</v>
      </c>
      <c r="D67" t="s">
        <v>58</v>
      </c>
      <c r="E67">
        <v>27719850</v>
      </c>
      <c r="F67">
        <v>100</v>
      </c>
      <c r="G67">
        <v>100</v>
      </c>
      <c r="H67" s="10">
        <v>2.6</v>
      </c>
      <c r="I67" t="s">
        <v>14</v>
      </c>
      <c r="J67">
        <v>1E-3</v>
      </c>
      <c r="K67" s="8">
        <v>1</v>
      </c>
      <c r="L67" s="10">
        <v>2.6</v>
      </c>
      <c r="M67" s="25">
        <v>72071610000</v>
      </c>
      <c r="N67" s="25" t="s">
        <v>415</v>
      </c>
      <c r="O67" s="29" t="s">
        <v>415</v>
      </c>
      <c r="P67" s="29" t="s">
        <v>415</v>
      </c>
      <c r="Q67" t="s">
        <v>14</v>
      </c>
      <c r="R67" s="2" t="s">
        <v>378</v>
      </c>
      <c r="S67" s="27">
        <v>2.4493863041073548E-3</v>
      </c>
    </row>
    <row r="68" spans="1:19" x14ac:dyDescent="0.2">
      <c r="A68" s="2" t="s">
        <v>36</v>
      </c>
      <c r="B68">
        <v>20111018</v>
      </c>
      <c r="C68">
        <v>130000</v>
      </c>
      <c r="D68" t="s">
        <v>152</v>
      </c>
      <c r="E68">
        <v>377647740</v>
      </c>
      <c r="F68">
        <v>100</v>
      </c>
      <c r="G68">
        <v>100</v>
      </c>
      <c r="H68" s="10">
        <v>33</v>
      </c>
      <c r="I68" t="s">
        <v>14</v>
      </c>
      <c r="J68">
        <v>1E-3</v>
      </c>
      <c r="K68" s="8">
        <v>1</v>
      </c>
      <c r="L68" s="10">
        <v>33</v>
      </c>
      <c r="M68" s="25">
        <v>12462375420000</v>
      </c>
      <c r="N68" s="25">
        <v>377647740000</v>
      </c>
      <c r="O68" s="29">
        <v>1</v>
      </c>
      <c r="P68" s="29">
        <v>1</v>
      </c>
      <c r="Q68" t="s">
        <v>14</v>
      </c>
      <c r="R68" s="2" t="s">
        <v>300</v>
      </c>
      <c r="S68" s="27">
        <v>0.42353947234413308</v>
      </c>
    </row>
    <row r="69" spans="1:19" x14ac:dyDescent="0.2">
      <c r="A69" s="2" t="s">
        <v>38</v>
      </c>
      <c r="B69">
        <v>20111018</v>
      </c>
      <c r="C69">
        <v>130000</v>
      </c>
      <c r="D69" t="s">
        <v>60</v>
      </c>
      <c r="E69">
        <v>70371300</v>
      </c>
      <c r="F69">
        <v>100</v>
      </c>
      <c r="G69">
        <v>100</v>
      </c>
      <c r="H69" s="10">
        <v>12</v>
      </c>
      <c r="I69" t="s">
        <v>14</v>
      </c>
      <c r="J69">
        <v>1E-3</v>
      </c>
      <c r="K69" s="8">
        <v>1</v>
      </c>
      <c r="L69" s="10">
        <v>12</v>
      </c>
      <c r="M69" s="25">
        <v>844455600000</v>
      </c>
      <c r="N69" s="25" t="s">
        <v>415</v>
      </c>
      <c r="O69" s="29" t="s">
        <v>415</v>
      </c>
      <c r="P69" s="29" t="s">
        <v>415</v>
      </c>
      <c r="Q69" t="s">
        <v>14</v>
      </c>
      <c r="R69" s="2" t="s">
        <v>300</v>
      </c>
      <c r="S69" s="27">
        <v>2.869920598508565E-2</v>
      </c>
    </row>
    <row r="70" spans="1:19" x14ac:dyDescent="0.2">
      <c r="A70" s="2" t="s">
        <v>22</v>
      </c>
      <c r="B70">
        <v>20111018</v>
      </c>
      <c r="C70">
        <v>130000</v>
      </c>
      <c r="D70" t="s">
        <v>148</v>
      </c>
      <c r="E70">
        <v>100000000</v>
      </c>
      <c r="F70">
        <v>100</v>
      </c>
      <c r="G70">
        <v>100</v>
      </c>
      <c r="H70" s="10">
        <v>15.4</v>
      </c>
      <c r="I70" t="s">
        <v>14</v>
      </c>
      <c r="J70">
        <v>1E-3</v>
      </c>
      <c r="K70" s="8">
        <v>1</v>
      </c>
      <c r="L70" s="10">
        <v>15.4</v>
      </c>
      <c r="M70" s="25">
        <v>1540000000000</v>
      </c>
      <c r="N70" s="25" t="s">
        <v>415</v>
      </c>
      <c r="O70" s="29" t="s">
        <v>415</v>
      </c>
      <c r="P70" s="29" t="s">
        <v>415</v>
      </c>
      <c r="Q70" t="s">
        <v>14</v>
      </c>
      <c r="R70" s="2" t="s">
        <v>300</v>
      </c>
      <c r="S70" s="27">
        <v>5.2337597402435251E-2</v>
      </c>
    </row>
    <row r="71" spans="1:19" x14ac:dyDescent="0.2">
      <c r="A71" s="2" t="s">
        <v>35</v>
      </c>
      <c r="B71">
        <v>20111018</v>
      </c>
      <c r="C71">
        <v>130000</v>
      </c>
      <c r="D71" t="s">
        <v>64</v>
      </c>
      <c r="E71">
        <v>600000000</v>
      </c>
      <c r="F71">
        <v>100</v>
      </c>
      <c r="G71">
        <v>100</v>
      </c>
      <c r="H71" s="10">
        <v>10.9</v>
      </c>
      <c r="I71" t="s">
        <v>14</v>
      </c>
      <c r="J71">
        <v>1E-3</v>
      </c>
      <c r="K71" s="8">
        <v>1</v>
      </c>
      <c r="L71" s="10">
        <v>10.9</v>
      </c>
      <c r="M71" s="25">
        <v>6540000000000</v>
      </c>
      <c r="N71" s="25" t="s">
        <v>415</v>
      </c>
      <c r="O71" s="29" t="s">
        <v>415</v>
      </c>
      <c r="P71" s="29" t="s">
        <v>415</v>
      </c>
      <c r="Q71" t="s">
        <v>14</v>
      </c>
      <c r="R71" s="2" t="s">
        <v>300</v>
      </c>
      <c r="S71" s="27">
        <v>0.22226486169605619</v>
      </c>
    </row>
    <row r="72" spans="1:19" x14ac:dyDescent="0.2">
      <c r="A72" s="2" t="s">
        <v>37</v>
      </c>
      <c r="B72">
        <v>20111018</v>
      </c>
      <c r="C72">
        <v>130000</v>
      </c>
      <c r="D72" t="s">
        <v>62</v>
      </c>
      <c r="E72">
        <v>232600000</v>
      </c>
      <c r="F72">
        <v>100</v>
      </c>
      <c r="G72">
        <v>100</v>
      </c>
      <c r="H72" s="10">
        <v>11.9</v>
      </c>
      <c r="I72" t="s">
        <v>14</v>
      </c>
      <c r="J72">
        <v>1E-3</v>
      </c>
      <c r="K72" s="8">
        <v>1</v>
      </c>
      <c r="L72" s="10">
        <v>11.9</v>
      </c>
      <c r="M72" s="25">
        <v>2767940000000</v>
      </c>
      <c r="N72" s="25" t="s">
        <v>415</v>
      </c>
      <c r="O72" s="29" t="s">
        <v>415</v>
      </c>
      <c r="P72" s="29" t="s">
        <v>415</v>
      </c>
      <c r="Q72" t="s">
        <v>14</v>
      </c>
      <c r="R72" s="2" t="s">
        <v>300</v>
      </c>
      <c r="S72" s="27">
        <v>9.4069694385777031E-2</v>
      </c>
    </row>
    <row r="73" spans="1:19" x14ac:dyDescent="0.2">
      <c r="A73" s="2" t="s">
        <v>28</v>
      </c>
      <c r="B73">
        <v>20111018</v>
      </c>
      <c r="C73">
        <v>130000</v>
      </c>
      <c r="D73" t="s">
        <v>149</v>
      </c>
      <c r="E73">
        <v>30000000</v>
      </c>
      <c r="F73">
        <v>100</v>
      </c>
      <c r="G73">
        <v>100</v>
      </c>
      <c r="H73" s="10">
        <v>7</v>
      </c>
      <c r="I73" t="s">
        <v>14</v>
      </c>
      <c r="J73">
        <v>1E-3</v>
      </c>
      <c r="K73" s="8">
        <v>1</v>
      </c>
      <c r="L73" s="10">
        <v>7</v>
      </c>
      <c r="M73" s="25">
        <v>210000000000</v>
      </c>
      <c r="N73" s="25" t="s">
        <v>415</v>
      </c>
      <c r="O73" s="29" t="s">
        <v>415</v>
      </c>
      <c r="P73" s="29" t="s">
        <v>415</v>
      </c>
      <c r="Q73" t="s">
        <v>14</v>
      </c>
      <c r="R73" s="2" t="s">
        <v>300</v>
      </c>
      <c r="S73" s="27">
        <v>7.1369451003320799E-3</v>
      </c>
    </row>
    <row r="74" spans="1:19" x14ac:dyDescent="0.2">
      <c r="A74" s="2" t="s">
        <v>26</v>
      </c>
      <c r="B74">
        <v>20111018</v>
      </c>
      <c r="C74">
        <v>130000</v>
      </c>
      <c r="D74" t="s">
        <v>61</v>
      </c>
      <c r="E74">
        <v>15000000</v>
      </c>
      <c r="F74">
        <v>100</v>
      </c>
      <c r="G74">
        <v>100</v>
      </c>
      <c r="H74" s="10">
        <v>15.6</v>
      </c>
      <c r="I74" t="s">
        <v>14</v>
      </c>
      <c r="J74">
        <v>1E-3</v>
      </c>
      <c r="K74" s="8">
        <v>1</v>
      </c>
      <c r="L74" s="10">
        <v>15.6</v>
      </c>
      <c r="M74" s="25">
        <v>234000000000</v>
      </c>
      <c r="N74" s="25" t="s">
        <v>415</v>
      </c>
      <c r="O74" s="29" t="s">
        <v>415</v>
      </c>
      <c r="P74" s="29" t="s">
        <v>415</v>
      </c>
      <c r="Q74" t="s">
        <v>14</v>
      </c>
      <c r="R74" s="2" t="s">
        <v>300</v>
      </c>
      <c r="S74" s="27">
        <v>7.9525959689414599E-3</v>
      </c>
    </row>
    <row r="75" spans="1:19" x14ac:dyDescent="0.2">
      <c r="A75" s="2" t="s">
        <v>30</v>
      </c>
      <c r="B75">
        <v>20111018</v>
      </c>
      <c r="C75">
        <v>130000</v>
      </c>
      <c r="D75" t="s">
        <v>150</v>
      </c>
      <c r="E75">
        <v>37518001</v>
      </c>
      <c r="F75">
        <v>100</v>
      </c>
      <c r="G75">
        <v>100</v>
      </c>
      <c r="H75" s="10">
        <v>8</v>
      </c>
      <c r="I75" t="s">
        <v>14</v>
      </c>
      <c r="J75">
        <v>1E-3</v>
      </c>
      <c r="K75" s="8">
        <v>1</v>
      </c>
      <c r="L75" s="10">
        <v>8</v>
      </c>
      <c r="M75" s="25">
        <v>300144008000</v>
      </c>
      <c r="N75" s="25" t="s">
        <v>415</v>
      </c>
      <c r="O75" s="29" t="s">
        <v>415</v>
      </c>
      <c r="P75" s="29" t="s">
        <v>415</v>
      </c>
      <c r="Q75" t="s">
        <v>14</v>
      </c>
      <c r="R75" s="2" t="s">
        <v>300</v>
      </c>
      <c r="S75" s="27">
        <v>1.0200530034712536E-2</v>
      </c>
    </row>
    <row r="76" spans="1:19" x14ac:dyDescent="0.2">
      <c r="A76" s="2" t="s">
        <v>32</v>
      </c>
      <c r="B76">
        <v>20111018</v>
      </c>
      <c r="C76">
        <v>130000</v>
      </c>
      <c r="D76" t="s">
        <v>151</v>
      </c>
      <c r="E76">
        <v>20000000</v>
      </c>
      <c r="F76">
        <v>100</v>
      </c>
      <c r="G76">
        <v>100</v>
      </c>
      <c r="H76" s="10">
        <v>10.199999999999999</v>
      </c>
      <c r="I76" t="s">
        <v>14</v>
      </c>
      <c r="J76">
        <v>1E-3</v>
      </c>
      <c r="K76" s="8">
        <v>1</v>
      </c>
      <c r="L76" s="10">
        <v>10.199999999999999</v>
      </c>
      <c r="M76" s="25">
        <v>204000000000</v>
      </c>
      <c r="N76" s="25" t="s">
        <v>415</v>
      </c>
      <c r="O76" s="29" t="s">
        <v>415</v>
      </c>
      <c r="P76" s="29" t="s">
        <v>415</v>
      </c>
      <c r="Q76" t="s">
        <v>14</v>
      </c>
      <c r="R76" s="2" t="s">
        <v>300</v>
      </c>
      <c r="S76" s="27">
        <v>6.9330323831797349E-3</v>
      </c>
    </row>
    <row r="77" spans="1:19" x14ac:dyDescent="0.2">
      <c r="A77" s="2" t="s">
        <v>34</v>
      </c>
      <c r="B77">
        <v>20111018</v>
      </c>
      <c r="C77">
        <v>130000</v>
      </c>
      <c r="D77" t="s">
        <v>67</v>
      </c>
      <c r="E77">
        <v>42900000</v>
      </c>
      <c r="F77">
        <v>100</v>
      </c>
      <c r="G77">
        <v>100</v>
      </c>
      <c r="H77" s="10">
        <v>12.3</v>
      </c>
      <c r="I77" t="s">
        <v>14</v>
      </c>
      <c r="J77">
        <v>1E-3</v>
      </c>
      <c r="K77" s="8">
        <v>1</v>
      </c>
      <c r="L77" s="10">
        <v>12.3</v>
      </c>
      <c r="M77" s="25">
        <v>527670000000</v>
      </c>
      <c r="N77" s="25" t="s">
        <v>415</v>
      </c>
      <c r="O77" s="29" t="s">
        <v>415</v>
      </c>
      <c r="P77" s="29" t="s">
        <v>415</v>
      </c>
      <c r="Q77" t="s">
        <v>14</v>
      </c>
      <c r="R77" s="2" t="s">
        <v>300</v>
      </c>
      <c r="S77" s="27">
        <v>1.7933103909962993E-2</v>
      </c>
    </row>
    <row r="78" spans="1:19" x14ac:dyDescent="0.2">
      <c r="A78" s="2" t="s">
        <v>39</v>
      </c>
      <c r="B78">
        <v>20111018</v>
      </c>
      <c r="C78">
        <v>130000</v>
      </c>
      <c r="D78" t="s">
        <v>68</v>
      </c>
      <c r="E78">
        <v>209740215</v>
      </c>
      <c r="F78">
        <v>100</v>
      </c>
      <c r="G78">
        <v>100</v>
      </c>
      <c r="H78" s="10">
        <v>8</v>
      </c>
      <c r="I78" t="s">
        <v>14</v>
      </c>
      <c r="J78">
        <v>1E-3</v>
      </c>
      <c r="K78" s="8">
        <v>1</v>
      </c>
      <c r="L78" s="10">
        <v>8</v>
      </c>
      <c r="M78" s="25">
        <v>1677921720000</v>
      </c>
      <c r="N78" s="25" t="s">
        <v>415</v>
      </c>
      <c r="O78" s="29" t="s">
        <v>415</v>
      </c>
      <c r="P78" s="29" t="s">
        <v>415</v>
      </c>
      <c r="Q78" t="s">
        <v>14</v>
      </c>
      <c r="R78" s="2" t="s">
        <v>300</v>
      </c>
      <c r="S78" s="27">
        <v>5.702492951568941E-2</v>
      </c>
    </row>
    <row r="79" spans="1:19" x14ac:dyDescent="0.2">
      <c r="A79" s="2" t="s">
        <v>263</v>
      </c>
      <c r="B79">
        <v>20111018</v>
      </c>
      <c r="C79">
        <v>130000</v>
      </c>
      <c r="D79" t="s">
        <v>274</v>
      </c>
      <c r="E79">
        <v>50000000</v>
      </c>
      <c r="F79">
        <v>100</v>
      </c>
      <c r="G79">
        <v>100</v>
      </c>
      <c r="H79" s="10">
        <v>15.8</v>
      </c>
      <c r="I79" t="s">
        <v>14</v>
      </c>
      <c r="J79">
        <v>1E-3</v>
      </c>
      <c r="K79" s="8">
        <v>1</v>
      </c>
      <c r="L79" s="10">
        <v>15.8</v>
      </c>
      <c r="M79" s="25">
        <v>790000000000</v>
      </c>
      <c r="N79" s="25" t="s">
        <v>415</v>
      </c>
      <c r="O79" s="29" t="s">
        <v>415</v>
      </c>
      <c r="P79" s="29" t="s">
        <v>415</v>
      </c>
      <c r="Q79" t="s">
        <v>14</v>
      </c>
      <c r="R79" s="2" t="s">
        <v>314</v>
      </c>
      <c r="S79" s="27">
        <v>2.684850775839211E-2</v>
      </c>
    </row>
    <row r="80" spans="1:19" x14ac:dyDescent="0.2">
      <c r="A80" s="2" t="s">
        <v>45</v>
      </c>
      <c r="B80">
        <v>20111018</v>
      </c>
      <c r="C80">
        <v>130000</v>
      </c>
      <c r="D80" t="s">
        <v>46</v>
      </c>
      <c r="E80">
        <v>35000000</v>
      </c>
      <c r="F80">
        <v>100</v>
      </c>
      <c r="G80">
        <v>100</v>
      </c>
      <c r="H80" s="10">
        <v>37.700000000000003</v>
      </c>
      <c r="I80" t="s">
        <v>14</v>
      </c>
      <c r="J80">
        <v>1E-3</v>
      </c>
      <c r="K80" s="8">
        <v>1</v>
      </c>
      <c r="L80" s="10">
        <v>37.700000000000003</v>
      </c>
      <c r="M80" s="25">
        <v>1319500000000</v>
      </c>
      <c r="N80" s="25" t="s">
        <v>415</v>
      </c>
      <c r="O80" s="29" t="s">
        <v>415</v>
      </c>
      <c r="P80" s="29" t="s">
        <v>415</v>
      </c>
      <c r="Q80" t="s">
        <v>14</v>
      </c>
      <c r="R80" s="2" t="s">
        <v>314</v>
      </c>
      <c r="S80" s="27">
        <v>4.4843805047086571E-2</v>
      </c>
    </row>
    <row r="81" spans="1:19" x14ac:dyDescent="0.2">
      <c r="A81" s="2" t="s">
        <v>271</v>
      </c>
      <c r="B81">
        <v>20111018</v>
      </c>
      <c r="C81">
        <v>130000</v>
      </c>
      <c r="D81" t="s">
        <v>275</v>
      </c>
      <c r="E81">
        <v>2000000</v>
      </c>
      <c r="F81">
        <v>100</v>
      </c>
      <c r="G81">
        <v>100</v>
      </c>
      <c r="H81" s="10">
        <v>35.200000000000003</v>
      </c>
      <c r="I81" t="s">
        <v>14</v>
      </c>
      <c r="J81">
        <v>1E-3</v>
      </c>
      <c r="K81" s="8">
        <v>1</v>
      </c>
      <c r="L81" s="10">
        <v>35.200000000000003</v>
      </c>
      <c r="M81" s="25">
        <v>70400000000</v>
      </c>
      <c r="N81" s="25" t="s">
        <v>415</v>
      </c>
      <c r="O81" s="29" t="s">
        <v>415</v>
      </c>
      <c r="P81" s="29" t="s">
        <v>415</v>
      </c>
      <c r="Q81" t="s">
        <v>14</v>
      </c>
      <c r="R81" s="2" t="s">
        <v>314</v>
      </c>
      <c r="S81" s="27">
        <v>2.392575881254183E-3</v>
      </c>
    </row>
    <row r="82" spans="1:19" x14ac:dyDescent="0.2">
      <c r="A82" s="2" t="s">
        <v>40</v>
      </c>
      <c r="B82">
        <v>20111018</v>
      </c>
      <c r="C82">
        <v>130000</v>
      </c>
      <c r="D82" t="s">
        <v>145</v>
      </c>
      <c r="E82">
        <v>59841300</v>
      </c>
      <c r="F82">
        <v>100</v>
      </c>
      <c r="G82">
        <v>100</v>
      </c>
      <c r="H82" s="10">
        <v>5</v>
      </c>
      <c r="I82" t="s">
        <v>14</v>
      </c>
      <c r="J82">
        <v>1E-3</v>
      </c>
      <c r="K82" s="8">
        <v>1</v>
      </c>
      <c r="L82" s="10">
        <v>5</v>
      </c>
      <c r="M82" s="25">
        <v>299206500000</v>
      </c>
      <c r="N82" s="25" t="s">
        <v>415</v>
      </c>
      <c r="O82" s="29" t="s">
        <v>415</v>
      </c>
      <c r="P82" s="29" t="s">
        <v>415</v>
      </c>
      <c r="Q82" t="s">
        <v>14</v>
      </c>
      <c r="R82" s="2" t="s">
        <v>314</v>
      </c>
      <c r="S82" s="27">
        <v>1.0168668400773859E-2</v>
      </c>
    </row>
    <row r="83" spans="1:19" x14ac:dyDescent="0.2">
      <c r="A83" s="2" t="s">
        <v>48</v>
      </c>
      <c r="B83">
        <v>20111018</v>
      </c>
      <c r="C83">
        <v>130000</v>
      </c>
      <c r="D83" t="s">
        <v>66</v>
      </c>
      <c r="E83">
        <v>157531264</v>
      </c>
      <c r="F83">
        <v>100</v>
      </c>
      <c r="G83">
        <v>100</v>
      </c>
      <c r="H83" s="10">
        <v>4.4000000000000004</v>
      </c>
      <c r="I83" t="s">
        <v>14</v>
      </c>
      <c r="J83">
        <v>1E-3</v>
      </c>
      <c r="K83" s="8">
        <v>1</v>
      </c>
      <c r="L83" s="10">
        <v>4.4000000000000004</v>
      </c>
      <c r="M83" s="25">
        <v>693137561600</v>
      </c>
      <c r="N83" s="25" t="s">
        <v>415</v>
      </c>
      <c r="O83" s="29" t="s">
        <v>415</v>
      </c>
      <c r="P83" s="29" t="s">
        <v>415</v>
      </c>
      <c r="Q83" t="s">
        <v>14</v>
      </c>
      <c r="R83" s="2" t="s">
        <v>314</v>
      </c>
      <c r="S83" s="27">
        <v>2.3556593924367836E-2</v>
      </c>
    </row>
    <row r="84" spans="1:19" x14ac:dyDescent="0.2">
      <c r="A84" s="2" t="s">
        <v>41</v>
      </c>
      <c r="B84">
        <v>20111018</v>
      </c>
      <c r="C84">
        <v>130000</v>
      </c>
      <c r="D84" t="s">
        <v>65</v>
      </c>
      <c r="E84">
        <v>52356713</v>
      </c>
      <c r="F84">
        <v>100</v>
      </c>
      <c r="G84">
        <v>100</v>
      </c>
      <c r="H84" s="10">
        <v>23</v>
      </c>
      <c r="I84" t="s">
        <v>14</v>
      </c>
      <c r="J84">
        <v>1E-3</v>
      </c>
      <c r="K84" s="8">
        <v>1</v>
      </c>
      <c r="L84" s="10">
        <v>23</v>
      </c>
      <c r="M84" s="25">
        <v>1204204399000</v>
      </c>
      <c r="N84" s="25" t="s">
        <v>415</v>
      </c>
      <c r="O84" s="29" t="s">
        <v>415</v>
      </c>
      <c r="P84" s="29" t="s">
        <v>415</v>
      </c>
      <c r="Q84" t="s">
        <v>14</v>
      </c>
      <c r="R84" s="2" t="s">
        <v>314</v>
      </c>
      <c r="S84" s="27">
        <v>4.0925431834482794E-2</v>
      </c>
    </row>
    <row r="85" spans="1:19" x14ac:dyDescent="0.2">
      <c r="A85" s="2" t="s">
        <v>15</v>
      </c>
      <c r="B85">
        <v>20111018</v>
      </c>
      <c r="C85">
        <v>130000</v>
      </c>
      <c r="D85" t="s">
        <v>153</v>
      </c>
      <c r="E85">
        <v>23000000</v>
      </c>
      <c r="F85">
        <v>100</v>
      </c>
      <c r="G85">
        <v>100</v>
      </c>
      <c r="H85" s="10">
        <v>5.8</v>
      </c>
      <c r="I85" t="s">
        <v>14</v>
      </c>
      <c r="J85">
        <v>1E-3</v>
      </c>
      <c r="K85" s="8">
        <v>1</v>
      </c>
      <c r="L85" s="10">
        <v>5.8</v>
      </c>
      <c r="M85" s="25">
        <v>133400000000</v>
      </c>
      <c r="N85" s="25" t="s">
        <v>415</v>
      </c>
      <c r="O85" s="29" t="s">
        <v>415</v>
      </c>
      <c r="P85" s="29" t="s">
        <v>415</v>
      </c>
      <c r="Q85" t="s">
        <v>14</v>
      </c>
      <c r="R85" s="2" t="s">
        <v>314</v>
      </c>
      <c r="S85" s="27">
        <v>4.5336594113538067E-3</v>
      </c>
    </row>
    <row r="86" spans="1:19" x14ac:dyDescent="0.2">
      <c r="A86" s="2" t="s">
        <v>267</v>
      </c>
      <c r="B86">
        <v>20111018</v>
      </c>
      <c r="C86">
        <v>130000</v>
      </c>
      <c r="D86" t="s">
        <v>276</v>
      </c>
      <c r="E86">
        <v>15000000</v>
      </c>
      <c r="F86">
        <v>100</v>
      </c>
      <c r="G86">
        <v>100</v>
      </c>
      <c r="H86" s="10">
        <v>12.5</v>
      </c>
      <c r="I86" t="s">
        <v>14</v>
      </c>
      <c r="J86">
        <v>1E-3</v>
      </c>
      <c r="K86" s="8">
        <v>1</v>
      </c>
      <c r="L86" s="10">
        <v>12.5</v>
      </c>
      <c r="M86" s="25">
        <v>187500000000</v>
      </c>
      <c r="N86" s="25" t="s">
        <v>415</v>
      </c>
      <c r="O86" s="29" t="s">
        <v>415</v>
      </c>
      <c r="P86" s="29" t="s">
        <v>415</v>
      </c>
      <c r="Q86" t="s">
        <v>14</v>
      </c>
      <c r="R86" s="2" t="s">
        <v>314</v>
      </c>
      <c r="S86" s="27">
        <v>6.3722724110107862E-3</v>
      </c>
    </row>
    <row r="87" spans="1:19" x14ac:dyDescent="0.2">
      <c r="A87" s="2" t="s">
        <v>43</v>
      </c>
      <c r="B87">
        <v>20111018</v>
      </c>
      <c r="C87">
        <v>130000</v>
      </c>
      <c r="D87" t="s">
        <v>147</v>
      </c>
      <c r="E87">
        <v>18000000</v>
      </c>
      <c r="F87">
        <v>100</v>
      </c>
      <c r="G87">
        <v>100</v>
      </c>
      <c r="H87" s="10">
        <v>6.8</v>
      </c>
      <c r="I87" t="s">
        <v>14</v>
      </c>
      <c r="J87">
        <v>1E-3</v>
      </c>
      <c r="K87" s="8">
        <v>1</v>
      </c>
      <c r="L87" s="10">
        <v>6.8</v>
      </c>
      <c r="M87" s="25">
        <v>122400000000</v>
      </c>
      <c r="N87" s="25" t="s">
        <v>415</v>
      </c>
      <c r="O87" s="29" t="s">
        <v>415</v>
      </c>
      <c r="P87" s="29" t="s">
        <v>415</v>
      </c>
      <c r="Q87" t="s">
        <v>14</v>
      </c>
      <c r="R87" s="2" t="s">
        <v>314</v>
      </c>
      <c r="S87" s="27">
        <v>4.1598194299078406E-3</v>
      </c>
    </row>
    <row r="88" spans="1:19" x14ac:dyDescent="0.2">
      <c r="A88" s="2" t="s">
        <v>24</v>
      </c>
      <c r="B88">
        <v>20111018</v>
      </c>
      <c r="C88">
        <v>130000</v>
      </c>
      <c r="D88" t="s">
        <v>63</v>
      </c>
      <c r="E88">
        <v>250000000</v>
      </c>
      <c r="F88">
        <v>100</v>
      </c>
      <c r="G88">
        <v>100</v>
      </c>
      <c r="H88" s="10">
        <v>7</v>
      </c>
      <c r="I88" t="s">
        <v>14</v>
      </c>
      <c r="J88">
        <v>1E-3</v>
      </c>
      <c r="K88" s="8">
        <v>1</v>
      </c>
      <c r="L88" s="10">
        <v>7</v>
      </c>
      <c r="M88" s="25">
        <v>1750000000000</v>
      </c>
      <c r="N88" s="25" t="s">
        <v>415</v>
      </c>
      <c r="O88" s="29" t="s">
        <v>415</v>
      </c>
      <c r="P88" s="29" t="s">
        <v>415</v>
      </c>
      <c r="Q88" t="s">
        <v>14</v>
      </c>
      <c r="R88" s="2" t="s">
        <v>314</v>
      </c>
      <c r="S88" s="27">
        <v>5.9474542502767333E-2</v>
      </c>
    </row>
    <row r="89" spans="1:19" x14ac:dyDescent="0.2">
      <c r="A89" s="2" t="s">
        <v>265</v>
      </c>
      <c r="B89">
        <v>20111018</v>
      </c>
      <c r="C89">
        <v>130000</v>
      </c>
      <c r="D89" t="s">
        <v>273</v>
      </c>
      <c r="E89">
        <v>18870000</v>
      </c>
      <c r="F89">
        <v>100</v>
      </c>
      <c r="G89">
        <v>100</v>
      </c>
      <c r="H89" s="10">
        <v>5.9</v>
      </c>
      <c r="I89" t="s">
        <v>14</v>
      </c>
      <c r="J89">
        <v>1E-3</v>
      </c>
      <c r="K89" s="8">
        <v>1</v>
      </c>
      <c r="L89" s="10">
        <v>5.9</v>
      </c>
      <c r="M89" s="25">
        <v>111333000000</v>
      </c>
      <c r="N89" s="25" t="s">
        <v>415</v>
      </c>
      <c r="O89" s="29" t="s">
        <v>415</v>
      </c>
      <c r="P89" s="29" t="s">
        <v>415</v>
      </c>
      <c r="Q89" t="s">
        <v>14</v>
      </c>
      <c r="R89" s="2" t="s">
        <v>314</v>
      </c>
      <c r="S89" s="27">
        <v>3.7837024231203403E-3</v>
      </c>
    </row>
    <row r="90" spans="1:19" x14ac:dyDescent="0.2">
      <c r="A90" s="2" t="s">
        <v>269</v>
      </c>
      <c r="B90">
        <v>20111018</v>
      </c>
      <c r="C90">
        <v>130000</v>
      </c>
      <c r="D90" t="s">
        <v>277</v>
      </c>
      <c r="E90">
        <v>35000000</v>
      </c>
      <c r="F90">
        <v>100</v>
      </c>
      <c r="G90">
        <v>100</v>
      </c>
      <c r="H90" s="10">
        <v>4.5999999999999996</v>
      </c>
      <c r="I90" t="s">
        <v>14</v>
      </c>
      <c r="J90">
        <v>1E-3</v>
      </c>
      <c r="K90" s="8">
        <v>1</v>
      </c>
      <c r="L90" s="10">
        <v>4.5999999999999996</v>
      </c>
      <c r="M90" s="25">
        <v>161000000000</v>
      </c>
      <c r="N90" s="25" t="s">
        <v>415</v>
      </c>
      <c r="O90" s="29" t="s">
        <v>415</v>
      </c>
      <c r="P90" s="29" t="s">
        <v>415</v>
      </c>
      <c r="Q90" t="s">
        <v>14</v>
      </c>
      <c r="R90" s="2" t="s">
        <v>314</v>
      </c>
      <c r="S90" s="27">
        <v>5.4716579102545944E-3</v>
      </c>
    </row>
    <row r="91" spans="1:19" x14ac:dyDescent="0.2">
      <c r="A91" s="2" t="s">
        <v>47</v>
      </c>
      <c r="B91">
        <v>20111018</v>
      </c>
      <c r="C91">
        <v>130000</v>
      </c>
      <c r="D91" t="s">
        <v>69</v>
      </c>
      <c r="E91">
        <v>297802094</v>
      </c>
      <c r="F91">
        <v>100</v>
      </c>
      <c r="G91">
        <v>100</v>
      </c>
      <c r="H91" s="10">
        <v>4.5</v>
      </c>
      <c r="I91" t="s">
        <v>14</v>
      </c>
      <c r="J91">
        <v>1E-3</v>
      </c>
      <c r="K91" s="8">
        <v>1</v>
      </c>
      <c r="L91" s="10">
        <v>4.5</v>
      </c>
      <c r="M91" s="25">
        <v>1340109423000</v>
      </c>
      <c r="N91" s="25">
        <v>357362512800</v>
      </c>
      <c r="O91" s="29">
        <v>1.2</v>
      </c>
      <c r="P91" s="29">
        <v>1.2</v>
      </c>
      <c r="Q91" t="s">
        <v>14</v>
      </c>
      <c r="R91" s="2" t="s">
        <v>314</v>
      </c>
      <c r="S91" s="27">
        <v>4.5544225620898576E-2</v>
      </c>
    </row>
    <row r="92" spans="1:19" x14ac:dyDescent="0.2">
      <c r="A92" s="2" t="s">
        <v>44</v>
      </c>
      <c r="B92">
        <v>20111018</v>
      </c>
      <c r="C92">
        <v>130000</v>
      </c>
      <c r="D92" t="s">
        <v>59</v>
      </c>
      <c r="E92">
        <v>38000000</v>
      </c>
      <c r="F92">
        <v>100</v>
      </c>
      <c r="G92">
        <v>100</v>
      </c>
      <c r="H92" s="10">
        <v>3.4</v>
      </c>
      <c r="I92" t="s">
        <v>14</v>
      </c>
      <c r="J92">
        <v>1E-3</v>
      </c>
      <c r="K92" s="8">
        <v>1</v>
      </c>
      <c r="L92" s="10">
        <v>3.4</v>
      </c>
      <c r="M92" s="25">
        <v>129200000000</v>
      </c>
      <c r="N92" s="25" t="s">
        <v>415</v>
      </c>
      <c r="O92" s="29" t="s">
        <v>415</v>
      </c>
      <c r="P92" s="29" t="s">
        <v>415</v>
      </c>
      <c r="Q92" t="s">
        <v>14</v>
      </c>
      <c r="R92" s="2" t="s">
        <v>314</v>
      </c>
      <c r="S92" s="27">
        <v>4.3909205093471656E-3</v>
      </c>
    </row>
    <row r="93" spans="1:19" x14ac:dyDescent="0.2">
      <c r="A93" s="2" t="s">
        <v>42</v>
      </c>
      <c r="B93">
        <v>20111018</v>
      </c>
      <c r="C93">
        <v>130000</v>
      </c>
      <c r="D93" t="s">
        <v>58</v>
      </c>
      <c r="E93">
        <v>27719850</v>
      </c>
      <c r="F93">
        <v>100</v>
      </c>
      <c r="G93">
        <v>100</v>
      </c>
      <c r="H93" s="10">
        <v>2.6</v>
      </c>
      <c r="I93" t="s">
        <v>14</v>
      </c>
      <c r="J93">
        <v>1E-3</v>
      </c>
      <c r="K93" s="8">
        <v>1</v>
      </c>
      <c r="L93" s="10">
        <v>2.6</v>
      </c>
      <c r="M93" s="25">
        <v>72071610000</v>
      </c>
      <c r="N93" s="25" t="s">
        <v>415</v>
      </c>
      <c r="O93" s="29" t="s">
        <v>415</v>
      </c>
      <c r="P93" s="29" t="s">
        <v>415</v>
      </c>
      <c r="Q93" t="s">
        <v>14</v>
      </c>
      <c r="R93" s="2" t="s">
        <v>314</v>
      </c>
      <c r="S93" s="27">
        <v>2.4493863041073548E-3</v>
      </c>
    </row>
    <row r="94" spans="1:19" x14ac:dyDescent="0.2">
      <c r="A94" s="2" t="s">
        <v>36</v>
      </c>
      <c r="B94">
        <v>20111018</v>
      </c>
      <c r="C94">
        <v>130000</v>
      </c>
      <c r="D94" t="s">
        <v>152</v>
      </c>
      <c r="E94">
        <v>377647740</v>
      </c>
      <c r="F94">
        <v>100</v>
      </c>
      <c r="G94">
        <v>100</v>
      </c>
      <c r="H94" s="10">
        <v>33</v>
      </c>
      <c r="I94" t="s">
        <v>14</v>
      </c>
      <c r="J94">
        <v>1E-3</v>
      </c>
      <c r="K94" s="8">
        <v>1</v>
      </c>
      <c r="L94" s="10">
        <v>33</v>
      </c>
      <c r="M94" s="25">
        <v>12462375420000</v>
      </c>
      <c r="N94" s="25">
        <v>377647740000</v>
      </c>
      <c r="O94" s="29">
        <v>1</v>
      </c>
      <c r="P94" s="29">
        <v>1</v>
      </c>
      <c r="Q94" t="s">
        <v>14</v>
      </c>
      <c r="R94" s="2" t="s">
        <v>328</v>
      </c>
      <c r="S94" s="27">
        <v>0.42353947234413308</v>
      </c>
    </row>
    <row r="95" spans="1:19" x14ac:dyDescent="0.2">
      <c r="A95" s="2" t="s">
        <v>45</v>
      </c>
      <c r="B95">
        <v>20111018</v>
      </c>
      <c r="C95">
        <v>130000</v>
      </c>
      <c r="D95" t="s">
        <v>46</v>
      </c>
      <c r="E95">
        <v>35000000</v>
      </c>
      <c r="F95">
        <v>100</v>
      </c>
      <c r="G95">
        <v>100</v>
      </c>
      <c r="H95" s="10">
        <v>37.700000000000003</v>
      </c>
      <c r="I95" t="s">
        <v>14</v>
      </c>
      <c r="J95">
        <v>1E-3</v>
      </c>
      <c r="K95" s="8">
        <v>1</v>
      </c>
      <c r="L95" s="10">
        <v>37.700000000000003</v>
      </c>
      <c r="M95" s="25">
        <v>1319500000000</v>
      </c>
      <c r="N95" s="25" t="s">
        <v>415</v>
      </c>
      <c r="O95" s="29" t="s">
        <v>415</v>
      </c>
      <c r="P95" s="29" t="s">
        <v>415</v>
      </c>
      <c r="Q95" t="s">
        <v>14</v>
      </c>
      <c r="R95" s="2" t="s">
        <v>328</v>
      </c>
      <c r="S95" s="27">
        <v>4.4843805047086571E-2</v>
      </c>
    </row>
    <row r="96" spans="1:19" x14ac:dyDescent="0.2">
      <c r="A96" s="2" t="s">
        <v>38</v>
      </c>
      <c r="B96">
        <v>20111018</v>
      </c>
      <c r="C96">
        <v>130000</v>
      </c>
      <c r="D96" t="s">
        <v>60</v>
      </c>
      <c r="E96">
        <v>70371300</v>
      </c>
      <c r="F96">
        <v>100</v>
      </c>
      <c r="G96">
        <v>100</v>
      </c>
      <c r="H96" s="10">
        <v>12</v>
      </c>
      <c r="I96" t="s">
        <v>14</v>
      </c>
      <c r="J96">
        <v>1E-3</v>
      </c>
      <c r="K96" s="8">
        <v>1</v>
      </c>
      <c r="L96" s="10">
        <v>12</v>
      </c>
      <c r="M96" s="25">
        <v>844455600000</v>
      </c>
      <c r="N96" s="25" t="s">
        <v>415</v>
      </c>
      <c r="O96" s="29" t="s">
        <v>415</v>
      </c>
      <c r="P96" s="29" t="s">
        <v>415</v>
      </c>
      <c r="Q96" t="s">
        <v>14</v>
      </c>
      <c r="R96" s="2" t="s">
        <v>332</v>
      </c>
      <c r="S96" s="27">
        <v>2.869920598508565E-2</v>
      </c>
    </row>
    <row r="97" spans="1:19" x14ac:dyDescent="0.2">
      <c r="A97" s="2" t="s">
        <v>22</v>
      </c>
      <c r="B97">
        <v>20111018</v>
      </c>
      <c r="C97">
        <v>130000</v>
      </c>
      <c r="D97" t="s">
        <v>148</v>
      </c>
      <c r="E97">
        <v>100000000</v>
      </c>
      <c r="F97">
        <v>100</v>
      </c>
      <c r="G97">
        <v>100</v>
      </c>
      <c r="H97" s="10">
        <v>15.4</v>
      </c>
      <c r="I97" t="s">
        <v>14</v>
      </c>
      <c r="J97">
        <v>1E-3</v>
      </c>
      <c r="K97" s="8">
        <v>1</v>
      </c>
      <c r="L97" s="10">
        <v>15.4</v>
      </c>
      <c r="M97" s="25">
        <v>1540000000000</v>
      </c>
      <c r="N97" s="25" t="s">
        <v>415</v>
      </c>
      <c r="O97" s="29" t="s">
        <v>415</v>
      </c>
      <c r="P97" s="29" t="s">
        <v>415</v>
      </c>
      <c r="Q97" t="s">
        <v>14</v>
      </c>
      <c r="R97" s="2" t="s">
        <v>336</v>
      </c>
      <c r="S97" s="27">
        <v>5.2337597402435251E-2</v>
      </c>
    </row>
    <row r="98" spans="1:19" x14ac:dyDescent="0.2">
      <c r="A98" s="2" t="s">
        <v>35</v>
      </c>
      <c r="B98">
        <v>20111018</v>
      </c>
      <c r="C98">
        <v>130000</v>
      </c>
      <c r="D98" t="s">
        <v>64</v>
      </c>
      <c r="E98">
        <v>600000000</v>
      </c>
      <c r="F98">
        <v>100</v>
      </c>
      <c r="G98">
        <v>100</v>
      </c>
      <c r="H98" s="10">
        <v>10.9</v>
      </c>
      <c r="I98" t="s">
        <v>14</v>
      </c>
      <c r="J98">
        <v>1E-3</v>
      </c>
      <c r="K98" s="8">
        <v>1</v>
      </c>
      <c r="L98" s="10">
        <v>10.9</v>
      </c>
      <c r="M98" s="25">
        <v>6540000000000</v>
      </c>
      <c r="N98" s="25" t="s">
        <v>415</v>
      </c>
      <c r="O98" s="29" t="s">
        <v>415</v>
      </c>
      <c r="P98" s="29" t="s">
        <v>415</v>
      </c>
      <c r="Q98" t="s">
        <v>14</v>
      </c>
      <c r="R98" s="2" t="s">
        <v>336</v>
      </c>
      <c r="S98" s="27">
        <v>0.22226486169605619</v>
      </c>
    </row>
    <row r="99" spans="1:19" x14ac:dyDescent="0.2">
      <c r="A99" s="2" t="s">
        <v>263</v>
      </c>
      <c r="B99">
        <v>20111018</v>
      </c>
      <c r="C99">
        <v>130000</v>
      </c>
      <c r="D99" t="s">
        <v>274</v>
      </c>
      <c r="E99">
        <v>50000000</v>
      </c>
      <c r="F99">
        <v>100</v>
      </c>
      <c r="G99">
        <v>100</v>
      </c>
      <c r="H99" s="10">
        <v>15.8</v>
      </c>
      <c r="I99" t="s">
        <v>14</v>
      </c>
      <c r="J99">
        <v>1E-3</v>
      </c>
      <c r="K99" s="8">
        <v>1</v>
      </c>
      <c r="L99" s="10">
        <v>15.8</v>
      </c>
      <c r="M99" s="25">
        <v>790000000000</v>
      </c>
      <c r="N99" s="25" t="s">
        <v>415</v>
      </c>
      <c r="O99" s="29" t="s">
        <v>415</v>
      </c>
      <c r="P99" s="29" t="s">
        <v>415</v>
      </c>
      <c r="Q99" t="s">
        <v>14</v>
      </c>
      <c r="R99" s="2" t="s">
        <v>336</v>
      </c>
      <c r="S99" s="27">
        <v>2.684850775839211E-2</v>
      </c>
    </row>
    <row r="100" spans="1:19" x14ac:dyDescent="0.2">
      <c r="A100" s="2" t="s">
        <v>271</v>
      </c>
      <c r="B100">
        <v>20111018</v>
      </c>
      <c r="C100">
        <v>130000</v>
      </c>
      <c r="D100" t="s">
        <v>275</v>
      </c>
      <c r="E100">
        <v>2000000</v>
      </c>
      <c r="F100">
        <v>100</v>
      </c>
      <c r="G100">
        <v>100</v>
      </c>
      <c r="H100" s="10">
        <v>35.200000000000003</v>
      </c>
      <c r="I100" t="s">
        <v>14</v>
      </c>
      <c r="J100">
        <v>1E-3</v>
      </c>
      <c r="K100" s="8">
        <v>1</v>
      </c>
      <c r="L100" s="10">
        <v>35.200000000000003</v>
      </c>
      <c r="M100" s="25">
        <v>70400000000</v>
      </c>
      <c r="N100" s="25" t="s">
        <v>415</v>
      </c>
      <c r="O100" s="29" t="s">
        <v>415</v>
      </c>
      <c r="P100" s="29" t="s">
        <v>415</v>
      </c>
      <c r="Q100" t="s">
        <v>14</v>
      </c>
      <c r="R100" s="2" t="s">
        <v>336</v>
      </c>
      <c r="S100" s="27">
        <v>2.392575881254183E-3</v>
      </c>
    </row>
    <row r="101" spans="1:19" x14ac:dyDescent="0.2">
      <c r="A101" s="2" t="s">
        <v>40</v>
      </c>
      <c r="B101">
        <v>20111018</v>
      </c>
      <c r="C101">
        <v>130000</v>
      </c>
      <c r="D101" t="s">
        <v>145</v>
      </c>
      <c r="E101">
        <v>59841300</v>
      </c>
      <c r="F101">
        <v>100</v>
      </c>
      <c r="G101">
        <v>100</v>
      </c>
      <c r="H101" s="10">
        <v>5</v>
      </c>
      <c r="I101" t="s">
        <v>14</v>
      </c>
      <c r="J101">
        <v>1E-3</v>
      </c>
      <c r="K101" s="8">
        <v>1</v>
      </c>
      <c r="L101" s="10">
        <v>5</v>
      </c>
      <c r="M101" s="25">
        <v>299206500000</v>
      </c>
      <c r="N101" s="25" t="s">
        <v>415</v>
      </c>
      <c r="O101" s="29" t="s">
        <v>415</v>
      </c>
      <c r="P101" s="29" t="s">
        <v>415</v>
      </c>
      <c r="Q101" t="s">
        <v>14</v>
      </c>
      <c r="R101" s="2" t="s">
        <v>336</v>
      </c>
      <c r="S101" s="27">
        <v>1.0168668400773859E-2</v>
      </c>
    </row>
    <row r="102" spans="1:19" x14ac:dyDescent="0.2">
      <c r="A102" s="2" t="s">
        <v>48</v>
      </c>
      <c r="B102">
        <v>20111018</v>
      </c>
      <c r="C102">
        <v>130000</v>
      </c>
      <c r="D102" t="s">
        <v>66</v>
      </c>
      <c r="E102">
        <v>157531264</v>
      </c>
      <c r="F102">
        <v>100</v>
      </c>
      <c r="G102">
        <v>100</v>
      </c>
      <c r="H102" s="10">
        <v>4.4000000000000004</v>
      </c>
      <c r="I102" t="s">
        <v>14</v>
      </c>
      <c r="J102">
        <v>1E-3</v>
      </c>
      <c r="K102" s="8">
        <v>1</v>
      </c>
      <c r="L102" s="10">
        <v>4.4000000000000004</v>
      </c>
      <c r="M102" s="25">
        <v>693137561600</v>
      </c>
      <c r="N102" s="25" t="s">
        <v>415</v>
      </c>
      <c r="O102" s="29" t="s">
        <v>415</v>
      </c>
      <c r="P102" s="29" t="s">
        <v>415</v>
      </c>
      <c r="Q102" t="s">
        <v>14</v>
      </c>
      <c r="R102" s="2" t="s">
        <v>336</v>
      </c>
      <c r="S102" s="27">
        <v>2.3556593924367836E-2</v>
      </c>
    </row>
    <row r="103" spans="1:19" x14ac:dyDescent="0.2">
      <c r="A103" s="2" t="s">
        <v>41</v>
      </c>
      <c r="B103">
        <v>20111018</v>
      </c>
      <c r="C103">
        <v>130000</v>
      </c>
      <c r="D103" t="s">
        <v>65</v>
      </c>
      <c r="E103">
        <v>52356713</v>
      </c>
      <c r="F103">
        <v>100</v>
      </c>
      <c r="G103">
        <v>100</v>
      </c>
      <c r="H103" s="10">
        <v>23</v>
      </c>
      <c r="I103" t="s">
        <v>14</v>
      </c>
      <c r="J103">
        <v>1E-3</v>
      </c>
      <c r="K103" s="8">
        <v>1</v>
      </c>
      <c r="L103" s="10">
        <v>23</v>
      </c>
      <c r="M103" s="25">
        <v>1204204399000</v>
      </c>
      <c r="N103" s="25" t="s">
        <v>415</v>
      </c>
      <c r="O103" s="29" t="s">
        <v>415</v>
      </c>
      <c r="P103" s="29" t="s">
        <v>415</v>
      </c>
      <c r="Q103" t="s">
        <v>14</v>
      </c>
      <c r="R103" s="2" t="s">
        <v>336</v>
      </c>
      <c r="S103" s="27">
        <v>4.0925431834482794E-2</v>
      </c>
    </row>
    <row r="104" spans="1:19" x14ac:dyDescent="0.2">
      <c r="A104" s="2" t="s">
        <v>37</v>
      </c>
      <c r="B104">
        <v>20111018</v>
      </c>
      <c r="C104">
        <v>130000</v>
      </c>
      <c r="D104" t="s">
        <v>62</v>
      </c>
      <c r="E104">
        <v>232600000</v>
      </c>
      <c r="F104">
        <v>100</v>
      </c>
      <c r="G104">
        <v>100</v>
      </c>
      <c r="H104" s="10">
        <v>11.9</v>
      </c>
      <c r="I104" t="s">
        <v>14</v>
      </c>
      <c r="J104">
        <v>1E-3</v>
      </c>
      <c r="K104" s="8">
        <v>1</v>
      </c>
      <c r="L104" s="10">
        <v>11.9</v>
      </c>
      <c r="M104" s="25">
        <v>2767940000000</v>
      </c>
      <c r="N104" s="25" t="s">
        <v>415</v>
      </c>
      <c r="O104" s="29" t="s">
        <v>415</v>
      </c>
      <c r="P104" s="29" t="s">
        <v>415</v>
      </c>
      <c r="Q104" t="s">
        <v>14</v>
      </c>
      <c r="R104" s="2" t="s">
        <v>340</v>
      </c>
      <c r="S104" s="27">
        <v>9.4069694385777031E-2</v>
      </c>
    </row>
    <row r="105" spans="1:19" x14ac:dyDescent="0.2">
      <c r="A105" s="2" t="s">
        <v>28</v>
      </c>
      <c r="B105">
        <v>20111018</v>
      </c>
      <c r="C105">
        <v>130000</v>
      </c>
      <c r="D105" t="s">
        <v>149</v>
      </c>
      <c r="E105">
        <v>30000000</v>
      </c>
      <c r="F105">
        <v>100</v>
      </c>
      <c r="G105">
        <v>100</v>
      </c>
      <c r="H105" s="10">
        <v>7</v>
      </c>
      <c r="I105" t="s">
        <v>14</v>
      </c>
      <c r="J105">
        <v>1E-3</v>
      </c>
      <c r="K105" s="8">
        <v>1</v>
      </c>
      <c r="L105" s="10">
        <v>7</v>
      </c>
      <c r="M105" s="25">
        <v>210000000000</v>
      </c>
      <c r="N105" s="25" t="s">
        <v>415</v>
      </c>
      <c r="O105" s="29" t="s">
        <v>415</v>
      </c>
      <c r="P105" s="29" t="s">
        <v>415</v>
      </c>
      <c r="Q105" t="s">
        <v>14</v>
      </c>
      <c r="R105" s="2" t="s">
        <v>340</v>
      </c>
      <c r="S105" s="27">
        <v>7.1369451003320799E-3</v>
      </c>
    </row>
    <row r="106" spans="1:19" x14ac:dyDescent="0.2">
      <c r="A106" s="2" t="s">
        <v>26</v>
      </c>
      <c r="B106">
        <v>20111018</v>
      </c>
      <c r="C106">
        <v>130000</v>
      </c>
      <c r="D106" t="s">
        <v>61</v>
      </c>
      <c r="E106">
        <v>15000000</v>
      </c>
      <c r="F106">
        <v>100</v>
      </c>
      <c r="G106">
        <v>100</v>
      </c>
      <c r="H106" s="10">
        <v>15.6</v>
      </c>
      <c r="I106" t="s">
        <v>14</v>
      </c>
      <c r="J106">
        <v>1E-3</v>
      </c>
      <c r="K106" s="8">
        <v>1</v>
      </c>
      <c r="L106" s="10">
        <v>15.6</v>
      </c>
      <c r="M106" s="25">
        <v>234000000000</v>
      </c>
      <c r="N106" s="25" t="s">
        <v>415</v>
      </c>
      <c r="O106" s="29" t="s">
        <v>415</v>
      </c>
      <c r="P106" s="29" t="s">
        <v>415</v>
      </c>
      <c r="Q106" t="s">
        <v>14</v>
      </c>
      <c r="R106" s="2" t="s">
        <v>340</v>
      </c>
      <c r="S106" s="27">
        <v>7.9525959689414599E-3</v>
      </c>
    </row>
    <row r="107" spans="1:19" x14ac:dyDescent="0.2">
      <c r="A107" s="2" t="s">
        <v>30</v>
      </c>
      <c r="B107">
        <v>20111018</v>
      </c>
      <c r="C107">
        <v>130000</v>
      </c>
      <c r="D107" t="s">
        <v>150</v>
      </c>
      <c r="E107">
        <v>37518001</v>
      </c>
      <c r="F107">
        <v>100</v>
      </c>
      <c r="G107">
        <v>100</v>
      </c>
      <c r="H107" s="10">
        <v>8</v>
      </c>
      <c r="I107" t="s">
        <v>14</v>
      </c>
      <c r="J107">
        <v>1E-3</v>
      </c>
      <c r="K107" s="8">
        <v>1</v>
      </c>
      <c r="L107" s="10">
        <v>8</v>
      </c>
      <c r="M107" s="25">
        <v>300144008000</v>
      </c>
      <c r="N107" s="25" t="s">
        <v>415</v>
      </c>
      <c r="O107" s="29" t="s">
        <v>415</v>
      </c>
      <c r="P107" s="29" t="s">
        <v>415</v>
      </c>
      <c r="Q107" t="s">
        <v>14</v>
      </c>
      <c r="R107" s="2" t="s">
        <v>340</v>
      </c>
      <c r="S107" s="27">
        <v>1.0200530034712536E-2</v>
      </c>
    </row>
    <row r="108" spans="1:19" x14ac:dyDescent="0.2">
      <c r="A108" s="2" t="s">
        <v>32</v>
      </c>
      <c r="B108">
        <v>20111018</v>
      </c>
      <c r="C108">
        <v>130000</v>
      </c>
      <c r="D108" t="s">
        <v>151</v>
      </c>
      <c r="E108">
        <v>20000000</v>
      </c>
      <c r="F108">
        <v>100</v>
      </c>
      <c r="G108">
        <v>100</v>
      </c>
      <c r="H108" s="10">
        <v>10.199999999999999</v>
      </c>
      <c r="I108" t="s">
        <v>14</v>
      </c>
      <c r="J108">
        <v>1E-3</v>
      </c>
      <c r="K108" s="8">
        <v>1</v>
      </c>
      <c r="L108" s="10">
        <v>10.199999999999999</v>
      </c>
      <c r="M108" s="25">
        <v>204000000000</v>
      </c>
      <c r="N108" s="25" t="s">
        <v>415</v>
      </c>
      <c r="O108" s="29" t="s">
        <v>415</v>
      </c>
      <c r="P108" s="29" t="s">
        <v>415</v>
      </c>
      <c r="Q108" t="s">
        <v>14</v>
      </c>
      <c r="R108" s="2" t="s">
        <v>340</v>
      </c>
      <c r="S108" s="27">
        <v>6.9330323831797349E-3</v>
      </c>
    </row>
    <row r="109" spans="1:19" x14ac:dyDescent="0.2">
      <c r="A109" s="2" t="s">
        <v>15</v>
      </c>
      <c r="B109">
        <v>20111018</v>
      </c>
      <c r="C109">
        <v>130000</v>
      </c>
      <c r="D109" t="s">
        <v>153</v>
      </c>
      <c r="E109">
        <v>23000000</v>
      </c>
      <c r="F109">
        <v>100</v>
      </c>
      <c r="G109">
        <v>100</v>
      </c>
      <c r="H109" s="10">
        <v>5.8</v>
      </c>
      <c r="I109" t="s">
        <v>14</v>
      </c>
      <c r="J109">
        <v>1E-3</v>
      </c>
      <c r="K109" s="8">
        <v>1</v>
      </c>
      <c r="L109" s="10">
        <v>5.8</v>
      </c>
      <c r="M109" s="25">
        <v>133400000000</v>
      </c>
      <c r="N109" s="25" t="s">
        <v>415</v>
      </c>
      <c r="O109" s="29" t="s">
        <v>415</v>
      </c>
      <c r="P109" s="29" t="s">
        <v>415</v>
      </c>
      <c r="Q109" t="s">
        <v>14</v>
      </c>
      <c r="R109" s="2" t="s">
        <v>340</v>
      </c>
      <c r="S109" s="27">
        <v>4.5336594113538067E-3</v>
      </c>
    </row>
    <row r="110" spans="1:19" x14ac:dyDescent="0.2">
      <c r="A110" s="2" t="s">
        <v>267</v>
      </c>
      <c r="B110">
        <v>20111018</v>
      </c>
      <c r="C110">
        <v>130000</v>
      </c>
      <c r="D110" t="s">
        <v>276</v>
      </c>
      <c r="E110">
        <v>15000000</v>
      </c>
      <c r="F110">
        <v>100</v>
      </c>
      <c r="G110">
        <v>100</v>
      </c>
      <c r="H110" s="10">
        <v>12.5</v>
      </c>
      <c r="I110" t="s">
        <v>14</v>
      </c>
      <c r="J110">
        <v>1E-3</v>
      </c>
      <c r="K110" s="8">
        <v>1</v>
      </c>
      <c r="L110" s="10">
        <v>12.5</v>
      </c>
      <c r="M110" s="25">
        <v>187500000000</v>
      </c>
      <c r="N110" s="25" t="s">
        <v>415</v>
      </c>
      <c r="O110" s="29" t="s">
        <v>415</v>
      </c>
      <c r="P110" s="29" t="s">
        <v>415</v>
      </c>
      <c r="Q110" t="s">
        <v>14</v>
      </c>
      <c r="R110" s="2" t="s">
        <v>340</v>
      </c>
      <c r="S110" s="27">
        <v>6.3722724110107862E-3</v>
      </c>
    </row>
    <row r="111" spans="1:19" x14ac:dyDescent="0.2">
      <c r="A111" s="2" t="s">
        <v>43</v>
      </c>
      <c r="B111">
        <v>20111018</v>
      </c>
      <c r="C111">
        <v>130000</v>
      </c>
      <c r="D111" t="s">
        <v>147</v>
      </c>
      <c r="E111">
        <v>18000000</v>
      </c>
      <c r="F111">
        <v>100</v>
      </c>
      <c r="G111">
        <v>100</v>
      </c>
      <c r="H111" s="10">
        <v>6.8</v>
      </c>
      <c r="I111" t="s">
        <v>14</v>
      </c>
      <c r="J111">
        <v>1E-3</v>
      </c>
      <c r="K111" s="8">
        <v>1</v>
      </c>
      <c r="L111" s="10">
        <v>6.8</v>
      </c>
      <c r="M111" s="25">
        <v>122400000000</v>
      </c>
      <c r="N111" s="25" t="s">
        <v>415</v>
      </c>
      <c r="O111" s="29" t="s">
        <v>415</v>
      </c>
      <c r="P111" s="29" t="s">
        <v>415</v>
      </c>
      <c r="Q111" t="s">
        <v>14</v>
      </c>
      <c r="R111" s="2" t="s">
        <v>340</v>
      </c>
      <c r="S111" s="27">
        <v>4.1598194299078406E-3</v>
      </c>
    </row>
    <row r="112" spans="1:19" x14ac:dyDescent="0.2">
      <c r="A112" s="2" t="s">
        <v>24</v>
      </c>
      <c r="B112">
        <v>20111018</v>
      </c>
      <c r="C112">
        <v>130000</v>
      </c>
      <c r="D112" t="s">
        <v>63</v>
      </c>
      <c r="E112">
        <v>250000000</v>
      </c>
      <c r="F112">
        <v>100</v>
      </c>
      <c r="G112">
        <v>100</v>
      </c>
      <c r="H112" s="10">
        <v>7</v>
      </c>
      <c r="I112" t="s">
        <v>14</v>
      </c>
      <c r="J112">
        <v>1E-3</v>
      </c>
      <c r="K112" s="8">
        <v>1</v>
      </c>
      <c r="L112" s="10">
        <v>7</v>
      </c>
      <c r="M112" s="25">
        <v>1750000000000</v>
      </c>
      <c r="N112" s="25" t="s">
        <v>415</v>
      </c>
      <c r="O112" s="29" t="s">
        <v>415</v>
      </c>
      <c r="P112" s="29" t="s">
        <v>415</v>
      </c>
      <c r="Q112" t="s">
        <v>14</v>
      </c>
      <c r="R112" s="2" t="s">
        <v>340</v>
      </c>
      <c r="S112" s="27">
        <v>5.9474542502767333E-2</v>
      </c>
    </row>
    <row r="113" spans="1:19" x14ac:dyDescent="0.2">
      <c r="A113" s="2" t="s">
        <v>19</v>
      </c>
      <c r="B113">
        <v>20111018</v>
      </c>
      <c r="C113">
        <v>130000</v>
      </c>
      <c r="D113" t="s">
        <v>155</v>
      </c>
      <c r="E113">
        <v>22500000</v>
      </c>
      <c r="F113">
        <v>100</v>
      </c>
      <c r="G113">
        <v>100</v>
      </c>
      <c r="H113" s="10">
        <v>7</v>
      </c>
      <c r="I113" t="s">
        <v>14</v>
      </c>
      <c r="J113">
        <v>1E-3</v>
      </c>
      <c r="K113" s="8">
        <v>1</v>
      </c>
      <c r="L113" s="10">
        <v>7</v>
      </c>
      <c r="M113" s="25">
        <v>157500000000</v>
      </c>
      <c r="N113" s="25" t="s">
        <v>415</v>
      </c>
      <c r="O113" s="29" t="s">
        <v>415</v>
      </c>
      <c r="P113" s="29" t="s">
        <v>415</v>
      </c>
      <c r="Q113" t="s">
        <v>14</v>
      </c>
      <c r="R113" s="2" t="s">
        <v>340</v>
      </c>
      <c r="S113" s="27">
        <v>5.3527088252490604E-3</v>
      </c>
    </row>
    <row r="114" spans="1:19" x14ac:dyDescent="0.2">
      <c r="A114" s="2" t="s">
        <v>17</v>
      </c>
      <c r="B114">
        <v>20111018</v>
      </c>
      <c r="C114">
        <v>130000</v>
      </c>
      <c r="D114" t="s">
        <v>154</v>
      </c>
      <c r="E114">
        <v>10000000</v>
      </c>
      <c r="F114">
        <v>100</v>
      </c>
      <c r="G114">
        <v>100</v>
      </c>
      <c r="H114" s="10">
        <v>10.8</v>
      </c>
      <c r="I114" t="s">
        <v>14</v>
      </c>
      <c r="J114">
        <v>1E-3</v>
      </c>
      <c r="K114" s="8">
        <v>1</v>
      </c>
      <c r="L114" s="10">
        <v>10.8</v>
      </c>
      <c r="M114" s="25">
        <v>108000000000</v>
      </c>
      <c r="N114" s="25" t="s">
        <v>415</v>
      </c>
      <c r="O114" s="29" t="s">
        <v>415</v>
      </c>
      <c r="P114" s="29" t="s">
        <v>415</v>
      </c>
      <c r="Q114" t="s">
        <v>14</v>
      </c>
      <c r="R114" s="2" t="s">
        <v>340</v>
      </c>
      <c r="S114" s="27">
        <v>3.6704289087422124E-3</v>
      </c>
    </row>
    <row r="115" spans="1:19" x14ac:dyDescent="0.2">
      <c r="A115" s="2" t="s">
        <v>34</v>
      </c>
      <c r="B115">
        <v>20111018</v>
      </c>
      <c r="C115">
        <v>130000</v>
      </c>
      <c r="D115" t="s">
        <v>67</v>
      </c>
      <c r="E115">
        <v>42900000</v>
      </c>
      <c r="F115">
        <v>100</v>
      </c>
      <c r="G115">
        <v>100</v>
      </c>
      <c r="H115" s="10">
        <v>12.3</v>
      </c>
      <c r="I115" t="s">
        <v>14</v>
      </c>
      <c r="J115">
        <v>1E-3</v>
      </c>
      <c r="K115" s="8">
        <v>1</v>
      </c>
      <c r="L115" s="10">
        <v>12.3</v>
      </c>
      <c r="M115" s="25">
        <v>527670000000</v>
      </c>
      <c r="N115" s="25" t="s">
        <v>415</v>
      </c>
      <c r="O115" s="29" t="s">
        <v>415</v>
      </c>
      <c r="P115" s="29" t="s">
        <v>415</v>
      </c>
      <c r="Q115" t="s">
        <v>14</v>
      </c>
      <c r="R115" s="2" t="s">
        <v>344</v>
      </c>
      <c r="S115" s="27">
        <v>1.7933103909962993E-2</v>
      </c>
    </row>
    <row r="116" spans="1:19" x14ac:dyDescent="0.2">
      <c r="A116" s="2" t="s">
        <v>39</v>
      </c>
      <c r="B116">
        <v>20111018</v>
      </c>
      <c r="C116">
        <v>130000</v>
      </c>
      <c r="D116" t="s">
        <v>68</v>
      </c>
      <c r="E116">
        <v>209740215</v>
      </c>
      <c r="F116">
        <v>100</v>
      </c>
      <c r="G116">
        <v>100</v>
      </c>
      <c r="H116" s="10">
        <v>8</v>
      </c>
      <c r="I116" t="s">
        <v>14</v>
      </c>
      <c r="J116">
        <v>1E-3</v>
      </c>
      <c r="K116" s="8">
        <v>1</v>
      </c>
      <c r="L116" s="10">
        <v>8</v>
      </c>
      <c r="M116" s="25">
        <v>1677921720000</v>
      </c>
      <c r="N116" s="25" t="s">
        <v>415</v>
      </c>
      <c r="O116" s="29" t="s">
        <v>415</v>
      </c>
      <c r="P116" s="29" t="s">
        <v>415</v>
      </c>
      <c r="Q116" t="s">
        <v>14</v>
      </c>
      <c r="R116" s="2" t="s">
        <v>344</v>
      </c>
      <c r="S116" s="27">
        <v>5.702492951568941E-2</v>
      </c>
    </row>
    <row r="117" spans="1:19" x14ac:dyDescent="0.2">
      <c r="A117" s="2" t="s">
        <v>265</v>
      </c>
      <c r="B117">
        <v>20111018</v>
      </c>
      <c r="C117">
        <v>130000</v>
      </c>
      <c r="D117" t="s">
        <v>273</v>
      </c>
      <c r="E117">
        <v>18870000</v>
      </c>
      <c r="F117">
        <v>100</v>
      </c>
      <c r="G117">
        <v>100</v>
      </c>
      <c r="H117" s="10">
        <v>5.9</v>
      </c>
      <c r="I117" t="s">
        <v>14</v>
      </c>
      <c r="J117">
        <v>1E-3</v>
      </c>
      <c r="K117" s="8">
        <v>1</v>
      </c>
      <c r="L117" s="10">
        <v>5.9</v>
      </c>
      <c r="M117" s="25">
        <v>111333000000</v>
      </c>
      <c r="N117" s="25" t="s">
        <v>415</v>
      </c>
      <c r="O117" s="29" t="s">
        <v>415</v>
      </c>
      <c r="P117" s="29" t="s">
        <v>415</v>
      </c>
      <c r="Q117" t="s">
        <v>14</v>
      </c>
      <c r="R117" s="2" t="s">
        <v>344</v>
      </c>
      <c r="S117" s="27">
        <v>3.7837024231203403E-3</v>
      </c>
    </row>
    <row r="118" spans="1:19" x14ac:dyDescent="0.2">
      <c r="A118" s="2" t="s">
        <v>269</v>
      </c>
      <c r="B118">
        <v>20111018</v>
      </c>
      <c r="C118">
        <v>130000</v>
      </c>
      <c r="D118" t="s">
        <v>277</v>
      </c>
      <c r="E118">
        <v>35000000</v>
      </c>
      <c r="F118">
        <v>100</v>
      </c>
      <c r="G118">
        <v>100</v>
      </c>
      <c r="H118" s="10">
        <v>4.5999999999999996</v>
      </c>
      <c r="I118" t="s">
        <v>14</v>
      </c>
      <c r="J118">
        <v>1E-3</v>
      </c>
      <c r="K118" s="8">
        <v>1</v>
      </c>
      <c r="L118" s="10">
        <v>4.5999999999999996</v>
      </c>
      <c r="M118" s="25">
        <v>161000000000</v>
      </c>
      <c r="N118" s="25" t="s">
        <v>415</v>
      </c>
      <c r="O118" s="29" t="s">
        <v>415</v>
      </c>
      <c r="P118" s="29" t="s">
        <v>415</v>
      </c>
      <c r="Q118" t="s">
        <v>14</v>
      </c>
      <c r="R118" s="2" t="s">
        <v>344</v>
      </c>
      <c r="S118" s="27">
        <v>5.4716579102545944E-3</v>
      </c>
    </row>
    <row r="119" spans="1:19" x14ac:dyDescent="0.2">
      <c r="A119" s="2" t="s">
        <v>47</v>
      </c>
      <c r="B119">
        <v>20111018</v>
      </c>
      <c r="C119">
        <v>130000</v>
      </c>
      <c r="D119" t="s">
        <v>69</v>
      </c>
      <c r="E119">
        <v>297802094</v>
      </c>
      <c r="F119">
        <v>100</v>
      </c>
      <c r="G119">
        <v>100</v>
      </c>
      <c r="H119" s="10">
        <v>4.5</v>
      </c>
      <c r="I119" t="s">
        <v>14</v>
      </c>
      <c r="J119">
        <v>1E-3</v>
      </c>
      <c r="K119" s="8">
        <v>1</v>
      </c>
      <c r="L119" s="10">
        <v>4.5</v>
      </c>
      <c r="M119" s="25">
        <v>1340109423000</v>
      </c>
      <c r="N119" s="25">
        <v>357362512800</v>
      </c>
      <c r="O119" s="29">
        <v>1.2</v>
      </c>
      <c r="P119" s="29">
        <v>1.2</v>
      </c>
      <c r="Q119" t="s">
        <v>14</v>
      </c>
      <c r="R119" s="2" t="s">
        <v>344</v>
      </c>
      <c r="S119" s="27">
        <v>4.5544225620898576E-2</v>
      </c>
    </row>
    <row r="120" spans="1:19" x14ac:dyDescent="0.2">
      <c r="A120" s="2" t="s">
        <v>12</v>
      </c>
      <c r="B120">
        <v>20111018</v>
      </c>
      <c r="C120">
        <v>130000</v>
      </c>
      <c r="D120" t="s">
        <v>158</v>
      </c>
      <c r="E120">
        <v>10000000</v>
      </c>
      <c r="F120">
        <v>100</v>
      </c>
      <c r="G120">
        <v>100</v>
      </c>
      <c r="H120" s="10">
        <v>3.5</v>
      </c>
      <c r="I120" t="s">
        <v>14</v>
      </c>
      <c r="J120">
        <v>1E-3</v>
      </c>
      <c r="K120" s="8">
        <v>1</v>
      </c>
      <c r="L120" s="10">
        <v>3.5</v>
      </c>
      <c r="M120" s="25">
        <v>35000000000</v>
      </c>
      <c r="N120" s="25" t="s">
        <v>415</v>
      </c>
      <c r="O120" s="29" t="s">
        <v>415</v>
      </c>
      <c r="P120" s="29" t="s">
        <v>415</v>
      </c>
      <c r="Q120" t="s">
        <v>14</v>
      </c>
      <c r="R120" s="2" t="s">
        <v>344</v>
      </c>
      <c r="S120" s="27">
        <v>1.1894908500553467E-3</v>
      </c>
    </row>
    <row r="121" spans="1:19" x14ac:dyDescent="0.2">
      <c r="A121" s="2" t="s">
        <v>44</v>
      </c>
      <c r="B121">
        <v>20111018</v>
      </c>
      <c r="C121">
        <v>130000</v>
      </c>
      <c r="D121" t="s">
        <v>59</v>
      </c>
      <c r="E121">
        <v>38000000</v>
      </c>
      <c r="F121">
        <v>100</v>
      </c>
      <c r="G121">
        <v>100</v>
      </c>
      <c r="H121" s="10">
        <v>3.4</v>
      </c>
      <c r="I121" t="s">
        <v>14</v>
      </c>
      <c r="J121">
        <v>1E-3</v>
      </c>
      <c r="K121" s="8">
        <v>1</v>
      </c>
      <c r="L121" s="10">
        <v>3.4</v>
      </c>
      <c r="M121" s="25">
        <v>129200000000</v>
      </c>
      <c r="N121" s="25" t="s">
        <v>415</v>
      </c>
      <c r="O121" s="29" t="s">
        <v>415</v>
      </c>
      <c r="P121" s="29" t="s">
        <v>415</v>
      </c>
      <c r="Q121" t="s">
        <v>14</v>
      </c>
      <c r="R121" s="2" t="s">
        <v>348</v>
      </c>
      <c r="S121" s="27">
        <v>4.3909205093471656E-3</v>
      </c>
    </row>
    <row r="122" spans="1:19" x14ac:dyDescent="0.2">
      <c r="A122" s="2" t="s">
        <v>42</v>
      </c>
      <c r="B122">
        <v>20111018</v>
      </c>
      <c r="C122">
        <v>130000</v>
      </c>
      <c r="D122" t="s">
        <v>58</v>
      </c>
      <c r="E122">
        <v>27719850</v>
      </c>
      <c r="F122">
        <v>100</v>
      </c>
      <c r="G122">
        <v>100</v>
      </c>
      <c r="H122" s="10">
        <v>2.6</v>
      </c>
      <c r="I122" t="s">
        <v>14</v>
      </c>
      <c r="J122">
        <v>1E-3</v>
      </c>
      <c r="K122" s="8">
        <v>1</v>
      </c>
      <c r="L122" s="10">
        <v>2.6</v>
      </c>
      <c r="M122" s="25">
        <v>72071610000</v>
      </c>
      <c r="N122" s="25" t="s">
        <v>415</v>
      </c>
      <c r="O122" s="29" t="s">
        <v>415</v>
      </c>
      <c r="P122" s="29" t="s">
        <v>415</v>
      </c>
      <c r="Q122" t="s">
        <v>14</v>
      </c>
      <c r="R122" s="2" t="s">
        <v>348</v>
      </c>
      <c r="S122" s="27">
        <v>2.4493863041073548E-3</v>
      </c>
    </row>
    <row r="123" spans="1:19" x14ac:dyDescent="0.2">
      <c r="A123" s="2" t="s">
        <v>21</v>
      </c>
      <c r="B123">
        <v>20111018</v>
      </c>
      <c r="C123">
        <v>130000</v>
      </c>
      <c r="D123" t="s">
        <v>156</v>
      </c>
      <c r="E123">
        <v>256000000</v>
      </c>
      <c r="F123">
        <v>100</v>
      </c>
      <c r="G123">
        <v>100</v>
      </c>
      <c r="H123" s="10">
        <v>6</v>
      </c>
      <c r="I123" t="s">
        <v>14</v>
      </c>
      <c r="J123">
        <v>1E-3</v>
      </c>
      <c r="K123" s="8">
        <v>1</v>
      </c>
      <c r="L123" s="10">
        <v>6</v>
      </c>
      <c r="M123" s="25">
        <v>1536000000000</v>
      </c>
      <c r="N123" s="25" t="s">
        <v>415</v>
      </c>
      <c r="O123" s="29" t="s">
        <v>415</v>
      </c>
      <c r="P123" s="29" t="s">
        <v>415</v>
      </c>
      <c r="Q123" t="s">
        <v>14</v>
      </c>
      <c r="R123" s="2" t="s">
        <v>348</v>
      </c>
      <c r="S123" s="27">
        <v>5.2201655591000359E-2</v>
      </c>
    </row>
  </sheetData>
  <customSheetViews>
    <customSheetView guid="{8EF2C042-D97C-40EA-9E42-A17331664713}">
      <selection sqref="A1:XFD2"/>
      <pageMargins left="0.7" right="0.7" top="0.75" bottom="0.75" header="0.3" footer="0.3"/>
    </customSheetView>
    <customSheetView guid="{E8497AD8-A45C-484D-A252-6E26647DB053}"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</customSheetView>
    <customSheetView guid="{A93D23F5-27FE-48DF-A0DC-3D7A8C6F3CF5}">
      <selection activeCell="I9" sqref="I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8" sqref="C8"/>
    </sheetView>
  </sheetViews>
  <sheetFormatPr defaultColWidth="18.7109375" defaultRowHeight="12.75" x14ac:dyDescent="0.2"/>
  <cols>
    <col min="1" max="2" width="13.7109375" customWidth="1"/>
    <col min="3" max="3" width="13.7109375" style="5" customWidth="1"/>
    <col min="4" max="4" width="39.5703125" customWidth="1"/>
  </cols>
  <sheetData>
    <row r="1" spans="1:19" x14ac:dyDescent="0.2">
      <c r="A1" s="3" t="s">
        <v>1</v>
      </c>
      <c r="B1" s="3" t="s">
        <v>232</v>
      </c>
      <c r="C1" s="3" t="s">
        <v>233</v>
      </c>
      <c r="D1" s="4" t="s">
        <v>2</v>
      </c>
      <c r="E1" s="4" t="s">
        <v>54</v>
      </c>
      <c r="F1" s="4" t="s">
        <v>55</v>
      </c>
      <c r="G1" s="4" t="s">
        <v>56</v>
      </c>
      <c r="H1" s="4" t="s">
        <v>7</v>
      </c>
      <c r="I1" s="4" t="s">
        <v>8</v>
      </c>
      <c r="J1" s="4" t="s">
        <v>9</v>
      </c>
      <c r="K1" s="4" t="s">
        <v>82</v>
      </c>
      <c r="L1" s="3" t="s">
        <v>136</v>
      </c>
      <c r="M1" s="22" t="s">
        <v>127</v>
      </c>
      <c r="N1" s="22" t="s">
        <v>119</v>
      </c>
      <c r="O1" s="7" t="s">
        <v>120</v>
      </c>
      <c r="P1" s="4" t="s">
        <v>121</v>
      </c>
      <c r="Q1" s="3" t="s">
        <v>74</v>
      </c>
      <c r="R1" s="3" t="s">
        <v>57</v>
      </c>
      <c r="S1" s="3" t="s">
        <v>122</v>
      </c>
    </row>
    <row r="2" spans="1:19" x14ac:dyDescent="0.2">
      <c r="A2" s="2" t="s">
        <v>36</v>
      </c>
      <c r="B2">
        <v>20111018</v>
      </c>
      <c r="C2">
        <v>130000</v>
      </c>
      <c r="D2" t="s">
        <v>152</v>
      </c>
      <c r="E2">
        <v>377647740</v>
      </c>
      <c r="F2">
        <v>100</v>
      </c>
      <c r="G2">
        <v>100</v>
      </c>
      <c r="H2" s="10">
        <v>33</v>
      </c>
      <c r="I2" t="s">
        <v>14</v>
      </c>
      <c r="J2">
        <v>1E-3</v>
      </c>
      <c r="K2" s="8">
        <v>1</v>
      </c>
      <c r="L2" s="10">
        <v>33</v>
      </c>
      <c r="M2" s="25">
        <v>12462375420000</v>
      </c>
      <c r="N2" s="25">
        <v>377647740000</v>
      </c>
      <c r="O2" s="29">
        <v>1</v>
      </c>
      <c r="P2" s="29">
        <v>1</v>
      </c>
      <c r="Q2" t="s">
        <v>14</v>
      </c>
      <c r="R2" s="2" t="s">
        <v>278</v>
      </c>
      <c r="S2" s="27">
        <v>0.42353947234413308</v>
      </c>
    </row>
  </sheetData>
  <customSheetViews>
    <customSheetView guid="{8EF2C042-D97C-40EA-9E42-A17331664713}">
      <selection activeCell="C8" sqref="C8"/>
      <pageMargins left="0.7" right="0.7" top="0.75" bottom="0.75" header="0.3" footer="0.3"/>
    </customSheetView>
    <customSheetView guid="{A93D23F5-27FE-48DF-A0DC-3D7A8C6F3CF5}">
      <selection activeCell="C8" sqref="C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D13" sqref="D13"/>
    </sheetView>
  </sheetViews>
  <sheetFormatPr defaultRowHeight="12.75" x14ac:dyDescent="0.2"/>
  <cols>
    <col min="1" max="1" width="10.85546875" bestFit="1" customWidth="1"/>
  </cols>
  <sheetData>
    <row r="1" spans="1:6" x14ac:dyDescent="0.2">
      <c r="A1" s="3" t="s">
        <v>1</v>
      </c>
      <c r="B1" s="14" t="s">
        <v>232</v>
      </c>
      <c r="C1" s="47" t="s">
        <v>234</v>
      </c>
      <c r="D1" s="47" t="s">
        <v>235</v>
      </c>
      <c r="E1" s="47" t="s">
        <v>236</v>
      </c>
      <c r="F1" s="47" t="s">
        <v>237</v>
      </c>
    </row>
    <row r="2" spans="1:6" x14ac:dyDescent="0.2">
      <c r="A2" s="2" t="str">
        <f>IF(INDEX(STK_REF!$A:$A,ROW(STK_REF!A2))=0,"",INDEX(STK_REF!$A:$A,ROW(STK_REF!A2)))</f>
        <v>DPM</v>
      </c>
      <c r="B2" s="15">
        <v>20111018</v>
      </c>
      <c r="C2" s="8">
        <v>33</v>
      </c>
      <c r="D2" s="8">
        <v>33</v>
      </c>
      <c r="E2" s="8">
        <v>33</v>
      </c>
      <c r="F2" s="8">
        <v>33</v>
      </c>
    </row>
    <row r="3" spans="1:6" x14ac:dyDescent="0.2">
      <c r="A3" s="2" t="str">
        <f>IF(INDEX(STK_REF!$A:$A,ROW(STK_REF!A3))=0,"",INDEX(STK_REF!$A:$A,ROW(STK_REF!A3)))</f>
        <v>PVC</v>
      </c>
      <c r="B3" s="15">
        <v>20111018</v>
      </c>
      <c r="C3" s="8">
        <v>37.700000000000003</v>
      </c>
      <c r="D3" s="8">
        <v>37.700000000000003</v>
      </c>
      <c r="E3" s="8">
        <v>37.700000000000003</v>
      </c>
      <c r="F3" s="8">
        <v>37.700000000000003</v>
      </c>
    </row>
    <row r="4" spans="1:6" x14ac:dyDescent="0.2">
      <c r="A4" s="2" t="str">
        <f>IF(INDEX(STK_REF!$A:$A,ROW(STK_REF!A4))=0,"",INDEX(STK_REF!$A:$A,ROW(STK_REF!A4)))</f>
        <v>PET</v>
      </c>
      <c r="B4" s="15">
        <v>20111018</v>
      </c>
      <c r="C4" s="8">
        <v>12</v>
      </c>
      <c r="D4" s="8">
        <v>12</v>
      </c>
      <c r="E4" s="8">
        <v>12</v>
      </c>
      <c r="F4" s="8">
        <v>12</v>
      </c>
    </row>
    <row r="5" spans="1:6" x14ac:dyDescent="0.2">
      <c r="A5" s="2" t="str">
        <f>IF(INDEX(STK_REF!$A:$A,ROW(STK_REF!A5))=0,"",INDEX(STK_REF!$A:$A,ROW(STK_REF!A5)))</f>
        <v>PTL</v>
      </c>
      <c r="B5" s="15">
        <v>20111018</v>
      </c>
      <c r="C5" s="8">
        <v>15.4</v>
      </c>
      <c r="D5" s="8">
        <v>15.4</v>
      </c>
      <c r="E5" s="8">
        <v>15.4</v>
      </c>
      <c r="F5" s="8">
        <v>15.4</v>
      </c>
    </row>
    <row r="6" spans="1:6" x14ac:dyDescent="0.2">
      <c r="A6" s="2" t="str">
        <f>IF(INDEX(STK_REF!$A:$A,ROW(STK_REF!A6))=0,"",INDEX(STK_REF!$A:$A,ROW(STK_REF!A6)))</f>
        <v>PVF</v>
      </c>
      <c r="B6" s="15">
        <v>20111018</v>
      </c>
      <c r="C6" s="8">
        <v>10.9</v>
      </c>
      <c r="D6" s="8">
        <v>10.9</v>
      </c>
      <c r="E6" s="8">
        <v>10.9</v>
      </c>
      <c r="F6" s="8">
        <v>10.9</v>
      </c>
    </row>
    <row r="7" spans="1:6" x14ac:dyDescent="0.2">
      <c r="A7" s="2" t="str">
        <f>IF(INDEX(STK_REF!$A:$A,ROW(STK_REF!A7))=0,"",INDEX(STK_REF!$A:$A,ROW(STK_REF!A7)))</f>
        <v>PFL</v>
      </c>
      <c r="B7" s="15">
        <v>20111018</v>
      </c>
      <c r="C7" s="8">
        <v>15.8</v>
      </c>
      <c r="D7" s="8">
        <v>15.8</v>
      </c>
      <c r="E7" s="8">
        <v>15.8</v>
      </c>
      <c r="F7" s="8">
        <v>15.8</v>
      </c>
    </row>
    <row r="8" spans="1:6" x14ac:dyDescent="0.2">
      <c r="A8" s="2" t="str">
        <f>IF(INDEX(STK_REF!$A:$A,ROW(STK_REF!A8))=0,"",INDEX(STK_REF!$A:$A,ROW(STK_REF!A8)))</f>
        <v>PPE</v>
      </c>
      <c r="B8" s="15">
        <v>20111018</v>
      </c>
      <c r="C8" s="8">
        <v>35.200000000000003</v>
      </c>
      <c r="D8" s="8">
        <v>35.200000000000003</v>
      </c>
      <c r="E8" s="8">
        <v>35.200000000000003</v>
      </c>
      <c r="F8" s="8">
        <v>35.200000000000003</v>
      </c>
    </row>
    <row r="9" spans="1:6" x14ac:dyDescent="0.2">
      <c r="A9" s="2" t="str">
        <f>IF(INDEX(STK_REF!$A:$A,ROW(STK_REF!A9))=0,"",INDEX(STK_REF!$A:$A,ROW(STK_REF!A9)))</f>
        <v>PSI</v>
      </c>
      <c r="B9" s="15">
        <v>20111018</v>
      </c>
      <c r="C9" s="8">
        <v>5</v>
      </c>
      <c r="D9" s="8">
        <v>5</v>
      </c>
      <c r="E9" s="8">
        <v>5</v>
      </c>
      <c r="F9" s="8">
        <v>5</v>
      </c>
    </row>
    <row r="10" spans="1:6" x14ac:dyDescent="0.2">
      <c r="A10" s="2" t="str">
        <f>IF(INDEX(STK_REF!$A:$A,ROW(STK_REF!A10))=0,"",INDEX(STK_REF!$A:$A,ROW(STK_REF!A10)))</f>
        <v>PVI</v>
      </c>
      <c r="B10" s="15">
        <v>20111018</v>
      </c>
      <c r="C10" s="8">
        <v>4.4000000000000004</v>
      </c>
      <c r="D10" s="8">
        <v>4.4000000000000004</v>
      </c>
      <c r="E10" s="8">
        <v>4.4000000000000004</v>
      </c>
      <c r="F10" s="8">
        <v>4.4000000000000004</v>
      </c>
    </row>
    <row r="11" spans="1:6" x14ac:dyDescent="0.2">
      <c r="A11" s="2" t="str">
        <f>IF(INDEX(STK_REF!$A:$A,ROW(STK_REF!A11))=0,"",INDEX(STK_REF!$A:$A,ROW(STK_REF!A11)))</f>
        <v>PVR</v>
      </c>
      <c r="B11" s="15">
        <v>20111018</v>
      </c>
      <c r="C11" s="8">
        <v>23</v>
      </c>
      <c r="D11" s="8">
        <v>23</v>
      </c>
      <c r="E11" s="8">
        <v>23</v>
      </c>
      <c r="F11" s="8">
        <v>23</v>
      </c>
    </row>
    <row r="12" spans="1:6" x14ac:dyDescent="0.2">
      <c r="A12" s="2" t="str">
        <f>IF(INDEX(STK_REF!$A:$A,ROW(STK_REF!A12))=0,"",INDEX(STK_REF!$A:$A,ROW(STK_REF!A12)))</f>
        <v>PVT</v>
      </c>
      <c r="B12" s="15">
        <v>20111018</v>
      </c>
      <c r="C12" s="8">
        <v>11.9</v>
      </c>
      <c r="D12" s="8">
        <v>11.9</v>
      </c>
      <c r="E12" s="8">
        <v>11.9</v>
      </c>
      <c r="F12" s="8">
        <v>11.9</v>
      </c>
    </row>
    <row r="13" spans="1:6" x14ac:dyDescent="0.2">
      <c r="A13" s="2" t="str">
        <f>IF(INDEX(STK_REF!$A:$A,ROW(STK_REF!A13))=0,"",INDEX(STK_REF!$A:$A,ROW(STK_REF!A13)))</f>
        <v>PXI</v>
      </c>
      <c r="B13" s="15">
        <v>20111018</v>
      </c>
      <c r="C13" s="8">
        <v>7</v>
      </c>
      <c r="D13" s="8">
        <v>7</v>
      </c>
      <c r="E13" s="8">
        <v>7</v>
      </c>
      <c r="F13" s="8">
        <v>7</v>
      </c>
    </row>
    <row r="14" spans="1:6" x14ac:dyDescent="0.2">
      <c r="A14" s="2" t="str">
        <f>IF(INDEX(STK_REF!$A:$A,ROW(STK_REF!A14))=0,"",INDEX(STK_REF!$A:$A,ROW(STK_REF!A14)))</f>
        <v>PXM</v>
      </c>
      <c r="B14" s="15">
        <v>20111018</v>
      </c>
      <c r="C14" s="8">
        <v>15.6</v>
      </c>
      <c r="D14" s="8">
        <v>15.6</v>
      </c>
      <c r="E14" s="8">
        <v>15.6</v>
      </c>
      <c r="F14" s="8">
        <v>15.6</v>
      </c>
    </row>
    <row r="15" spans="1:6" x14ac:dyDescent="0.2">
      <c r="A15" s="2" t="str">
        <f>IF(INDEX(STK_REF!$A:$A,ROW(STK_REF!A15))=0,"",INDEX(STK_REF!$A:$A,ROW(STK_REF!A15)))</f>
        <v>PXS</v>
      </c>
      <c r="B15" s="15">
        <v>20111018</v>
      </c>
      <c r="C15" s="8">
        <v>8</v>
      </c>
      <c r="D15" s="8">
        <v>8</v>
      </c>
      <c r="E15" s="8">
        <v>8</v>
      </c>
      <c r="F15" s="8">
        <v>8</v>
      </c>
    </row>
    <row r="16" spans="1:6" x14ac:dyDescent="0.2">
      <c r="A16" s="2" t="str">
        <f>IF(INDEX(STK_REF!$A:$A,ROW(STK_REF!A16))=0,"",INDEX(STK_REF!$A:$A,ROW(STK_REF!A16)))</f>
        <v>PXT</v>
      </c>
      <c r="B16" s="15">
        <v>20111018</v>
      </c>
      <c r="C16" s="8">
        <v>10.199999999999999</v>
      </c>
      <c r="D16" s="8">
        <v>10.199999999999999</v>
      </c>
      <c r="E16" s="8">
        <v>10.199999999999999</v>
      </c>
      <c r="F16" s="8">
        <v>10.199999999999999</v>
      </c>
    </row>
    <row r="17" spans="1:6" x14ac:dyDescent="0.2">
      <c r="A17" s="2" t="str">
        <f>IF(INDEX(STK_REF!$A:$A,ROW(STK_REF!A17))=0,"",INDEX(STK_REF!$A:$A,ROW(STK_REF!A17)))</f>
        <v>PCT</v>
      </c>
      <c r="B17" s="15">
        <v>20111018</v>
      </c>
      <c r="C17" s="8">
        <v>5.8</v>
      </c>
      <c r="D17" s="8">
        <v>5.8</v>
      </c>
      <c r="E17" s="8">
        <v>5.8</v>
      </c>
      <c r="F17" s="8">
        <v>5.8</v>
      </c>
    </row>
    <row r="18" spans="1:6" x14ac:dyDescent="0.2">
      <c r="A18" s="2" t="str">
        <f>IF(INDEX(STK_REF!$A:$A,ROW(STK_REF!A18))=0,"",INDEX(STK_REF!$A:$A,ROW(STK_REF!A18)))</f>
        <v>PPS</v>
      </c>
      <c r="B18" s="15">
        <v>20111018</v>
      </c>
      <c r="C18" s="8">
        <v>12.5</v>
      </c>
      <c r="D18" s="8">
        <v>12.5</v>
      </c>
      <c r="E18" s="8">
        <v>12.5</v>
      </c>
      <c r="F18" s="8">
        <v>12.5</v>
      </c>
    </row>
    <row r="19" spans="1:6" x14ac:dyDescent="0.2">
      <c r="A19" s="2" t="str">
        <f>IF(INDEX(STK_REF!$A:$A,ROW(STK_REF!A19))=0,"",INDEX(STK_REF!$A:$A,ROW(STK_REF!A19)))</f>
        <v>PVE</v>
      </c>
      <c r="B19" s="15">
        <v>20111018</v>
      </c>
      <c r="C19" s="8">
        <v>6.8</v>
      </c>
      <c r="D19" s="8">
        <v>6.8</v>
      </c>
      <c r="E19" s="8">
        <v>6.8</v>
      </c>
      <c r="F19" s="8">
        <v>6.8</v>
      </c>
    </row>
    <row r="20" spans="1:6" x14ac:dyDescent="0.2">
      <c r="A20" s="2" t="str">
        <f>IF(INDEX(STK_REF!$A:$A,ROW(STK_REF!A20))=0,"",INDEX(STK_REF!$A:$A,ROW(STK_REF!A20)))</f>
        <v>PVX</v>
      </c>
      <c r="B20" s="15">
        <v>20111018</v>
      </c>
      <c r="C20" s="8">
        <v>7</v>
      </c>
      <c r="D20" s="8">
        <v>7</v>
      </c>
      <c r="E20" s="8">
        <v>7</v>
      </c>
      <c r="F20" s="8">
        <v>7</v>
      </c>
    </row>
    <row r="21" spans="1:6" x14ac:dyDescent="0.2">
      <c r="A21" s="2" t="str">
        <f>IF(INDEX(STK_REF!$A:$A,ROW(STK_REF!A21))=0,"",INDEX(STK_REF!$A:$A,ROW(STK_REF!A21)))</f>
        <v>PSP</v>
      </c>
      <c r="B21" s="15">
        <v>20111018</v>
      </c>
      <c r="C21" s="8">
        <v>7</v>
      </c>
      <c r="D21" s="8">
        <v>7</v>
      </c>
      <c r="E21" s="8">
        <v>7</v>
      </c>
      <c r="F21" s="8">
        <v>7</v>
      </c>
    </row>
    <row r="22" spans="1:6" x14ac:dyDescent="0.2">
      <c r="A22" s="2" t="str">
        <f>IF(INDEX(STK_REF!$A:$A,ROW(STK_REF!A22))=0,"",INDEX(STK_REF!$A:$A,ROW(STK_REF!A22)))</f>
        <v>PTT</v>
      </c>
      <c r="B22" s="15">
        <v>20111018</v>
      </c>
      <c r="C22" s="8">
        <v>10.8</v>
      </c>
      <c r="D22" s="8">
        <v>10.8</v>
      </c>
      <c r="E22" s="8">
        <v>10.8</v>
      </c>
      <c r="F22" s="8">
        <v>10.8</v>
      </c>
    </row>
    <row r="23" spans="1:6" x14ac:dyDescent="0.2">
      <c r="A23" s="2" t="str">
        <f>IF(INDEX(STK_REF!$A:$A,ROW(STK_REF!A23))=0,"",INDEX(STK_REF!$A:$A,ROW(STK_REF!A23)))</f>
        <v>PGD</v>
      </c>
      <c r="B23" s="15">
        <v>20111018</v>
      </c>
      <c r="C23" s="8">
        <v>12.3</v>
      </c>
      <c r="D23" s="8">
        <v>12.3</v>
      </c>
      <c r="E23" s="8">
        <v>12.3</v>
      </c>
      <c r="F23" s="8">
        <v>12.3</v>
      </c>
    </row>
    <row r="24" spans="1:6" x14ac:dyDescent="0.2">
      <c r="A24" s="2" t="str">
        <f>IF(INDEX(STK_REF!$A:$A,ROW(STK_REF!A24))=0,"",INDEX(STK_REF!$A:$A,ROW(STK_REF!A24)))</f>
        <v>PVD</v>
      </c>
      <c r="B24" s="15">
        <v>20111018</v>
      </c>
      <c r="C24" s="8">
        <v>8</v>
      </c>
      <c r="D24" s="8">
        <v>8</v>
      </c>
      <c r="E24" s="8">
        <v>8</v>
      </c>
      <c r="F24" s="8">
        <v>8</v>
      </c>
    </row>
    <row r="25" spans="1:6" x14ac:dyDescent="0.2">
      <c r="A25" s="2" t="str">
        <f>IF(INDEX(STK_REF!$A:$A,ROW(STK_REF!A25))=0,"",INDEX(STK_REF!$A:$A,ROW(STK_REF!A25)))</f>
        <v>PCG</v>
      </c>
      <c r="B25" s="15">
        <v>20111018</v>
      </c>
      <c r="C25" s="8">
        <v>5.9</v>
      </c>
      <c r="D25" s="8">
        <v>5.9</v>
      </c>
      <c r="E25" s="8">
        <v>5.9</v>
      </c>
      <c r="F25" s="8">
        <v>5.9</v>
      </c>
    </row>
    <row r="26" spans="1:6" x14ac:dyDescent="0.2">
      <c r="A26" s="2" t="str">
        <f>IF(INDEX(STK_REF!$A:$A,ROW(STK_REF!A26))=0,"",INDEX(STK_REF!$A:$A,ROW(STK_REF!A26)))</f>
        <v>PSG</v>
      </c>
      <c r="B26" s="15">
        <v>20111018</v>
      </c>
      <c r="C26" s="8">
        <v>4.5999999999999996</v>
      </c>
      <c r="D26" s="8">
        <v>4.5999999999999996</v>
      </c>
      <c r="E26" s="8">
        <v>4.5999999999999996</v>
      </c>
      <c r="F26" s="8">
        <v>4.5999999999999996</v>
      </c>
    </row>
    <row r="27" spans="1:6" x14ac:dyDescent="0.2">
      <c r="A27" s="2" t="str">
        <f>IF(INDEX(STK_REF!$A:$A,ROW(STK_REF!A27))=0,"",INDEX(STK_REF!$A:$A,ROW(STK_REF!A27)))</f>
        <v>PVS</v>
      </c>
      <c r="B27" s="15">
        <v>20111018</v>
      </c>
      <c r="C27" s="8">
        <v>4.5</v>
      </c>
      <c r="D27" s="8">
        <v>4.5</v>
      </c>
      <c r="E27" s="8">
        <v>4.5</v>
      </c>
      <c r="F27" s="8">
        <v>4.5</v>
      </c>
    </row>
    <row r="28" spans="1:6" x14ac:dyDescent="0.2">
      <c r="A28" s="2" t="str">
        <f>IF(INDEX(STK_REF!$A:$A,ROW(STK_REF!A28))=0,"",INDEX(STK_REF!$A:$A,ROW(STK_REF!A28)))</f>
        <v>POV</v>
      </c>
      <c r="B28" s="15">
        <v>20111018</v>
      </c>
      <c r="C28" s="8">
        <v>3.5</v>
      </c>
      <c r="D28" s="8">
        <v>3.5</v>
      </c>
      <c r="E28" s="8">
        <v>3.5</v>
      </c>
      <c r="F28" s="8">
        <v>3.5</v>
      </c>
    </row>
    <row r="29" spans="1:6" x14ac:dyDescent="0.2">
      <c r="A29" s="2" t="str">
        <f>IF(INDEX(STK_REF!$A:$A,ROW(STK_REF!A29))=0,"",INDEX(STK_REF!$A:$A,ROW(STK_REF!A29)))</f>
        <v>PGS</v>
      </c>
      <c r="B29" s="15">
        <v>20111018</v>
      </c>
      <c r="C29" s="8">
        <v>3.4</v>
      </c>
      <c r="D29" s="8">
        <v>3.4</v>
      </c>
      <c r="E29" s="8">
        <v>3.4</v>
      </c>
      <c r="F29" s="8">
        <v>3.4</v>
      </c>
    </row>
    <row r="30" spans="1:6" x14ac:dyDescent="0.2">
      <c r="A30" s="2" t="str">
        <f>IF(INDEX(STK_REF!$A:$A,ROW(STK_REF!A30))=0,"",INDEX(STK_REF!$A:$A,ROW(STK_REF!A30)))</f>
        <v>PVG</v>
      </c>
      <c r="B30" s="15">
        <v>20111018</v>
      </c>
      <c r="C30" s="8">
        <v>2.6</v>
      </c>
      <c r="D30" s="8">
        <v>2.6</v>
      </c>
      <c r="E30" s="8">
        <v>2.6</v>
      </c>
      <c r="F30" s="8">
        <v>2.6</v>
      </c>
    </row>
    <row r="31" spans="1:6" x14ac:dyDescent="0.2">
      <c r="A31" s="2" t="str">
        <f>IF(INDEX(STK_REF!$A:$A,ROW(STK_REF!A31))=0,"",INDEX(STK_REF!$A:$A,ROW(STK_REF!A31)))</f>
        <v>NT2</v>
      </c>
      <c r="B31" s="15">
        <v>20111018</v>
      </c>
      <c r="C31" s="8">
        <v>6</v>
      </c>
      <c r="D31" s="8">
        <v>6</v>
      </c>
      <c r="E31" s="8">
        <v>6</v>
      </c>
      <c r="F31" s="8">
        <v>6</v>
      </c>
    </row>
    <row r="32" spans="1:6" x14ac:dyDescent="0.2">
      <c r="A32" s="2" t="s">
        <v>36</v>
      </c>
      <c r="B32" s="15">
        <v>20111017</v>
      </c>
      <c r="C32" s="8">
        <v>33</v>
      </c>
      <c r="D32" s="8">
        <v>33</v>
      </c>
      <c r="E32" s="8">
        <v>33</v>
      </c>
      <c r="F32" s="8">
        <v>33</v>
      </c>
    </row>
    <row r="33" spans="1:6" x14ac:dyDescent="0.2">
      <c r="A33" s="2" t="s">
        <v>45</v>
      </c>
      <c r="B33" s="15">
        <v>20111017</v>
      </c>
      <c r="C33" s="8">
        <v>37.700000000000003</v>
      </c>
      <c r="D33" s="8">
        <v>37.700000000000003</v>
      </c>
      <c r="E33" s="8">
        <v>37.700000000000003</v>
      </c>
      <c r="F33" s="8">
        <v>37.700000000000003</v>
      </c>
    </row>
    <row r="34" spans="1:6" x14ac:dyDescent="0.2">
      <c r="A34" s="2" t="s">
        <v>38</v>
      </c>
      <c r="B34" s="15">
        <v>20111017</v>
      </c>
      <c r="C34" s="8">
        <v>12</v>
      </c>
      <c r="D34" s="8">
        <v>12</v>
      </c>
      <c r="E34" s="8">
        <v>12</v>
      </c>
      <c r="F34" s="8">
        <v>12</v>
      </c>
    </row>
    <row r="35" spans="1:6" x14ac:dyDescent="0.2">
      <c r="A35" s="2" t="s">
        <v>22</v>
      </c>
      <c r="B35" s="15">
        <v>20111017</v>
      </c>
      <c r="C35" s="8">
        <v>15.4</v>
      </c>
      <c r="D35" s="8">
        <v>15.4</v>
      </c>
      <c r="E35" s="8">
        <v>15.4</v>
      </c>
      <c r="F35" s="8">
        <v>15.4</v>
      </c>
    </row>
    <row r="36" spans="1:6" x14ac:dyDescent="0.2">
      <c r="A36" s="2" t="s">
        <v>35</v>
      </c>
      <c r="B36" s="15">
        <v>20111017</v>
      </c>
      <c r="C36" s="8">
        <v>10.9</v>
      </c>
      <c r="D36" s="8">
        <v>10.9</v>
      </c>
      <c r="E36" s="8">
        <v>10.9</v>
      </c>
      <c r="F36" s="8">
        <v>10.9</v>
      </c>
    </row>
    <row r="37" spans="1:6" x14ac:dyDescent="0.2">
      <c r="A37" s="2" t="s">
        <v>263</v>
      </c>
      <c r="B37" s="15">
        <v>20111017</v>
      </c>
      <c r="C37" s="8">
        <v>15.8</v>
      </c>
      <c r="D37" s="8">
        <v>15.8</v>
      </c>
      <c r="E37" s="8">
        <v>15.8</v>
      </c>
      <c r="F37" s="8">
        <v>15.8</v>
      </c>
    </row>
    <row r="38" spans="1:6" x14ac:dyDescent="0.2">
      <c r="A38" s="2" t="s">
        <v>271</v>
      </c>
      <c r="B38" s="15">
        <v>20111017</v>
      </c>
      <c r="C38" s="8">
        <v>35.200000000000003</v>
      </c>
      <c r="D38" s="8">
        <v>35.200000000000003</v>
      </c>
      <c r="E38" s="8">
        <v>35.200000000000003</v>
      </c>
      <c r="F38" s="8">
        <v>35.200000000000003</v>
      </c>
    </row>
    <row r="39" spans="1:6" x14ac:dyDescent="0.2">
      <c r="A39" s="2" t="s">
        <v>40</v>
      </c>
      <c r="B39" s="15">
        <v>20111017</v>
      </c>
      <c r="C39" s="8">
        <v>5</v>
      </c>
      <c r="D39" s="8">
        <v>5</v>
      </c>
      <c r="E39" s="8">
        <v>5</v>
      </c>
      <c r="F39" s="8">
        <v>5</v>
      </c>
    </row>
    <row r="40" spans="1:6" x14ac:dyDescent="0.2">
      <c r="A40" s="2" t="s">
        <v>48</v>
      </c>
      <c r="B40" s="15">
        <v>20111017</v>
      </c>
      <c r="C40" s="8">
        <v>4.4000000000000004</v>
      </c>
      <c r="D40" s="8">
        <v>4.4000000000000004</v>
      </c>
      <c r="E40" s="8">
        <v>4.4000000000000004</v>
      </c>
      <c r="F40" s="8">
        <v>4.4000000000000004</v>
      </c>
    </row>
    <row r="41" spans="1:6" x14ac:dyDescent="0.2">
      <c r="A41" s="2" t="s">
        <v>41</v>
      </c>
      <c r="B41" s="15">
        <v>20111017</v>
      </c>
      <c r="C41" s="8">
        <v>23</v>
      </c>
      <c r="D41" s="8">
        <v>23</v>
      </c>
      <c r="E41" s="8">
        <v>23</v>
      </c>
      <c r="F41" s="8">
        <v>23</v>
      </c>
    </row>
    <row r="42" spans="1:6" x14ac:dyDescent="0.2">
      <c r="A42" s="2" t="s">
        <v>37</v>
      </c>
      <c r="B42" s="15">
        <v>20111017</v>
      </c>
      <c r="C42" s="8">
        <v>11.9</v>
      </c>
      <c r="D42" s="8">
        <v>11.9</v>
      </c>
      <c r="E42" s="8">
        <v>11.9</v>
      </c>
      <c r="F42" s="8">
        <v>11.9</v>
      </c>
    </row>
    <row r="43" spans="1:6" x14ac:dyDescent="0.2">
      <c r="A43" s="2" t="s">
        <v>28</v>
      </c>
      <c r="B43" s="15">
        <v>20111017</v>
      </c>
      <c r="C43" s="8">
        <v>7</v>
      </c>
      <c r="D43" s="8">
        <v>7</v>
      </c>
      <c r="E43" s="8">
        <v>7</v>
      </c>
      <c r="F43" s="8">
        <v>7</v>
      </c>
    </row>
    <row r="44" spans="1:6" x14ac:dyDescent="0.2">
      <c r="A44" s="2" t="s">
        <v>26</v>
      </c>
      <c r="B44" s="15">
        <v>20111017</v>
      </c>
      <c r="C44" s="8">
        <v>15.6</v>
      </c>
      <c r="D44" s="8">
        <v>15.6</v>
      </c>
      <c r="E44" s="8">
        <v>15.6</v>
      </c>
      <c r="F44" s="8">
        <v>15.6</v>
      </c>
    </row>
    <row r="45" spans="1:6" x14ac:dyDescent="0.2">
      <c r="A45" s="2" t="s">
        <v>30</v>
      </c>
      <c r="B45" s="15">
        <v>20111017</v>
      </c>
      <c r="C45" s="8">
        <v>8</v>
      </c>
      <c r="D45" s="8">
        <v>8</v>
      </c>
      <c r="E45" s="8">
        <v>8</v>
      </c>
      <c r="F45" s="8">
        <v>8</v>
      </c>
    </row>
    <row r="46" spans="1:6" x14ac:dyDescent="0.2">
      <c r="A46" s="2" t="s">
        <v>32</v>
      </c>
      <c r="B46" s="15">
        <v>20111017</v>
      </c>
      <c r="C46" s="8">
        <v>10.199999999999999</v>
      </c>
      <c r="D46" s="8">
        <v>10.199999999999999</v>
      </c>
      <c r="E46" s="8">
        <v>10.199999999999999</v>
      </c>
      <c r="F46" s="8">
        <v>10.199999999999999</v>
      </c>
    </row>
    <row r="47" spans="1:6" x14ac:dyDescent="0.2">
      <c r="A47" s="2" t="s">
        <v>15</v>
      </c>
      <c r="B47" s="15">
        <v>20111017</v>
      </c>
      <c r="C47" s="8">
        <v>5.8</v>
      </c>
      <c r="D47" s="8">
        <v>5.8</v>
      </c>
      <c r="E47" s="8">
        <v>5.8</v>
      </c>
      <c r="F47" s="8">
        <v>5.8</v>
      </c>
    </row>
    <row r="48" spans="1:6" x14ac:dyDescent="0.2">
      <c r="A48" s="2" t="s">
        <v>267</v>
      </c>
      <c r="B48" s="15">
        <v>20111017</v>
      </c>
      <c r="C48" s="8">
        <v>12.5</v>
      </c>
      <c r="D48" s="8">
        <v>12.5</v>
      </c>
      <c r="E48" s="8">
        <v>12.5</v>
      </c>
      <c r="F48" s="8">
        <v>12.5</v>
      </c>
    </row>
    <row r="49" spans="1:6" x14ac:dyDescent="0.2">
      <c r="A49" s="2" t="s">
        <v>43</v>
      </c>
      <c r="B49" s="15">
        <v>20111017</v>
      </c>
      <c r="C49" s="8">
        <v>6.8</v>
      </c>
      <c r="D49" s="8">
        <v>6.8</v>
      </c>
      <c r="E49" s="8">
        <v>6.8</v>
      </c>
      <c r="F49" s="8">
        <v>6.8</v>
      </c>
    </row>
    <row r="50" spans="1:6" x14ac:dyDescent="0.2">
      <c r="A50" s="2" t="s">
        <v>24</v>
      </c>
      <c r="B50" s="15">
        <v>20111017</v>
      </c>
      <c r="C50" s="8">
        <v>7</v>
      </c>
      <c r="D50" s="8">
        <v>7</v>
      </c>
      <c r="E50" s="8">
        <v>7</v>
      </c>
      <c r="F50" s="8">
        <v>7</v>
      </c>
    </row>
    <row r="51" spans="1:6" x14ac:dyDescent="0.2">
      <c r="A51" s="2" t="s">
        <v>19</v>
      </c>
      <c r="B51" s="15">
        <v>20111017</v>
      </c>
      <c r="C51" s="8">
        <v>7</v>
      </c>
      <c r="D51" s="8">
        <v>7</v>
      </c>
      <c r="E51" s="8">
        <v>7</v>
      </c>
      <c r="F51" s="8">
        <v>7</v>
      </c>
    </row>
    <row r="52" spans="1:6" x14ac:dyDescent="0.2">
      <c r="A52" s="2" t="s">
        <v>17</v>
      </c>
      <c r="B52" s="15">
        <v>20111017</v>
      </c>
      <c r="C52" s="8">
        <v>10.8</v>
      </c>
      <c r="D52" s="8">
        <v>10.8</v>
      </c>
      <c r="E52" s="8">
        <v>10.8</v>
      </c>
      <c r="F52" s="8">
        <v>10.8</v>
      </c>
    </row>
    <row r="53" spans="1:6" x14ac:dyDescent="0.2">
      <c r="A53" s="2" t="s">
        <v>34</v>
      </c>
      <c r="B53" s="15">
        <v>20111017</v>
      </c>
      <c r="C53" s="8">
        <v>12.3</v>
      </c>
      <c r="D53" s="8">
        <v>12.3</v>
      </c>
      <c r="E53" s="8">
        <v>12.3</v>
      </c>
      <c r="F53" s="8">
        <v>12.3</v>
      </c>
    </row>
    <row r="54" spans="1:6" x14ac:dyDescent="0.2">
      <c r="A54" s="2" t="s">
        <v>39</v>
      </c>
      <c r="B54" s="15">
        <v>20111017</v>
      </c>
      <c r="C54" s="8">
        <v>8</v>
      </c>
      <c r="D54" s="8">
        <v>8</v>
      </c>
      <c r="E54" s="8">
        <v>8</v>
      </c>
      <c r="F54" s="8">
        <v>8</v>
      </c>
    </row>
    <row r="55" spans="1:6" x14ac:dyDescent="0.2">
      <c r="A55" s="2" t="s">
        <v>265</v>
      </c>
      <c r="B55" s="15">
        <v>20111017</v>
      </c>
      <c r="C55" s="8">
        <v>5.9</v>
      </c>
      <c r="D55" s="8">
        <v>5.9</v>
      </c>
      <c r="E55" s="8">
        <v>5.9</v>
      </c>
      <c r="F55" s="8">
        <v>5.9</v>
      </c>
    </row>
    <row r="56" spans="1:6" x14ac:dyDescent="0.2">
      <c r="A56" s="2" t="s">
        <v>269</v>
      </c>
      <c r="B56" s="15">
        <v>20111017</v>
      </c>
      <c r="C56" s="8">
        <v>4.5999999999999996</v>
      </c>
      <c r="D56" s="8">
        <v>4.5999999999999996</v>
      </c>
      <c r="E56" s="8">
        <v>4.5999999999999996</v>
      </c>
      <c r="F56" s="8">
        <v>4.5999999999999996</v>
      </c>
    </row>
    <row r="57" spans="1:6" x14ac:dyDescent="0.2">
      <c r="A57" s="2" t="s">
        <v>47</v>
      </c>
      <c r="B57" s="15">
        <v>20111017</v>
      </c>
      <c r="C57" s="8">
        <v>4.5</v>
      </c>
      <c r="D57" s="8">
        <v>4.5</v>
      </c>
      <c r="E57" s="8">
        <v>4.5</v>
      </c>
      <c r="F57" s="8">
        <v>4.5</v>
      </c>
    </row>
    <row r="58" spans="1:6" x14ac:dyDescent="0.2">
      <c r="A58" s="2" t="s">
        <v>12</v>
      </c>
      <c r="B58" s="15">
        <v>20111017</v>
      </c>
      <c r="C58" s="8">
        <v>3.5</v>
      </c>
      <c r="D58" s="8">
        <v>3.5</v>
      </c>
      <c r="E58" s="8">
        <v>3.5</v>
      </c>
      <c r="F58" s="8">
        <v>3.5</v>
      </c>
    </row>
    <row r="59" spans="1:6" x14ac:dyDescent="0.2">
      <c r="A59" s="2" t="s">
        <v>44</v>
      </c>
      <c r="B59" s="15">
        <v>20111017</v>
      </c>
      <c r="C59" s="8">
        <v>3.4</v>
      </c>
      <c r="D59" s="8">
        <v>3.4</v>
      </c>
      <c r="E59" s="8">
        <v>3.4</v>
      </c>
      <c r="F59" s="8">
        <v>3.4</v>
      </c>
    </row>
    <row r="60" spans="1:6" x14ac:dyDescent="0.2">
      <c r="A60" s="2" t="s">
        <v>42</v>
      </c>
      <c r="B60" s="15">
        <v>20111017</v>
      </c>
      <c r="C60" s="8">
        <v>2.6</v>
      </c>
      <c r="D60" s="8">
        <v>2.6</v>
      </c>
      <c r="E60" s="8">
        <v>2.6</v>
      </c>
      <c r="F60" s="8">
        <v>2.6</v>
      </c>
    </row>
    <row r="61" spans="1:6" x14ac:dyDescent="0.2">
      <c r="A61" s="2" t="s">
        <v>21</v>
      </c>
      <c r="B61" s="15">
        <v>20111017</v>
      </c>
      <c r="C61" s="8">
        <v>6</v>
      </c>
      <c r="D61" s="8">
        <v>6</v>
      </c>
      <c r="E61" s="8">
        <v>6</v>
      </c>
      <c r="F61" s="8">
        <v>6</v>
      </c>
    </row>
    <row r="62" spans="1:6" x14ac:dyDescent="0.2">
      <c r="A62" s="2" t="s">
        <v>36</v>
      </c>
      <c r="B62" s="15">
        <v>20111016</v>
      </c>
      <c r="C62">
        <v>33</v>
      </c>
      <c r="D62">
        <v>33</v>
      </c>
      <c r="E62">
        <v>33</v>
      </c>
      <c r="F62">
        <v>33</v>
      </c>
    </row>
    <row r="63" spans="1:6" x14ac:dyDescent="0.2">
      <c r="A63" s="2" t="s">
        <v>45</v>
      </c>
      <c r="B63" s="15">
        <v>20111016</v>
      </c>
      <c r="C63">
        <v>37.700000000000003</v>
      </c>
      <c r="D63">
        <v>37.700000000000003</v>
      </c>
      <c r="E63">
        <v>37.700000000000003</v>
      </c>
      <c r="F63">
        <v>37.700000000000003</v>
      </c>
    </row>
    <row r="64" spans="1:6" x14ac:dyDescent="0.2">
      <c r="A64" s="2" t="s">
        <v>38</v>
      </c>
      <c r="B64" s="15">
        <v>20111016</v>
      </c>
      <c r="C64">
        <v>12</v>
      </c>
      <c r="D64">
        <v>12</v>
      </c>
      <c r="E64">
        <v>12</v>
      </c>
      <c r="F64">
        <v>12</v>
      </c>
    </row>
    <row r="65" spans="1:6" x14ac:dyDescent="0.2">
      <c r="A65" s="2" t="s">
        <v>22</v>
      </c>
      <c r="B65" s="15">
        <v>20111016</v>
      </c>
      <c r="C65">
        <v>15.4</v>
      </c>
      <c r="D65">
        <v>15.4</v>
      </c>
      <c r="E65">
        <v>15.4</v>
      </c>
      <c r="F65">
        <v>15.4</v>
      </c>
    </row>
    <row r="66" spans="1:6" x14ac:dyDescent="0.2">
      <c r="A66" s="2" t="s">
        <v>35</v>
      </c>
      <c r="B66" s="15">
        <v>20111016</v>
      </c>
      <c r="C66">
        <v>10.9</v>
      </c>
      <c r="D66">
        <v>10.9</v>
      </c>
      <c r="E66">
        <v>10.9</v>
      </c>
      <c r="F66">
        <v>10.9</v>
      </c>
    </row>
    <row r="67" spans="1:6" x14ac:dyDescent="0.2">
      <c r="A67" s="2" t="s">
        <v>263</v>
      </c>
      <c r="B67" s="15">
        <v>20111016</v>
      </c>
      <c r="C67">
        <v>15.8</v>
      </c>
      <c r="D67">
        <v>15.8</v>
      </c>
      <c r="E67">
        <v>15.8</v>
      </c>
      <c r="F67">
        <v>15.8</v>
      </c>
    </row>
    <row r="68" spans="1:6" x14ac:dyDescent="0.2">
      <c r="A68" s="2" t="s">
        <v>271</v>
      </c>
      <c r="B68" s="15">
        <v>20111016</v>
      </c>
      <c r="C68">
        <v>35.200000000000003</v>
      </c>
      <c r="D68">
        <v>35.200000000000003</v>
      </c>
      <c r="E68">
        <v>35.200000000000003</v>
      </c>
      <c r="F68">
        <v>35.200000000000003</v>
      </c>
    </row>
    <row r="69" spans="1:6" x14ac:dyDescent="0.2">
      <c r="A69" s="2" t="s">
        <v>40</v>
      </c>
      <c r="B69" s="15">
        <v>20111016</v>
      </c>
      <c r="C69">
        <v>5</v>
      </c>
      <c r="D69">
        <v>5</v>
      </c>
      <c r="E69">
        <v>5</v>
      </c>
      <c r="F69">
        <v>5</v>
      </c>
    </row>
    <row r="70" spans="1:6" x14ac:dyDescent="0.2">
      <c r="A70" s="2" t="s">
        <v>48</v>
      </c>
      <c r="B70" s="15">
        <v>20111016</v>
      </c>
      <c r="C70">
        <v>4.4000000000000004</v>
      </c>
      <c r="D70">
        <v>4.4000000000000004</v>
      </c>
      <c r="E70">
        <v>4.4000000000000004</v>
      </c>
      <c r="F70">
        <v>4.4000000000000004</v>
      </c>
    </row>
    <row r="71" spans="1:6" x14ac:dyDescent="0.2">
      <c r="A71" s="2" t="s">
        <v>41</v>
      </c>
      <c r="B71" s="15">
        <v>20111016</v>
      </c>
      <c r="C71">
        <v>23</v>
      </c>
      <c r="D71">
        <v>23</v>
      </c>
      <c r="E71">
        <v>23</v>
      </c>
      <c r="F71">
        <v>23</v>
      </c>
    </row>
    <row r="72" spans="1:6" x14ac:dyDescent="0.2">
      <c r="A72" s="2" t="s">
        <v>37</v>
      </c>
      <c r="B72" s="15">
        <v>20111016</v>
      </c>
      <c r="C72">
        <v>11.9</v>
      </c>
      <c r="D72">
        <v>11.9</v>
      </c>
      <c r="E72">
        <v>11.9</v>
      </c>
      <c r="F72">
        <v>11.9</v>
      </c>
    </row>
    <row r="73" spans="1:6" x14ac:dyDescent="0.2">
      <c r="A73" s="2" t="s">
        <v>28</v>
      </c>
      <c r="B73" s="15">
        <v>20111016</v>
      </c>
      <c r="C73">
        <v>7</v>
      </c>
      <c r="D73">
        <v>7</v>
      </c>
      <c r="E73">
        <v>7</v>
      </c>
      <c r="F73">
        <v>7</v>
      </c>
    </row>
    <row r="74" spans="1:6" x14ac:dyDescent="0.2">
      <c r="A74" s="2" t="s">
        <v>26</v>
      </c>
      <c r="B74" s="15">
        <v>20111016</v>
      </c>
      <c r="C74">
        <v>15.6</v>
      </c>
      <c r="D74">
        <v>15.6</v>
      </c>
      <c r="E74">
        <v>15.6</v>
      </c>
      <c r="F74">
        <v>15.6</v>
      </c>
    </row>
    <row r="75" spans="1:6" x14ac:dyDescent="0.2">
      <c r="A75" s="2" t="s">
        <v>30</v>
      </c>
      <c r="B75" s="15">
        <v>20111016</v>
      </c>
      <c r="C75">
        <v>8</v>
      </c>
      <c r="D75">
        <v>8</v>
      </c>
      <c r="E75">
        <v>8</v>
      </c>
      <c r="F75">
        <v>8</v>
      </c>
    </row>
    <row r="76" spans="1:6" x14ac:dyDescent="0.2">
      <c r="A76" s="2" t="s">
        <v>32</v>
      </c>
      <c r="B76" s="15">
        <v>20111016</v>
      </c>
      <c r="C76">
        <v>10.199999999999999</v>
      </c>
      <c r="D76">
        <v>10.199999999999999</v>
      </c>
      <c r="E76">
        <v>10.199999999999999</v>
      </c>
      <c r="F76">
        <v>10.199999999999999</v>
      </c>
    </row>
    <row r="77" spans="1:6" x14ac:dyDescent="0.2">
      <c r="A77" s="2" t="s">
        <v>15</v>
      </c>
      <c r="B77" s="15">
        <v>20111016</v>
      </c>
      <c r="C77">
        <v>5.8</v>
      </c>
      <c r="D77">
        <v>5.8</v>
      </c>
      <c r="E77">
        <v>5.8</v>
      </c>
      <c r="F77">
        <v>5.8</v>
      </c>
    </row>
    <row r="78" spans="1:6" x14ac:dyDescent="0.2">
      <c r="A78" s="2" t="s">
        <v>267</v>
      </c>
      <c r="B78" s="15">
        <v>20111016</v>
      </c>
      <c r="C78">
        <v>12.5</v>
      </c>
      <c r="D78">
        <v>12.5</v>
      </c>
      <c r="E78">
        <v>12.5</v>
      </c>
      <c r="F78">
        <v>12.5</v>
      </c>
    </row>
    <row r="79" spans="1:6" x14ac:dyDescent="0.2">
      <c r="A79" s="2" t="s">
        <v>43</v>
      </c>
      <c r="B79" s="15">
        <v>20111016</v>
      </c>
      <c r="C79">
        <v>6.8</v>
      </c>
      <c r="D79">
        <v>6.8</v>
      </c>
      <c r="E79">
        <v>6.8</v>
      </c>
      <c r="F79">
        <v>6.8</v>
      </c>
    </row>
    <row r="80" spans="1:6" x14ac:dyDescent="0.2">
      <c r="A80" s="2" t="s">
        <v>24</v>
      </c>
      <c r="B80" s="15">
        <v>20111016</v>
      </c>
      <c r="C80">
        <v>7</v>
      </c>
      <c r="D80">
        <v>7</v>
      </c>
      <c r="E80">
        <v>7</v>
      </c>
      <c r="F80">
        <v>7</v>
      </c>
    </row>
    <row r="81" spans="1:6" x14ac:dyDescent="0.2">
      <c r="A81" s="2" t="s">
        <v>19</v>
      </c>
      <c r="B81" s="15">
        <v>20111016</v>
      </c>
      <c r="C81">
        <v>7</v>
      </c>
      <c r="D81">
        <v>7</v>
      </c>
      <c r="E81">
        <v>7</v>
      </c>
      <c r="F81">
        <v>7</v>
      </c>
    </row>
    <row r="82" spans="1:6" x14ac:dyDescent="0.2">
      <c r="A82" s="2" t="s">
        <v>17</v>
      </c>
      <c r="B82" s="15">
        <v>20111016</v>
      </c>
      <c r="C82">
        <v>10.8</v>
      </c>
      <c r="D82">
        <v>10.8</v>
      </c>
      <c r="E82">
        <v>10.8</v>
      </c>
      <c r="F82">
        <v>10.8</v>
      </c>
    </row>
    <row r="83" spans="1:6" x14ac:dyDescent="0.2">
      <c r="A83" s="2" t="s">
        <v>34</v>
      </c>
      <c r="B83" s="15">
        <v>20111016</v>
      </c>
      <c r="C83">
        <v>12.3</v>
      </c>
      <c r="D83">
        <v>12.3</v>
      </c>
      <c r="E83">
        <v>12.3</v>
      </c>
      <c r="F83">
        <v>12.3</v>
      </c>
    </row>
    <row r="84" spans="1:6" x14ac:dyDescent="0.2">
      <c r="A84" s="2" t="s">
        <v>39</v>
      </c>
      <c r="B84" s="15">
        <v>20111016</v>
      </c>
      <c r="C84">
        <v>8</v>
      </c>
      <c r="D84">
        <v>8</v>
      </c>
      <c r="E84">
        <v>8</v>
      </c>
      <c r="F84">
        <v>8</v>
      </c>
    </row>
    <row r="85" spans="1:6" x14ac:dyDescent="0.2">
      <c r="A85" s="2" t="s">
        <v>265</v>
      </c>
      <c r="B85" s="15">
        <v>20111016</v>
      </c>
      <c r="C85">
        <v>5.9</v>
      </c>
      <c r="D85">
        <v>5.9</v>
      </c>
      <c r="E85">
        <v>5.9</v>
      </c>
      <c r="F85">
        <v>5.9</v>
      </c>
    </row>
    <row r="86" spans="1:6" x14ac:dyDescent="0.2">
      <c r="A86" s="2" t="s">
        <v>269</v>
      </c>
      <c r="B86" s="15">
        <v>20111016</v>
      </c>
      <c r="C86">
        <v>4.5999999999999996</v>
      </c>
      <c r="D86">
        <v>4.5999999999999996</v>
      </c>
      <c r="E86">
        <v>4.5999999999999996</v>
      </c>
      <c r="F86">
        <v>4.5999999999999996</v>
      </c>
    </row>
    <row r="87" spans="1:6" x14ac:dyDescent="0.2">
      <c r="A87" s="2" t="s">
        <v>47</v>
      </c>
      <c r="B87" s="15">
        <v>20111016</v>
      </c>
      <c r="C87">
        <v>4.5</v>
      </c>
      <c r="D87">
        <v>4.5</v>
      </c>
      <c r="E87">
        <v>4.5</v>
      </c>
      <c r="F87">
        <v>4.5</v>
      </c>
    </row>
    <row r="88" spans="1:6" x14ac:dyDescent="0.2">
      <c r="A88" s="2" t="s">
        <v>12</v>
      </c>
      <c r="B88" s="15">
        <v>20111016</v>
      </c>
      <c r="C88">
        <v>3.5</v>
      </c>
      <c r="D88">
        <v>3.5</v>
      </c>
      <c r="E88">
        <v>3.5</v>
      </c>
      <c r="F88">
        <v>3.5</v>
      </c>
    </row>
    <row r="89" spans="1:6" x14ac:dyDescent="0.2">
      <c r="A89" s="2" t="s">
        <v>44</v>
      </c>
      <c r="B89" s="15">
        <v>20111016</v>
      </c>
      <c r="C89">
        <v>3.4</v>
      </c>
      <c r="D89">
        <v>3.4</v>
      </c>
      <c r="E89">
        <v>3.4</v>
      </c>
      <c r="F89">
        <v>3.4</v>
      </c>
    </row>
    <row r="90" spans="1:6" x14ac:dyDescent="0.2">
      <c r="A90" s="2" t="s">
        <v>42</v>
      </c>
      <c r="B90" s="15">
        <v>20111016</v>
      </c>
      <c r="C90">
        <v>2.6</v>
      </c>
      <c r="D90">
        <v>2.6</v>
      </c>
      <c r="E90">
        <v>2.6</v>
      </c>
      <c r="F90">
        <v>2.6</v>
      </c>
    </row>
    <row r="91" spans="1:6" x14ac:dyDescent="0.2">
      <c r="A91" s="2" t="s">
        <v>21</v>
      </c>
      <c r="B91" s="15">
        <v>20111016</v>
      </c>
      <c r="C91">
        <v>6</v>
      </c>
      <c r="D91">
        <v>6</v>
      </c>
      <c r="E91">
        <v>6</v>
      </c>
      <c r="F91">
        <v>6</v>
      </c>
    </row>
  </sheetData>
  <customSheetViews>
    <customSheetView guid="{8EF2C042-D97C-40EA-9E42-A17331664713}">
      <selection activeCell="G26" sqref="G26"/>
      <pageMargins left="0.7" right="0.7" top="0.75" bottom="0.75" header="0.3" footer="0.3"/>
    </customSheetView>
    <customSheetView guid="{A93D23F5-27FE-48DF-A0DC-3D7A8C6F3CF5}">
      <selection activeCell="D13" sqref="D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N39" sqref="M39:N40"/>
    </sheetView>
  </sheetViews>
  <sheetFormatPr defaultRowHeight="12.75" x14ac:dyDescent="0.2"/>
  <sheetData/>
  <customSheetViews>
    <customSheetView guid="{8EF2C042-D97C-40EA-9E42-A17331664713}">
      <selection activeCell="N16" sqref="N16"/>
      <pageMargins left="0.7" right="0.7" top="0.75" bottom="0.75" header="0.3" footer="0.3"/>
    </customSheetView>
    <customSheetView guid="{E8497AD8-A45C-484D-A252-6E26647DB053}"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</customSheetView>
    <customSheetView guid="{A93D23F5-27FE-48DF-A0DC-3D7A8C6F3CF5}">
      <selection activeCell="N16" sqref="N1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24" sqref="H24"/>
    </sheetView>
  </sheetViews>
  <sheetFormatPr defaultRowHeight="12.75" x14ac:dyDescent="0.2"/>
  <cols>
    <col min="1" max="1" width="14.5703125" bestFit="1" customWidth="1"/>
    <col min="2" max="2" width="17.42578125" bestFit="1" customWidth="1"/>
    <col min="3" max="4" width="7.28515625" bestFit="1" customWidth="1"/>
    <col min="5" max="5" width="7.140625" bestFit="1" customWidth="1"/>
    <col min="6" max="6" width="8.5703125" bestFit="1" customWidth="1"/>
  </cols>
  <sheetData>
    <row r="1" spans="1:7" x14ac:dyDescent="0.2">
      <c r="A1" s="3" t="s">
        <v>189</v>
      </c>
      <c r="B1" s="3" t="s">
        <v>49</v>
      </c>
      <c r="C1" s="3" t="s">
        <v>1241</v>
      </c>
      <c r="D1" s="3" t="s">
        <v>1132</v>
      </c>
      <c r="E1" s="3" t="s">
        <v>1242</v>
      </c>
      <c r="F1" s="3" t="s">
        <v>1243</v>
      </c>
      <c r="G1" s="3" t="s">
        <v>1244</v>
      </c>
    </row>
    <row r="2" spans="1:7" x14ac:dyDescent="0.2">
      <c r="A2">
        <v>1</v>
      </c>
      <c r="B2" t="s">
        <v>1245</v>
      </c>
      <c r="C2" t="s">
        <v>1245</v>
      </c>
      <c r="D2" t="s">
        <v>1245</v>
      </c>
      <c r="E2" t="s">
        <v>1246</v>
      </c>
      <c r="F2">
        <v>9</v>
      </c>
      <c r="G2">
        <v>1</v>
      </c>
    </row>
    <row r="3" spans="1:7" x14ac:dyDescent="0.2">
      <c r="A3">
        <v>2</v>
      </c>
      <c r="B3" t="s">
        <v>188</v>
      </c>
      <c r="C3" t="s">
        <v>188</v>
      </c>
      <c r="D3" t="s">
        <v>188</v>
      </c>
      <c r="E3" t="s">
        <v>1247</v>
      </c>
      <c r="F3">
        <v>9</v>
      </c>
      <c r="G3">
        <v>1</v>
      </c>
    </row>
    <row r="4" spans="1:7" x14ac:dyDescent="0.2">
      <c r="A4">
        <v>3</v>
      </c>
      <c r="B4" t="s">
        <v>193</v>
      </c>
      <c r="C4" t="s">
        <v>193</v>
      </c>
      <c r="D4" t="s">
        <v>193</v>
      </c>
      <c r="E4" t="s">
        <v>1248</v>
      </c>
      <c r="F4">
        <v>9</v>
      </c>
      <c r="G4">
        <v>1</v>
      </c>
    </row>
    <row r="5" spans="1:7" x14ac:dyDescent="0.2">
      <c r="A5">
        <v>4</v>
      </c>
      <c r="B5" t="s">
        <v>195</v>
      </c>
      <c r="C5" t="s">
        <v>195</v>
      </c>
      <c r="D5" t="s">
        <v>195</v>
      </c>
      <c r="E5" t="s">
        <v>1249</v>
      </c>
      <c r="F5">
        <v>9</v>
      </c>
      <c r="G5">
        <v>1</v>
      </c>
    </row>
    <row r="6" spans="1:7" x14ac:dyDescent="0.2">
      <c r="A6">
        <v>5</v>
      </c>
      <c r="B6" t="s">
        <v>218</v>
      </c>
      <c r="C6" t="s">
        <v>218</v>
      </c>
      <c r="D6" t="s">
        <v>218</v>
      </c>
      <c r="E6" t="s">
        <v>1250</v>
      </c>
      <c r="F6">
        <v>9</v>
      </c>
      <c r="G6">
        <v>1</v>
      </c>
    </row>
    <row r="7" spans="1:7" x14ac:dyDescent="0.2">
      <c r="A7">
        <v>6</v>
      </c>
      <c r="B7" t="s">
        <v>52</v>
      </c>
      <c r="C7" t="s">
        <v>52</v>
      </c>
      <c r="D7" t="s">
        <v>52</v>
      </c>
      <c r="E7" t="s">
        <v>1251</v>
      </c>
      <c r="F7">
        <v>9</v>
      </c>
      <c r="G7">
        <v>1</v>
      </c>
    </row>
    <row r="8" spans="1:7" x14ac:dyDescent="0.2">
      <c r="A8">
        <v>7</v>
      </c>
      <c r="B8" t="s">
        <v>118</v>
      </c>
      <c r="C8" t="s">
        <v>118</v>
      </c>
      <c r="D8" t="s">
        <v>118</v>
      </c>
      <c r="E8" t="s">
        <v>1252</v>
      </c>
      <c r="F8">
        <v>9</v>
      </c>
      <c r="G8">
        <v>1</v>
      </c>
    </row>
    <row r="9" spans="1:7" x14ac:dyDescent="0.2">
      <c r="A9">
        <v>8</v>
      </c>
      <c r="B9" t="s">
        <v>71</v>
      </c>
      <c r="C9" t="s">
        <v>71</v>
      </c>
      <c r="D9" t="s">
        <v>71</v>
      </c>
      <c r="E9" t="s">
        <v>1253</v>
      </c>
      <c r="F9">
        <v>9</v>
      </c>
      <c r="G9">
        <v>1</v>
      </c>
    </row>
    <row r="10" spans="1:7" x14ac:dyDescent="0.2">
      <c r="A10">
        <v>9</v>
      </c>
      <c r="B10" t="s">
        <v>125</v>
      </c>
      <c r="C10" t="s">
        <v>125</v>
      </c>
      <c r="D10" t="s">
        <v>125</v>
      </c>
      <c r="E10" t="s">
        <v>1254</v>
      </c>
      <c r="F10">
        <v>1</v>
      </c>
      <c r="G10">
        <v>1</v>
      </c>
    </row>
    <row r="11" spans="1:7" x14ac:dyDescent="0.2">
      <c r="A11">
        <v>10</v>
      </c>
      <c r="B11" t="s">
        <v>117</v>
      </c>
      <c r="C11" t="s">
        <v>117</v>
      </c>
      <c r="D11" t="s">
        <v>117</v>
      </c>
      <c r="E11" t="s">
        <v>1255</v>
      </c>
      <c r="F11">
        <v>9</v>
      </c>
      <c r="G11">
        <v>1</v>
      </c>
    </row>
    <row r="12" spans="1:7" x14ac:dyDescent="0.2">
      <c r="A12">
        <v>11</v>
      </c>
      <c r="B12" t="s">
        <v>131</v>
      </c>
      <c r="C12" t="s">
        <v>131</v>
      </c>
      <c r="D12" t="s">
        <v>131</v>
      </c>
      <c r="E12" t="s">
        <v>1256</v>
      </c>
      <c r="F12">
        <v>1</v>
      </c>
      <c r="G12">
        <v>1</v>
      </c>
    </row>
    <row r="13" spans="1:7" x14ac:dyDescent="0.2">
      <c r="A13">
        <v>12</v>
      </c>
      <c r="B13" t="s">
        <v>132</v>
      </c>
      <c r="C13" t="s">
        <v>132</v>
      </c>
      <c r="D13" t="s">
        <v>132</v>
      </c>
      <c r="E13" t="s">
        <v>1257</v>
      </c>
      <c r="F13">
        <v>1</v>
      </c>
      <c r="G13">
        <v>1</v>
      </c>
    </row>
    <row r="14" spans="1:7" x14ac:dyDescent="0.2">
      <c r="A14">
        <v>13</v>
      </c>
      <c r="B14" t="s">
        <v>426</v>
      </c>
      <c r="C14" t="s">
        <v>426</v>
      </c>
      <c r="D14" t="s">
        <v>426</v>
      </c>
      <c r="E14" t="s">
        <v>1258</v>
      </c>
      <c r="F14">
        <v>1</v>
      </c>
      <c r="G14">
        <v>1</v>
      </c>
    </row>
    <row r="15" spans="1:7" x14ac:dyDescent="0.2">
      <c r="A15">
        <v>14</v>
      </c>
      <c r="B15" t="s">
        <v>139</v>
      </c>
      <c r="C15" t="s">
        <v>1259</v>
      </c>
      <c r="D15" t="s">
        <v>1259</v>
      </c>
      <c r="E15" t="s">
        <v>1260</v>
      </c>
      <c r="F15">
        <v>9</v>
      </c>
      <c r="G15">
        <v>1</v>
      </c>
    </row>
    <row r="16" spans="1:7" x14ac:dyDescent="0.2">
      <c r="A16">
        <v>14</v>
      </c>
      <c r="B16" t="s">
        <v>1261</v>
      </c>
      <c r="C16" t="s">
        <v>1261</v>
      </c>
      <c r="D16" t="s">
        <v>1261</v>
      </c>
      <c r="E16" t="s">
        <v>1262</v>
      </c>
      <c r="F16">
        <v>9</v>
      </c>
      <c r="G16">
        <v>1</v>
      </c>
    </row>
  </sheetData>
  <customSheetViews>
    <customSheetView guid="{8EF2C042-D97C-40EA-9E42-A17331664713}">
      <selection activeCell="G20" sqref="G20"/>
      <pageMargins left="0.7" right="0.7" top="0.75" bottom="0.75" header="0.3" footer="0.3"/>
    </customSheetView>
    <customSheetView guid="{E8497AD8-A45C-484D-A252-6E26647DB053}">
      <selection activeCell="E26" sqref="E26"/>
      <pageMargins left="0.7" right="0.7" top="0.75" bottom="0.75" header="0.3" footer="0.3"/>
    </customSheetView>
    <customSheetView guid="{AAB8C83D-EE7C-4F2D-A040-F04A230A06FD}">
      <selection activeCell="E26" sqref="E26"/>
      <pageMargins left="0.7" right="0.7" top="0.75" bottom="0.75" header="0.3" footer="0.3"/>
    </customSheetView>
    <customSheetView guid="{A93D23F5-27FE-48DF-A0DC-3D7A8C6F3CF5}">
      <selection activeCell="J24" sqref="J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T91"/>
  <sheetViews>
    <sheetView workbookViewId="0">
      <pane xSplit="1" ySplit="3" topLeftCell="I4" activePane="bottomRight" state="frozen"/>
      <selection pane="topRight" activeCell="B1" sqref="B1"/>
      <selection pane="bottomLeft" activeCell="A4" sqref="A4"/>
      <selection pane="bottomRight" activeCell="I27" sqref="I27"/>
    </sheetView>
  </sheetViews>
  <sheetFormatPr defaultRowHeight="12.75" x14ac:dyDescent="0.2"/>
  <cols>
    <col min="1" max="1" width="15" bestFit="1" customWidth="1"/>
    <col min="3" max="3" width="20.140625" bestFit="1" customWidth="1"/>
    <col min="4" max="4" width="22.85546875" bestFit="1" customWidth="1"/>
    <col min="5" max="5" width="12.42578125" bestFit="1" customWidth="1"/>
    <col min="6" max="7" width="22" style="12" bestFit="1" customWidth="1"/>
    <col min="8" max="8" width="13" customWidth="1"/>
    <col min="9" max="10" width="20.140625" bestFit="1" customWidth="1"/>
    <col min="12" max="13" width="20.140625" bestFit="1" customWidth="1"/>
    <col min="15" max="16" width="20.140625" bestFit="1" customWidth="1"/>
    <col min="18" max="18" width="20.140625" bestFit="1" customWidth="1"/>
    <col min="19" max="19" width="9.5703125" bestFit="1" customWidth="1"/>
    <col min="20" max="20" width="12.42578125" style="8" bestFit="1" customWidth="1"/>
  </cols>
  <sheetData>
    <row r="1" spans="1:20" x14ac:dyDescent="0.2">
      <c r="C1" s="78">
        <v>9</v>
      </c>
      <c r="D1">
        <v>1E-3</v>
      </c>
      <c r="E1" t="e">
        <f>MAX(E4:E91)</f>
        <v>#N/A</v>
      </c>
      <c r="F1" s="78">
        <v>8</v>
      </c>
      <c r="G1" s="12">
        <v>1.0000000000000001E-5</v>
      </c>
      <c r="H1" t="e">
        <f>MAX(H4:H91)</f>
        <v>#N/A</v>
      </c>
      <c r="I1" s="78">
        <v>10</v>
      </c>
      <c r="J1">
        <v>0.01</v>
      </c>
      <c r="K1" t="e">
        <f>MAX(K4:K91)</f>
        <v>#N/A</v>
      </c>
      <c r="L1" s="78">
        <v>23</v>
      </c>
      <c r="M1">
        <v>1E-3</v>
      </c>
      <c r="N1" t="e">
        <f>MAX(N4:N91)</f>
        <v>#N/A</v>
      </c>
      <c r="O1" s="78">
        <v>22</v>
      </c>
      <c r="P1">
        <v>1E-4</v>
      </c>
      <c r="Q1" s="76" t="e">
        <f>MAX(Q4:Q91)</f>
        <v>#N/A</v>
      </c>
      <c r="R1" s="78">
        <v>25</v>
      </c>
      <c r="S1">
        <v>1E-3</v>
      </c>
      <c r="T1" s="8" t="e">
        <f t="array" ref="T1">MAX(T4:T91)</f>
        <v>#N/A</v>
      </c>
    </row>
    <row r="2" spans="1:20" x14ac:dyDescent="0.2">
      <c r="C2" s="78">
        <v>2</v>
      </c>
      <c r="D2">
        <v>9</v>
      </c>
      <c r="F2" s="78">
        <v>12</v>
      </c>
      <c r="G2" s="12">
        <v>8</v>
      </c>
      <c r="I2" s="78">
        <v>6</v>
      </c>
      <c r="J2">
        <v>10</v>
      </c>
      <c r="L2" s="78">
        <v>6</v>
      </c>
      <c r="M2">
        <v>25</v>
      </c>
      <c r="O2" s="78">
        <v>12</v>
      </c>
      <c r="P2">
        <v>22</v>
      </c>
      <c r="R2" s="78">
        <v>12</v>
      </c>
      <c r="S2">
        <v>28</v>
      </c>
    </row>
    <row r="3" spans="1:20" x14ac:dyDescent="0.2">
      <c r="A3" t="s">
        <v>1268</v>
      </c>
      <c r="C3" s="7" t="s">
        <v>79</v>
      </c>
      <c r="D3" t="s">
        <v>1311</v>
      </c>
      <c r="F3" s="31" t="s">
        <v>78</v>
      </c>
      <c r="G3" s="12" t="s">
        <v>1311</v>
      </c>
      <c r="I3" s="22" t="s">
        <v>116</v>
      </c>
      <c r="J3" t="s">
        <v>1311</v>
      </c>
      <c r="L3" s="3" t="s">
        <v>1316</v>
      </c>
      <c r="M3" t="s">
        <v>1311</v>
      </c>
      <c r="O3" s="31" t="s">
        <v>397</v>
      </c>
      <c r="P3" t="s">
        <v>1311</v>
      </c>
      <c r="R3" s="31" t="s">
        <v>1367</v>
      </c>
      <c r="S3" t="s">
        <v>1311</v>
      </c>
    </row>
    <row r="4" spans="1:20" x14ac:dyDescent="0.2">
      <c r="A4" t="str">
        <f>IF(ISTEXT(IDX_SPECS!B2),IDX_SPECS!B2,"")</f>
        <v>VNX10PRVND</v>
      </c>
      <c r="C4" s="76">
        <f>VLOOKUP($A4,IDX_SPECS!$B$1:$V$200,TESTS!C$1-1,0)</f>
        <v>39491866310320.594</v>
      </c>
      <c r="D4" s="76" t="e">
        <f>VLOOKUP($A4,IMS!$B$2:$V$89,TESTS!D$2-1,0)</f>
        <v>#N/A</v>
      </c>
      <c r="E4" t="e">
        <f>ABS(ROUND(C4,$C$2)-ROUND(D4,$C$2))</f>
        <v>#N/A</v>
      </c>
      <c r="F4" s="12">
        <f>VLOOKUP($A4,IDX_SPECS!$B$1:$V$200,TESTS!F$1-1,0)</f>
        <v>30000000000000</v>
      </c>
      <c r="G4" s="12" t="e">
        <f>VLOOKUP($A4,IMS!$B$2:$V$89,TESTS!G$2-1,0)</f>
        <v>#N/A</v>
      </c>
      <c r="H4" t="e">
        <f>ABS(ROUND(F4,$F$2)-ROUND(G4,$F$2))</f>
        <v>#N/A</v>
      </c>
      <c r="I4" s="79">
        <f>VLOOKUP($A4,IDX_SPECS!$B$1:$V$200,TESTS!I$1-1,0)</f>
        <v>1316.3955436773531</v>
      </c>
      <c r="J4" s="79" t="e">
        <f>VLOOKUP($A4,IMS!$B$2:$V$89,TESTS!J$2-1,0)</f>
        <v>#N/A</v>
      </c>
      <c r="K4" t="e">
        <f>ABS(ROUND(I4,$I$2)-ROUND(J4,$I$2))</f>
        <v>#N/A</v>
      </c>
      <c r="L4" s="79">
        <f>VLOOKUP($A4,IDX_SPECS!$B$1:$W$200,TESTS!L$1-1,0)</f>
        <v>1358.26</v>
      </c>
      <c r="M4" s="79" t="e">
        <f>VLOOKUP($A4,IMS!$B$2:$AC$89,TESTS!M$2-1,0)</f>
        <v>#N/A</v>
      </c>
      <c r="N4" t="e">
        <f>ABS(ROUND(L4,$L$2)-ROUND(M4,$L$2))</f>
        <v>#N/A</v>
      </c>
      <c r="O4" s="76">
        <f>VLOOKUP($A4,IDX_SPECS!$B$1:$V$200,TESTS!O$1-1,0)</f>
        <v>1</v>
      </c>
      <c r="P4" s="76" t="e">
        <f>VLOOKUP($A4,IMS!$B$2:$V$89,TESTS!P$2-1,0)</f>
        <v>#N/A</v>
      </c>
      <c r="Q4" s="76" t="e">
        <f>ABS(ROUND(O4,$O$2)-ROUND(P4,$O$2))</f>
        <v>#N/A</v>
      </c>
      <c r="R4" s="79">
        <f>VLOOKUP($A4,IDX_SPECS!$B$1:$Y$89,TESTS!R$1-1,0)</f>
        <v>-3.0822122658877462</v>
      </c>
      <c r="S4" s="12" t="e">
        <f>VLOOKUP($A4,IMS!$B$2:$AC$89,TESTS!S$2-1,0)</f>
        <v>#N/A</v>
      </c>
      <c r="T4" s="8" t="e">
        <f>ABS(ROUND(R4,$O$2)-ROUND(S4,$O$2))</f>
        <v>#N/A</v>
      </c>
    </row>
    <row r="5" spans="1:20" x14ac:dyDescent="0.2">
      <c r="A5" t="str">
        <f>IF(ISTEXT(IDX_SPECS!B3),IDX_SPECS!B3,"")</f>
        <v>VNX10PRUSD</v>
      </c>
      <c r="C5" s="76">
        <f>VLOOKUP($A5,IDX_SPECS!$B$1:$V$200,TESTS!C$1-1,0)</f>
        <v>1804105359.0827134</v>
      </c>
      <c r="D5" s="76" t="e">
        <f>VLOOKUP($A5,IMS!$B$2:$V$89,TESTS!D$2-1,0)</f>
        <v>#N/A</v>
      </c>
      <c r="E5" t="e">
        <f t="shared" ref="E5:E68" si="0">ABS(ROUND(C5,$C$2)-ROUND(D5,$C$2))</f>
        <v>#N/A</v>
      </c>
      <c r="F5" s="12">
        <f>VLOOKUP($A5,IDX_SPECS!$B$1:$V$200,TESTS!F$1-1,0)</f>
        <v>1428571428.5714285</v>
      </c>
      <c r="G5" s="12" t="e">
        <f>VLOOKUP($A5,IMS!$B$2:$V$89,TESTS!G$2-1,0)</f>
        <v>#N/A</v>
      </c>
      <c r="H5" t="e">
        <f t="shared" ref="H5:H68" si="1">ABS(ROUND(F5,$F$2)-ROUND(G5,$F$2))</f>
        <v>#N/A</v>
      </c>
      <c r="I5" s="79">
        <f>VLOOKUP($A5,IDX_SPECS!$B$1:$V$200,TESTS!I$1-1,0)</f>
        <v>1262.8737513578994</v>
      </c>
      <c r="J5" s="79" t="e">
        <f>VLOOKUP($A5,IMS!$B$2:$V$89,TESTS!J$2-1,0)</f>
        <v>#N/A</v>
      </c>
      <c r="K5" t="e">
        <f t="shared" ref="K5:K68" si="2">ABS(ROUND(I5,$I$2)-ROUND(J5,$I$2))</f>
        <v>#N/A</v>
      </c>
      <c r="L5" s="79">
        <f>VLOOKUP($A5,IDX_SPECS!$B$1:$W$200,TESTS!L$1-1,0)</f>
        <v>1198.4110000000001</v>
      </c>
      <c r="M5" s="79" t="e">
        <f>VLOOKUP($A5,IMS!$B$2:$AC$89,TESTS!M$2-1,0)</f>
        <v>#N/A</v>
      </c>
      <c r="N5" t="e">
        <f t="shared" ref="N5:N68" si="3">ABS(ROUND(L5,$L$2)-ROUND(M5,$L$2))</f>
        <v>#N/A</v>
      </c>
      <c r="O5" s="76">
        <f>VLOOKUP($A5,IDX_SPECS!$B$1:$V$200,TESTS!O$1-1,0)</f>
        <v>21890</v>
      </c>
      <c r="P5" s="76" t="e">
        <f>VLOOKUP($A5,IMS!$B$2:$V$89,TESTS!P$2-1,0)</f>
        <v>#N/A</v>
      </c>
      <c r="Q5" s="76" t="e">
        <f t="shared" ref="Q5:Q68" si="4">ABS(ROUND(O5,$O$2)-ROUND(P5,$O$2))</f>
        <v>#N/A</v>
      </c>
      <c r="R5" s="79">
        <f>VLOOKUP($A5,IDX_SPECS!$B$1:$Y$89,TESTS!R$1-1,0)</f>
        <v>5.3790186637054713</v>
      </c>
      <c r="S5" s="12" t="e">
        <f>VLOOKUP($A5,IMS!$B$2:$AC$89,TESTS!S$2-1,0)</f>
        <v>#N/A</v>
      </c>
      <c r="T5" s="8" t="e">
        <f t="shared" ref="T5:T68" si="5">ABS(ROUND(R5,$O$2)-ROUND(S5,$O$2))</f>
        <v>#N/A</v>
      </c>
    </row>
    <row r="6" spans="1:20" x14ac:dyDescent="0.2">
      <c r="A6" t="str">
        <f>IF(ISTEXT(IDX_SPECS!B4),IDX_SPECS!B4,"")</f>
        <v>VNX10PRJPY</v>
      </c>
      <c r="C6" s="76">
        <f>VLOOKUP($A6,IDX_SPECS!$B$1:$V$200,TESTS!C$1-1,0)</f>
        <v>140042079114.61203</v>
      </c>
      <c r="D6" s="76" t="e">
        <f>VLOOKUP($A6,IMS!$B$2:$V$89,TESTS!D$2-1,0)</f>
        <v>#N/A</v>
      </c>
      <c r="E6" t="e">
        <f t="shared" si="0"/>
        <v>#N/A</v>
      </c>
      <c r="F6" s="12">
        <f>VLOOKUP($A6,IDX_SPECS!$B$1:$V$200,TESTS!F$1-1,0)</f>
        <v>113207547169.81133</v>
      </c>
      <c r="G6" s="12" t="e">
        <f>VLOOKUP($A6,IMS!$B$2:$V$89,TESTS!G$2-1,0)</f>
        <v>#N/A</v>
      </c>
      <c r="H6" t="e">
        <f t="shared" si="1"/>
        <v>#N/A</v>
      </c>
      <c r="I6" s="79">
        <f>VLOOKUP($A6,IDX_SPECS!$B$1:$V$200,TESTS!I$1-1,0)</f>
        <v>1237.0383655124062</v>
      </c>
      <c r="J6" s="79" t="e">
        <f>VLOOKUP($A6,IMS!$B$2:$V$89,TESTS!J$2-1,0)</f>
        <v>#N/A</v>
      </c>
      <c r="K6" t="e">
        <f t="shared" si="2"/>
        <v>#N/A</v>
      </c>
      <c r="L6" s="79">
        <f>VLOOKUP($A6,IDX_SPECS!$B$1:$W$200,TESTS!L$1-1,0)</f>
        <v>1200.989</v>
      </c>
      <c r="M6" s="79" t="e">
        <f>VLOOKUP($A6,IMS!$B$2:$AC$89,TESTS!M$2-1,0)</f>
        <v>#N/A</v>
      </c>
      <c r="N6" t="e">
        <f t="shared" si="3"/>
        <v>#N/A</v>
      </c>
      <c r="O6" s="76">
        <f>VLOOKUP($A6,IDX_SPECS!$B$1:$V$200,TESTS!O$1-1,0)</f>
        <v>282</v>
      </c>
      <c r="P6" s="76" t="e">
        <f>VLOOKUP($A6,IMS!$B$2:$V$89,TESTS!P$2-1,0)</f>
        <v>#N/A</v>
      </c>
      <c r="Q6" s="76" t="e">
        <f t="shared" si="4"/>
        <v>#N/A</v>
      </c>
      <c r="R6" s="79">
        <f>VLOOKUP($A6,IDX_SPECS!$B$1:$Y$89,TESTS!R$1-1,0)</f>
        <v>3.0016399411157146</v>
      </c>
      <c r="S6" s="12" t="e">
        <f>VLOOKUP($A6,IMS!$B$2:$AC$89,TESTS!S$2-1,0)</f>
        <v>#N/A</v>
      </c>
      <c r="T6" s="8" t="e">
        <f t="shared" si="5"/>
        <v>#N/A</v>
      </c>
    </row>
    <row r="7" spans="1:20" x14ac:dyDescent="0.2">
      <c r="A7" t="str">
        <f>IF(ISTEXT(IDX_SPECS!B5),IDX_SPECS!B5,"")</f>
        <v>VNX10PREUR</v>
      </c>
      <c r="C7" s="76">
        <f>VLOOKUP($A7,IDX_SPECS!$B$1:$V$200,TESTS!C$1-1,0)</f>
        <v>1324755634.9040208</v>
      </c>
      <c r="D7" s="76" t="e">
        <f>VLOOKUP($A7,IMS!$B$2:$V$89,TESTS!D$2-1,0)</f>
        <v>#N/A</v>
      </c>
      <c r="E7" t="e">
        <f t="shared" si="0"/>
        <v>#N/A</v>
      </c>
      <c r="F7" s="12">
        <f>VLOOKUP($A7,IDX_SPECS!$B$1:$V$200,TESTS!F$1-1,0)</f>
        <v>1034482758.6206897</v>
      </c>
      <c r="G7" s="12" t="e">
        <f>VLOOKUP($A7,IMS!$B$2:$V$89,TESTS!G$2-1,0)</f>
        <v>#N/A</v>
      </c>
      <c r="H7" t="e">
        <f t="shared" si="1"/>
        <v>#N/A</v>
      </c>
      <c r="I7" s="79">
        <f>VLOOKUP($A7,IDX_SPECS!$B$1:$V$200,TESTS!I$1-1,0)</f>
        <v>1280.5971137405534</v>
      </c>
      <c r="J7" s="79" t="e">
        <f>VLOOKUP($A7,IMS!$B$2:$V$89,TESTS!J$2-1,0)</f>
        <v>#N/A</v>
      </c>
      <c r="K7" t="e">
        <f t="shared" si="2"/>
        <v>#N/A</v>
      </c>
      <c r="L7" s="79">
        <f>VLOOKUP($A7,IDX_SPECS!$B$1:$W$200,TESTS!L$1-1,0)</f>
        <v>1309.029</v>
      </c>
      <c r="M7" s="79" t="e">
        <f>VLOOKUP($A7,IMS!$B$2:$AC$89,TESTS!M$2-1,0)</f>
        <v>#N/A</v>
      </c>
      <c r="N7" t="e">
        <f t="shared" si="3"/>
        <v>#N/A</v>
      </c>
      <c r="O7" s="76">
        <f>VLOOKUP($A7,IDX_SPECS!$B$1:$V$200,TESTS!O$1-1,0)</f>
        <v>29810.68</v>
      </c>
      <c r="P7" s="76" t="e">
        <f>VLOOKUP($A7,IMS!$B$2:$V$89,TESTS!P$2-1,0)</f>
        <v>#N/A</v>
      </c>
      <c r="Q7" s="76" t="e">
        <f t="shared" si="4"/>
        <v>#N/A</v>
      </c>
      <c r="R7" s="79">
        <f>VLOOKUP($A7,IDX_SPECS!$B$1:$Y$89,TESTS!R$1-1,0)</f>
        <v>-2.171982917066515</v>
      </c>
      <c r="S7" s="12" t="e">
        <f>VLOOKUP($A7,IMS!$B$2:$AC$89,TESTS!S$2-1,0)</f>
        <v>#N/A</v>
      </c>
      <c r="T7" s="8" t="e">
        <f t="shared" si="5"/>
        <v>#N/A</v>
      </c>
    </row>
    <row r="8" spans="1:20" x14ac:dyDescent="0.2">
      <c r="A8" t="str">
        <f>IF(ISTEXT(IDX_SPECS!B6),IDX_SPECS!B6,"")</f>
        <v>VNX10TRVND</v>
      </c>
      <c r="C8" s="76">
        <f>VLOOKUP($A8,IDX_SPECS!$B$1:$V$200,TESTS!C$1-1,0)</f>
        <v>39491866310320.594</v>
      </c>
      <c r="D8" s="76" t="e">
        <f>VLOOKUP($A8,IMS!$B$2:$V$89,TESTS!D$2-1,0)</f>
        <v>#N/A</v>
      </c>
      <c r="E8" t="e">
        <f t="shared" si="0"/>
        <v>#N/A</v>
      </c>
      <c r="F8" s="12">
        <f>VLOOKUP($A8,IDX_SPECS!$B$1:$V$200,TESTS!F$1-1,0)</f>
        <v>30000000000000</v>
      </c>
      <c r="G8" s="12" t="e">
        <f>VLOOKUP($A8,IMS!$B$2:$V$89,TESTS!G$2-1,0)</f>
        <v>#N/A</v>
      </c>
      <c r="H8" t="e">
        <f t="shared" si="1"/>
        <v>#N/A</v>
      </c>
      <c r="I8" s="79">
        <f>VLOOKUP($A8,IDX_SPECS!$B$1:$V$200,TESTS!I$1-1,0)</f>
        <v>1469.3140631602996</v>
      </c>
      <c r="J8" s="79" t="e">
        <f>VLOOKUP($A8,IMS!$B$2:$V$89,TESTS!J$2-1,0)</f>
        <v>#N/A</v>
      </c>
      <c r="K8" t="e">
        <f t="shared" si="2"/>
        <v>#N/A</v>
      </c>
      <c r="L8" s="79">
        <f>VLOOKUP($A8,IDX_SPECS!$B$1:$W$200,TESTS!L$1-1,0)</f>
        <v>1477.422</v>
      </c>
      <c r="M8" s="79" t="e">
        <f>VLOOKUP($A8,IMS!$B$2:$AC$89,TESTS!M$2-1,0)</f>
        <v>#N/A</v>
      </c>
      <c r="N8" t="e">
        <f t="shared" si="3"/>
        <v>#N/A</v>
      </c>
      <c r="O8" s="76">
        <f>VLOOKUP($A8,IDX_SPECS!$B$1:$V$200,TESTS!O$1-1,0)</f>
        <v>1</v>
      </c>
      <c r="P8" s="76" t="e">
        <f>VLOOKUP($A8,IMS!$B$2:$V$89,TESTS!P$2-1,0)</f>
        <v>#N/A</v>
      </c>
      <c r="Q8" s="76" t="e">
        <f t="shared" si="4"/>
        <v>#N/A</v>
      </c>
      <c r="R8" s="79">
        <f>VLOOKUP($A8,IDX_SPECS!$B$1:$Y$89,TESTS!R$1-1,0)</f>
        <v>-0.54878950223432532</v>
      </c>
      <c r="S8" s="12" t="e">
        <f>VLOOKUP($A8,IMS!$B$2:$AC$89,TESTS!S$2-1,0)</f>
        <v>#N/A</v>
      </c>
      <c r="T8" s="8" t="e">
        <f t="shared" si="5"/>
        <v>#N/A</v>
      </c>
    </row>
    <row r="9" spans="1:20" x14ac:dyDescent="0.2">
      <c r="A9" t="str">
        <f>IF(ISTEXT(IDX_SPECS!B7),IDX_SPECS!B7,"")</f>
        <v>VNX10TRUSD</v>
      </c>
      <c r="C9" s="76">
        <f>VLOOKUP($A9,IDX_SPECS!$B$1:$V$200,TESTS!C$1-1,0)</f>
        <v>1804105359.0827134</v>
      </c>
      <c r="D9" s="76" t="e">
        <f>VLOOKUP($A9,IMS!$B$2:$V$89,TESTS!D$2-1,0)</f>
        <v>#N/A</v>
      </c>
      <c r="E9" t="e">
        <f t="shared" si="0"/>
        <v>#N/A</v>
      </c>
      <c r="F9" s="12">
        <f>VLOOKUP($A9,IDX_SPECS!$B$1:$V$200,TESTS!F$1-1,0)</f>
        <v>1428571428571.4285</v>
      </c>
      <c r="G9" s="12" t="e">
        <f>VLOOKUP($A9,IMS!$B$2:$V$89,TESTS!G$2-1,0)</f>
        <v>#N/A</v>
      </c>
      <c r="H9" t="e">
        <f t="shared" si="1"/>
        <v>#N/A</v>
      </c>
      <c r="I9" s="79">
        <f>VLOOKUP($A9,IDX_SPECS!$B$1:$V$200,TESTS!I$1-1,0)</f>
        <v>1380.0649491952047</v>
      </c>
      <c r="J9" s="79" t="e">
        <f>VLOOKUP($A9,IMS!$B$2:$V$89,TESTS!J$2-1,0)</f>
        <v>#N/A</v>
      </c>
      <c r="K9" t="e">
        <f t="shared" si="2"/>
        <v>#N/A</v>
      </c>
      <c r="L9" s="79">
        <f>VLOOKUP($A9,IDX_SPECS!$B$1:$W$200,TESTS!L$1-1,0)</f>
        <v>1309.586</v>
      </c>
      <c r="M9" s="79" t="e">
        <f>VLOOKUP($A9,IMS!$B$2:$AC$89,TESTS!M$2-1,0)</f>
        <v>#N/A</v>
      </c>
      <c r="N9" t="e">
        <f t="shared" si="3"/>
        <v>#N/A</v>
      </c>
      <c r="O9" s="76">
        <f>VLOOKUP($A9,IDX_SPECS!$B$1:$V$200,TESTS!O$1-1,0)</f>
        <v>21890</v>
      </c>
      <c r="P9" s="76" t="e">
        <f>VLOOKUP($A9,IMS!$B$2:$V$89,TESTS!P$2-1,0)</f>
        <v>#N/A</v>
      </c>
      <c r="Q9" s="76" t="e">
        <f t="shared" si="4"/>
        <v>#N/A</v>
      </c>
      <c r="R9" s="79">
        <f>VLOOKUP($A9,IDX_SPECS!$B$1:$Y$89,TESTS!R$1-1,0)</f>
        <v>5.3817732623290624</v>
      </c>
      <c r="S9" s="12" t="e">
        <f>VLOOKUP($A9,IMS!$B$2:$AC$89,TESTS!S$2-1,0)</f>
        <v>#N/A</v>
      </c>
      <c r="T9" s="8" t="e">
        <f t="shared" si="5"/>
        <v>#N/A</v>
      </c>
    </row>
    <row r="10" spans="1:20" x14ac:dyDescent="0.2">
      <c r="A10" t="str">
        <f>IF(ISTEXT(IDX_SPECS!B8),IDX_SPECS!B8,"")</f>
        <v>VNX10TRJPY</v>
      </c>
      <c r="C10" s="76">
        <f>VLOOKUP($A10,IDX_SPECS!$B$1:$V$200,TESTS!C$1-1,0)</f>
        <v>140042079114.61203</v>
      </c>
      <c r="D10" s="76" t="e">
        <f>VLOOKUP($A10,IMS!$B$2:$V$89,TESTS!D$2-1,0)</f>
        <v>#N/A</v>
      </c>
      <c r="E10" t="e">
        <f t="shared" si="0"/>
        <v>#N/A</v>
      </c>
      <c r="F10" s="12">
        <f>VLOOKUP($A10,IDX_SPECS!$B$1:$V$200,TESTS!F$1-1,0)</f>
        <v>113207547169.81133</v>
      </c>
      <c r="G10" s="12" t="e">
        <f>VLOOKUP($A10,IMS!$B$2:$V$89,TESTS!G$2-1,0)</f>
        <v>#N/A</v>
      </c>
      <c r="H10" t="e">
        <f t="shared" si="1"/>
        <v>#N/A</v>
      </c>
      <c r="I10" s="79">
        <f>VLOOKUP($A10,IDX_SPECS!$B$1:$V$200,TESTS!I$1-1,0)</f>
        <v>1464.8250193505332</v>
      </c>
      <c r="J10" s="79" t="e">
        <f>VLOOKUP($A10,IMS!$B$2:$V$89,TESTS!J$2-1,0)</f>
        <v>#N/A</v>
      </c>
      <c r="K10" t="e">
        <f t="shared" si="2"/>
        <v>#N/A</v>
      </c>
      <c r="L10" s="79">
        <f>VLOOKUP($A10,IDX_SPECS!$B$1:$W$200,TESTS!L$1-1,0)</f>
        <v>1385.91</v>
      </c>
      <c r="M10" s="79" t="e">
        <f>VLOOKUP($A10,IMS!$B$2:$AC$89,TESTS!M$2-1,0)</f>
        <v>#N/A</v>
      </c>
      <c r="N10" t="e">
        <f t="shared" si="3"/>
        <v>#N/A</v>
      </c>
      <c r="O10" s="76">
        <f>VLOOKUP($A10,IDX_SPECS!$B$1:$V$200,TESTS!O$1-1,0)</f>
        <v>282</v>
      </c>
      <c r="P10" s="76" t="e">
        <f>VLOOKUP($A10,IMS!$B$2:$V$89,TESTS!P$2-1,0)</f>
        <v>#N/A</v>
      </c>
      <c r="Q10" s="76" t="e">
        <f t="shared" si="4"/>
        <v>#N/A</v>
      </c>
      <c r="R10" s="79">
        <f>VLOOKUP($A10,IDX_SPECS!$B$1:$Y$89,TESTS!R$1-1,0)</f>
        <v>5.6940940862345428</v>
      </c>
      <c r="S10" s="12" t="e">
        <f>VLOOKUP($A10,IMS!$B$2:$AC$89,TESTS!S$2-1,0)</f>
        <v>#N/A</v>
      </c>
      <c r="T10" s="8" t="e">
        <f t="shared" si="5"/>
        <v>#N/A</v>
      </c>
    </row>
    <row r="11" spans="1:20" x14ac:dyDescent="0.2">
      <c r="A11" t="str">
        <f>IF(ISTEXT(IDX_SPECS!B9),IDX_SPECS!B9,"")</f>
        <v>VNX10TREUR</v>
      </c>
      <c r="C11" s="76">
        <f>VLOOKUP($A11,IDX_SPECS!$B$1:$V$200,TESTS!C$1-1,0)</f>
        <v>1324755634.9040208</v>
      </c>
      <c r="D11" s="76" t="e">
        <f>VLOOKUP($A11,IMS!$B$2:$V$89,TESTS!D$2-1,0)</f>
        <v>#N/A</v>
      </c>
      <c r="E11" t="e">
        <f t="shared" si="0"/>
        <v>#N/A</v>
      </c>
      <c r="F11" s="12">
        <f>VLOOKUP($A11,IDX_SPECS!$B$1:$V$200,TESTS!F$1-1,0)</f>
        <v>1034482758620.6897</v>
      </c>
      <c r="G11" s="12" t="e">
        <f>VLOOKUP($A11,IMS!$B$2:$V$89,TESTS!G$2-1,0)</f>
        <v>#N/A</v>
      </c>
      <c r="H11" t="e">
        <f t="shared" si="1"/>
        <v>#N/A</v>
      </c>
      <c r="I11" s="79">
        <f>VLOOKUP($A11,IDX_SPECS!$B$1:$V$200,TESTS!I$1-1,0)</f>
        <v>1135.409905645455</v>
      </c>
      <c r="J11" s="79" t="e">
        <f>VLOOKUP($A11,IMS!$B$2:$V$89,TESTS!J$2-1,0)</f>
        <v>#N/A</v>
      </c>
      <c r="K11" t="e">
        <f t="shared" si="2"/>
        <v>#N/A</v>
      </c>
      <c r="L11" s="79">
        <f>VLOOKUP($A11,IDX_SPECS!$B$1:$W$200,TESTS!L$1-1,0)</f>
        <v>1160.588</v>
      </c>
      <c r="M11" s="79" t="e">
        <f>VLOOKUP($A11,IMS!$B$2:$AC$89,TESTS!M$2-1,0)</f>
        <v>#N/A</v>
      </c>
      <c r="N11" t="e">
        <f t="shared" si="3"/>
        <v>#N/A</v>
      </c>
      <c r="O11" s="76">
        <f>VLOOKUP($A11,IDX_SPECS!$B$1:$V$200,TESTS!O$1-1,0)</f>
        <v>29810.68</v>
      </c>
      <c r="P11" s="76" t="e">
        <f>VLOOKUP($A11,IMS!$B$2:$V$89,TESTS!P$2-1,0)</f>
        <v>#N/A</v>
      </c>
      <c r="Q11" s="76" t="e">
        <f t="shared" si="4"/>
        <v>#N/A</v>
      </c>
      <c r="R11" s="79">
        <f>VLOOKUP($A11,IDX_SPECS!$B$1:$Y$89,TESTS!R$1-1,0)</f>
        <v>-2.1694257009847604</v>
      </c>
      <c r="S11" s="12" t="e">
        <f>VLOOKUP($A11,IMS!$B$2:$AC$89,TESTS!S$2-1,0)</f>
        <v>#N/A</v>
      </c>
      <c r="T11" s="8" t="e">
        <f t="shared" si="5"/>
        <v>#N/A</v>
      </c>
    </row>
    <row r="12" spans="1:20" x14ac:dyDescent="0.2">
      <c r="A12" t="str">
        <f>IF(ISTEXT(IDX_SPECS!B10),IDX_SPECS!B10,"")</f>
        <v>VNXASPRVND</v>
      </c>
      <c r="C12" s="76">
        <f>VLOOKUP($A12,IDX_SPECS!$B$1:$V$200,TESTS!C$1-1,0)</f>
        <v>49683919830700</v>
      </c>
      <c r="D12" s="76" t="e">
        <f>VLOOKUP($A12,IMS!$B$2:$V$89,TESTS!D$2-1,0)</f>
        <v>#N/A</v>
      </c>
      <c r="E12" t="e">
        <f t="shared" si="0"/>
        <v>#N/A</v>
      </c>
      <c r="F12" s="12">
        <f>VLOOKUP($A12,IDX_SPECS!$B$1:$V$200,TESTS!F$1-1,0)</f>
        <v>35000000000000</v>
      </c>
      <c r="G12" s="12" t="e">
        <f>VLOOKUP($A12,IMS!$B$2:$V$89,TESTS!G$2-1,0)</f>
        <v>#N/A</v>
      </c>
      <c r="H12" t="e">
        <f t="shared" si="1"/>
        <v>#N/A</v>
      </c>
      <c r="I12" s="79">
        <f>VLOOKUP($A12,IDX_SPECS!$B$1:$V$200,TESTS!I$1-1,0)</f>
        <v>1419.5405665914286</v>
      </c>
      <c r="J12" s="79" t="e">
        <f>VLOOKUP($A12,IMS!$B$2:$V$89,TESTS!J$2-1,0)</f>
        <v>#N/A</v>
      </c>
      <c r="K12" t="e">
        <f t="shared" si="2"/>
        <v>#N/A</v>
      </c>
      <c r="L12" s="79">
        <f>VLOOKUP($A12,IDX_SPECS!$B$1:$W$200,TESTS!L$1-1,0)</f>
        <v>1419.5409999999999</v>
      </c>
      <c r="M12" s="79" t="e">
        <f>VLOOKUP($A12,IMS!$B$2:$AC$89,TESTS!M$2-1,0)</f>
        <v>#N/A</v>
      </c>
      <c r="N12" t="e">
        <f t="shared" si="3"/>
        <v>#N/A</v>
      </c>
      <c r="O12" s="76">
        <f>VLOOKUP($A12,IDX_SPECS!$B$1:$V$200,TESTS!O$1-1,0)</f>
        <v>1</v>
      </c>
      <c r="P12" s="76" t="e">
        <f>VLOOKUP($A12,IMS!$B$2:$V$89,TESTS!P$2-1,0)</f>
        <v>#N/A</v>
      </c>
      <c r="Q12" s="76" t="e">
        <f t="shared" si="4"/>
        <v>#N/A</v>
      </c>
      <c r="R12" s="79">
        <f>VLOOKUP($A12,IDX_SPECS!$B$1:$Y$89,TESTS!R$1-1,0)</f>
        <v>-3.0531599392010827E-5</v>
      </c>
      <c r="S12" s="12" t="e">
        <f>VLOOKUP($A12,IMS!$B$2:$AC$89,TESTS!S$2-1,0)</f>
        <v>#N/A</v>
      </c>
      <c r="T12" s="8" t="e">
        <f t="shared" si="5"/>
        <v>#N/A</v>
      </c>
    </row>
    <row r="13" spans="1:20" x14ac:dyDescent="0.2">
      <c r="A13" t="str">
        <f>IF(ISTEXT(IDX_SPECS!B11),IDX_SPECS!B11,"")</f>
        <v>VNXASPRUSD</v>
      </c>
      <c r="C13" s="76">
        <f>VLOOKUP($A13,IDX_SPECS!$B$1:$V$200,TESTS!C$1-1,0)</f>
        <v>2269708534.9794426</v>
      </c>
      <c r="D13" s="76" t="e">
        <f>VLOOKUP($A13,IMS!$B$2:$V$89,TESTS!D$2-1,0)</f>
        <v>#N/A</v>
      </c>
      <c r="E13" t="e">
        <f t="shared" si="0"/>
        <v>#N/A</v>
      </c>
      <c r="F13" s="12">
        <f>VLOOKUP($A13,IDX_SPECS!$B$1:$V$200,TESTS!F$1-1,0)</f>
        <v>1666666666.6666667</v>
      </c>
      <c r="G13" s="12" t="e">
        <f>VLOOKUP($A13,IMS!$B$2:$V$89,TESTS!G$2-1,0)</f>
        <v>#N/A</v>
      </c>
      <c r="H13" t="e">
        <f t="shared" si="1"/>
        <v>#N/A</v>
      </c>
      <c r="I13" s="79">
        <f>VLOOKUP($A13,IDX_SPECS!$B$1:$V$200,TESTS!I$1-1,0)</f>
        <v>1361.8251209876653</v>
      </c>
      <c r="J13" s="79" t="e">
        <f>VLOOKUP($A13,IMS!$B$2:$V$89,TESTS!J$2-1,0)</f>
        <v>#N/A</v>
      </c>
      <c r="K13" t="e">
        <f t="shared" si="2"/>
        <v>#N/A</v>
      </c>
      <c r="L13" s="79">
        <f>VLOOKUP($A13,IDX_SPECS!$B$1:$W$200,TESTS!L$1-1,0)</f>
        <v>1403.9549999999999</v>
      </c>
      <c r="M13" s="79" t="e">
        <f>VLOOKUP($A13,IMS!$B$2:$AC$89,TESTS!M$2-1,0)</f>
        <v>#N/A</v>
      </c>
      <c r="N13" t="e">
        <f t="shared" si="3"/>
        <v>#N/A</v>
      </c>
      <c r="O13" s="76">
        <f>VLOOKUP($A13,IDX_SPECS!$B$1:$V$200,TESTS!O$1-1,0)</f>
        <v>21890</v>
      </c>
      <c r="P13" s="76" t="e">
        <f>VLOOKUP($A13,IMS!$B$2:$V$89,TESTS!P$2-1,0)</f>
        <v>#N/A</v>
      </c>
      <c r="Q13" s="76" t="e">
        <f t="shared" si="4"/>
        <v>#N/A</v>
      </c>
      <c r="R13" s="79">
        <f>VLOOKUP($A13,IDX_SPECS!$B$1:$Y$89,TESTS!R$1-1,0)</f>
        <v>-3.0007998128383488</v>
      </c>
      <c r="S13" s="12" t="e">
        <f>VLOOKUP($A13,IMS!$B$2:$AC$89,TESTS!S$2-1,0)</f>
        <v>#N/A</v>
      </c>
      <c r="T13" s="8" t="e">
        <f t="shared" si="5"/>
        <v>#N/A</v>
      </c>
    </row>
    <row r="14" spans="1:20" x14ac:dyDescent="0.2">
      <c r="A14" t="str">
        <f>IF(ISTEXT(IDX_SPECS!B12),IDX_SPECS!B12,"")</f>
        <v>VNXASPRJPY</v>
      </c>
      <c r="C14" s="76">
        <f>VLOOKUP($A14,IDX_SPECS!$B$1:$V$200,TESTS!C$1-1,0)</f>
        <v>176184112874.82269</v>
      </c>
      <c r="D14" s="76" t="e">
        <f>VLOOKUP($A14,IMS!$B$2:$V$89,TESTS!D$2-1,0)</f>
        <v>#N/A</v>
      </c>
      <c r="E14" t="e">
        <f t="shared" si="0"/>
        <v>#N/A</v>
      </c>
      <c r="F14" s="12">
        <f>VLOOKUP($A14,IDX_SPECS!$B$1:$V$200,TESTS!F$1-1,0)</f>
        <v>132075471698.1132</v>
      </c>
      <c r="G14" s="12" t="e">
        <f>VLOOKUP($A14,IMS!$B$2:$V$89,TESTS!G$2-1,0)</f>
        <v>#N/A</v>
      </c>
      <c r="H14" t="e">
        <f t="shared" si="1"/>
        <v>#N/A</v>
      </c>
      <c r="I14" s="79">
        <f>VLOOKUP($A14,IDX_SPECS!$B$1:$V$200,TESTS!I$1-1,0)</f>
        <v>1333.9654260522288</v>
      </c>
      <c r="J14" s="79" t="e">
        <f>VLOOKUP($A14,IMS!$B$2:$V$89,TESTS!J$2-1,0)</f>
        <v>#N/A</v>
      </c>
      <c r="K14" t="e">
        <f t="shared" si="2"/>
        <v>#N/A</v>
      </c>
      <c r="L14" s="79">
        <f>VLOOKUP($A14,IDX_SPECS!$B$1:$W$200,TESTS!L$1-1,0)</f>
        <v>1376.001</v>
      </c>
      <c r="M14" s="79" t="e">
        <f>VLOOKUP($A14,IMS!$B$2:$AC$89,TESTS!M$2-1,0)</f>
        <v>#N/A</v>
      </c>
      <c r="N14" t="e">
        <f t="shared" si="3"/>
        <v>#N/A</v>
      </c>
      <c r="O14" s="76">
        <f>VLOOKUP($A14,IDX_SPECS!$B$1:$V$200,TESTS!O$1-1,0)</f>
        <v>282</v>
      </c>
      <c r="P14" s="76" t="e">
        <f>VLOOKUP($A14,IMS!$B$2:$V$89,TESTS!P$2-1,0)</f>
        <v>#N/A</v>
      </c>
      <c r="Q14" s="76" t="e">
        <f t="shared" si="4"/>
        <v>#N/A</v>
      </c>
      <c r="R14" s="79">
        <f>VLOOKUP($A14,IDX_SPECS!$B$1:$Y$89,TESTS!R$1-1,0)</f>
        <v>-3.0549086772299674</v>
      </c>
      <c r="S14" s="12" t="e">
        <f>VLOOKUP($A14,IMS!$B$2:$AC$89,TESTS!S$2-1,0)</f>
        <v>#N/A</v>
      </c>
      <c r="T14" s="8" t="e">
        <f t="shared" si="5"/>
        <v>#N/A</v>
      </c>
    </row>
    <row r="15" spans="1:20" x14ac:dyDescent="0.2">
      <c r="A15" t="str">
        <f>IF(ISTEXT(IDX_SPECS!B13),IDX_SPECS!B13,"")</f>
        <v>VNXASPREUR</v>
      </c>
      <c r="C15" s="76">
        <f>VLOOKUP($A15,IDX_SPECS!$B$1:$V$200,TESTS!C$1-1,0)</f>
        <v>1666648323.0406015</v>
      </c>
      <c r="D15" s="76" t="e">
        <f>VLOOKUP($A15,IMS!$B$2:$V$89,TESTS!D$2-1,0)</f>
        <v>#N/A</v>
      </c>
      <c r="E15" t="e">
        <f t="shared" si="0"/>
        <v>#N/A</v>
      </c>
      <c r="F15" s="12">
        <f>VLOOKUP($A15,IDX_SPECS!$B$1:$V$200,TESTS!F$1-1,0)</f>
        <v>1206896551.724138</v>
      </c>
      <c r="G15" s="12" t="e">
        <f>VLOOKUP($A15,IMS!$B$2:$V$89,TESTS!G$2-1,0)</f>
        <v>#N/A</v>
      </c>
      <c r="H15" t="e">
        <f t="shared" si="1"/>
        <v>#N/A</v>
      </c>
      <c r="I15" s="79">
        <f>VLOOKUP($A15,IDX_SPECS!$B$1:$V$200,TESTS!I$1-1,0)</f>
        <v>1380.937181947927</v>
      </c>
      <c r="J15" s="79" t="e">
        <f>VLOOKUP($A15,IMS!$B$2:$V$89,TESTS!J$2-1,0)</f>
        <v>#N/A</v>
      </c>
      <c r="K15" t="e">
        <f t="shared" si="2"/>
        <v>#N/A</v>
      </c>
      <c r="L15" s="79">
        <f>VLOOKUP($A15,IDX_SPECS!$B$1:$W$200,TESTS!L$1-1,0)</f>
        <v>1410.3889999999999</v>
      </c>
      <c r="M15" s="79" t="e">
        <f>VLOOKUP($A15,IMS!$B$2:$AC$89,TESTS!M$2-1,0)</f>
        <v>#N/A</v>
      </c>
      <c r="N15" t="e">
        <f t="shared" si="3"/>
        <v>#N/A</v>
      </c>
      <c r="O15" s="76">
        <f>VLOOKUP($A15,IDX_SPECS!$B$1:$V$200,TESTS!O$1-1,0)</f>
        <v>29810.68</v>
      </c>
      <c r="P15" s="76" t="e">
        <f>VLOOKUP($A15,IMS!$B$2:$V$89,TESTS!P$2-1,0)</f>
        <v>#N/A</v>
      </c>
      <c r="Q15" s="76" t="e">
        <f t="shared" si="4"/>
        <v>#N/A</v>
      </c>
      <c r="R15" s="79">
        <f>VLOOKUP($A15,IDX_SPECS!$B$1:$Y$89,TESTS!R$1-1,0)</f>
        <v>-2.0882053144255166</v>
      </c>
      <c r="S15" s="12" t="e">
        <f>VLOOKUP($A15,IMS!$B$2:$AC$89,TESTS!S$2-1,0)</f>
        <v>#N/A</v>
      </c>
      <c r="T15" s="8" t="e">
        <f t="shared" si="5"/>
        <v>#N/A</v>
      </c>
    </row>
    <row r="16" spans="1:20" x14ac:dyDescent="0.2">
      <c r="A16" t="str">
        <f>IF(ISTEXT(IDX_SPECS!B14),IDX_SPECS!B14,"")</f>
        <v>VNXASTRVND</v>
      </c>
      <c r="C16" s="76">
        <f>VLOOKUP($A16,IDX_SPECS!$B$1:$V$200,TESTS!C$1-1,0)</f>
        <v>49683919830700</v>
      </c>
      <c r="D16" s="76" t="e">
        <f>VLOOKUP($A16,IMS!$B$2:$V$89,TESTS!D$2-1,0)</f>
        <v>#N/A</v>
      </c>
      <c r="E16" t="e">
        <f t="shared" si="0"/>
        <v>#N/A</v>
      </c>
      <c r="F16" s="12">
        <f>VLOOKUP($A16,IDX_SPECS!$B$1:$V$200,TESTS!F$1-1,0)</f>
        <v>35000000000000</v>
      </c>
      <c r="G16" s="12" t="e">
        <f>VLOOKUP($A16,IMS!$B$2:$V$89,TESTS!G$2-1,0)</f>
        <v>#N/A</v>
      </c>
      <c r="H16" t="e">
        <f t="shared" si="1"/>
        <v>#N/A</v>
      </c>
      <c r="I16" s="79">
        <f>VLOOKUP($A16,IDX_SPECS!$B$1:$V$200,TESTS!I$1-1,0)</f>
        <v>1849.0269381558983</v>
      </c>
      <c r="J16" s="79" t="e">
        <f>VLOOKUP($A16,IMS!$B$2:$V$89,TESTS!J$2-1,0)</f>
        <v>#N/A</v>
      </c>
      <c r="K16" t="e">
        <f t="shared" si="2"/>
        <v>#N/A</v>
      </c>
      <c r="L16" s="79">
        <f>VLOOKUP($A16,IDX_SPECS!$B$1:$W$200,TESTS!L$1-1,0)</f>
        <v>1767.597</v>
      </c>
      <c r="M16" s="79" t="e">
        <f>VLOOKUP($A16,IMS!$B$2:$AC$89,TESTS!M$2-1,0)</f>
        <v>#N/A</v>
      </c>
      <c r="N16" t="e">
        <f t="shared" si="3"/>
        <v>#N/A</v>
      </c>
      <c r="O16" s="76">
        <f>VLOOKUP($A16,IDX_SPECS!$B$1:$V$200,TESTS!O$1-1,0)</f>
        <v>1</v>
      </c>
      <c r="P16" s="76" t="e">
        <f>VLOOKUP($A16,IMS!$B$2:$V$89,TESTS!P$2-1,0)</f>
        <v>#N/A</v>
      </c>
      <c r="Q16" s="76" t="e">
        <f t="shared" si="4"/>
        <v>#N/A</v>
      </c>
      <c r="R16" s="79">
        <f>VLOOKUP($A16,IDX_SPECS!$B$1:$Y$89,TESTS!R$1-1,0)</f>
        <v>4.6068158158165184</v>
      </c>
      <c r="S16" s="12" t="e">
        <f>VLOOKUP($A16,IMS!$B$2:$AC$89,TESTS!S$2-1,0)</f>
        <v>#N/A</v>
      </c>
      <c r="T16" s="8" t="e">
        <f t="shared" si="5"/>
        <v>#N/A</v>
      </c>
    </row>
    <row r="17" spans="1:20" x14ac:dyDescent="0.2">
      <c r="A17" t="str">
        <f>IF(ISTEXT(IDX_SPECS!B15),IDX_SPECS!B15,"")</f>
        <v>VNXASTRUSD</v>
      </c>
      <c r="C17" s="76">
        <f>VLOOKUP($A17,IDX_SPECS!$B$1:$V$200,TESTS!C$1-1,0)</f>
        <v>2269708534.9794426</v>
      </c>
      <c r="D17" s="76" t="e">
        <f>VLOOKUP($A17,IMS!$B$2:$V$89,TESTS!D$2-1,0)</f>
        <v>#N/A</v>
      </c>
      <c r="E17" t="e">
        <f t="shared" si="0"/>
        <v>#N/A</v>
      </c>
      <c r="F17" s="12">
        <f>VLOOKUP($A17,IDX_SPECS!$B$1:$V$200,TESTS!F$1-1,0)</f>
        <v>1666666666666.6667</v>
      </c>
      <c r="G17" s="12" t="e">
        <f>VLOOKUP($A17,IMS!$B$2:$V$89,TESTS!G$2-1,0)</f>
        <v>#N/A</v>
      </c>
      <c r="H17" t="e">
        <f t="shared" si="1"/>
        <v>#N/A</v>
      </c>
      <c r="I17" s="79">
        <f>VLOOKUP($A17,IDX_SPECS!$B$1:$V$200,TESTS!I$1-1,0)</f>
        <v>1557.8342991221029</v>
      </c>
      <c r="J17" s="79" t="e">
        <f>VLOOKUP($A17,IMS!$B$2:$V$89,TESTS!J$2-1,0)</f>
        <v>#N/A</v>
      </c>
      <c r="K17" t="e">
        <f t="shared" si="2"/>
        <v>#N/A</v>
      </c>
      <c r="L17" s="79">
        <f>VLOOKUP($A17,IDX_SPECS!$B$1:$W$200,TESTS!L$1-1,0)</f>
        <v>1605.954</v>
      </c>
      <c r="M17" s="79" t="e">
        <f>VLOOKUP($A17,IMS!$B$2:$AC$89,TESTS!M$2-1,0)</f>
        <v>#N/A</v>
      </c>
      <c r="N17" t="e">
        <f t="shared" si="3"/>
        <v>#N/A</v>
      </c>
      <c r="O17" s="76">
        <f>VLOOKUP($A17,IDX_SPECS!$B$1:$V$200,TESTS!O$1-1,0)</f>
        <v>21890</v>
      </c>
      <c r="P17" s="76" t="e">
        <f>VLOOKUP($A17,IMS!$B$2:$V$89,TESTS!P$2-1,0)</f>
        <v>#N/A</v>
      </c>
      <c r="Q17" s="76" t="e">
        <f t="shared" si="4"/>
        <v>#N/A</v>
      </c>
      <c r="R17" s="79">
        <f>VLOOKUP($A17,IDX_SPECS!$B$1:$Y$89,TESTS!R$1-1,0)</f>
        <v>-2.9963312073631627</v>
      </c>
      <c r="S17" s="12" t="e">
        <f>VLOOKUP($A17,IMS!$B$2:$AC$89,TESTS!S$2-1,0)</f>
        <v>#N/A</v>
      </c>
      <c r="T17" s="8" t="e">
        <f t="shared" si="5"/>
        <v>#N/A</v>
      </c>
    </row>
    <row r="18" spans="1:20" x14ac:dyDescent="0.2">
      <c r="A18" t="str">
        <f>IF(ISTEXT(IDX_SPECS!B16),IDX_SPECS!B16,"")</f>
        <v>VNXASTRJPY</v>
      </c>
      <c r="C18" s="76">
        <f>VLOOKUP($A18,IDX_SPECS!$B$1:$V$200,TESTS!C$1-1,0)</f>
        <v>176184112874.82269</v>
      </c>
      <c r="D18" s="76" t="e">
        <f>VLOOKUP($A18,IMS!$B$2:$V$89,TESTS!D$2-1,0)</f>
        <v>#N/A</v>
      </c>
      <c r="E18" t="e">
        <f t="shared" si="0"/>
        <v>#N/A</v>
      </c>
      <c r="F18" s="12">
        <f>VLOOKUP($A18,IDX_SPECS!$B$1:$V$200,TESTS!F$1-1,0)</f>
        <v>132075471698.1132</v>
      </c>
      <c r="G18" s="12" t="e">
        <f>VLOOKUP($A18,IMS!$B$2:$V$89,TESTS!G$2-1,0)</f>
        <v>#N/A</v>
      </c>
      <c r="H18" t="e">
        <f t="shared" si="1"/>
        <v>#N/A</v>
      </c>
      <c r="I18" s="79">
        <f>VLOOKUP($A18,IDX_SPECS!$B$1:$V$200,TESTS!I$1-1,0)</f>
        <v>2014.7384197797389</v>
      </c>
      <c r="J18" s="79" t="e">
        <f>VLOOKUP($A18,IMS!$B$2:$V$89,TESTS!J$2-1,0)</f>
        <v>#N/A</v>
      </c>
      <c r="K18" t="e">
        <f t="shared" si="2"/>
        <v>#N/A</v>
      </c>
      <c r="L18" s="79">
        <f>VLOOKUP($A18,IDX_SPECS!$B$1:$W$200,TESTS!L$1-1,0)</f>
        <v>1986.702</v>
      </c>
      <c r="M18" s="79" t="e">
        <f>VLOOKUP($A18,IMS!$B$2:$AC$89,TESTS!M$2-1,0)</f>
        <v>#N/A</v>
      </c>
      <c r="N18" t="e">
        <f t="shared" si="3"/>
        <v>#N/A</v>
      </c>
      <c r="O18" s="76">
        <f>VLOOKUP($A18,IDX_SPECS!$B$1:$V$200,TESTS!O$1-1,0)</f>
        <v>282</v>
      </c>
      <c r="P18" s="76" t="e">
        <f>VLOOKUP($A18,IMS!$B$2:$V$89,TESTS!P$2-1,0)</f>
        <v>#N/A</v>
      </c>
      <c r="Q18" s="76" t="e">
        <f t="shared" si="4"/>
        <v>#N/A</v>
      </c>
      <c r="R18" s="79">
        <f>VLOOKUP($A18,IDX_SPECS!$B$1:$Y$89,TESTS!R$1-1,0)</f>
        <v>1.4112040849477643</v>
      </c>
      <c r="S18" s="12" t="e">
        <f>VLOOKUP($A18,IMS!$B$2:$AC$89,TESTS!S$2-1,0)</f>
        <v>#N/A</v>
      </c>
      <c r="T18" s="8" t="e">
        <f t="shared" si="5"/>
        <v>#N/A</v>
      </c>
    </row>
    <row r="19" spans="1:20" x14ac:dyDescent="0.2">
      <c r="A19" t="str">
        <f>IF(ISTEXT(IDX_SPECS!B17),IDX_SPECS!B17,"")</f>
        <v>VNXASTREUR</v>
      </c>
      <c r="C19" s="76">
        <f>VLOOKUP($A19,IDX_SPECS!$B$1:$V$200,TESTS!C$1-1,0)</f>
        <v>1666648323.0406015</v>
      </c>
      <c r="D19" s="76" t="e">
        <f>VLOOKUP($A19,IMS!$B$2:$V$89,TESTS!D$2-1,0)</f>
        <v>#N/A</v>
      </c>
      <c r="E19" t="e">
        <f t="shared" si="0"/>
        <v>#N/A</v>
      </c>
      <c r="F19" s="12">
        <f>VLOOKUP($A19,IDX_SPECS!$B$1:$V$200,TESTS!F$1-1,0)</f>
        <v>1206896551724.1379</v>
      </c>
      <c r="G19" s="12" t="e">
        <f>VLOOKUP($A19,IMS!$B$2:$V$89,TESTS!G$2-1,0)</f>
        <v>#N/A</v>
      </c>
      <c r="H19" t="e">
        <f t="shared" si="1"/>
        <v>#N/A</v>
      </c>
      <c r="I19" s="79">
        <f>VLOOKUP($A19,IDX_SPECS!$B$1:$V$200,TESTS!I$1-1,0)</f>
        <v>1546.2228149140872</v>
      </c>
      <c r="J19" s="79" t="e">
        <f>VLOOKUP($A19,IMS!$B$2:$V$89,TESTS!J$2-1,0)</f>
        <v>#N/A</v>
      </c>
      <c r="K19" t="e">
        <f t="shared" si="2"/>
        <v>#N/A</v>
      </c>
      <c r="L19" s="79">
        <f>VLOOKUP($A19,IDX_SPECS!$B$1:$W$200,TESTS!L$1-1,0)</f>
        <v>1579.127</v>
      </c>
      <c r="M19" s="79" t="e">
        <f>VLOOKUP($A19,IMS!$B$2:$AC$89,TESTS!M$2-1,0)</f>
        <v>#N/A</v>
      </c>
      <c r="N19" t="e">
        <f t="shared" si="3"/>
        <v>#N/A</v>
      </c>
      <c r="O19" s="76">
        <f>VLOOKUP($A19,IDX_SPECS!$B$1:$V$200,TESTS!O$1-1,0)</f>
        <v>29810.68</v>
      </c>
      <c r="P19" s="76" t="e">
        <f>VLOOKUP($A19,IMS!$B$2:$V$89,TESTS!P$2-1,0)</f>
        <v>#N/A</v>
      </c>
      <c r="Q19" s="76" t="e">
        <f t="shared" si="4"/>
        <v>#N/A</v>
      </c>
      <c r="R19" s="79">
        <f>VLOOKUP($A19,IDX_SPECS!$B$1:$Y$89,TESTS!R$1-1,0)</f>
        <v>-2.0836946671111813</v>
      </c>
      <c r="S19" s="12" t="e">
        <f>VLOOKUP($A19,IMS!$B$2:$AC$89,TESTS!S$2-1,0)</f>
        <v>#N/A</v>
      </c>
      <c r="T19" s="8" t="e">
        <f t="shared" si="5"/>
        <v>#N/A</v>
      </c>
    </row>
    <row r="20" spans="1:20" x14ac:dyDescent="0.2">
      <c r="A20" t="str">
        <f>IF(ISTEXT(IDX_SPECS!B18),IDX_SPECS!B18,"")</f>
        <v>VNXCOPRVND</v>
      </c>
      <c r="C20" s="76">
        <f>VLOOKUP($A20,IDX_SPECS!$B$1:$V$200,TESTS!C$1-1,0)</f>
        <v>38273174294700</v>
      </c>
      <c r="D20" s="76" t="e">
        <f>VLOOKUP($A20,IMS!$B$2:$V$89,TESTS!D$2-1,0)</f>
        <v>#N/A</v>
      </c>
      <c r="E20" t="e">
        <f t="shared" si="0"/>
        <v>#N/A</v>
      </c>
      <c r="F20" s="12">
        <f>VLOOKUP($A20,IDX_SPECS!$B$1:$V$200,TESTS!F$1-1,0)</f>
        <v>30000000000000</v>
      </c>
      <c r="G20" s="12" t="e">
        <f>VLOOKUP($A20,IMS!$B$2:$V$89,TESTS!G$2-1,0)</f>
        <v>#N/A</v>
      </c>
      <c r="H20" t="e">
        <f t="shared" si="1"/>
        <v>#N/A</v>
      </c>
      <c r="I20" s="79">
        <f>VLOOKUP($A20,IDX_SPECS!$B$1:$V$200,TESTS!I$1-1,0)</f>
        <v>1275.7724764899999</v>
      </c>
      <c r="J20" s="79" t="e">
        <f>VLOOKUP($A20,IMS!$B$2:$V$89,TESTS!J$2-1,0)</f>
        <v>#N/A</v>
      </c>
      <c r="K20" t="e">
        <f t="shared" si="2"/>
        <v>#N/A</v>
      </c>
      <c r="L20" s="79">
        <f>VLOOKUP($A20,IDX_SPECS!$B$1:$W$200,TESTS!L$1-1,0)</f>
        <v>1225.2460000000001</v>
      </c>
      <c r="M20" s="79" t="e">
        <f>VLOOKUP($A20,IMS!$B$2:$AC$89,TESTS!M$2-1,0)</f>
        <v>#N/A</v>
      </c>
      <c r="N20" t="e">
        <f t="shared" si="3"/>
        <v>#N/A</v>
      </c>
      <c r="O20" s="76">
        <f>VLOOKUP($A20,IDX_SPECS!$B$1:$V$200,TESTS!O$1-1,0)</f>
        <v>1</v>
      </c>
      <c r="P20" s="76" t="e">
        <f>VLOOKUP($A20,IMS!$B$2:$V$89,TESTS!P$2-1,0)</f>
        <v>#N/A</v>
      </c>
      <c r="Q20" s="76" t="e">
        <f t="shared" si="4"/>
        <v>#N/A</v>
      </c>
      <c r="R20" s="79">
        <f>VLOOKUP($A20,IDX_SPECS!$B$1:$Y$89,TESTS!R$1-1,0)</f>
        <v>4.1237822029208679</v>
      </c>
      <c r="S20" s="12" t="e">
        <f>VLOOKUP($A20,IMS!$B$2:$AC$89,TESTS!S$2-1,0)</f>
        <v>#N/A</v>
      </c>
      <c r="T20" s="8" t="e">
        <f t="shared" si="5"/>
        <v>#N/A</v>
      </c>
    </row>
    <row r="21" spans="1:20" x14ac:dyDescent="0.2">
      <c r="A21" t="str">
        <f>IF(ISTEXT(IDX_SPECS!B19),IDX_SPECS!B19,"")</f>
        <v>VNXCOPRUSD</v>
      </c>
      <c r="C21" s="76">
        <f>VLOOKUP($A21,IDX_SPECS!$B$1:$V$200,TESTS!C$1-1,0)</f>
        <v>1748431900.1690269</v>
      </c>
      <c r="D21" s="76" t="e">
        <f>VLOOKUP($A21,IMS!$B$2:$V$89,TESTS!D$2-1,0)</f>
        <v>#N/A</v>
      </c>
      <c r="E21" t="e">
        <f t="shared" si="0"/>
        <v>#N/A</v>
      </c>
      <c r="F21" s="12">
        <f>VLOOKUP($A21,IDX_SPECS!$B$1:$V$200,TESTS!F$1-1,0)</f>
        <v>1428571428.5714285</v>
      </c>
      <c r="G21" s="12" t="e">
        <f>VLOOKUP($A21,IMS!$B$2:$V$89,TESTS!G$2-1,0)</f>
        <v>#N/A</v>
      </c>
      <c r="H21" t="e">
        <f t="shared" si="1"/>
        <v>#N/A</v>
      </c>
      <c r="I21" s="79">
        <f>VLOOKUP($A21,IDX_SPECS!$B$1:$V$200,TESTS!I$1-1,0)</f>
        <v>1223.9023301183188</v>
      </c>
      <c r="J21" s="79" t="e">
        <f>VLOOKUP($A21,IMS!$B$2:$V$89,TESTS!J$2-1,0)</f>
        <v>#N/A</v>
      </c>
      <c r="K21" t="e">
        <f t="shared" si="2"/>
        <v>#N/A</v>
      </c>
      <c r="L21" s="79">
        <f>VLOOKUP($A21,IDX_SPECS!$B$1:$W$200,TESTS!L$1-1,0)</f>
        <v>1279.335</v>
      </c>
      <c r="M21" s="79" t="e">
        <f>VLOOKUP($A21,IMS!$B$2:$AC$89,TESTS!M$2-1,0)</f>
        <v>#N/A</v>
      </c>
      <c r="N21" t="e">
        <f t="shared" si="3"/>
        <v>#N/A</v>
      </c>
      <c r="O21" s="76">
        <f>VLOOKUP($A21,IDX_SPECS!$B$1:$V$200,TESTS!O$1-1,0)</f>
        <v>21890</v>
      </c>
      <c r="P21" s="76" t="e">
        <f>VLOOKUP($A21,IMS!$B$2:$V$89,TESTS!P$2-1,0)</f>
        <v>#N/A</v>
      </c>
      <c r="Q21" s="76" t="e">
        <f t="shared" si="4"/>
        <v>#N/A</v>
      </c>
      <c r="R21" s="79">
        <f>VLOOKUP($A21,IDX_SPECS!$B$1:$Y$89,TESTS!R$1-1,0)</f>
        <v>-4.3329284262277863</v>
      </c>
      <c r="S21" s="12" t="e">
        <f>VLOOKUP($A21,IMS!$B$2:$AC$89,TESTS!S$2-1,0)</f>
        <v>#N/A</v>
      </c>
      <c r="T21" s="8" t="e">
        <f t="shared" si="5"/>
        <v>#N/A</v>
      </c>
    </row>
    <row r="22" spans="1:20" x14ac:dyDescent="0.2">
      <c r="A22" t="str">
        <f>IF(ISTEXT(IDX_SPECS!B20),IDX_SPECS!B20,"")</f>
        <v>VNXCOPRJPY</v>
      </c>
      <c r="C22" s="76">
        <f>VLOOKUP($A22,IDX_SPECS!$B$1:$V$200,TESTS!C$1-1,0)</f>
        <v>135720476222.34042</v>
      </c>
      <c r="D22" s="76" t="e">
        <f>VLOOKUP($A22,IMS!$B$2:$V$89,TESTS!D$2-1,0)</f>
        <v>#N/A</v>
      </c>
      <c r="E22" t="e">
        <f t="shared" si="0"/>
        <v>#N/A</v>
      </c>
      <c r="F22" s="12">
        <f>VLOOKUP($A22,IDX_SPECS!$B$1:$V$200,TESTS!F$1-1,0)</f>
        <v>113207547169.81133</v>
      </c>
      <c r="G22" s="12" t="e">
        <f>VLOOKUP($A22,IMS!$B$2:$V$89,TESTS!G$2-1,0)</f>
        <v>#N/A</v>
      </c>
      <c r="H22" t="e">
        <f t="shared" si="1"/>
        <v>#N/A</v>
      </c>
      <c r="I22" s="79">
        <f>VLOOKUP($A22,IDX_SPECS!$B$1:$V$200,TESTS!I$1-1,0)</f>
        <v>1198.8642066306736</v>
      </c>
      <c r="J22" s="79" t="e">
        <f>VLOOKUP($A22,IMS!$B$2:$V$89,TESTS!J$2-1,0)</f>
        <v>#N/A</v>
      </c>
      <c r="K22" t="e">
        <f t="shared" si="2"/>
        <v>#N/A</v>
      </c>
      <c r="L22" s="79">
        <f>VLOOKUP($A22,IDX_SPECS!$B$1:$W$200,TESTS!L$1-1,0)</f>
        <v>1211.4580000000001</v>
      </c>
      <c r="M22" s="79" t="e">
        <f>VLOOKUP($A22,IMS!$B$2:$AC$89,TESTS!M$2-1,0)</f>
        <v>#N/A</v>
      </c>
      <c r="N22" t="e">
        <f t="shared" si="3"/>
        <v>#N/A</v>
      </c>
      <c r="O22" s="76">
        <f>VLOOKUP($A22,IDX_SPECS!$B$1:$V$200,TESTS!O$1-1,0)</f>
        <v>282</v>
      </c>
      <c r="P22" s="76" t="e">
        <f>VLOOKUP($A22,IMS!$B$2:$V$89,TESTS!P$2-1,0)</f>
        <v>#N/A</v>
      </c>
      <c r="Q22" s="76" t="e">
        <f t="shared" si="4"/>
        <v>#N/A</v>
      </c>
      <c r="R22" s="79">
        <f>VLOOKUP($A22,IDX_SPECS!$B$1:$Y$89,TESTS!R$1-1,0)</f>
        <v>-1.0395567464432507</v>
      </c>
      <c r="S22" s="12" t="e">
        <f>VLOOKUP($A22,IMS!$B$2:$AC$89,TESTS!S$2-1,0)</f>
        <v>#N/A</v>
      </c>
      <c r="T22" s="8" t="e">
        <f t="shared" si="5"/>
        <v>#N/A</v>
      </c>
    </row>
    <row r="23" spans="1:20" x14ac:dyDescent="0.2">
      <c r="A23" t="str">
        <f>IF(ISTEXT(IDX_SPECS!B21),IDX_SPECS!B21,"")</f>
        <v>VNXCOPREUR</v>
      </c>
      <c r="C23" s="76">
        <f>VLOOKUP($A23,IDX_SPECS!$B$1:$V$200,TESTS!C$1-1,0)</f>
        <v>1283874581.0125766</v>
      </c>
      <c r="D23" s="76" t="e">
        <f>VLOOKUP($A23,IMS!$B$2:$V$89,TESTS!D$2-1,0)</f>
        <v>#N/A</v>
      </c>
      <c r="E23" t="e">
        <f t="shared" si="0"/>
        <v>#N/A</v>
      </c>
      <c r="F23" s="12">
        <f>VLOOKUP($A23,IDX_SPECS!$B$1:$V$200,TESTS!F$1-1,0)</f>
        <v>1034482758.6206897</v>
      </c>
      <c r="G23" s="12" t="e">
        <f>VLOOKUP($A23,IMS!$B$2:$V$89,TESTS!G$2-1,0)</f>
        <v>#N/A</v>
      </c>
      <c r="H23" t="e">
        <f t="shared" si="1"/>
        <v>#N/A</v>
      </c>
      <c r="I23" s="79">
        <f>VLOOKUP($A23,IDX_SPECS!$B$1:$V$200,TESTS!I$1-1,0)</f>
        <v>1241.0787616454907</v>
      </c>
      <c r="J23" s="79" t="e">
        <f>VLOOKUP($A23,IMS!$B$2:$V$89,TESTS!J$2-1,0)</f>
        <v>#N/A</v>
      </c>
      <c r="K23" t="e">
        <f t="shared" si="2"/>
        <v>#N/A</v>
      </c>
      <c r="L23" s="79">
        <f>VLOOKUP($A23,IDX_SPECS!$B$1:$W$200,TESTS!L$1-1,0)</f>
        <v>1181.52</v>
      </c>
      <c r="M23" s="79" t="e">
        <f>VLOOKUP($A23,IMS!$B$2:$AC$89,TESTS!M$2-1,0)</f>
        <v>#N/A</v>
      </c>
      <c r="N23" t="e">
        <f t="shared" si="3"/>
        <v>#N/A</v>
      </c>
      <c r="O23" s="76">
        <f>VLOOKUP($A23,IDX_SPECS!$B$1:$V$200,TESTS!O$1-1,0)</f>
        <v>29810.68</v>
      </c>
      <c r="P23" s="76" t="e">
        <f>VLOOKUP($A23,IMS!$B$2:$V$89,TESTS!P$2-1,0)</f>
        <v>#N/A</v>
      </c>
      <c r="Q23" s="76" t="e">
        <f t="shared" si="4"/>
        <v>#N/A</v>
      </c>
      <c r="R23" s="79">
        <f>VLOOKUP($A23,IDX_SPECS!$B$1:$Y$89,TESTS!R$1-1,0)</f>
        <v>5.0408593714444683</v>
      </c>
      <c r="S23" s="12" t="e">
        <f>VLOOKUP($A23,IMS!$B$2:$AC$89,TESTS!S$2-1,0)</f>
        <v>#N/A</v>
      </c>
      <c r="T23" s="8" t="e">
        <f t="shared" si="5"/>
        <v>#N/A</v>
      </c>
    </row>
    <row r="24" spans="1:20" x14ac:dyDescent="0.2">
      <c r="A24" t="str">
        <f>IF(ISTEXT(IDX_SPECS!B22),IDX_SPECS!B22,"")</f>
        <v>VNXCOTRVND</v>
      </c>
      <c r="C24" s="76">
        <f>VLOOKUP($A24,IDX_SPECS!$B$1:$V$200,TESTS!C$1-1,0)</f>
        <v>38273174294700</v>
      </c>
      <c r="D24" s="76" t="e">
        <f>VLOOKUP($A24,IMS!$B$2:$V$89,TESTS!D$2-1,0)</f>
        <v>#N/A</v>
      </c>
      <c r="E24" t="e">
        <f t="shared" si="0"/>
        <v>#N/A</v>
      </c>
      <c r="F24" s="12">
        <f>VLOOKUP($A24,IDX_SPECS!$B$1:$V$200,TESTS!F$1-1,0)</f>
        <v>30000000000000</v>
      </c>
      <c r="G24" s="12" t="e">
        <f>VLOOKUP($A24,IMS!$B$2:$V$89,TESTS!G$2-1,0)</f>
        <v>#N/A</v>
      </c>
      <c r="H24" t="e">
        <f t="shared" si="1"/>
        <v>#N/A</v>
      </c>
      <c r="I24" s="79">
        <f>VLOOKUP($A24,IDX_SPECS!$B$1:$V$200,TESTS!I$1-1,0)</f>
        <v>1644.8222904142194</v>
      </c>
      <c r="J24" s="79" t="e">
        <f>VLOOKUP($A24,IMS!$B$2:$V$89,TESTS!J$2-1,0)</f>
        <v>#N/A</v>
      </c>
      <c r="K24" t="e">
        <f t="shared" si="2"/>
        <v>#N/A</v>
      </c>
      <c r="L24" s="79">
        <f>VLOOKUP($A24,IDX_SPECS!$B$1:$W$200,TESTS!L$1-1,0)</f>
        <v>1546.471</v>
      </c>
      <c r="M24" s="79" t="e">
        <f>VLOOKUP($A24,IMS!$B$2:$AC$89,TESTS!M$2-1,0)</f>
        <v>#N/A</v>
      </c>
      <c r="N24" t="e">
        <f t="shared" si="3"/>
        <v>#N/A</v>
      </c>
      <c r="O24" s="76">
        <f>VLOOKUP($A24,IDX_SPECS!$B$1:$V$200,TESTS!O$1-1,0)</f>
        <v>1</v>
      </c>
      <c r="P24" s="76" t="e">
        <f>VLOOKUP($A24,IMS!$B$2:$V$89,TESTS!P$2-1,0)</f>
        <v>#N/A</v>
      </c>
      <c r="Q24" s="76" t="e">
        <f t="shared" si="4"/>
        <v>#N/A</v>
      </c>
      <c r="R24" s="79">
        <f>VLOOKUP($A24,IDX_SPECS!$B$1:$Y$89,TESTS!R$1-1,0)</f>
        <v>6.3597241987867479</v>
      </c>
      <c r="S24" s="12" t="e">
        <f>VLOOKUP($A24,IMS!$B$2:$AC$89,TESTS!S$2-1,0)</f>
        <v>#N/A</v>
      </c>
      <c r="T24" s="8" t="e">
        <f t="shared" si="5"/>
        <v>#N/A</v>
      </c>
    </row>
    <row r="25" spans="1:20" x14ac:dyDescent="0.2">
      <c r="A25" t="str">
        <f>IF(ISTEXT(IDX_SPECS!B23),IDX_SPECS!B23,"")</f>
        <v>VNXCOTRUSD</v>
      </c>
      <c r="C25" s="76">
        <f>VLOOKUP($A25,IDX_SPECS!$B$1:$V$200,TESTS!C$1-1,0)</f>
        <v>1748431900.1690269</v>
      </c>
      <c r="D25" s="76" t="e">
        <f>VLOOKUP($A25,IMS!$B$2:$V$89,TESTS!D$2-1,0)</f>
        <v>#N/A</v>
      </c>
      <c r="E25" t="e">
        <f t="shared" si="0"/>
        <v>#N/A</v>
      </c>
      <c r="F25" s="12">
        <f>VLOOKUP($A25,IDX_SPECS!$B$1:$V$200,TESTS!F$1-1,0)</f>
        <v>1428571428571.4285</v>
      </c>
      <c r="G25" s="12" t="e">
        <f>VLOOKUP($A25,IMS!$B$2:$V$89,TESTS!G$2-1,0)</f>
        <v>#N/A</v>
      </c>
      <c r="H25" t="e">
        <f t="shared" si="1"/>
        <v>#N/A</v>
      </c>
      <c r="I25" s="79">
        <f>VLOOKUP($A25,IDX_SPECS!$B$1:$V$200,TESTS!I$1-1,0)</f>
        <v>1323.7669984795164</v>
      </c>
      <c r="J25" s="79" t="e">
        <f>VLOOKUP($A25,IMS!$B$2:$V$89,TESTS!J$2-1,0)</f>
        <v>#N/A</v>
      </c>
      <c r="K25" t="e">
        <f t="shared" si="2"/>
        <v>#N/A</v>
      </c>
      <c r="L25" s="79">
        <f>VLOOKUP($A25,IDX_SPECS!$B$1:$W$200,TESTS!L$1-1,0)</f>
        <v>1383.693</v>
      </c>
      <c r="M25" s="79" t="e">
        <f>VLOOKUP($A25,IMS!$B$2:$AC$89,TESTS!M$2-1,0)</f>
        <v>#N/A</v>
      </c>
      <c r="N25" t="e">
        <f t="shared" si="3"/>
        <v>#N/A</v>
      </c>
      <c r="O25" s="76">
        <f>VLOOKUP($A25,IDX_SPECS!$B$1:$V$200,TESTS!O$1-1,0)</f>
        <v>21890</v>
      </c>
      <c r="P25" s="76" t="e">
        <f>VLOOKUP($A25,IMS!$B$2:$V$89,TESTS!P$2-1,0)</f>
        <v>#N/A</v>
      </c>
      <c r="Q25" s="76" t="e">
        <f t="shared" si="4"/>
        <v>#N/A</v>
      </c>
      <c r="R25" s="79">
        <f>VLOOKUP($A25,IDX_SPECS!$B$1:$Y$89,TESTS!R$1-1,0)</f>
        <v>-4.330874082652989</v>
      </c>
      <c r="S25" s="12" t="e">
        <f>VLOOKUP($A25,IMS!$B$2:$AC$89,TESTS!S$2-1,0)</f>
        <v>#N/A</v>
      </c>
      <c r="T25" s="8" t="e">
        <f t="shared" si="5"/>
        <v>#N/A</v>
      </c>
    </row>
    <row r="26" spans="1:20" x14ac:dyDescent="0.2">
      <c r="A26" t="str">
        <f>IF(ISTEXT(IDX_SPECS!B24),IDX_SPECS!B24,"")</f>
        <v>VNXCOTRJPY</v>
      </c>
      <c r="C26" s="76">
        <f>VLOOKUP($A26,IDX_SPECS!$B$1:$V$200,TESTS!C$1-1,0)</f>
        <v>135720476222.34042</v>
      </c>
      <c r="D26" s="76" t="e">
        <f>VLOOKUP($A26,IMS!$B$2:$V$89,TESTS!D$2-1,0)</f>
        <v>#N/A</v>
      </c>
      <c r="E26" t="e">
        <f t="shared" si="0"/>
        <v>#N/A</v>
      </c>
      <c r="F26" s="12">
        <f>VLOOKUP($A26,IDX_SPECS!$B$1:$V$200,TESTS!F$1-1,0)</f>
        <v>113207547169.81133</v>
      </c>
      <c r="G26" s="12" t="e">
        <f>VLOOKUP($A26,IMS!$B$2:$V$89,TESTS!G$2-1,0)</f>
        <v>#N/A</v>
      </c>
      <c r="H26" t="e">
        <f t="shared" si="1"/>
        <v>#N/A</v>
      </c>
      <c r="I26" s="79">
        <f>VLOOKUP($A26,IDX_SPECS!$B$1:$V$200,TESTS!I$1-1,0)</f>
        <v>1139.2963516575942</v>
      </c>
      <c r="J26" s="79" t="e">
        <f>VLOOKUP($A26,IMS!$B$2:$V$89,TESTS!J$2-1,0)</f>
        <v>#N/A</v>
      </c>
      <c r="K26" t="e">
        <f t="shared" si="2"/>
        <v>#N/A</v>
      </c>
      <c r="L26" s="79">
        <f>VLOOKUP($A26,IDX_SPECS!$B$1:$W$200,TESTS!L$1-1,0)</f>
        <v>1127.0619999999999</v>
      </c>
      <c r="M26" s="79" t="e">
        <f>VLOOKUP($A26,IMS!$B$2:$AC$89,TESTS!M$2-1,0)</f>
        <v>#N/A</v>
      </c>
      <c r="N26" t="e">
        <f t="shared" si="3"/>
        <v>#N/A</v>
      </c>
      <c r="O26" s="76">
        <f>VLOOKUP($A26,IDX_SPECS!$B$1:$V$200,TESTS!O$1-1,0)</f>
        <v>282</v>
      </c>
      <c r="P26" s="76" t="e">
        <f>VLOOKUP($A26,IMS!$B$2:$V$89,TESTS!P$2-1,0)</f>
        <v>#N/A</v>
      </c>
      <c r="Q26" s="76" t="e">
        <f t="shared" si="4"/>
        <v>#N/A</v>
      </c>
      <c r="R26" s="79">
        <f>VLOOKUP($A26,IDX_SPECS!$B$1:$Y$89,TESTS!R$1-1,0)</f>
        <v>1.0855083090011275</v>
      </c>
      <c r="S26" s="12" t="e">
        <f>VLOOKUP($A26,IMS!$B$2:$AC$89,TESTS!S$2-1,0)</f>
        <v>#N/A</v>
      </c>
      <c r="T26" s="8" t="e">
        <f t="shared" si="5"/>
        <v>#N/A</v>
      </c>
    </row>
    <row r="27" spans="1:20" x14ac:dyDescent="0.2">
      <c r="A27" t="str">
        <f>IF(ISTEXT(IDX_SPECS!B25),IDX_SPECS!B25,"")</f>
        <v>VNXCOTREUR</v>
      </c>
      <c r="C27" s="76">
        <f>VLOOKUP($A27,IDX_SPECS!$B$1:$V$200,TESTS!C$1-1,0)</f>
        <v>1283874581.0125766</v>
      </c>
      <c r="D27" s="76" t="e">
        <f>VLOOKUP($A27,IMS!$B$2:$V$89,TESTS!D$2-1,0)</f>
        <v>#N/A</v>
      </c>
      <c r="E27" t="e">
        <f t="shared" si="0"/>
        <v>#N/A</v>
      </c>
      <c r="F27" s="12">
        <f>VLOOKUP($A27,IDX_SPECS!$B$1:$V$200,TESTS!F$1-1,0)</f>
        <v>1034482758620.6897</v>
      </c>
      <c r="G27" s="12" t="e">
        <f>VLOOKUP($A27,IMS!$B$2:$V$89,TESTS!G$2-1,0)</f>
        <v>#N/A</v>
      </c>
      <c r="H27" t="e">
        <f t="shared" si="1"/>
        <v>#N/A</v>
      </c>
      <c r="I27" s="79">
        <f>VLOOKUP($A27,IDX_SPECS!$B$1:$V$200,TESTS!I$1-1,0)</f>
        <v>1133.2807557345327</v>
      </c>
      <c r="J27" s="79" t="e">
        <f>VLOOKUP($A27,IMS!$B$2:$V$89,TESTS!J$2-1,0)</f>
        <v>#N/A</v>
      </c>
      <c r="K27" t="e">
        <f t="shared" si="2"/>
        <v>#N/A</v>
      </c>
      <c r="L27" s="79">
        <f>VLOOKUP($A27,IDX_SPECS!$B$1:$W$200,TESTS!L$1-1,0)</f>
        <v>1078.8720000000001</v>
      </c>
      <c r="M27" s="79" t="e">
        <f>VLOOKUP($A27,IMS!$B$2:$AC$89,TESTS!M$2-1,0)</f>
        <v>#N/A</v>
      </c>
      <c r="N27" t="e">
        <f t="shared" si="3"/>
        <v>#N/A</v>
      </c>
      <c r="O27" s="76">
        <f>VLOOKUP($A27,IDX_SPECS!$B$1:$V$200,TESTS!O$1-1,0)</f>
        <v>29810.68</v>
      </c>
      <c r="P27" s="76" t="e">
        <f>VLOOKUP($A27,IMS!$B$2:$V$89,TESTS!P$2-1,0)</f>
        <v>#N/A</v>
      </c>
      <c r="Q27" s="76" t="e">
        <f t="shared" si="4"/>
        <v>#N/A</v>
      </c>
      <c r="R27" s="79">
        <f>VLOOKUP($A27,IDX_SPECS!$B$1:$Y$89,TESTS!R$1-1,0)</f>
        <v>5.0431150066488541</v>
      </c>
      <c r="S27" s="12" t="e">
        <f>VLOOKUP($A27,IMS!$B$2:$AC$89,TESTS!S$2-1,0)</f>
        <v>#N/A</v>
      </c>
      <c r="T27" s="8" t="e">
        <f t="shared" si="5"/>
        <v>#N/A</v>
      </c>
    </row>
    <row r="28" spans="1:20" x14ac:dyDescent="0.2">
      <c r="A28" t="str">
        <f>IF(ISTEXT(IDX_SPECS!B26),IDX_SPECS!B26,"")</f>
        <v>VNXHSXPRVND</v>
      </c>
      <c r="C28" s="76">
        <f>VLOOKUP($A28,IDX_SPECS!$B$1:$V$200,TESTS!C$1-1,0)</f>
        <v>44040484805400</v>
      </c>
      <c r="D28" s="76" t="e">
        <f>VLOOKUP($A28,IMS!$B$2:$V$89,TESTS!D$2-1,0)</f>
        <v>#N/A</v>
      </c>
      <c r="E28" t="e">
        <f t="shared" si="0"/>
        <v>#N/A</v>
      </c>
      <c r="F28" s="12">
        <f>VLOOKUP($A28,IDX_SPECS!$B$1:$V$200,TESTS!F$1-1,0)</f>
        <v>25000000000000</v>
      </c>
      <c r="G28" s="12" t="e">
        <f>VLOOKUP($A28,IMS!$B$2:$V$89,TESTS!G$2-1,0)</f>
        <v>#N/A</v>
      </c>
      <c r="H28" t="e">
        <f t="shared" si="1"/>
        <v>#N/A</v>
      </c>
      <c r="I28" s="79">
        <f>VLOOKUP($A28,IDX_SPECS!$B$1:$V$200,TESTS!I$1-1,0)</f>
        <v>1761.6193922160001</v>
      </c>
      <c r="J28" s="79" t="e">
        <f>VLOOKUP($A28,IMS!$B$2:$V$89,TESTS!J$2-1,0)</f>
        <v>#N/A</v>
      </c>
      <c r="K28" t="e">
        <f t="shared" si="2"/>
        <v>#N/A</v>
      </c>
      <c r="L28" s="79">
        <f>VLOOKUP($A28,IDX_SPECS!$B$1:$W$200,TESTS!L$1-1,0)</f>
        <v>1708.019</v>
      </c>
      <c r="M28" s="79" t="e">
        <f>VLOOKUP($A28,IMS!$B$2:$AC$89,TESTS!M$2-1,0)</f>
        <v>#N/A</v>
      </c>
      <c r="N28" t="e">
        <f t="shared" si="3"/>
        <v>#N/A</v>
      </c>
      <c r="O28" s="76">
        <f>VLOOKUP($A28,IDX_SPECS!$B$1:$V$200,TESTS!O$1-1,0)</f>
        <v>1</v>
      </c>
      <c r="P28" s="76" t="e">
        <f>VLOOKUP($A28,IMS!$B$2:$V$89,TESTS!P$2-1,0)</f>
        <v>#N/A</v>
      </c>
      <c r="Q28" s="76" t="e">
        <f t="shared" si="4"/>
        <v>#N/A</v>
      </c>
      <c r="R28" s="79">
        <f>VLOOKUP($A28,IDX_SPECS!$B$1:$Y$89,TESTS!R$1-1,0)</f>
        <v>3.1381613562846806</v>
      </c>
      <c r="S28" s="12" t="e">
        <f>VLOOKUP($A28,IMS!$B$2:$AC$89,TESTS!S$2-1,0)</f>
        <v>#N/A</v>
      </c>
      <c r="T28" s="8" t="e">
        <f t="shared" si="5"/>
        <v>#N/A</v>
      </c>
    </row>
    <row r="29" spans="1:20" x14ac:dyDescent="0.2">
      <c r="A29" t="str">
        <f>IF(ISTEXT(IDX_SPECS!B27),IDX_SPECS!B27,"")</f>
        <v>VNXHSXPRUSD</v>
      </c>
      <c r="C29" s="76">
        <f>VLOOKUP($A29,IDX_SPECS!$B$1:$V$200,TESTS!C$1-1,0)</f>
        <v>2011899717.0123343</v>
      </c>
      <c r="D29" s="76" t="e">
        <f>VLOOKUP($A29,IMS!$B$2:$V$89,TESTS!D$2-1,0)</f>
        <v>#N/A</v>
      </c>
      <c r="E29" t="e">
        <f t="shared" si="0"/>
        <v>#N/A</v>
      </c>
      <c r="F29" s="12">
        <f>VLOOKUP($A29,IDX_SPECS!$B$1:$V$200,TESTS!F$1-1,0)</f>
        <v>1190476190.4761903</v>
      </c>
      <c r="G29" s="12" t="e">
        <f>VLOOKUP($A29,IMS!$B$2:$V$89,TESTS!G$2-1,0)</f>
        <v>#N/A</v>
      </c>
      <c r="H29" t="e">
        <f t="shared" si="1"/>
        <v>#N/A</v>
      </c>
      <c r="I29" s="79">
        <f>VLOOKUP($A29,IDX_SPECS!$B$1:$V$200,TESTS!I$1-1,0)</f>
        <v>1689.995762290361</v>
      </c>
      <c r="J29" s="79" t="e">
        <f>VLOOKUP($A29,IMS!$B$2:$V$89,TESTS!J$2-1,0)</f>
        <v>#N/A</v>
      </c>
      <c r="K29" t="e">
        <f t="shared" si="2"/>
        <v>#N/A</v>
      </c>
      <c r="L29" s="79">
        <f>VLOOKUP($A29,IDX_SPECS!$B$1:$W$200,TESTS!L$1-1,0)</f>
        <v>1784.47</v>
      </c>
      <c r="M29" s="79" t="e">
        <f>VLOOKUP($A29,IMS!$B$2:$AC$89,TESTS!M$2-1,0)</f>
        <v>#N/A</v>
      </c>
      <c r="N29" t="e">
        <f t="shared" si="3"/>
        <v>#N/A</v>
      </c>
      <c r="O29" s="76">
        <f>VLOOKUP($A29,IDX_SPECS!$B$1:$V$200,TESTS!O$1-1,0)</f>
        <v>21890</v>
      </c>
      <c r="P29" s="76" t="e">
        <f>VLOOKUP($A29,IMS!$B$2:$V$89,TESTS!P$2-1,0)</f>
        <v>#N/A</v>
      </c>
      <c r="Q29" s="76" t="e">
        <f t="shared" si="4"/>
        <v>#N/A</v>
      </c>
      <c r="R29" s="79">
        <f>VLOOKUP($A29,IDX_SPECS!$B$1:$Y$89,TESTS!R$1-1,0)</f>
        <v>-5.294246342591304</v>
      </c>
      <c r="S29" s="12" t="e">
        <f>VLOOKUP($A29,IMS!$B$2:$AC$89,TESTS!S$2-1,0)</f>
        <v>#N/A</v>
      </c>
      <c r="T29" s="8" t="e">
        <f t="shared" si="5"/>
        <v>#N/A</v>
      </c>
    </row>
    <row r="30" spans="1:20" x14ac:dyDescent="0.2">
      <c r="A30" t="str">
        <f>IF(ISTEXT(IDX_SPECS!B28),IDX_SPECS!B28,"")</f>
        <v>VNXHSXPRJPY</v>
      </c>
      <c r="C30" s="76">
        <f>VLOOKUP($A30,IDX_SPECS!$B$1:$V$200,TESTS!C$1-1,0)</f>
        <v>156171931934.04254</v>
      </c>
      <c r="D30" s="76" t="e">
        <f>VLOOKUP($A30,IMS!$B$2:$V$89,TESTS!D$2-1,0)</f>
        <v>#N/A</v>
      </c>
      <c r="E30" t="e">
        <f t="shared" si="0"/>
        <v>#N/A</v>
      </c>
      <c r="F30" s="12">
        <f>VLOOKUP($A30,IDX_SPECS!$B$1:$V$200,TESTS!F$1-1,0)</f>
        <v>94339622641.50943</v>
      </c>
      <c r="G30" s="12" t="e">
        <f>VLOOKUP($A30,IMS!$B$2:$V$89,TESTS!G$2-1,0)</f>
        <v>#N/A</v>
      </c>
      <c r="H30" t="e">
        <f t="shared" si="1"/>
        <v>#N/A</v>
      </c>
      <c r="I30" s="79">
        <f>VLOOKUP($A30,IDX_SPECS!$B$1:$V$200,TESTS!I$1-1,0)</f>
        <v>1655.422478500851</v>
      </c>
      <c r="J30" s="79" t="e">
        <f>VLOOKUP($A30,IMS!$B$2:$V$89,TESTS!J$2-1,0)</f>
        <v>#N/A</v>
      </c>
      <c r="K30" t="e">
        <f t="shared" si="2"/>
        <v>#N/A</v>
      </c>
      <c r="L30" s="79">
        <f>VLOOKUP($A30,IDX_SPECS!$B$1:$W$200,TESTS!L$1-1,0)</f>
        <v>1606.604</v>
      </c>
      <c r="M30" s="79" t="e">
        <f>VLOOKUP($A30,IMS!$B$2:$AC$89,TESTS!M$2-1,0)</f>
        <v>#N/A</v>
      </c>
      <c r="N30" t="e">
        <f t="shared" si="3"/>
        <v>#N/A</v>
      </c>
      <c r="O30" s="76">
        <f>VLOOKUP($A30,IDX_SPECS!$B$1:$V$200,TESTS!O$1-1,0)</f>
        <v>282</v>
      </c>
      <c r="P30" s="76" t="e">
        <f>VLOOKUP($A30,IMS!$B$2:$V$89,TESTS!P$2-1,0)</f>
        <v>#N/A</v>
      </c>
      <c r="Q30" s="76" t="e">
        <f t="shared" si="4"/>
        <v>#N/A</v>
      </c>
      <c r="R30" s="79">
        <f>VLOOKUP($A30,IDX_SPECS!$B$1:$Y$89,TESTS!R$1-1,0)</f>
        <v>3.0386130310176567</v>
      </c>
      <c r="S30" s="12" t="e">
        <f>VLOOKUP($A30,IMS!$B$2:$AC$89,TESTS!S$2-1,0)</f>
        <v>#N/A</v>
      </c>
      <c r="T30" s="8" t="e">
        <f t="shared" si="5"/>
        <v>#N/A</v>
      </c>
    </row>
    <row r="31" spans="1:20" x14ac:dyDescent="0.2">
      <c r="A31" t="str">
        <f>IF(ISTEXT(IDX_SPECS!B29),IDX_SPECS!B29,"")</f>
        <v>VNXHSXPREUR</v>
      </c>
      <c r="C31" s="76">
        <f>VLOOKUP($A31,IDX_SPECS!$B$1:$V$200,TESTS!C$1-1,0)</f>
        <v>1477339155.1417143</v>
      </c>
      <c r="D31" s="76" t="e">
        <f>VLOOKUP($A31,IMS!$B$2:$V$89,TESTS!D$2-1,0)</f>
        <v>#N/A</v>
      </c>
      <c r="E31" t="e">
        <f t="shared" si="0"/>
        <v>#N/A</v>
      </c>
      <c r="F31" s="12">
        <f>VLOOKUP($A31,IDX_SPECS!$B$1:$V$200,TESTS!F$1-1,0)</f>
        <v>862068965.51724136</v>
      </c>
      <c r="G31" s="12" t="e">
        <f>VLOOKUP($A31,IMS!$B$2:$V$89,TESTS!G$2-1,0)</f>
        <v>#N/A</v>
      </c>
      <c r="H31" t="e">
        <f t="shared" si="1"/>
        <v>#N/A</v>
      </c>
      <c r="I31" s="79">
        <f>VLOOKUP($A31,IDX_SPECS!$B$1:$V$200,TESTS!I$1-1,0)</f>
        <v>1713.7134199643888</v>
      </c>
      <c r="J31" s="79" t="e">
        <f>VLOOKUP($A31,IMS!$B$2:$V$89,TESTS!J$2-1,0)</f>
        <v>#N/A</v>
      </c>
      <c r="K31" t="e">
        <f t="shared" si="2"/>
        <v>#N/A</v>
      </c>
      <c r="L31" s="79">
        <f>VLOOKUP($A31,IDX_SPECS!$B$1:$W$200,TESTS!L$1-1,0)</f>
        <v>1677.5070000000001</v>
      </c>
      <c r="M31" s="79" t="e">
        <f>VLOOKUP($A31,IMS!$B$2:$AC$89,TESTS!M$2-1,0)</f>
        <v>#N/A</v>
      </c>
      <c r="N31" t="e">
        <f t="shared" si="3"/>
        <v>#N/A</v>
      </c>
      <c r="O31" s="76">
        <f>VLOOKUP($A31,IDX_SPECS!$B$1:$V$200,TESTS!O$1-1,0)</f>
        <v>29810.68</v>
      </c>
      <c r="P31" s="76" t="e">
        <f>VLOOKUP($A31,IMS!$B$2:$V$89,TESTS!P$2-1,0)</f>
        <v>#N/A</v>
      </c>
      <c r="Q31" s="76" t="e">
        <f t="shared" si="4"/>
        <v>#N/A</v>
      </c>
      <c r="R31" s="79">
        <f>VLOOKUP($A31,IDX_SPECS!$B$1:$Y$89,TESTS!R$1-1,0)</f>
        <v>2.1583468780987927</v>
      </c>
      <c r="S31" s="12" t="e">
        <f>VLOOKUP($A31,IMS!$B$2:$AC$89,TESTS!S$2-1,0)</f>
        <v>#N/A</v>
      </c>
      <c r="T31" s="8" t="e">
        <f t="shared" si="5"/>
        <v>#N/A</v>
      </c>
    </row>
    <row r="32" spans="1:20" x14ac:dyDescent="0.2">
      <c r="A32" t="str">
        <f>IF(ISTEXT(IDX_SPECS!B30),IDX_SPECS!B30,"")</f>
        <v>VNXHSXTRVND</v>
      </c>
      <c r="C32" s="76">
        <f>VLOOKUP($A32,IDX_SPECS!$B$1:$V$200,TESTS!C$1-1,0)</f>
        <v>44040484805400</v>
      </c>
      <c r="D32" s="76" t="e">
        <f>VLOOKUP($A32,IMS!$B$2:$V$89,TESTS!D$2-1,0)</f>
        <v>#N/A</v>
      </c>
      <c r="E32" t="e">
        <f t="shared" si="0"/>
        <v>#N/A</v>
      </c>
      <c r="F32" s="12">
        <f>VLOOKUP($A32,IDX_SPECS!$B$1:$V$200,TESTS!F$1-1,0)</f>
        <v>25000000000000</v>
      </c>
      <c r="G32" s="12" t="e">
        <f>VLOOKUP($A32,IMS!$B$2:$V$89,TESTS!G$2-1,0)</f>
        <v>#N/A</v>
      </c>
      <c r="H32" t="e">
        <f t="shared" si="1"/>
        <v>#N/A</v>
      </c>
      <c r="I32" s="79">
        <f>VLOOKUP($A32,IDX_SPECS!$B$1:$V$200,TESTS!I$1-1,0)</f>
        <v>2204.4734585328124</v>
      </c>
      <c r="J32" s="79" t="e">
        <f>VLOOKUP($A32,IMS!$B$2:$V$89,TESTS!J$2-1,0)</f>
        <v>#N/A</v>
      </c>
      <c r="K32" t="e">
        <f t="shared" si="2"/>
        <v>#N/A</v>
      </c>
      <c r="L32" s="79">
        <f>VLOOKUP($A32,IDX_SPECS!$B$1:$W$200,TESTS!L$1-1,0)</f>
        <v>2100.2710000000002</v>
      </c>
      <c r="M32" s="79" t="e">
        <f>VLOOKUP($A32,IMS!$B$2:$AC$89,TESTS!M$2-1,0)</f>
        <v>#N/A</v>
      </c>
      <c r="N32" t="e">
        <f t="shared" si="3"/>
        <v>#N/A</v>
      </c>
      <c r="O32" s="76">
        <f>VLOOKUP($A32,IDX_SPECS!$B$1:$V$200,TESTS!O$1-1,0)</f>
        <v>1</v>
      </c>
      <c r="P32" s="76" t="e">
        <f>VLOOKUP($A32,IMS!$B$2:$V$89,TESTS!P$2-1,0)</f>
        <v>#N/A</v>
      </c>
      <c r="Q32" s="76" t="e">
        <f t="shared" si="4"/>
        <v>#N/A</v>
      </c>
      <c r="R32" s="79">
        <f>VLOOKUP($A32,IDX_SPECS!$B$1:$Y$89,TESTS!R$1-1,0)</f>
        <v>4.9613815804156802</v>
      </c>
      <c r="S32" s="12" t="e">
        <f>VLOOKUP($A32,IMS!$B$2:$AC$89,TESTS!S$2-1,0)</f>
        <v>#N/A</v>
      </c>
      <c r="T32" s="8" t="e">
        <f t="shared" si="5"/>
        <v>#N/A</v>
      </c>
    </row>
    <row r="33" spans="1:20" x14ac:dyDescent="0.2">
      <c r="A33" t="str">
        <f>IF(ISTEXT(IDX_SPECS!B31),IDX_SPECS!B31,"")</f>
        <v>VNXHSXTRUSD</v>
      </c>
      <c r="C33" s="76">
        <f>VLOOKUP($A33,IDX_SPECS!$B$1:$V$200,TESTS!C$1-1,0)</f>
        <v>2011899717.0123343</v>
      </c>
      <c r="D33" s="76" t="e">
        <f>VLOOKUP($A33,IMS!$B$2:$V$89,TESTS!D$2-1,0)</f>
        <v>#N/A</v>
      </c>
      <c r="E33" t="e">
        <f t="shared" si="0"/>
        <v>#N/A</v>
      </c>
      <c r="F33" s="12">
        <f>VLOOKUP($A33,IDX_SPECS!$B$1:$V$200,TESTS!F$1-1,0)</f>
        <v>1190476190476.1904</v>
      </c>
      <c r="G33" s="12" t="e">
        <f>VLOOKUP($A33,IMS!$B$2:$V$89,TESTS!G$2-1,0)</f>
        <v>#N/A</v>
      </c>
      <c r="H33" t="e">
        <f t="shared" si="1"/>
        <v>#N/A</v>
      </c>
      <c r="I33" s="79">
        <f>VLOOKUP($A33,IDX_SPECS!$B$1:$V$200,TESTS!I$1-1,0)</f>
        <v>1492.9148559022706</v>
      </c>
      <c r="J33" s="79" t="e">
        <f>VLOOKUP($A33,IMS!$B$2:$V$89,TESTS!J$2-1,0)</f>
        <v>#N/A</v>
      </c>
      <c r="K33" t="e">
        <f t="shared" si="2"/>
        <v>#N/A</v>
      </c>
      <c r="L33" s="79">
        <f>VLOOKUP($A33,IDX_SPECS!$B$1:$W$200,TESTS!L$1-1,0)</f>
        <v>1576.3440000000001</v>
      </c>
      <c r="M33" s="79" t="e">
        <f>VLOOKUP($A33,IMS!$B$2:$AC$89,TESTS!M$2-1,0)</f>
        <v>#N/A</v>
      </c>
      <c r="N33" t="e">
        <f t="shared" si="3"/>
        <v>#N/A</v>
      </c>
      <c r="O33" s="76">
        <f>VLOOKUP($A33,IDX_SPECS!$B$1:$V$200,TESTS!O$1-1,0)</f>
        <v>21890</v>
      </c>
      <c r="P33" s="76" t="e">
        <f>VLOOKUP($A33,IMS!$B$2:$V$89,TESTS!P$2-1,0)</f>
        <v>#N/A</v>
      </c>
      <c r="Q33" s="76" t="e">
        <f t="shared" si="4"/>
        <v>#N/A</v>
      </c>
      <c r="R33" s="79">
        <f>VLOOKUP($A33,IDX_SPECS!$B$1:$Y$89,TESTS!R$1-1,0)</f>
        <v>-5.2925721858762733</v>
      </c>
      <c r="S33" s="12" t="e">
        <f>VLOOKUP($A33,IMS!$B$2:$AC$89,TESTS!S$2-1,0)</f>
        <v>#N/A</v>
      </c>
      <c r="T33" s="8" t="e">
        <f t="shared" si="5"/>
        <v>#N/A</v>
      </c>
    </row>
    <row r="34" spans="1:20" x14ac:dyDescent="0.2">
      <c r="A34" t="str">
        <f>IF(ISTEXT(IDX_SPECS!B32),IDX_SPECS!B32,"")</f>
        <v>VNXHSXTRJPY</v>
      </c>
      <c r="C34" s="76">
        <f>VLOOKUP($A34,IDX_SPECS!$B$1:$V$200,TESTS!C$1-1,0)</f>
        <v>156171931934.04254</v>
      </c>
      <c r="D34" s="76" t="e">
        <f>VLOOKUP($A34,IMS!$B$2:$V$89,TESTS!D$2-1,0)</f>
        <v>#N/A</v>
      </c>
      <c r="E34" t="e">
        <f t="shared" si="0"/>
        <v>#N/A</v>
      </c>
      <c r="F34" s="12">
        <f>VLOOKUP($A34,IDX_SPECS!$B$1:$V$200,TESTS!F$1-1,0)</f>
        <v>94339622641.50943</v>
      </c>
      <c r="G34" s="12" t="e">
        <f>VLOOKUP($A34,IMS!$B$2:$V$89,TESTS!G$2-1,0)</f>
        <v>#N/A</v>
      </c>
      <c r="H34" t="e">
        <f t="shared" si="1"/>
        <v>#N/A</v>
      </c>
      <c r="I34" s="79">
        <f>VLOOKUP($A34,IDX_SPECS!$B$1:$V$200,TESTS!I$1-1,0)</f>
        <v>1765.4137113391678</v>
      </c>
      <c r="J34" s="79" t="e">
        <f>VLOOKUP($A34,IMS!$B$2:$V$89,TESTS!J$2-1,0)</f>
        <v>#N/A</v>
      </c>
      <c r="K34" t="e">
        <f t="shared" si="2"/>
        <v>#N/A</v>
      </c>
      <c r="L34" s="79">
        <f>VLOOKUP($A34,IDX_SPECS!$B$1:$W$200,TESTS!L$1-1,0)</f>
        <v>1683.59</v>
      </c>
      <c r="M34" s="79" t="e">
        <f>VLOOKUP($A34,IMS!$B$2:$AC$89,TESTS!M$2-1,0)</f>
        <v>#N/A</v>
      </c>
      <c r="N34" t="e">
        <f t="shared" si="3"/>
        <v>#N/A</v>
      </c>
      <c r="O34" s="76">
        <f>VLOOKUP($A34,IDX_SPECS!$B$1:$V$200,TESTS!O$1-1,0)</f>
        <v>282</v>
      </c>
      <c r="P34" s="76" t="e">
        <f>VLOOKUP($A34,IMS!$B$2:$V$89,TESTS!P$2-1,0)</f>
        <v>#N/A</v>
      </c>
      <c r="Q34" s="76" t="e">
        <f t="shared" si="4"/>
        <v>#N/A</v>
      </c>
      <c r="R34" s="79">
        <f>VLOOKUP($A34,IDX_SPECS!$B$1:$Y$89,TESTS!R$1-1,0)</f>
        <v>4.860073494091071</v>
      </c>
      <c r="S34" s="12" t="e">
        <f>VLOOKUP($A34,IMS!$B$2:$AC$89,TESTS!S$2-1,0)</f>
        <v>#N/A</v>
      </c>
      <c r="T34" s="8" t="e">
        <f t="shared" si="5"/>
        <v>#N/A</v>
      </c>
    </row>
    <row r="35" spans="1:20" x14ac:dyDescent="0.2">
      <c r="A35" t="str">
        <f>IF(ISTEXT(IDX_SPECS!B33),IDX_SPECS!B33,"")</f>
        <v>VNXHSXTREUR</v>
      </c>
      <c r="C35" s="76">
        <f>VLOOKUP($A35,IDX_SPECS!$B$1:$V$200,TESTS!C$1-1,0)</f>
        <v>1477339155.1417143</v>
      </c>
      <c r="D35" s="76" t="e">
        <f>VLOOKUP($A35,IMS!$B$2:$V$89,TESTS!D$2-1,0)</f>
        <v>#N/A</v>
      </c>
      <c r="E35" t="e">
        <f t="shared" si="0"/>
        <v>#N/A</v>
      </c>
      <c r="F35" s="12">
        <f>VLOOKUP($A35,IDX_SPECS!$B$1:$V$200,TESTS!F$1-1,0)</f>
        <v>862068965517.24133</v>
      </c>
      <c r="G35" s="12" t="e">
        <f>VLOOKUP($A35,IMS!$B$2:$V$89,TESTS!G$2-1,0)</f>
        <v>#N/A</v>
      </c>
      <c r="H35" t="e">
        <f t="shared" si="1"/>
        <v>#N/A</v>
      </c>
      <c r="I35" s="79">
        <f>VLOOKUP($A35,IDX_SPECS!$B$1:$V$200,TESTS!I$1-1,0)</f>
        <v>1985.5796213796684</v>
      </c>
      <c r="J35" s="79" t="e">
        <f>VLOOKUP($A35,IMS!$B$2:$V$89,TESTS!J$2-1,0)</f>
        <v>#N/A</v>
      </c>
      <c r="K35" t="e">
        <f t="shared" si="2"/>
        <v>#N/A</v>
      </c>
      <c r="L35" s="79">
        <f>VLOOKUP($A35,IDX_SPECS!$B$1:$W$200,TESTS!L$1-1,0)</f>
        <v>1943.595</v>
      </c>
      <c r="M35" s="79" t="e">
        <f>VLOOKUP($A35,IMS!$B$2:$AC$89,TESTS!M$2-1,0)</f>
        <v>#N/A</v>
      </c>
      <c r="N35" t="e">
        <f t="shared" si="3"/>
        <v>#N/A</v>
      </c>
      <c r="O35" s="76">
        <f>VLOOKUP($A35,IDX_SPECS!$B$1:$V$200,TESTS!O$1-1,0)</f>
        <v>29810.68</v>
      </c>
      <c r="P35" s="76" t="e">
        <f>VLOOKUP($A35,IMS!$B$2:$V$89,TESTS!P$2-1,0)</f>
        <v>#N/A</v>
      </c>
      <c r="Q35" s="76" t="e">
        <f t="shared" si="4"/>
        <v>#N/A</v>
      </c>
      <c r="R35" s="79">
        <f>VLOOKUP($A35,IDX_SPECS!$B$1:$Y$89,TESTS!R$1-1,0)</f>
        <v>2.1601527776964025</v>
      </c>
      <c r="S35" s="12" t="e">
        <f>VLOOKUP($A35,IMS!$B$2:$AC$89,TESTS!S$2-1,0)</f>
        <v>#N/A</v>
      </c>
      <c r="T35" s="8" t="e">
        <f t="shared" si="5"/>
        <v>#N/A</v>
      </c>
    </row>
    <row r="36" spans="1:20" x14ac:dyDescent="0.2">
      <c r="A36" t="str">
        <f>IF(ISTEXT(IDX_SPECS!B34),IDX_SPECS!B34,"")</f>
        <v>VNXHNXPRVND</v>
      </c>
      <c r="C36" s="76">
        <f>VLOOKUP($A36,IDX_SPECS!$B$1:$V$200,TESTS!C$1-1,0)</f>
        <v>8168944913000</v>
      </c>
      <c r="D36" s="76" t="e">
        <f>VLOOKUP($A36,IMS!$B$2:$V$89,TESTS!D$2-1,0)</f>
        <v>#N/A</v>
      </c>
      <c r="E36" t="e">
        <f t="shared" si="0"/>
        <v>#N/A</v>
      </c>
      <c r="F36" s="12">
        <f>VLOOKUP($A36,IDX_SPECS!$B$1:$V$200,TESTS!F$1-1,0)</f>
        <v>8000000000000</v>
      </c>
      <c r="G36" s="12" t="e">
        <f>VLOOKUP($A36,IMS!$B$2:$V$89,TESTS!G$2-1,0)</f>
        <v>#N/A</v>
      </c>
      <c r="H36" t="e">
        <f t="shared" si="1"/>
        <v>#N/A</v>
      </c>
      <c r="I36" s="79">
        <f>VLOOKUP($A36,IDX_SPECS!$B$1:$V$200,TESTS!I$1-1,0)</f>
        <v>1021.118114125</v>
      </c>
      <c r="J36" s="79" t="e">
        <f>VLOOKUP($A36,IMS!$B$2:$V$89,TESTS!J$2-1,0)</f>
        <v>#N/A</v>
      </c>
      <c r="K36" t="e">
        <f t="shared" si="2"/>
        <v>#N/A</v>
      </c>
      <c r="L36" s="79">
        <f>VLOOKUP($A36,IDX_SPECS!$B$1:$W$200,TESTS!L$1-1,0)</f>
        <v>1031.442</v>
      </c>
      <c r="M36" s="79" t="e">
        <f>VLOOKUP($A36,IMS!$B$2:$AC$89,TESTS!M$2-1,0)</f>
        <v>#N/A</v>
      </c>
      <c r="N36" t="e">
        <f t="shared" si="3"/>
        <v>#N/A</v>
      </c>
      <c r="O36" s="76">
        <f>VLOOKUP($A36,IDX_SPECS!$B$1:$V$200,TESTS!O$1-1,0)</f>
        <v>1</v>
      </c>
      <c r="P36" s="76" t="e">
        <f>VLOOKUP($A36,IMS!$B$2:$V$89,TESTS!P$2-1,0)</f>
        <v>#N/A</v>
      </c>
      <c r="Q36" s="76" t="e">
        <f t="shared" si="4"/>
        <v>#N/A</v>
      </c>
      <c r="R36" s="79">
        <f>VLOOKUP($A36,IDX_SPECS!$B$1:$Y$89,TESTS!R$1-1,0)</f>
        <v>-1.0009177321652574</v>
      </c>
      <c r="S36" s="12" t="e">
        <f>VLOOKUP($A36,IMS!$B$2:$AC$89,TESTS!S$2-1,0)</f>
        <v>#N/A</v>
      </c>
      <c r="T36" s="8" t="e">
        <f t="shared" si="5"/>
        <v>#N/A</v>
      </c>
    </row>
    <row r="37" spans="1:20" x14ac:dyDescent="0.2">
      <c r="A37" t="str">
        <f>IF(ISTEXT(IDX_SPECS!B35),IDX_SPECS!B35,"")</f>
        <v>VNXHNXPRUSD</v>
      </c>
      <c r="C37" s="76">
        <f>VLOOKUP($A37,IDX_SPECS!$B$1:$V$200,TESTS!C$1-1,0)</f>
        <v>373181585.79259938</v>
      </c>
      <c r="D37" s="76" t="e">
        <f>VLOOKUP($A37,IMS!$B$2:$V$89,TESTS!D$2-1,0)</f>
        <v>#N/A</v>
      </c>
      <c r="E37" t="e">
        <f t="shared" si="0"/>
        <v>#N/A</v>
      </c>
      <c r="F37" s="12">
        <f>VLOOKUP($A37,IDX_SPECS!$B$1:$V$200,TESTS!F$1-1,0)</f>
        <v>380952380.95238096</v>
      </c>
      <c r="G37" s="12" t="e">
        <f>VLOOKUP($A37,IMS!$B$2:$V$89,TESTS!G$2-1,0)</f>
        <v>#N/A</v>
      </c>
      <c r="H37" t="e">
        <f t="shared" si="1"/>
        <v>#N/A</v>
      </c>
      <c r="I37" s="79">
        <f>VLOOKUP($A37,IDX_SPECS!$B$1:$V$200,TESTS!I$1-1,0)</f>
        <v>979.60166270557329</v>
      </c>
      <c r="J37" s="79" t="e">
        <f>VLOOKUP($A37,IMS!$B$2:$V$89,TESTS!J$2-1,0)</f>
        <v>#N/A</v>
      </c>
      <c r="K37" t="e">
        <f t="shared" si="2"/>
        <v>#N/A</v>
      </c>
      <c r="L37" s="79">
        <f>VLOOKUP($A37,IDX_SPECS!$B$1:$W$200,TESTS!L$1-1,0)</f>
        <v>979.60170000000005</v>
      </c>
      <c r="M37" s="79" t="e">
        <f>VLOOKUP($A37,IMS!$B$2:$AC$89,TESTS!M$2-1,0)</f>
        <v>#N/A</v>
      </c>
      <c r="N37" t="e">
        <f t="shared" si="3"/>
        <v>#N/A</v>
      </c>
      <c r="O37" s="76">
        <f>VLOOKUP($A37,IDX_SPECS!$B$1:$V$200,TESTS!O$1-1,0)</f>
        <v>21890</v>
      </c>
      <c r="P37" s="76" t="e">
        <f>VLOOKUP($A37,IMS!$B$2:$V$89,TESTS!P$2-1,0)</f>
        <v>#N/A</v>
      </c>
      <c r="Q37" s="76" t="e">
        <f t="shared" si="4"/>
        <v>#N/A</v>
      </c>
      <c r="R37" s="79">
        <f>VLOOKUP($A37,IDX_SPECS!$B$1:$Y$89,TESTS!R$1-1,0)</f>
        <v>-3.8071010657736146E-6</v>
      </c>
      <c r="S37" s="12" t="e">
        <f>VLOOKUP($A37,IMS!$B$2:$AC$89,TESTS!S$2-1,0)</f>
        <v>#N/A</v>
      </c>
      <c r="T37" s="8" t="e">
        <f t="shared" si="5"/>
        <v>#N/A</v>
      </c>
    </row>
    <row r="38" spans="1:20" x14ac:dyDescent="0.2">
      <c r="A38" t="str">
        <f>IF(ISTEXT(IDX_SPECS!B36),IDX_SPECS!B36,"")</f>
        <v>VNXHNXPRJPY</v>
      </c>
      <c r="C38" s="76">
        <f>VLOOKUP($A38,IDX_SPECS!$B$1:$V$200,TESTS!C$1-1,0)</f>
        <v>28967889762.411346</v>
      </c>
      <c r="D38" s="76" t="e">
        <f>VLOOKUP($A38,IMS!$B$2:$V$89,TESTS!D$2-1,0)</f>
        <v>#N/A</v>
      </c>
      <c r="E38" t="e">
        <f t="shared" si="0"/>
        <v>#N/A</v>
      </c>
      <c r="F38" s="12">
        <f>VLOOKUP($A38,IDX_SPECS!$B$1:$V$200,TESTS!F$1-1,0)</f>
        <v>30188679245.28302</v>
      </c>
      <c r="G38" s="12" t="e">
        <f>VLOOKUP($A38,IMS!$B$2:$V$89,TESTS!G$2-1,0)</f>
        <v>#N/A</v>
      </c>
      <c r="H38" t="e">
        <f t="shared" si="1"/>
        <v>#N/A</v>
      </c>
      <c r="I38" s="79">
        <f>VLOOKUP($A38,IDX_SPECS!$B$1:$V$200,TESTS!I$1-1,0)</f>
        <v>959.56134837987588</v>
      </c>
      <c r="J38" s="79" t="e">
        <f>VLOOKUP($A38,IMS!$B$2:$V$89,TESTS!J$2-1,0)</f>
        <v>#N/A</v>
      </c>
      <c r="K38" t="e">
        <f t="shared" si="2"/>
        <v>#N/A</v>
      </c>
      <c r="L38" s="79">
        <f>VLOOKUP($A38,IDX_SPECS!$B$1:$W$200,TESTS!L$1-1,0)</f>
        <v>911.14469999999994</v>
      </c>
      <c r="M38" s="79" t="e">
        <f>VLOOKUP($A38,IMS!$B$2:$AC$89,TESTS!M$2-1,0)</f>
        <v>#N/A</v>
      </c>
      <c r="N38" t="e">
        <f t="shared" si="3"/>
        <v>#N/A</v>
      </c>
      <c r="O38" s="76">
        <f>VLOOKUP($A38,IDX_SPECS!$B$1:$V$200,TESTS!O$1-1,0)</f>
        <v>282</v>
      </c>
      <c r="P38" s="76" t="e">
        <f>VLOOKUP($A38,IMS!$B$2:$V$89,TESTS!P$2-1,0)</f>
        <v>#N/A</v>
      </c>
      <c r="Q38" s="76" t="e">
        <f t="shared" si="4"/>
        <v>#N/A</v>
      </c>
      <c r="R38" s="79">
        <f>VLOOKUP($A38,IDX_SPECS!$B$1:$Y$89,TESTS!R$1-1,0)</f>
        <v>5.3138264844075742</v>
      </c>
      <c r="S38" s="12" t="e">
        <f>VLOOKUP($A38,IMS!$B$2:$AC$89,TESTS!S$2-1,0)</f>
        <v>#N/A</v>
      </c>
      <c r="T38" s="8" t="e">
        <f t="shared" si="5"/>
        <v>#N/A</v>
      </c>
    </row>
    <row r="39" spans="1:20" x14ac:dyDescent="0.2">
      <c r="A39" t="str">
        <f>IF(ISTEXT(IDX_SPECS!B37),IDX_SPECS!B37,"")</f>
        <v>VNXHNXPREUR</v>
      </c>
      <c r="C39" s="76">
        <f>VLOOKUP($A39,IDX_SPECS!$B$1:$V$200,TESTS!C$1-1,0)</f>
        <v>274027459.7224887</v>
      </c>
      <c r="D39" s="76" t="e">
        <f>VLOOKUP($A39,IMS!$B$2:$V$89,TESTS!D$2-1,0)</f>
        <v>#N/A</v>
      </c>
      <c r="E39" t="e">
        <f t="shared" si="0"/>
        <v>#N/A</v>
      </c>
      <c r="F39" s="12">
        <f>VLOOKUP($A39,IDX_SPECS!$B$1:$V$200,TESTS!F$1-1,0)</f>
        <v>275862068.96551722</v>
      </c>
      <c r="G39" s="12" t="e">
        <f>VLOOKUP($A39,IMS!$B$2:$V$89,TESTS!G$2-1,0)</f>
        <v>#N/A</v>
      </c>
      <c r="H39" t="e">
        <f t="shared" si="1"/>
        <v>#N/A</v>
      </c>
      <c r="I39" s="79">
        <f>VLOOKUP($A39,IDX_SPECS!$B$1:$V$200,TESTS!I$1-1,0)</f>
        <v>993.34954149402165</v>
      </c>
      <c r="J39" s="79" t="e">
        <f>VLOOKUP($A39,IMS!$B$2:$V$89,TESTS!J$2-1,0)</f>
        <v>#N/A</v>
      </c>
      <c r="K39" t="e">
        <f t="shared" si="2"/>
        <v>#N/A</v>
      </c>
      <c r="L39" s="79">
        <f>VLOOKUP($A39,IDX_SPECS!$B$1:$W$200,TESTS!L$1-1,0)</f>
        <v>972.74450000000002</v>
      </c>
      <c r="M39" s="79" t="e">
        <f>VLOOKUP($A39,IMS!$B$2:$AC$89,TESTS!M$2-1,0)</f>
        <v>#N/A</v>
      </c>
      <c r="N39" t="e">
        <f t="shared" si="3"/>
        <v>#N/A</v>
      </c>
      <c r="O39" s="76">
        <f>VLOOKUP($A39,IDX_SPECS!$B$1:$V$200,TESTS!O$1-1,0)</f>
        <v>29810.68</v>
      </c>
      <c r="P39" s="76" t="e">
        <f>VLOOKUP($A39,IMS!$B$2:$V$89,TESTS!P$2-1,0)</f>
        <v>#N/A</v>
      </c>
      <c r="Q39" s="76" t="e">
        <f t="shared" si="4"/>
        <v>#N/A</v>
      </c>
      <c r="R39" s="79">
        <f>VLOOKUP($A39,IDX_SPECS!$B$1:$Y$89,TESTS!R$1-1,0)</f>
        <v>2.118237779192957</v>
      </c>
      <c r="S39" s="12" t="e">
        <f>VLOOKUP($A39,IMS!$B$2:$AC$89,TESTS!S$2-1,0)</f>
        <v>#N/A</v>
      </c>
      <c r="T39" s="8" t="e">
        <f t="shared" si="5"/>
        <v>#N/A</v>
      </c>
    </row>
    <row r="40" spans="1:20" x14ac:dyDescent="0.2">
      <c r="A40" t="str">
        <f>IF(ISTEXT(IDX_SPECS!B38),IDX_SPECS!B38,"")</f>
        <v>VNXHNXTRVND</v>
      </c>
      <c r="C40" s="76">
        <f>VLOOKUP($A40,IDX_SPECS!$B$1:$V$200,TESTS!C$1-1,0)</f>
        <v>8168944913000</v>
      </c>
      <c r="D40" s="76" t="e">
        <f>VLOOKUP($A40,IMS!$B$2:$V$89,TESTS!D$2-1,0)</f>
        <v>#N/A</v>
      </c>
      <c r="E40" t="e">
        <f t="shared" si="0"/>
        <v>#N/A</v>
      </c>
      <c r="F40" s="12">
        <f>VLOOKUP($A40,IDX_SPECS!$B$1:$V$200,TESTS!F$1-1,0)</f>
        <v>8000000000000</v>
      </c>
      <c r="G40" s="12" t="e">
        <f>VLOOKUP($A40,IMS!$B$2:$V$89,TESTS!G$2-1,0)</f>
        <v>#N/A</v>
      </c>
      <c r="H40" t="e">
        <f t="shared" si="1"/>
        <v>#N/A</v>
      </c>
      <c r="I40" s="79">
        <f>VLOOKUP($A40,IDX_SPECS!$B$1:$V$200,TESTS!I$1-1,0)</f>
        <v>1118.0212727002502</v>
      </c>
      <c r="J40" s="79" t="e">
        <f>VLOOKUP($A40,IMS!$B$2:$V$89,TESTS!J$2-1,0)</f>
        <v>#N/A</v>
      </c>
      <c r="K40" t="e">
        <f t="shared" si="2"/>
        <v>#N/A</v>
      </c>
      <c r="L40" s="79">
        <f>VLOOKUP($A40,IDX_SPECS!$B$1:$W$200,TESTS!L$1-1,0)</f>
        <v>1119.4839999999999</v>
      </c>
      <c r="M40" s="79" t="e">
        <f>VLOOKUP($A40,IMS!$B$2:$AC$89,TESTS!M$2-1,0)</f>
        <v>#N/A</v>
      </c>
      <c r="N40" t="e">
        <f t="shared" si="3"/>
        <v>#N/A</v>
      </c>
      <c r="O40" s="76">
        <f>VLOOKUP($A40,IDX_SPECS!$B$1:$V$200,TESTS!O$1-1,0)</f>
        <v>1</v>
      </c>
      <c r="P40" s="76" t="e">
        <f>VLOOKUP($A40,IMS!$B$2:$V$89,TESTS!P$2-1,0)</f>
        <v>#N/A</v>
      </c>
      <c r="Q40" s="76" t="e">
        <f t="shared" si="4"/>
        <v>#N/A</v>
      </c>
      <c r="R40" s="79">
        <f>VLOOKUP($A40,IDX_SPECS!$B$1:$Y$89,TESTS!R$1-1,0)</f>
        <v>-0.13066084908312747</v>
      </c>
      <c r="S40" s="12" t="e">
        <f>VLOOKUP($A40,IMS!$B$2:$AC$89,TESTS!S$2-1,0)</f>
        <v>#N/A</v>
      </c>
      <c r="T40" s="8" t="e">
        <f t="shared" si="5"/>
        <v>#N/A</v>
      </c>
    </row>
    <row r="41" spans="1:20" x14ac:dyDescent="0.2">
      <c r="A41" t="str">
        <f>IF(ISTEXT(IDX_SPECS!B39),IDX_SPECS!B39,"")</f>
        <v>VNXHNXTRUSD</v>
      </c>
      <c r="C41" s="76">
        <f>VLOOKUP($A41,IDX_SPECS!$B$1:$V$200,TESTS!C$1-1,0)</f>
        <v>373181585.79259938</v>
      </c>
      <c r="D41" s="76" t="e">
        <f>VLOOKUP($A41,IMS!$B$2:$V$89,TESTS!D$2-1,0)</f>
        <v>#N/A</v>
      </c>
      <c r="E41" t="e">
        <f t="shared" si="0"/>
        <v>#N/A</v>
      </c>
      <c r="F41" s="12">
        <f>VLOOKUP($A41,IDX_SPECS!$B$1:$V$200,TESTS!F$1-1,0)</f>
        <v>380952380952.38098</v>
      </c>
      <c r="G41" s="12" t="e">
        <f>VLOOKUP($A41,IMS!$B$2:$V$89,TESTS!G$2-1,0)</f>
        <v>#N/A</v>
      </c>
      <c r="H41" t="e">
        <f t="shared" si="1"/>
        <v>#N/A</v>
      </c>
      <c r="I41" s="79">
        <f>VLOOKUP($A41,IDX_SPECS!$B$1:$V$200,TESTS!I$1-1,0)</f>
        <v>1010.0718405599533</v>
      </c>
      <c r="J41" s="79" t="e">
        <f>VLOOKUP($A41,IMS!$B$2:$V$89,TESTS!J$2-1,0)</f>
        <v>#N/A</v>
      </c>
      <c r="K41" t="e">
        <f t="shared" si="2"/>
        <v>#N/A</v>
      </c>
      <c r="L41" s="79">
        <f>VLOOKUP($A41,IDX_SPECS!$B$1:$W$200,TESTS!L$1-1,0)</f>
        <v>1010.063</v>
      </c>
      <c r="M41" s="79" t="e">
        <f>VLOOKUP($A41,IMS!$B$2:$AC$89,TESTS!M$2-1,0)</f>
        <v>#N/A</v>
      </c>
      <c r="N41" t="e">
        <f t="shared" si="3"/>
        <v>#N/A</v>
      </c>
      <c r="O41" s="76">
        <f>VLOOKUP($A41,IDX_SPECS!$B$1:$V$200,TESTS!O$1-1,0)</f>
        <v>21890</v>
      </c>
      <c r="P41" s="76" t="e">
        <f>VLOOKUP($A41,IMS!$B$2:$V$89,TESTS!P$2-1,0)</f>
        <v>#N/A</v>
      </c>
      <c r="Q41" s="76" t="e">
        <f t="shared" si="4"/>
        <v>#N/A</v>
      </c>
      <c r="R41" s="79">
        <f>VLOOKUP($A41,IDX_SPECS!$B$1:$Y$89,TESTS!R$1-1,0)</f>
        <v>8.7524837097702364E-4</v>
      </c>
      <c r="S41" s="12" t="e">
        <f>VLOOKUP($A41,IMS!$B$2:$AC$89,TESTS!S$2-1,0)</f>
        <v>#N/A</v>
      </c>
      <c r="T41" s="8" t="e">
        <f t="shared" si="5"/>
        <v>#N/A</v>
      </c>
    </row>
    <row r="42" spans="1:20" x14ac:dyDescent="0.2">
      <c r="A42" t="str">
        <f>IF(ISTEXT(IDX_SPECS!B40),IDX_SPECS!B40,"")</f>
        <v>VNXHNXTRJPY</v>
      </c>
      <c r="C42" s="76">
        <f>VLOOKUP($A42,IDX_SPECS!$B$1:$V$200,TESTS!C$1-1,0)</f>
        <v>28967889762.411346</v>
      </c>
      <c r="D42" s="76" t="e">
        <f>VLOOKUP($A42,IMS!$B$2:$V$89,TESTS!D$2-1,0)</f>
        <v>#N/A</v>
      </c>
      <c r="E42" t="e">
        <f t="shared" si="0"/>
        <v>#N/A</v>
      </c>
      <c r="F42" s="12">
        <f>VLOOKUP($A42,IDX_SPECS!$B$1:$V$200,TESTS!F$1-1,0)</f>
        <v>30188679245.28302</v>
      </c>
      <c r="G42" s="12" t="e">
        <f>VLOOKUP($A42,IMS!$B$2:$V$89,TESTS!G$2-1,0)</f>
        <v>#N/A</v>
      </c>
      <c r="H42" t="e">
        <f t="shared" si="1"/>
        <v>#N/A</v>
      </c>
      <c r="I42" s="79">
        <f>VLOOKUP($A42,IDX_SPECS!$B$1:$V$200,TESTS!I$1-1,0)</f>
        <v>1058.8598561126505</v>
      </c>
      <c r="J42" s="79" t="e">
        <f>VLOOKUP($A42,IMS!$B$2:$V$89,TESTS!J$2-1,0)</f>
        <v>#N/A</v>
      </c>
      <c r="K42" t="e">
        <f t="shared" si="2"/>
        <v>#N/A</v>
      </c>
      <c r="L42" s="79">
        <f>VLOOKUP($A42,IDX_SPECS!$B$1:$W$200,TESTS!L$1-1,0)</f>
        <v>996.67160000000001</v>
      </c>
      <c r="M42" s="79" t="e">
        <f>VLOOKUP($A42,IMS!$B$2:$AC$89,TESTS!M$2-1,0)</f>
        <v>#N/A</v>
      </c>
      <c r="N42" t="e">
        <f t="shared" si="3"/>
        <v>#N/A</v>
      </c>
      <c r="O42" s="76">
        <f>VLOOKUP($A42,IDX_SPECS!$B$1:$V$200,TESTS!O$1-1,0)</f>
        <v>282</v>
      </c>
      <c r="P42" s="76" t="e">
        <f>VLOOKUP($A42,IMS!$B$2:$V$89,TESTS!P$2-1,0)</f>
        <v>#N/A</v>
      </c>
      <c r="Q42" s="76" t="e">
        <f t="shared" si="4"/>
        <v>#N/A</v>
      </c>
      <c r="R42" s="79">
        <f>VLOOKUP($A42,IDX_SPECS!$B$1:$Y$89,TESTS!R$1-1,0)</f>
        <v>6.2395934741845256</v>
      </c>
      <c r="S42" s="12" t="e">
        <f>VLOOKUP($A42,IMS!$B$2:$AC$89,TESTS!S$2-1,0)</f>
        <v>#N/A</v>
      </c>
      <c r="T42" s="8" t="e">
        <f t="shared" si="5"/>
        <v>#N/A</v>
      </c>
    </row>
    <row r="43" spans="1:20" x14ac:dyDescent="0.2">
      <c r="A43" t="str">
        <f>IF(ISTEXT(IDX_SPECS!B41),IDX_SPECS!B41,"")</f>
        <v>VNXHNXTREUR</v>
      </c>
      <c r="C43" s="76">
        <f>VLOOKUP($A43,IDX_SPECS!$B$1:$V$200,TESTS!C$1-1,0)</f>
        <v>274027459.7224887</v>
      </c>
      <c r="D43" s="76" t="e">
        <f>VLOOKUP($A43,IMS!$B$2:$V$89,TESTS!D$2-1,0)</f>
        <v>#N/A</v>
      </c>
      <c r="E43" t="e">
        <f t="shared" si="0"/>
        <v>#N/A</v>
      </c>
      <c r="F43" s="12">
        <f>VLOOKUP($A43,IDX_SPECS!$B$1:$V$200,TESTS!F$1-1,0)</f>
        <v>275862068965.51721</v>
      </c>
      <c r="G43" s="12" t="e">
        <f>VLOOKUP($A43,IMS!$B$2:$V$89,TESTS!G$2-1,0)</f>
        <v>#N/A</v>
      </c>
      <c r="H43" t="e">
        <f t="shared" si="1"/>
        <v>#N/A</v>
      </c>
      <c r="I43" s="79">
        <f>VLOOKUP($A43,IDX_SPECS!$B$1:$V$200,TESTS!I$1-1,0)</f>
        <v>1149.8696347562116</v>
      </c>
      <c r="J43" s="79" t="e">
        <f>VLOOKUP($A43,IMS!$B$2:$V$89,TESTS!J$2-1,0)</f>
        <v>#N/A</v>
      </c>
      <c r="K43" t="e">
        <f t="shared" si="2"/>
        <v>#N/A</v>
      </c>
      <c r="L43" s="79">
        <f>VLOOKUP($A43,IDX_SPECS!$B$1:$W$200,TESTS!L$1-1,0)</f>
        <v>1126.008</v>
      </c>
      <c r="M43" s="79" t="e">
        <f>VLOOKUP($A43,IMS!$B$2:$AC$89,TESTS!M$2-1,0)</f>
        <v>#N/A</v>
      </c>
      <c r="N43" t="e">
        <f t="shared" si="3"/>
        <v>#N/A</v>
      </c>
      <c r="O43" s="76">
        <f>VLOOKUP($A43,IDX_SPECS!$B$1:$V$200,TESTS!O$1-1,0)</f>
        <v>29810.68</v>
      </c>
      <c r="P43" s="76" t="e">
        <f>VLOOKUP($A43,IMS!$B$2:$V$89,TESTS!P$2-1,0)</f>
        <v>#N/A</v>
      </c>
      <c r="Q43" s="76" t="e">
        <f t="shared" si="4"/>
        <v>#N/A</v>
      </c>
      <c r="R43" s="79">
        <f>VLOOKUP($A43,IDX_SPECS!$B$1:$Y$89,TESTS!R$1-1,0)</f>
        <v>2.1191354551842894</v>
      </c>
      <c r="S43" s="12" t="e">
        <f>VLOOKUP($A43,IMS!$B$2:$AC$89,TESTS!S$2-1,0)</f>
        <v>#N/A</v>
      </c>
      <c r="T43" s="8" t="e">
        <f t="shared" si="5"/>
        <v>#N/A</v>
      </c>
    </row>
    <row r="44" spans="1:20" x14ac:dyDescent="0.2">
      <c r="A44" t="str">
        <f>IF(ISTEXT(IDX_SPECS!B42),IDX_SPECS!B42,"")</f>
        <v>VNXBMPRVND</v>
      </c>
      <c r="C44" s="76">
        <f>VLOOKUP($A44,IDX_SPECS!$B$1:$V$200,TESTS!C$1-1,0)</f>
        <v>14803791408000</v>
      </c>
      <c r="D44" s="76" t="e">
        <f>VLOOKUP($A44,IMS!$B$2:$V$89,TESTS!D$2-1,0)</f>
        <v>#N/A</v>
      </c>
      <c r="E44" t="e">
        <f t="shared" si="0"/>
        <v>#N/A</v>
      </c>
      <c r="F44" s="12">
        <f>VLOOKUP($A44,IDX_SPECS!$B$1:$V$200,TESTS!F$1-1,0)</f>
        <v>10000000000000</v>
      </c>
      <c r="G44" s="12" t="e">
        <f>VLOOKUP($A44,IMS!$B$2:$V$89,TESTS!G$2-1,0)</f>
        <v>#N/A</v>
      </c>
      <c r="H44" t="e">
        <f t="shared" si="1"/>
        <v>#N/A</v>
      </c>
      <c r="I44" s="79">
        <f>VLOOKUP($A44,IDX_SPECS!$B$1:$V$200,TESTS!I$1-1,0)</f>
        <v>1480.3791408</v>
      </c>
      <c r="J44" s="79" t="e">
        <f>VLOOKUP($A44,IMS!$B$2:$V$89,TESTS!J$2-1,0)</f>
        <v>#N/A</v>
      </c>
      <c r="K44" t="e">
        <f t="shared" si="2"/>
        <v>#N/A</v>
      </c>
      <c r="L44" s="79">
        <f>VLOOKUP($A44,IDX_SPECS!$B$1:$W$200,TESTS!L$1-1,0)</f>
        <v>1558.712</v>
      </c>
      <c r="M44" s="79" t="e">
        <f>VLOOKUP($A44,IMS!$B$2:$AC$89,TESTS!M$2-1,0)</f>
        <v>#N/A</v>
      </c>
      <c r="N44" t="e">
        <f t="shared" si="3"/>
        <v>#N/A</v>
      </c>
      <c r="O44" s="76">
        <f>VLOOKUP($A44,IDX_SPECS!$B$1:$V$200,TESTS!O$1-1,0)</f>
        <v>1</v>
      </c>
      <c r="P44" s="76" t="e">
        <f>VLOOKUP($A44,IMS!$B$2:$V$89,TESTS!P$2-1,0)</f>
        <v>#N/A</v>
      </c>
      <c r="Q44" s="76" t="e">
        <f t="shared" si="4"/>
        <v>#N/A</v>
      </c>
      <c r="R44" s="79">
        <f>VLOOKUP($A44,IDX_SPECS!$B$1:$Y$89,TESTS!R$1-1,0)</f>
        <v>-5.0254863759308988</v>
      </c>
      <c r="S44" s="12" t="e">
        <f>VLOOKUP($A44,IMS!$B$2:$AC$89,TESTS!S$2-1,0)</f>
        <v>#N/A</v>
      </c>
      <c r="T44" s="8" t="e">
        <f t="shared" si="5"/>
        <v>#N/A</v>
      </c>
    </row>
    <row r="45" spans="1:20" x14ac:dyDescent="0.2">
      <c r="A45" t="str">
        <f>IF(ISTEXT(IDX_SPECS!B43),IDX_SPECS!B43,"")</f>
        <v>VNXBMPRUSD</v>
      </c>
      <c r="C45" s="76">
        <f>VLOOKUP($A45,IDX_SPECS!$B$1:$V$200,TESTS!C$1-1,0)</f>
        <v>676281014.52718139</v>
      </c>
      <c r="D45" s="76" t="e">
        <f>VLOOKUP($A45,IMS!$B$2:$V$89,TESTS!D$2-1,0)</f>
        <v>#N/A</v>
      </c>
      <c r="E45" t="e">
        <f t="shared" si="0"/>
        <v>#N/A</v>
      </c>
      <c r="F45" s="12">
        <f>VLOOKUP($A45,IDX_SPECS!$B$1:$V$200,TESTS!F$1-1,0)</f>
        <v>476190476.19047618</v>
      </c>
      <c r="G45" s="12" t="e">
        <f>VLOOKUP($A45,IMS!$B$2:$V$89,TESTS!G$2-1,0)</f>
        <v>#N/A</v>
      </c>
      <c r="H45" t="e">
        <f t="shared" si="1"/>
        <v>#N/A</v>
      </c>
      <c r="I45" s="79">
        <f>VLOOKUP($A45,IDX_SPECS!$B$1:$V$200,TESTS!I$1-1,0)</f>
        <v>1420.190130507081</v>
      </c>
      <c r="J45" s="79" t="e">
        <f>VLOOKUP($A45,IMS!$B$2:$V$89,TESTS!J$2-1,0)</f>
        <v>#N/A</v>
      </c>
      <c r="K45" t="e">
        <f t="shared" si="2"/>
        <v>#N/A</v>
      </c>
      <c r="L45" s="79">
        <f>VLOOKUP($A45,IDX_SPECS!$B$1:$W$200,TESTS!L$1-1,0)</f>
        <v>1362.596</v>
      </c>
      <c r="M45" s="79" t="e">
        <f>VLOOKUP($A45,IMS!$B$2:$AC$89,TESTS!M$2-1,0)</f>
        <v>#N/A</v>
      </c>
      <c r="N45" t="e">
        <f t="shared" si="3"/>
        <v>#N/A</v>
      </c>
      <c r="O45" s="76">
        <f>VLOOKUP($A45,IDX_SPECS!$B$1:$V$200,TESTS!O$1-1,0)</f>
        <v>21890</v>
      </c>
      <c r="P45" s="76" t="e">
        <f>VLOOKUP($A45,IMS!$B$2:$V$89,TESTS!P$2-1,0)</f>
        <v>#N/A</v>
      </c>
      <c r="Q45" s="76" t="e">
        <f t="shared" si="4"/>
        <v>#N/A</v>
      </c>
      <c r="R45" s="79">
        <f>VLOOKUP($A45,IDX_SPECS!$B$1:$Y$89,TESTS!R$1-1,0)</f>
        <v>4.2267943328089173</v>
      </c>
      <c r="S45" s="12" t="e">
        <f>VLOOKUP($A45,IMS!$B$2:$AC$89,TESTS!S$2-1,0)</f>
        <v>#N/A</v>
      </c>
      <c r="T45" s="8" t="e">
        <f t="shared" si="5"/>
        <v>#N/A</v>
      </c>
    </row>
    <row r="46" spans="1:20" x14ac:dyDescent="0.2">
      <c r="A46" t="str">
        <f>IF(ISTEXT(IDX_SPECS!B44),IDX_SPECS!B44,"")</f>
        <v>VNXBMPRJPY</v>
      </c>
      <c r="C46" s="76">
        <f>VLOOKUP($A46,IDX_SPECS!$B$1:$V$200,TESTS!C$1-1,0)</f>
        <v>52495714212.765961</v>
      </c>
      <c r="D46" s="76" t="e">
        <f>VLOOKUP($A46,IMS!$B$2:$V$89,TESTS!D$2-1,0)</f>
        <v>#N/A</v>
      </c>
      <c r="E46" t="e">
        <f t="shared" si="0"/>
        <v>#N/A</v>
      </c>
      <c r="F46" s="12">
        <f>VLOOKUP($A46,IDX_SPECS!$B$1:$V$200,TESTS!F$1-1,0)</f>
        <v>37735849056.603775</v>
      </c>
      <c r="G46" s="12" t="e">
        <f>VLOOKUP($A46,IMS!$B$2:$V$89,TESTS!G$2-1,0)</f>
        <v>#N/A</v>
      </c>
      <c r="H46" t="e">
        <f t="shared" si="1"/>
        <v>#N/A</v>
      </c>
      <c r="I46" s="79">
        <f>VLOOKUP($A46,IDX_SPECS!$B$1:$V$200,TESTS!I$1-1,0)</f>
        <v>1391.136426638298</v>
      </c>
      <c r="J46" s="79" t="e">
        <f>VLOOKUP($A46,IMS!$B$2:$V$89,TESTS!J$2-1,0)</f>
        <v>#N/A</v>
      </c>
      <c r="K46" t="e">
        <f t="shared" si="2"/>
        <v>#N/A</v>
      </c>
      <c r="L46" s="79">
        <f>VLOOKUP($A46,IDX_SPECS!$B$1:$W$200,TESTS!L$1-1,0)</f>
        <v>1421.2529999999999</v>
      </c>
      <c r="M46" s="79" t="e">
        <f>VLOOKUP($A46,IMS!$B$2:$AC$89,TESTS!M$2-1,0)</f>
        <v>#N/A</v>
      </c>
      <c r="N46" t="e">
        <f t="shared" si="3"/>
        <v>#N/A</v>
      </c>
      <c r="O46" s="76">
        <f>VLOOKUP($A46,IDX_SPECS!$B$1:$V$200,TESTS!O$1-1,0)</f>
        <v>282</v>
      </c>
      <c r="P46" s="76" t="e">
        <f>VLOOKUP($A46,IMS!$B$2:$V$89,TESTS!P$2-1,0)</f>
        <v>#N/A</v>
      </c>
      <c r="Q46" s="76" t="e">
        <f t="shared" si="4"/>
        <v>#N/A</v>
      </c>
      <c r="R46" s="79">
        <f>VLOOKUP($A46,IDX_SPECS!$B$1:$Y$89,TESTS!R$1-1,0)</f>
        <v>-2.119015640544081</v>
      </c>
      <c r="S46" s="12" t="e">
        <f>VLOOKUP($A46,IMS!$B$2:$AC$89,TESTS!S$2-1,0)</f>
        <v>#N/A</v>
      </c>
      <c r="T46" s="8" t="e">
        <f t="shared" si="5"/>
        <v>#N/A</v>
      </c>
    </row>
    <row r="47" spans="1:20" x14ac:dyDescent="0.2">
      <c r="A47" t="str">
        <f>IF(ISTEXT(IDX_SPECS!B45),IDX_SPECS!B45,"")</f>
        <v>VNXBMPREUR</v>
      </c>
      <c r="C47" s="76">
        <f>VLOOKUP($A47,IDX_SPECS!$B$1:$V$200,TESTS!C$1-1,0)</f>
        <v>496593549.96263081</v>
      </c>
      <c r="D47" s="76" t="e">
        <f>VLOOKUP($A47,IMS!$B$2:$V$89,TESTS!D$2-1,0)</f>
        <v>#N/A</v>
      </c>
      <c r="E47" t="e">
        <f t="shared" si="0"/>
        <v>#N/A</v>
      </c>
      <c r="F47" s="12">
        <f>VLOOKUP($A47,IDX_SPECS!$B$1:$V$200,TESTS!F$1-1,0)</f>
        <v>344827586.20689654</v>
      </c>
      <c r="G47" s="12" t="e">
        <f>VLOOKUP($A47,IMS!$B$2:$V$89,TESTS!G$2-1,0)</f>
        <v>#N/A</v>
      </c>
      <c r="H47" t="e">
        <f t="shared" si="1"/>
        <v>#N/A</v>
      </c>
      <c r="I47" s="79">
        <f>VLOOKUP($A47,IDX_SPECS!$B$1:$V$200,TESTS!I$1-1,0)</f>
        <v>1440.1212948916293</v>
      </c>
      <c r="J47" s="79" t="e">
        <f>VLOOKUP($A47,IMS!$B$2:$V$89,TESTS!J$2-1,0)</f>
        <v>#N/A</v>
      </c>
      <c r="K47" t="e">
        <f t="shared" si="2"/>
        <v>#N/A</v>
      </c>
      <c r="L47" s="79">
        <f>VLOOKUP($A47,IDX_SPECS!$B$1:$W$200,TESTS!L$1-1,0)</f>
        <v>1523.53</v>
      </c>
      <c r="M47" s="79" t="e">
        <f>VLOOKUP($A47,IMS!$B$2:$AC$89,TESTS!M$2-1,0)</f>
        <v>#N/A</v>
      </c>
      <c r="N47" t="e">
        <f t="shared" si="3"/>
        <v>#N/A</v>
      </c>
      <c r="O47" s="76">
        <f>VLOOKUP($A47,IDX_SPECS!$B$1:$V$200,TESTS!O$1-1,0)</f>
        <v>29810.68</v>
      </c>
      <c r="P47" s="76" t="e">
        <f>VLOOKUP($A47,IMS!$B$2:$V$89,TESTS!P$2-1,0)</f>
        <v>#N/A</v>
      </c>
      <c r="Q47" s="76" t="e">
        <f t="shared" si="4"/>
        <v>#N/A</v>
      </c>
      <c r="R47" s="79">
        <f>VLOOKUP($A47,IDX_SPECS!$B$1:$Y$89,TESTS!R$1-1,0)</f>
        <v>-5.4747005381167861</v>
      </c>
      <c r="S47" s="12" t="e">
        <f>VLOOKUP($A47,IMS!$B$2:$AC$89,TESTS!S$2-1,0)</f>
        <v>#N/A</v>
      </c>
      <c r="T47" s="8" t="e">
        <f t="shared" si="5"/>
        <v>#N/A</v>
      </c>
    </row>
    <row r="48" spans="1:20" x14ac:dyDescent="0.2">
      <c r="A48" t="str">
        <f>IF(ISTEXT(IDX_SPECS!B46),IDX_SPECS!B46,"")</f>
        <v>VNXCSPRVND</v>
      </c>
      <c r="C48" s="76">
        <f>VLOOKUP($A48,IDX_SPECS!$B$1:$V$200,TESTS!C$1-1,0)</f>
        <v>788158560000</v>
      </c>
      <c r="D48" s="76" t="e">
        <f>VLOOKUP($A48,IMS!$B$2:$V$89,TESTS!D$2-1,0)</f>
        <v>#N/A</v>
      </c>
      <c r="E48" t="e">
        <f t="shared" si="0"/>
        <v>#N/A</v>
      </c>
      <c r="F48" s="12">
        <f>VLOOKUP($A48,IDX_SPECS!$B$1:$V$200,TESTS!F$1-1,0)</f>
        <v>10000000000000</v>
      </c>
      <c r="G48" s="12" t="e">
        <f>VLOOKUP($A48,IMS!$B$2:$V$89,TESTS!G$2-1,0)</f>
        <v>#N/A</v>
      </c>
      <c r="H48" t="e">
        <f t="shared" si="1"/>
        <v>#N/A</v>
      </c>
      <c r="I48" s="79">
        <f>VLOOKUP($A48,IDX_SPECS!$B$1:$V$200,TESTS!I$1-1,0)</f>
        <v>78.815855999999997</v>
      </c>
      <c r="J48" s="79" t="e">
        <f>VLOOKUP($A48,IMS!$B$2:$V$89,TESTS!J$2-1,0)</f>
        <v>#N/A</v>
      </c>
      <c r="K48" t="e">
        <f t="shared" si="2"/>
        <v>#N/A</v>
      </c>
      <c r="L48" s="79">
        <f>VLOOKUP($A48,IDX_SPECS!$B$1:$W$200,TESTS!L$1-1,0)</f>
        <v>80.584429999999998</v>
      </c>
      <c r="M48" s="79" t="e">
        <f>VLOOKUP($A48,IMS!$B$2:$AC$89,TESTS!M$2-1,0)</f>
        <v>#N/A</v>
      </c>
      <c r="N48" t="e">
        <f t="shared" si="3"/>
        <v>#N/A</v>
      </c>
      <c r="O48" s="76">
        <f>VLOOKUP($A48,IDX_SPECS!$B$1:$V$200,TESTS!O$1-1,0)</f>
        <v>1</v>
      </c>
      <c r="P48" s="76" t="e">
        <f>VLOOKUP($A48,IMS!$B$2:$V$89,TESTS!P$2-1,0)</f>
        <v>#N/A</v>
      </c>
      <c r="Q48" s="76" t="e">
        <f t="shared" si="4"/>
        <v>#N/A</v>
      </c>
      <c r="R48" s="79">
        <f>VLOOKUP($A48,IDX_SPECS!$B$1:$Y$89,TESTS!R$1-1,0)</f>
        <v>-2.1946845066720719</v>
      </c>
      <c r="S48" s="12" t="e">
        <f>VLOOKUP($A48,IMS!$B$2:$AC$89,TESTS!S$2-1,0)</f>
        <v>#N/A</v>
      </c>
      <c r="T48" s="8" t="e">
        <f t="shared" si="5"/>
        <v>#N/A</v>
      </c>
    </row>
    <row r="49" spans="1:20" x14ac:dyDescent="0.2">
      <c r="A49" t="str">
        <f>IF(ISTEXT(IDX_SPECS!B47),IDX_SPECS!B47,"")</f>
        <v>VNXCSPRUSD</v>
      </c>
      <c r="C49" s="76">
        <f>VLOOKUP($A49,IDX_SPECS!$B$1:$V$200,TESTS!C$1-1,0)</f>
        <v>36005416.171767928</v>
      </c>
      <c r="D49" s="76" t="e">
        <f>VLOOKUP($A49,IMS!$B$2:$V$89,TESTS!D$2-1,0)</f>
        <v>#N/A</v>
      </c>
      <c r="E49" t="e">
        <f t="shared" si="0"/>
        <v>#N/A</v>
      </c>
      <c r="F49" s="12">
        <f>VLOOKUP($A49,IDX_SPECS!$B$1:$V$200,TESTS!F$1-1,0)</f>
        <v>476190476.19047618</v>
      </c>
      <c r="G49" s="12" t="e">
        <f>VLOOKUP($A49,IMS!$B$2:$V$89,TESTS!G$2-1,0)</f>
        <v>#N/A</v>
      </c>
      <c r="H49" t="e">
        <f t="shared" si="1"/>
        <v>#N/A</v>
      </c>
      <c r="I49" s="79">
        <f>VLOOKUP($A49,IDX_SPECS!$B$1:$V$200,TESTS!I$1-1,0)</f>
        <v>75.611373960712655</v>
      </c>
      <c r="J49" s="79" t="e">
        <f>VLOOKUP($A49,IMS!$B$2:$V$89,TESTS!J$2-1,0)</f>
        <v>#N/A</v>
      </c>
      <c r="K49" t="e">
        <f t="shared" si="2"/>
        <v>#N/A</v>
      </c>
      <c r="L49" s="79">
        <f>VLOOKUP($A49,IDX_SPECS!$B$1:$W$200,TESTS!L$1-1,0)</f>
        <v>75.611369999999994</v>
      </c>
      <c r="M49" s="79" t="e">
        <f>VLOOKUP($A49,IMS!$B$2:$AC$89,TESTS!M$2-1,0)</f>
        <v>#N/A</v>
      </c>
      <c r="N49" t="e">
        <f t="shared" si="3"/>
        <v>#N/A</v>
      </c>
      <c r="O49" s="76">
        <f>VLOOKUP($A49,IDX_SPECS!$B$1:$V$200,TESTS!O$1-1,0)</f>
        <v>21890</v>
      </c>
      <c r="P49" s="76" t="e">
        <f>VLOOKUP($A49,IMS!$B$2:$V$89,TESTS!P$2-1,0)</f>
        <v>#N/A</v>
      </c>
      <c r="Q49" s="76" t="e">
        <f t="shared" si="4"/>
        <v>#N/A</v>
      </c>
      <c r="R49" s="79">
        <f>VLOOKUP($A49,IDX_SPECS!$B$1:$Y$89,TESTS!R$1-1,0)</f>
        <v>5.2382500951316232E-6</v>
      </c>
      <c r="S49" s="12" t="e">
        <f>VLOOKUP($A49,IMS!$B$2:$AC$89,TESTS!S$2-1,0)</f>
        <v>#N/A</v>
      </c>
      <c r="T49" s="8" t="e">
        <f t="shared" si="5"/>
        <v>#N/A</v>
      </c>
    </row>
    <row r="50" spans="1:20" x14ac:dyDescent="0.2">
      <c r="A50" t="str">
        <f>IF(ISTEXT(IDX_SPECS!B48),IDX_SPECS!B48,"")</f>
        <v>VNXCSPRJPY</v>
      </c>
      <c r="C50" s="76">
        <f>VLOOKUP($A50,IDX_SPECS!$B$1:$V$200,TESTS!C$1-1,0)</f>
        <v>2794888510.638298</v>
      </c>
      <c r="D50" s="76" t="e">
        <f>VLOOKUP($A50,IMS!$B$2:$V$89,TESTS!D$2-1,0)</f>
        <v>#N/A</v>
      </c>
      <c r="E50" t="e">
        <f t="shared" si="0"/>
        <v>#N/A</v>
      </c>
      <c r="F50" s="12">
        <f>VLOOKUP($A50,IDX_SPECS!$B$1:$V$200,TESTS!F$1-1,0)</f>
        <v>37735849056.603775</v>
      </c>
      <c r="G50" s="12" t="e">
        <f>VLOOKUP($A50,IMS!$B$2:$V$89,TESTS!G$2-1,0)</f>
        <v>#N/A</v>
      </c>
      <c r="H50" t="e">
        <f t="shared" si="1"/>
        <v>#N/A</v>
      </c>
      <c r="I50" s="79">
        <f>VLOOKUP($A50,IDX_SPECS!$B$1:$V$200,TESTS!I$1-1,0)</f>
        <v>74.064545531914888</v>
      </c>
      <c r="J50" s="79" t="e">
        <f>VLOOKUP($A50,IMS!$B$2:$V$89,TESTS!J$2-1,0)</f>
        <v>#N/A</v>
      </c>
      <c r="K50" t="e">
        <f t="shared" si="2"/>
        <v>#N/A</v>
      </c>
      <c r="L50" s="79">
        <f>VLOOKUP($A50,IDX_SPECS!$B$1:$W$200,TESTS!L$1-1,0)</f>
        <v>75.578090000000003</v>
      </c>
      <c r="M50" s="79" t="e">
        <f>VLOOKUP($A50,IMS!$B$2:$AC$89,TESTS!M$2-1,0)</f>
        <v>#N/A</v>
      </c>
      <c r="N50" t="e">
        <f t="shared" si="3"/>
        <v>#N/A</v>
      </c>
      <c r="O50" s="76">
        <f>VLOOKUP($A50,IDX_SPECS!$B$1:$V$200,TESTS!O$1-1,0)</f>
        <v>282</v>
      </c>
      <c r="P50" s="76" t="e">
        <f>VLOOKUP($A50,IMS!$B$2:$V$89,TESTS!P$2-1,0)</f>
        <v>#N/A</v>
      </c>
      <c r="Q50" s="76" t="e">
        <f t="shared" si="4"/>
        <v>#N/A</v>
      </c>
      <c r="R50" s="79">
        <f>VLOOKUP($A50,IDX_SPECS!$B$1:$Y$89,TESTS!R$1-1,0)</f>
        <v>-2.0026233371141227</v>
      </c>
      <c r="S50" s="12" t="e">
        <f>VLOOKUP($A50,IMS!$B$2:$AC$89,TESTS!S$2-1,0)</f>
        <v>#N/A</v>
      </c>
      <c r="T50" s="8" t="e">
        <f t="shared" si="5"/>
        <v>#N/A</v>
      </c>
    </row>
    <row r="51" spans="1:20" x14ac:dyDescent="0.2">
      <c r="A51" t="str">
        <f>IF(ISTEXT(IDX_SPECS!B49),IDX_SPECS!B49,"")</f>
        <v>VNXCSPREUR</v>
      </c>
      <c r="C51" s="76">
        <f>VLOOKUP($A51,IDX_SPECS!$B$1:$V$200,TESTS!C$1-1,0)</f>
        <v>26438798.44404757</v>
      </c>
      <c r="D51" s="76" t="e">
        <f>VLOOKUP($A51,IMS!$B$2:$V$89,TESTS!D$2-1,0)</f>
        <v>#N/A</v>
      </c>
      <c r="E51" t="e">
        <f t="shared" si="0"/>
        <v>#N/A</v>
      </c>
      <c r="F51" s="12">
        <f>VLOOKUP($A51,IDX_SPECS!$B$1:$V$200,TESTS!F$1-1,0)</f>
        <v>344827586.20689654</v>
      </c>
      <c r="G51" s="12" t="e">
        <f>VLOOKUP($A51,IMS!$B$2:$V$89,TESTS!G$2-1,0)</f>
        <v>#N/A</v>
      </c>
      <c r="H51" t="e">
        <f t="shared" si="1"/>
        <v>#N/A</v>
      </c>
      <c r="I51" s="79">
        <f>VLOOKUP($A51,IDX_SPECS!$B$1:$V$200,TESTS!I$1-1,0)</f>
        <v>76.672515487737954</v>
      </c>
      <c r="J51" s="79" t="e">
        <f>VLOOKUP($A51,IMS!$B$2:$V$89,TESTS!J$2-1,0)</f>
        <v>#N/A</v>
      </c>
      <c r="K51" t="e">
        <f t="shared" si="2"/>
        <v>#N/A</v>
      </c>
      <c r="L51" s="79">
        <f>VLOOKUP($A51,IDX_SPECS!$B$1:$W$200,TESTS!L$1-1,0)</f>
        <v>80.080500000000001</v>
      </c>
      <c r="M51" s="79" t="e">
        <f>VLOOKUP($A51,IMS!$B$2:$AC$89,TESTS!M$2-1,0)</f>
        <v>#N/A</v>
      </c>
      <c r="N51" t="e">
        <f t="shared" si="3"/>
        <v>#N/A</v>
      </c>
      <c r="O51" s="76">
        <f>VLOOKUP($A51,IDX_SPECS!$B$1:$V$200,TESTS!O$1-1,0)</f>
        <v>29810.68</v>
      </c>
      <c r="P51" s="76" t="e">
        <f>VLOOKUP($A51,IMS!$B$2:$V$89,TESTS!P$2-1,0)</f>
        <v>#N/A</v>
      </c>
      <c r="Q51" s="76" t="e">
        <f t="shared" si="4"/>
        <v>#N/A</v>
      </c>
      <c r="R51" s="79">
        <f>VLOOKUP($A51,IDX_SPECS!$B$1:$Y$89,TESTS!R$1-1,0)</f>
        <v>-4.2556983438690406</v>
      </c>
      <c r="S51" s="12" t="e">
        <f>VLOOKUP($A51,IMS!$B$2:$AC$89,TESTS!S$2-1,0)</f>
        <v>#N/A</v>
      </c>
      <c r="T51" s="8" t="e">
        <f t="shared" si="5"/>
        <v>#N/A</v>
      </c>
    </row>
    <row r="52" spans="1:20" x14ac:dyDescent="0.2">
      <c r="A52" t="str">
        <f>IF(ISTEXT(IDX_SPECS!B50),IDX_SPECS!B50,"")</f>
        <v>VNXFIPRVND</v>
      </c>
      <c r="C52" s="76">
        <f>VLOOKUP($A52,IDX_SPECS!$B$1:$V$200,TESTS!C$1-1,0)</f>
        <v>10683771510000</v>
      </c>
      <c r="D52" s="76" t="e">
        <f>VLOOKUP($A52,IMS!$B$2:$V$89,TESTS!D$2-1,0)</f>
        <v>#N/A</v>
      </c>
      <c r="E52" t="e">
        <f t="shared" si="0"/>
        <v>#N/A</v>
      </c>
      <c r="F52" s="12">
        <f>VLOOKUP($A52,IDX_SPECS!$B$1:$V$200,TESTS!F$1-1,0)</f>
        <v>10000000000000</v>
      </c>
      <c r="G52" s="12" t="e">
        <f>VLOOKUP($A52,IMS!$B$2:$V$89,TESTS!G$2-1,0)</f>
        <v>#N/A</v>
      </c>
      <c r="H52" t="e">
        <f t="shared" si="1"/>
        <v>#N/A</v>
      </c>
      <c r="I52" s="79">
        <f>VLOOKUP($A52,IDX_SPECS!$B$1:$V$200,TESTS!I$1-1,0)</f>
        <v>1068.3771509999999</v>
      </c>
      <c r="J52" s="79" t="e">
        <f>VLOOKUP($A52,IMS!$B$2:$V$89,TESTS!J$2-1,0)</f>
        <v>#N/A</v>
      </c>
      <c r="K52" t="e">
        <f t="shared" si="2"/>
        <v>#N/A</v>
      </c>
      <c r="L52" s="79">
        <f>VLOOKUP($A52,IDX_SPECS!$B$1:$W$200,TESTS!L$1-1,0)</f>
        <v>1090.7660000000001</v>
      </c>
      <c r="M52" s="79" t="e">
        <f>VLOOKUP($A52,IMS!$B$2:$AC$89,TESTS!M$2-1,0)</f>
        <v>#N/A</v>
      </c>
      <c r="N52" t="e">
        <f t="shared" si="3"/>
        <v>#N/A</v>
      </c>
      <c r="O52" s="76">
        <f>VLOOKUP($A52,IDX_SPECS!$B$1:$V$200,TESTS!O$1-1,0)</f>
        <v>1</v>
      </c>
      <c r="P52" s="76" t="e">
        <f>VLOOKUP($A52,IMS!$B$2:$V$89,TESTS!P$2-1,0)</f>
        <v>#N/A</v>
      </c>
      <c r="Q52" s="76" t="e">
        <f t="shared" si="4"/>
        <v>#N/A</v>
      </c>
      <c r="R52" s="79">
        <f>VLOOKUP($A52,IDX_SPECS!$B$1:$Y$89,TESTS!R$1-1,0)</f>
        <v>-2.0525803884609681</v>
      </c>
      <c r="S52" s="12" t="e">
        <f>VLOOKUP($A52,IMS!$B$2:$AC$89,TESTS!S$2-1,0)</f>
        <v>#N/A</v>
      </c>
      <c r="T52" s="8" t="e">
        <f t="shared" si="5"/>
        <v>#N/A</v>
      </c>
    </row>
    <row r="53" spans="1:20" x14ac:dyDescent="0.2">
      <c r="A53" t="str">
        <f>IF(ISTEXT(IDX_SPECS!B51),IDX_SPECS!B51,"")</f>
        <v>VNXFIPRUSD</v>
      </c>
      <c r="C53" s="76">
        <f>VLOOKUP($A53,IDX_SPECS!$B$1:$V$200,TESTS!C$1-1,0)</f>
        <v>488066309.27364093</v>
      </c>
      <c r="D53" s="76" t="e">
        <f>VLOOKUP($A53,IMS!$B$2:$V$89,TESTS!D$2-1,0)</f>
        <v>#N/A</v>
      </c>
      <c r="E53" t="e">
        <f t="shared" si="0"/>
        <v>#N/A</v>
      </c>
      <c r="F53" s="12">
        <f>VLOOKUP($A53,IDX_SPECS!$B$1:$V$200,TESTS!F$1-1,0)</f>
        <v>476190476.19047618</v>
      </c>
      <c r="G53" s="12" t="e">
        <f>VLOOKUP($A53,IMS!$B$2:$V$89,TESTS!G$2-1,0)</f>
        <v>#N/A</v>
      </c>
      <c r="H53" t="e">
        <f t="shared" si="1"/>
        <v>#N/A</v>
      </c>
      <c r="I53" s="79">
        <f>VLOOKUP($A53,IDX_SPECS!$B$1:$V$200,TESTS!I$1-1,0)</f>
        <v>1024.939249474646</v>
      </c>
      <c r="J53" s="79" t="e">
        <f>VLOOKUP($A53,IMS!$B$2:$V$89,TESTS!J$2-1,0)</f>
        <v>#N/A</v>
      </c>
      <c r="K53" t="e">
        <f t="shared" si="2"/>
        <v>#N/A</v>
      </c>
      <c r="L53" s="79">
        <f>VLOOKUP($A53,IDX_SPECS!$B$1:$W$200,TESTS!L$1-1,0)</f>
        <v>992.31579999999997</v>
      </c>
      <c r="M53" s="79" t="e">
        <f>VLOOKUP($A53,IMS!$B$2:$AC$89,TESTS!M$2-1,0)</f>
        <v>#N/A</v>
      </c>
      <c r="N53" t="e">
        <f t="shared" si="3"/>
        <v>#N/A</v>
      </c>
      <c r="O53" s="76">
        <f>VLOOKUP($A53,IDX_SPECS!$B$1:$V$200,TESTS!O$1-1,0)</f>
        <v>21890</v>
      </c>
      <c r="P53" s="76" t="e">
        <f>VLOOKUP($A53,IMS!$B$2:$V$89,TESTS!P$2-1,0)</f>
        <v>#N/A</v>
      </c>
      <c r="Q53" s="76" t="e">
        <f t="shared" si="4"/>
        <v>#N/A</v>
      </c>
      <c r="R53" s="79">
        <f>VLOOKUP($A53,IDX_SPECS!$B$1:$Y$89,TESTS!R$1-1,0)</f>
        <v>3.2876075816434653</v>
      </c>
      <c r="S53" s="12" t="e">
        <f>VLOOKUP($A53,IMS!$B$2:$AC$89,TESTS!S$2-1,0)</f>
        <v>#N/A</v>
      </c>
      <c r="T53" s="8" t="e">
        <f t="shared" si="5"/>
        <v>#N/A</v>
      </c>
    </row>
    <row r="54" spans="1:20" x14ac:dyDescent="0.2">
      <c r="A54" t="str">
        <f>IF(ISTEXT(IDX_SPECS!B52),IDX_SPECS!B52,"")</f>
        <v>VNXFIPRJPY</v>
      </c>
      <c r="C54" s="76">
        <f>VLOOKUP($A54,IDX_SPECS!$B$1:$V$200,TESTS!C$1-1,0)</f>
        <v>37885714574.468086</v>
      </c>
      <c r="D54" s="76" t="e">
        <f>VLOOKUP($A54,IMS!$B$2:$V$89,TESTS!D$2-1,0)</f>
        <v>#N/A</v>
      </c>
      <c r="E54" t="e">
        <f t="shared" si="0"/>
        <v>#N/A</v>
      </c>
      <c r="F54" s="12">
        <f>VLOOKUP($A54,IDX_SPECS!$B$1:$V$200,TESTS!F$1-1,0)</f>
        <v>37735849056.603775</v>
      </c>
      <c r="G54" s="12" t="e">
        <f>VLOOKUP($A54,IMS!$B$2:$V$89,TESTS!G$2-1,0)</f>
        <v>#N/A</v>
      </c>
      <c r="H54" t="e">
        <f t="shared" si="1"/>
        <v>#N/A</v>
      </c>
      <c r="I54" s="79">
        <f>VLOOKUP($A54,IDX_SPECS!$B$1:$V$200,TESTS!I$1-1,0)</f>
        <v>1003.9714362234042</v>
      </c>
      <c r="J54" s="79" t="e">
        <f>VLOOKUP($A54,IMS!$B$2:$V$89,TESTS!J$2-1,0)</f>
        <v>#N/A</v>
      </c>
      <c r="K54" t="e">
        <f t="shared" si="2"/>
        <v>#N/A</v>
      </c>
      <c r="L54" s="79">
        <f>VLOOKUP($A54,IDX_SPECS!$B$1:$W$200,TESTS!L$1-1,0)</f>
        <v>983.59469999999999</v>
      </c>
      <c r="M54" s="79" t="e">
        <f>VLOOKUP($A54,IMS!$B$2:$AC$89,TESTS!M$2-1,0)</f>
        <v>#N/A</v>
      </c>
      <c r="N54" t="e">
        <f t="shared" si="3"/>
        <v>#N/A</v>
      </c>
      <c r="O54" s="76">
        <f>VLOOKUP($A54,IDX_SPECS!$B$1:$V$200,TESTS!O$1-1,0)</f>
        <v>282</v>
      </c>
      <c r="P54" s="76" t="e">
        <f>VLOOKUP($A54,IMS!$B$2:$V$89,TESTS!P$2-1,0)</f>
        <v>#N/A</v>
      </c>
      <c r="Q54" s="76" t="e">
        <f t="shared" si="4"/>
        <v>#N/A</v>
      </c>
      <c r="R54" s="79">
        <f>VLOOKUP($A54,IDX_SPECS!$B$1:$Y$89,TESTS!R$1-1,0)</f>
        <v>2.0716598232385999</v>
      </c>
      <c r="S54" s="12" t="e">
        <f>VLOOKUP($A54,IMS!$B$2:$AC$89,TESTS!S$2-1,0)</f>
        <v>#N/A</v>
      </c>
      <c r="T54" s="8" t="e">
        <f t="shared" si="5"/>
        <v>#N/A</v>
      </c>
    </row>
    <row r="55" spans="1:20" x14ac:dyDescent="0.2">
      <c r="A55" t="str">
        <f>IF(ISTEXT(IDX_SPECS!B53),IDX_SPECS!B53,"")</f>
        <v>VNXFIPREUR</v>
      </c>
      <c r="C55" s="76">
        <f>VLOOKUP($A55,IDX_SPECS!$B$1:$V$200,TESTS!C$1-1,0)</f>
        <v>358387380.29457897</v>
      </c>
      <c r="D55" s="76" t="e">
        <f>VLOOKUP($A55,IMS!$B$2:$V$89,TESTS!D$2-1,0)</f>
        <v>#N/A</v>
      </c>
      <c r="E55" t="e">
        <f t="shared" si="0"/>
        <v>#N/A</v>
      </c>
      <c r="F55" s="12">
        <f>VLOOKUP($A55,IDX_SPECS!$B$1:$V$200,TESTS!F$1-1,0)</f>
        <v>344827586.20689654</v>
      </c>
      <c r="G55" s="12" t="e">
        <f>VLOOKUP($A55,IMS!$B$2:$V$89,TESTS!G$2-1,0)</f>
        <v>#N/A</v>
      </c>
      <c r="H55" t="e">
        <f t="shared" si="1"/>
        <v>#N/A</v>
      </c>
      <c r="I55" s="79">
        <f>VLOOKUP($A55,IDX_SPECS!$B$1:$V$200,TESTS!I$1-1,0)</f>
        <v>1039.323402854279</v>
      </c>
      <c r="J55" s="79" t="e">
        <f>VLOOKUP($A55,IMS!$B$2:$V$89,TESTS!J$2-1,0)</f>
        <v>#N/A</v>
      </c>
      <c r="K55" t="e">
        <f t="shared" si="2"/>
        <v>#N/A</v>
      </c>
      <c r="L55" s="79">
        <f>VLOOKUP($A55,IDX_SPECS!$B$1:$W$200,TESTS!L$1-1,0)</f>
        <v>1072.0519999999999</v>
      </c>
      <c r="M55" s="79" t="e">
        <f>VLOOKUP($A55,IMS!$B$2:$AC$89,TESTS!M$2-1,0)</f>
        <v>#N/A</v>
      </c>
      <c r="N55" t="e">
        <f t="shared" si="3"/>
        <v>#N/A</v>
      </c>
      <c r="O55" s="76">
        <f>VLOOKUP($A55,IDX_SPECS!$B$1:$V$200,TESTS!O$1-1,0)</f>
        <v>29810.68</v>
      </c>
      <c r="P55" s="76" t="e">
        <f>VLOOKUP($A55,IMS!$B$2:$V$89,TESTS!P$2-1,0)</f>
        <v>#N/A</v>
      </c>
      <c r="Q55" s="76" t="e">
        <f t="shared" si="4"/>
        <v>#N/A</v>
      </c>
      <c r="R55" s="79">
        <f>VLOOKUP($A55,IDX_SPECS!$B$1:$Y$89,TESTS!R$1-1,0)</f>
        <v>-3.0528926904404705</v>
      </c>
      <c r="S55" s="12" t="e">
        <f>VLOOKUP($A55,IMS!$B$2:$AC$89,TESTS!S$2-1,0)</f>
        <v>#N/A</v>
      </c>
      <c r="T55" s="8" t="e">
        <f t="shared" si="5"/>
        <v>#N/A</v>
      </c>
    </row>
    <row r="56" spans="1:20" x14ac:dyDescent="0.2">
      <c r="A56" t="str">
        <f>IF(ISTEXT(IDX_SPECS!B54),IDX_SPECS!B54,"")</f>
        <v>VNXINPRVND</v>
      </c>
      <c r="C56" s="76">
        <f>VLOOKUP($A56,IDX_SPECS!$B$1:$V$200,TESTS!C$1-1,0)</f>
        <v>12555633734400</v>
      </c>
      <c r="D56" s="76" t="e">
        <f>VLOOKUP($A56,IMS!$B$2:$V$89,TESTS!D$2-1,0)</f>
        <v>#N/A</v>
      </c>
      <c r="E56" t="e">
        <f t="shared" si="0"/>
        <v>#N/A</v>
      </c>
      <c r="F56" s="12">
        <f>VLOOKUP($A56,IDX_SPECS!$B$1:$V$200,TESTS!F$1-1,0)</f>
        <v>10000000000000</v>
      </c>
      <c r="G56" s="12" t="e">
        <f>VLOOKUP($A56,IMS!$B$2:$V$89,TESTS!G$2-1,0)</f>
        <v>#N/A</v>
      </c>
      <c r="H56" t="e">
        <f t="shared" si="1"/>
        <v>#N/A</v>
      </c>
      <c r="I56" s="79">
        <f>VLOOKUP($A56,IDX_SPECS!$B$1:$V$200,TESTS!I$1-1,0)</f>
        <v>1255.5633734400001</v>
      </c>
      <c r="J56" s="79" t="e">
        <f>VLOOKUP($A56,IMS!$B$2:$V$89,TESTS!J$2-1,0)</f>
        <v>#N/A</v>
      </c>
      <c r="K56" t="e">
        <f t="shared" si="2"/>
        <v>#N/A</v>
      </c>
      <c r="L56" s="79">
        <f>VLOOKUP($A56,IDX_SPECS!$B$1:$W$200,TESTS!L$1-1,0)</f>
        <v>1216.4469999999999</v>
      </c>
      <c r="M56" s="79" t="e">
        <f>VLOOKUP($A56,IMS!$B$2:$AC$89,TESTS!M$2-1,0)</f>
        <v>#N/A</v>
      </c>
      <c r="N56" t="e">
        <f t="shared" si="3"/>
        <v>#N/A</v>
      </c>
      <c r="O56" s="76">
        <f>VLOOKUP($A56,IDX_SPECS!$B$1:$V$200,TESTS!O$1-1,0)</f>
        <v>1</v>
      </c>
      <c r="P56" s="76" t="e">
        <f>VLOOKUP($A56,IMS!$B$2:$V$89,TESTS!P$2-1,0)</f>
        <v>#N/A</v>
      </c>
      <c r="Q56" s="76" t="e">
        <f t="shared" si="4"/>
        <v>#N/A</v>
      </c>
      <c r="R56" s="79">
        <f>VLOOKUP($A56,IDX_SPECS!$B$1:$Y$89,TESTS!R$1-1,0)</f>
        <v>3.2156249668090919</v>
      </c>
      <c r="S56" s="12" t="e">
        <f>VLOOKUP($A56,IMS!$B$2:$AC$89,TESTS!S$2-1,0)</f>
        <v>#N/A</v>
      </c>
      <c r="T56" s="8" t="e">
        <f t="shared" si="5"/>
        <v>#N/A</v>
      </c>
    </row>
    <row r="57" spans="1:20" x14ac:dyDescent="0.2">
      <c r="A57" t="str">
        <f>IF(ISTEXT(IDX_SPECS!B55),IDX_SPECS!B55,"")</f>
        <v>VNXINPRUSD</v>
      </c>
      <c r="C57" s="76">
        <f>VLOOKUP($A57,IDX_SPECS!$B$1:$V$200,TESTS!C$1-1,0)</f>
        <v>573578516.87528551</v>
      </c>
      <c r="D57" s="76" t="e">
        <f>VLOOKUP($A57,IMS!$B$2:$V$89,TESTS!D$2-1,0)</f>
        <v>#N/A</v>
      </c>
      <c r="E57" t="e">
        <f t="shared" si="0"/>
        <v>#N/A</v>
      </c>
      <c r="F57" s="12">
        <f>VLOOKUP($A57,IDX_SPECS!$B$1:$V$200,TESTS!F$1-1,0)</f>
        <v>476190476.19047618</v>
      </c>
      <c r="G57" s="12" t="e">
        <f>VLOOKUP($A57,IMS!$B$2:$V$89,TESTS!G$2-1,0)</f>
        <v>#N/A</v>
      </c>
      <c r="H57" t="e">
        <f t="shared" si="1"/>
        <v>#N/A</v>
      </c>
      <c r="I57" s="79">
        <f>VLOOKUP($A57,IDX_SPECS!$B$1:$V$200,TESTS!I$1-1,0)</f>
        <v>1204.5148854380996</v>
      </c>
      <c r="J57" s="79" t="e">
        <f>VLOOKUP($A57,IMS!$B$2:$V$89,TESTS!J$2-1,0)</f>
        <v>#N/A</v>
      </c>
      <c r="K57" t="e">
        <f t="shared" si="2"/>
        <v>#N/A</v>
      </c>
      <c r="L57" s="79">
        <f>VLOOKUP($A57,IDX_SPECS!$B$1:$W$200,TESTS!L$1-1,0)</f>
        <v>1204.5150000000001</v>
      </c>
      <c r="M57" s="79" t="e">
        <f>VLOOKUP($A57,IMS!$B$2:$AC$89,TESTS!M$2-1,0)</f>
        <v>#N/A</v>
      </c>
      <c r="N57" t="e">
        <f t="shared" si="3"/>
        <v>#N/A</v>
      </c>
      <c r="O57" s="76">
        <f>VLOOKUP($A57,IDX_SPECS!$B$1:$V$200,TESTS!O$1-1,0)</f>
        <v>21890</v>
      </c>
      <c r="P57" s="76" t="e">
        <f>VLOOKUP($A57,IMS!$B$2:$V$89,TESTS!P$2-1,0)</f>
        <v>#N/A</v>
      </c>
      <c r="Q57" s="76" t="e">
        <f t="shared" si="4"/>
        <v>#N/A</v>
      </c>
      <c r="R57" s="79">
        <f>VLOOKUP($A57,IDX_SPECS!$B$1:$Y$89,TESTS!R$1-1,0)</f>
        <v>-9.5110397583754089E-6</v>
      </c>
      <c r="S57" s="12" t="e">
        <f>VLOOKUP($A57,IMS!$B$2:$AC$89,TESTS!S$2-1,0)</f>
        <v>#N/A</v>
      </c>
      <c r="T57" s="8" t="e">
        <f t="shared" si="5"/>
        <v>#N/A</v>
      </c>
    </row>
    <row r="58" spans="1:20" x14ac:dyDescent="0.2">
      <c r="A58" t="str">
        <f>IF(ISTEXT(IDX_SPECS!B56),IDX_SPECS!B56,"")</f>
        <v>VNXINPRJPY</v>
      </c>
      <c r="C58" s="76">
        <f>VLOOKUP($A58,IDX_SPECS!$B$1:$V$200,TESTS!C$1-1,0)</f>
        <v>44523523880.851067</v>
      </c>
      <c r="D58" s="76" t="e">
        <f>VLOOKUP($A58,IMS!$B$2:$V$89,TESTS!D$2-1,0)</f>
        <v>#N/A</v>
      </c>
      <c r="E58" t="e">
        <f t="shared" si="0"/>
        <v>#N/A</v>
      </c>
      <c r="F58" s="12">
        <f>VLOOKUP($A58,IDX_SPECS!$B$1:$V$200,TESTS!F$1-1,0)</f>
        <v>37735849056.603775</v>
      </c>
      <c r="G58" s="12" t="e">
        <f>VLOOKUP($A58,IMS!$B$2:$V$89,TESTS!G$2-1,0)</f>
        <v>#N/A</v>
      </c>
      <c r="H58" t="e">
        <f t="shared" si="1"/>
        <v>#N/A</v>
      </c>
      <c r="I58" s="79">
        <f>VLOOKUP($A58,IDX_SPECS!$B$1:$V$200,TESTS!I$1-1,0)</f>
        <v>1179.8733828425534</v>
      </c>
      <c r="J58" s="79" t="e">
        <f>VLOOKUP($A58,IMS!$B$2:$V$89,TESTS!J$2-1,0)</f>
        <v>#N/A</v>
      </c>
      <c r="K58" t="e">
        <f t="shared" si="2"/>
        <v>#N/A</v>
      </c>
      <c r="L58" s="79">
        <f>VLOOKUP($A58,IDX_SPECS!$B$1:$W$200,TESTS!L$1-1,0)</f>
        <v>1143.17</v>
      </c>
      <c r="M58" s="79" t="e">
        <f>VLOOKUP($A58,IMS!$B$2:$AC$89,TESTS!M$2-1,0)</f>
        <v>#N/A</v>
      </c>
      <c r="N58" t="e">
        <f t="shared" si="3"/>
        <v>#N/A</v>
      </c>
      <c r="O58" s="76">
        <f>VLOOKUP($A58,IDX_SPECS!$B$1:$V$200,TESTS!O$1-1,0)</f>
        <v>282</v>
      </c>
      <c r="P58" s="76" t="e">
        <f>VLOOKUP($A58,IMS!$B$2:$V$89,TESTS!P$2-1,0)</f>
        <v>#N/A</v>
      </c>
      <c r="Q58" s="76" t="e">
        <f t="shared" si="4"/>
        <v>#N/A</v>
      </c>
      <c r="R58" s="79">
        <f>VLOOKUP($A58,IDX_SPECS!$B$1:$Y$89,TESTS!R$1-1,0)</f>
        <v>3.2106670786106446</v>
      </c>
      <c r="S58" s="12" t="e">
        <f>VLOOKUP($A58,IMS!$B$2:$AC$89,TESTS!S$2-1,0)</f>
        <v>#N/A</v>
      </c>
      <c r="T58" s="8" t="e">
        <f t="shared" si="5"/>
        <v>#N/A</v>
      </c>
    </row>
    <row r="59" spans="1:20" x14ac:dyDescent="0.2">
      <c r="A59" t="str">
        <f>IF(ISTEXT(IDX_SPECS!B57),IDX_SPECS!B57,"")</f>
        <v>VNXINPREUR</v>
      </c>
      <c r="C59" s="76">
        <f>VLOOKUP($A59,IDX_SPECS!$B$1:$V$200,TESTS!C$1-1,0)</f>
        <v>421179045.04023391</v>
      </c>
      <c r="D59" s="76" t="e">
        <f>VLOOKUP($A59,IMS!$B$2:$V$89,TESTS!D$2-1,0)</f>
        <v>#N/A</v>
      </c>
      <c r="E59" t="e">
        <f t="shared" si="0"/>
        <v>#N/A</v>
      </c>
      <c r="F59" s="12">
        <f>VLOOKUP($A59,IDX_SPECS!$B$1:$V$200,TESTS!F$1-1,0)</f>
        <v>344827586.20689654</v>
      </c>
      <c r="G59" s="12" t="e">
        <f>VLOOKUP($A59,IMS!$B$2:$V$89,TESTS!G$2-1,0)</f>
        <v>#N/A</v>
      </c>
      <c r="H59" t="e">
        <f t="shared" si="1"/>
        <v>#N/A</v>
      </c>
      <c r="I59" s="79">
        <f>VLOOKUP($A59,IDX_SPECS!$B$1:$V$200,TESTS!I$1-1,0)</f>
        <v>1221.4192306166783</v>
      </c>
      <c r="J59" s="79" t="e">
        <f>VLOOKUP($A59,IMS!$B$2:$V$89,TESTS!J$2-1,0)</f>
        <v>#N/A</v>
      </c>
      <c r="K59" t="e">
        <f t="shared" si="2"/>
        <v>#N/A</v>
      </c>
      <c r="L59" s="79">
        <f>VLOOKUP($A59,IDX_SPECS!$B$1:$W$200,TESTS!L$1-1,0)</f>
        <v>1221.4190000000001</v>
      </c>
      <c r="M59" s="79" t="e">
        <f>VLOOKUP($A59,IMS!$B$2:$AC$89,TESTS!M$2-1,0)</f>
        <v>#N/A</v>
      </c>
      <c r="N59" t="e">
        <f t="shared" si="3"/>
        <v>#N/A</v>
      </c>
      <c r="O59" s="76">
        <f>VLOOKUP($A59,IDX_SPECS!$B$1:$V$200,TESTS!O$1-1,0)</f>
        <v>29810.68</v>
      </c>
      <c r="P59" s="76" t="e">
        <f>VLOOKUP($A59,IMS!$B$2:$V$89,TESTS!P$2-1,0)</f>
        <v>#N/A</v>
      </c>
      <c r="Q59" s="76" t="e">
        <f t="shared" si="4"/>
        <v>#N/A</v>
      </c>
      <c r="R59" s="79">
        <f>VLOOKUP($A59,IDX_SPECS!$B$1:$Y$89,TESTS!R$1-1,0)</f>
        <v>1.8881045587887267E-5</v>
      </c>
      <c r="S59" s="12" t="e">
        <f>VLOOKUP($A59,IMS!$B$2:$AC$89,TESTS!S$2-1,0)</f>
        <v>#N/A</v>
      </c>
      <c r="T59" s="8" t="e">
        <f t="shared" si="5"/>
        <v>#N/A</v>
      </c>
    </row>
    <row r="60" spans="1:20" x14ac:dyDescent="0.2">
      <c r="A60" t="str">
        <f>IF(ISTEXT(IDX_SPECS!B58),IDX_SPECS!B58,"")</f>
        <v>VNXOGPRVND</v>
      </c>
      <c r="C60" s="76">
        <f>VLOOKUP($A60,IDX_SPECS!$B$1:$V$200,TESTS!C$1-1,0)</f>
        <v>13957715385000</v>
      </c>
      <c r="D60" s="76" t="e">
        <f>VLOOKUP($A60,IMS!$B$2:$V$89,TESTS!D$2-1,0)</f>
        <v>#N/A</v>
      </c>
      <c r="E60" t="e">
        <f t="shared" si="0"/>
        <v>#N/A</v>
      </c>
      <c r="F60" s="12">
        <f>VLOOKUP($A60,IDX_SPECS!$B$1:$V$200,TESTS!F$1-1,0)</f>
        <v>10000000000000</v>
      </c>
      <c r="G60" s="12" t="e">
        <f>VLOOKUP($A60,IMS!$B$2:$V$89,TESTS!G$2-1,0)</f>
        <v>#N/A</v>
      </c>
      <c r="H60" t="e">
        <f t="shared" si="1"/>
        <v>#N/A</v>
      </c>
      <c r="I60" s="79">
        <f>VLOOKUP($A60,IDX_SPECS!$B$1:$V$200,TESTS!I$1-1,0)</f>
        <v>1395.7715384999999</v>
      </c>
      <c r="J60" s="79" t="e">
        <f>VLOOKUP($A60,IMS!$B$2:$V$89,TESTS!J$2-1,0)</f>
        <v>#N/A</v>
      </c>
      <c r="K60" t="e">
        <f t="shared" si="2"/>
        <v>#N/A</v>
      </c>
      <c r="L60" s="79">
        <f>VLOOKUP($A60,IDX_SPECS!$B$1:$W$200,TESTS!L$1-1,0)</f>
        <v>1469.9690000000001</v>
      </c>
      <c r="M60" s="79" t="e">
        <f>VLOOKUP($A60,IMS!$B$2:$AC$89,TESTS!M$2-1,0)</f>
        <v>#N/A</v>
      </c>
      <c r="N60" t="e">
        <f t="shared" si="3"/>
        <v>#N/A</v>
      </c>
      <c r="O60" s="76">
        <f>VLOOKUP($A60,IDX_SPECS!$B$1:$V$200,TESTS!O$1-1,0)</f>
        <v>1</v>
      </c>
      <c r="P60" s="76" t="e">
        <f>VLOOKUP($A60,IMS!$B$2:$V$89,TESTS!P$2-1,0)</f>
        <v>#N/A</v>
      </c>
      <c r="Q60" s="76" t="e">
        <f t="shared" si="4"/>
        <v>#N/A</v>
      </c>
      <c r="R60" s="79">
        <f>VLOOKUP($A60,IDX_SPECS!$B$1:$Y$89,TESTS!R$1-1,0)</f>
        <v>-5.0475528055353642</v>
      </c>
      <c r="S60" s="12" t="e">
        <f>VLOOKUP($A60,IMS!$B$2:$AC$89,TESTS!S$2-1,0)</f>
        <v>#N/A</v>
      </c>
      <c r="T60" s="8" t="e">
        <f t="shared" si="5"/>
        <v>#N/A</v>
      </c>
    </row>
    <row r="61" spans="1:20" x14ac:dyDescent="0.2">
      <c r="A61" t="str">
        <f>IF(ISTEXT(IDX_SPECS!B59),IDX_SPECS!B59,"")</f>
        <v>VNXOGPRUSD</v>
      </c>
      <c r="C61" s="76">
        <f>VLOOKUP($A61,IDX_SPECS!$B$1:$V$200,TESTS!C$1-1,0)</f>
        <v>637629757.19506621</v>
      </c>
      <c r="D61" s="76" t="e">
        <f>VLOOKUP($A61,IMS!$B$2:$V$89,TESTS!D$2-1,0)</f>
        <v>#N/A</v>
      </c>
      <c r="E61" t="e">
        <f t="shared" si="0"/>
        <v>#N/A</v>
      </c>
      <c r="F61" s="12">
        <f>VLOOKUP($A61,IDX_SPECS!$B$1:$V$200,TESTS!F$1-1,0)</f>
        <v>476190476.19047618</v>
      </c>
      <c r="G61" s="12" t="e">
        <f>VLOOKUP($A61,IMS!$B$2:$V$89,TESTS!G$2-1,0)</f>
        <v>#N/A</v>
      </c>
      <c r="H61" t="e">
        <f t="shared" si="1"/>
        <v>#N/A</v>
      </c>
      <c r="I61" s="79">
        <f>VLOOKUP($A61,IDX_SPECS!$B$1:$V$200,TESTS!I$1-1,0)</f>
        <v>1339.022490109639</v>
      </c>
      <c r="J61" s="79" t="e">
        <f>VLOOKUP($A61,IMS!$B$2:$V$89,TESTS!J$2-1,0)</f>
        <v>#N/A</v>
      </c>
      <c r="K61" t="e">
        <f t="shared" si="2"/>
        <v>#N/A</v>
      </c>
      <c r="L61" s="79">
        <f>VLOOKUP($A61,IDX_SPECS!$B$1:$W$200,TESTS!L$1-1,0)</f>
        <v>1368.028</v>
      </c>
      <c r="M61" s="79" t="e">
        <f>VLOOKUP($A61,IMS!$B$2:$AC$89,TESTS!M$2-1,0)</f>
        <v>#N/A</v>
      </c>
      <c r="N61" t="e">
        <f t="shared" si="3"/>
        <v>#N/A</v>
      </c>
      <c r="O61" s="76">
        <f>VLOOKUP($A61,IDX_SPECS!$B$1:$V$200,TESTS!O$1-1,0)</f>
        <v>21890</v>
      </c>
      <c r="P61" s="76" t="e">
        <f>VLOOKUP($A61,IMS!$B$2:$V$89,TESTS!P$2-1,0)</f>
        <v>#N/A</v>
      </c>
      <c r="Q61" s="76" t="e">
        <f t="shared" si="4"/>
        <v>#N/A</v>
      </c>
      <c r="R61" s="79">
        <f>VLOOKUP($A61,IDX_SPECS!$B$1:$Y$89,TESTS!R$1-1,0)</f>
        <v>-2.1202424139243536</v>
      </c>
      <c r="S61" s="12" t="e">
        <f>VLOOKUP($A61,IMS!$B$2:$AC$89,TESTS!S$2-1,0)</f>
        <v>#N/A</v>
      </c>
      <c r="T61" s="8" t="e">
        <f t="shared" si="5"/>
        <v>#N/A</v>
      </c>
    </row>
    <row r="62" spans="1:20" x14ac:dyDescent="0.2">
      <c r="A62" t="str">
        <f>IF(ISTEXT(IDX_SPECS!B60),IDX_SPECS!B60,"")</f>
        <v>VNXOGPRJPY</v>
      </c>
      <c r="C62" s="76">
        <f>VLOOKUP($A62,IDX_SPECS!$B$1:$V$200,TESTS!C$1-1,0)</f>
        <v>49495444627.659576</v>
      </c>
      <c r="D62" s="76" t="e">
        <f>VLOOKUP($A62,IMS!$B$2:$V$89,TESTS!D$2-1,0)</f>
        <v>#N/A</v>
      </c>
      <c r="E62" t="e">
        <f t="shared" si="0"/>
        <v>#N/A</v>
      </c>
      <c r="F62" s="12">
        <f>VLOOKUP($A62,IDX_SPECS!$B$1:$V$200,TESTS!F$1-1,0)</f>
        <v>37735849056.603775</v>
      </c>
      <c r="G62" s="12" t="e">
        <f>VLOOKUP($A62,IMS!$B$2:$V$89,TESTS!G$2-1,0)</f>
        <v>#N/A</v>
      </c>
      <c r="H62" t="e">
        <f t="shared" si="1"/>
        <v>#N/A</v>
      </c>
      <c r="I62" s="79">
        <f>VLOOKUP($A62,IDX_SPECS!$B$1:$V$200,TESTS!I$1-1,0)</f>
        <v>1311.6292826329789</v>
      </c>
      <c r="J62" s="79" t="e">
        <f>VLOOKUP($A62,IMS!$B$2:$V$89,TESTS!J$2-1,0)</f>
        <v>#N/A</v>
      </c>
      <c r="K62" t="e">
        <f t="shared" si="2"/>
        <v>#N/A</v>
      </c>
      <c r="L62" s="79">
        <f>VLOOKUP($A62,IDX_SPECS!$B$1:$W$200,TESTS!L$1-1,0)</f>
        <v>1285.165</v>
      </c>
      <c r="M62" s="79" t="e">
        <f>VLOOKUP($A62,IMS!$B$2:$AC$89,TESTS!M$2-1,0)</f>
        <v>#N/A</v>
      </c>
      <c r="N62" t="e">
        <f t="shared" si="3"/>
        <v>#N/A</v>
      </c>
      <c r="O62" s="76">
        <f>VLOOKUP($A62,IDX_SPECS!$B$1:$V$200,TESTS!O$1-1,0)</f>
        <v>282</v>
      </c>
      <c r="P62" s="76" t="e">
        <f>VLOOKUP($A62,IMS!$B$2:$V$89,TESTS!P$2-1,0)</f>
        <v>#N/A</v>
      </c>
      <c r="Q62" s="76" t="e">
        <f t="shared" si="4"/>
        <v>#N/A</v>
      </c>
      <c r="R62" s="79">
        <f>VLOOKUP($A62,IDX_SPECS!$B$1:$Y$89,TESTS!R$1-1,0)</f>
        <v>2.0592128351596015</v>
      </c>
      <c r="S62" s="12" t="e">
        <f>VLOOKUP($A62,IMS!$B$2:$AC$89,TESTS!S$2-1,0)</f>
        <v>#N/A</v>
      </c>
      <c r="T62" s="8" t="e">
        <f t="shared" si="5"/>
        <v>#N/A</v>
      </c>
    </row>
    <row r="63" spans="1:20" x14ac:dyDescent="0.2">
      <c r="A63" t="str">
        <f>IF(ISTEXT(IDX_SPECS!B61),IDX_SPECS!B61,"")</f>
        <v>VNXOGPREUR</v>
      </c>
      <c r="C63" s="76">
        <f>VLOOKUP($A63,IDX_SPECS!$B$1:$V$200,TESTS!C$1-1,0)</f>
        <v>468211908.78571033</v>
      </c>
      <c r="D63" s="76" t="e">
        <f>VLOOKUP($A63,IMS!$B$2:$V$89,TESTS!D$2-1,0)</f>
        <v>#N/A</v>
      </c>
      <c r="E63" t="e">
        <f t="shared" si="0"/>
        <v>#N/A</v>
      </c>
      <c r="F63" s="12">
        <f>VLOOKUP($A63,IDX_SPECS!$B$1:$V$200,TESTS!F$1-1,0)</f>
        <v>344827586.20689654</v>
      </c>
      <c r="G63" s="12" t="e">
        <f>VLOOKUP($A63,IMS!$B$2:$V$89,TESTS!G$2-1,0)</f>
        <v>#N/A</v>
      </c>
      <c r="H63" t="e">
        <f t="shared" si="1"/>
        <v>#N/A</v>
      </c>
      <c r="I63" s="79">
        <f>VLOOKUP($A63,IDX_SPECS!$B$1:$V$200,TESTS!I$1-1,0)</f>
        <v>1357.8145354785599</v>
      </c>
      <c r="J63" s="79" t="e">
        <f>VLOOKUP($A63,IMS!$B$2:$V$89,TESTS!J$2-1,0)</f>
        <v>#N/A</v>
      </c>
      <c r="K63" t="e">
        <f t="shared" si="2"/>
        <v>#N/A</v>
      </c>
      <c r="L63" s="79">
        <f>VLOOKUP($A63,IDX_SPECS!$B$1:$W$200,TESTS!L$1-1,0)</f>
        <v>1420.125</v>
      </c>
      <c r="M63" s="79" t="e">
        <f>VLOOKUP($A63,IMS!$B$2:$AC$89,TESTS!M$2-1,0)</f>
        <v>#N/A</v>
      </c>
      <c r="N63" t="e">
        <f t="shared" si="3"/>
        <v>#N/A</v>
      </c>
      <c r="O63" s="76">
        <f>VLOOKUP($A63,IDX_SPECS!$B$1:$V$200,TESTS!O$1-1,0)</f>
        <v>29810.68</v>
      </c>
      <c r="P63" s="76" t="e">
        <f>VLOOKUP($A63,IMS!$B$2:$V$89,TESTS!P$2-1,0)</f>
        <v>#N/A</v>
      </c>
      <c r="Q63" s="76" t="e">
        <f t="shared" si="4"/>
        <v>#N/A</v>
      </c>
      <c r="R63" s="79">
        <f>VLOOKUP($A63,IDX_SPECS!$B$1:$Y$89,TESTS!R$1-1,0)</f>
        <v>-4.3876746428265152</v>
      </c>
      <c r="S63" s="12" t="e">
        <f>VLOOKUP($A63,IMS!$B$2:$AC$89,TESTS!S$2-1,0)</f>
        <v>#N/A</v>
      </c>
      <c r="T63" s="8" t="e">
        <f t="shared" si="5"/>
        <v>#N/A</v>
      </c>
    </row>
    <row r="64" spans="1:20" x14ac:dyDescent="0.2">
      <c r="A64" t="str">
        <f>IF(ISTEXT(IDX_SPECS!B62),IDX_SPECS!B62,"")</f>
        <v>VNXUTPRVND</v>
      </c>
      <c r="C64" s="76">
        <f>VLOOKUP($A64,IDX_SPECS!$B$1:$V$200,TESTS!C$1-1,0)</f>
        <v>2957227000000</v>
      </c>
      <c r="D64" s="76" t="e">
        <f>VLOOKUP($A64,IMS!$B$2:$V$89,TESTS!D$2-1,0)</f>
        <v>#N/A</v>
      </c>
      <c r="E64" t="e">
        <f t="shared" si="0"/>
        <v>#N/A</v>
      </c>
      <c r="F64" s="12">
        <f>VLOOKUP($A64,IDX_SPECS!$B$1:$V$200,TESTS!F$1-1,0)</f>
        <v>10000000000000</v>
      </c>
      <c r="G64" s="12" t="e">
        <f>VLOOKUP($A64,IMS!$B$2:$V$89,TESTS!G$2-1,0)</f>
        <v>#N/A</v>
      </c>
      <c r="H64" t="e">
        <f t="shared" si="1"/>
        <v>#N/A</v>
      </c>
      <c r="I64" s="79">
        <f>VLOOKUP($A64,IDX_SPECS!$B$1:$V$200,TESTS!I$1-1,0)</f>
        <v>295.72269999999997</v>
      </c>
      <c r="J64" s="79" t="e">
        <f>VLOOKUP($A64,IMS!$B$2:$V$89,TESTS!J$2-1,0)</f>
        <v>#N/A</v>
      </c>
      <c r="K64" t="e">
        <f t="shared" si="2"/>
        <v>#N/A</v>
      </c>
      <c r="L64" s="79">
        <f>VLOOKUP($A64,IDX_SPECS!$B$1:$W$200,TESTS!L$1-1,0)</f>
        <v>295.72269999999997</v>
      </c>
      <c r="M64" s="79" t="e">
        <f>VLOOKUP($A64,IMS!$B$2:$AC$89,TESTS!M$2-1,0)</f>
        <v>#N/A</v>
      </c>
      <c r="N64" t="e">
        <f t="shared" si="3"/>
        <v>#N/A</v>
      </c>
      <c r="O64" s="76">
        <f>VLOOKUP($A64,IDX_SPECS!$B$1:$V$200,TESTS!O$1-1,0)</f>
        <v>1</v>
      </c>
      <c r="P64" s="76" t="e">
        <f>VLOOKUP($A64,IMS!$B$2:$V$89,TESTS!P$2-1,0)</f>
        <v>#N/A</v>
      </c>
      <c r="Q64" s="76" t="e">
        <f t="shared" si="4"/>
        <v>#N/A</v>
      </c>
      <c r="R64" s="79">
        <f>VLOOKUP($A64,IDX_SPECS!$B$1:$Y$89,TESTS!R$1-1,0)</f>
        <v>0</v>
      </c>
      <c r="S64" s="12" t="e">
        <f>VLOOKUP($A64,IMS!$B$2:$AC$89,TESTS!S$2-1,0)</f>
        <v>#N/A</v>
      </c>
      <c r="T64" s="8" t="e">
        <f t="shared" si="5"/>
        <v>#N/A</v>
      </c>
    </row>
    <row r="65" spans="1:20" x14ac:dyDescent="0.2">
      <c r="A65" t="str">
        <f>IF(ISTEXT(IDX_SPECS!B63),IDX_SPECS!B63,"")</f>
        <v>VNXUTPRUSD</v>
      </c>
      <c r="C65" s="76">
        <f>VLOOKUP($A65,IDX_SPECS!$B$1:$V$200,TESTS!C$1-1,0)</f>
        <v>135094883.50845134</v>
      </c>
      <c r="D65" s="76" t="e">
        <f>VLOOKUP($A65,IMS!$B$2:$V$89,TESTS!D$2-1,0)</f>
        <v>#N/A</v>
      </c>
      <c r="E65" t="e">
        <f t="shared" si="0"/>
        <v>#N/A</v>
      </c>
      <c r="F65" s="12">
        <f>VLOOKUP($A65,IDX_SPECS!$B$1:$V$200,TESTS!F$1-1,0)</f>
        <v>476190476.19047618</v>
      </c>
      <c r="G65" s="12" t="e">
        <f>VLOOKUP($A65,IMS!$B$2:$V$89,TESTS!G$2-1,0)</f>
        <v>#N/A</v>
      </c>
      <c r="H65" t="e">
        <f t="shared" si="1"/>
        <v>#N/A</v>
      </c>
      <c r="I65" s="79">
        <f>VLOOKUP($A65,IDX_SPECS!$B$1:$V$200,TESTS!I$1-1,0)</f>
        <v>283.69925536774781</v>
      </c>
      <c r="J65" s="79" t="e">
        <f>VLOOKUP($A65,IMS!$B$2:$V$89,TESTS!J$2-1,0)</f>
        <v>#N/A</v>
      </c>
      <c r="K65" t="e">
        <f t="shared" si="2"/>
        <v>#N/A</v>
      </c>
      <c r="L65" s="79">
        <f>VLOOKUP($A65,IDX_SPECS!$B$1:$W$200,TESTS!L$1-1,0)</f>
        <v>275.30849999999998</v>
      </c>
      <c r="M65" s="79" t="e">
        <f>VLOOKUP($A65,IMS!$B$2:$AC$89,TESTS!M$2-1,0)</f>
        <v>#N/A</v>
      </c>
      <c r="N65" t="e">
        <f t="shared" si="3"/>
        <v>#N/A</v>
      </c>
      <c r="O65" s="76">
        <f>VLOOKUP($A65,IDX_SPECS!$B$1:$V$200,TESTS!O$1-1,0)</f>
        <v>21890</v>
      </c>
      <c r="P65" s="76" t="e">
        <f>VLOOKUP($A65,IMS!$B$2:$V$89,TESTS!P$2-1,0)</f>
        <v>#N/A</v>
      </c>
      <c r="Q65" s="76" t="e">
        <f t="shared" si="4"/>
        <v>#N/A</v>
      </c>
      <c r="R65" s="79">
        <f>VLOOKUP($A65,IDX_SPECS!$B$1:$Y$89,TESTS!R$1-1,0)</f>
        <v>3.0477647321996337</v>
      </c>
      <c r="S65" s="12" t="e">
        <f>VLOOKUP($A65,IMS!$B$2:$AC$89,TESTS!S$2-1,0)</f>
        <v>#N/A</v>
      </c>
      <c r="T65" s="8" t="e">
        <f t="shared" si="5"/>
        <v>#N/A</v>
      </c>
    </row>
    <row r="66" spans="1:20" x14ac:dyDescent="0.2">
      <c r="A66" t="str">
        <f>IF(ISTEXT(IDX_SPECS!B64),IDX_SPECS!B64,"")</f>
        <v>VNXUTPRJPY</v>
      </c>
      <c r="C66" s="76">
        <f>VLOOKUP($A66,IDX_SPECS!$B$1:$V$200,TESTS!C$1-1,0)</f>
        <v>10486620567.375887</v>
      </c>
      <c r="D66" s="76" t="e">
        <f>VLOOKUP($A66,IMS!$B$2:$V$89,TESTS!D$2-1,0)</f>
        <v>#N/A</v>
      </c>
      <c r="E66" t="e">
        <f t="shared" si="0"/>
        <v>#N/A</v>
      </c>
      <c r="F66" s="12">
        <f>VLOOKUP($A66,IDX_SPECS!$B$1:$V$200,TESTS!F$1-1,0)</f>
        <v>37735849056.603775</v>
      </c>
      <c r="G66" s="12" t="e">
        <f>VLOOKUP($A66,IMS!$B$2:$V$89,TESTS!G$2-1,0)</f>
        <v>#N/A</v>
      </c>
      <c r="H66" t="e">
        <f t="shared" si="1"/>
        <v>#N/A</v>
      </c>
      <c r="I66" s="79">
        <f>VLOOKUP($A66,IDX_SPECS!$B$1:$V$200,TESTS!I$1-1,0)</f>
        <v>277.89544503546097</v>
      </c>
      <c r="J66" s="79" t="e">
        <f>VLOOKUP($A66,IMS!$B$2:$V$89,TESTS!J$2-1,0)</f>
        <v>#N/A</v>
      </c>
      <c r="K66" t="e">
        <f t="shared" si="2"/>
        <v>#N/A</v>
      </c>
      <c r="L66" s="79">
        <f>VLOOKUP($A66,IDX_SPECS!$B$1:$W$200,TESTS!L$1-1,0)</f>
        <v>283.6662</v>
      </c>
      <c r="M66" s="79" t="e">
        <f>VLOOKUP($A66,IMS!$B$2:$AC$89,TESTS!M$2-1,0)</f>
        <v>#N/A</v>
      </c>
      <c r="N66" t="e">
        <f t="shared" si="3"/>
        <v>#N/A</v>
      </c>
      <c r="O66" s="76">
        <f>VLOOKUP($A66,IDX_SPECS!$B$1:$V$200,TESTS!O$1-1,0)</f>
        <v>282</v>
      </c>
      <c r="P66" s="76" t="e">
        <f>VLOOKUP($A66,IMS!$B$2:$V$89,TESTS!P$2-1,0)</f>
        <v>#N/A</v>
      </c>
      <c r="Q66" s="76" t="e">
        <f t="shared" si="4"/>
        <v>#N/A</v>
      </c>
      <c r="R66" s="79">
        <f>VLOOKUP($A66,IDX_SPECS!$B$1:$Y$89,TESTS!R$1-1,0)</f>
        <v>-2.0343470475294683</v>
      </c>
      <c r="S66" s="12" t="e">
        <f>VLOOKUP($A66,IMS!$B$2:$AC$89,TESTS!S$2-1,0)</f>
        <v>#N/A</v>
      </c>
      <c r="T66" s="8" t="e">
        <f t="shared" si="5"/>
        <v>#N/A</v>
      </c>
    </row>
    <row r="67" spans="1:20" x14ac:dyDescent="0.2">
      <c r="A67" t="str">
        <f>IF(ISTEXT(IDX_SPECS!B65),IDX_SPECS!B65,"")</f>
        <v>VNXUTPREUR</v>
      </c>
      <c r="C67" s="76">
        <f>VLOOKUP($A67,IDX_SPECS!$B$1:$V$200,TESTS!C$1-1,0)</f>
        <v>99200253.063667119</v>
      </c>
      <c r="D67" s="76" t="e">
        <f>VLOOKUP($A67,IMS!$B$2:$V$89,TESTS!D$2-1,0)</f>
        <v>#N/A</v>
      </c>
      <c r="E67" t="e">
        <f t="shared" si="0"/>
        <v>#N/A</v>
      </c>
      <c r="F67" s="12">
        <f>VLOOKUP($A67,IDX_SPECS!$B$1:$V$200,TESTS!F$1-1,0)</f>
        <v>344827586.20689654</v>
      </c>
      <c r="G67" s="12" t="e">
        <f>VLOOKUP($A67,IMS!$B$2:$V$89,TESTS!G$2-1,0)</f>
        <v>#N/A</v>
      </c>
      <c r="H67" t="e">
        <f t="shared" si="1"/>
        <v>#N/A</v>
      </c>
      <c r="I67" s="79">
        <f>VLOOKUP($A67,IDX_SPECS!$B$1:$V$200,TESTS!I$1-1,0)</f>
        <v>287.68073388463466</v>
      </c>
      <c r="J67" s="79" t="e">
        <f>VLOOKUP($A67,IMS!$B$2:$V$89,TESTS!J$2-1,0)</f>
        <v>#N/A</v>
      </c>
      <c r="K67" t="e">
        <f t="shared" si="2"/>
        <v>#N/A</v>
      </c>
      <c r="L67" s="79">
        <f>VLOOKUP($A67,IDX_SPECS!$B$1:$W$200,TESTS!L$1-1,0)</f>
        <v>304.07920000000001</v>
      </c>
      <c r="M67" s="79" t="e">
        <f>VLOOKUP($A67,IMS!$B$2:$AC$89,TESTS!M$2-1,0)</f>
        <v>#N/A</v>
      </c>
      <c r="N67" t="e">
        <f t="shared" si="3"/>
        <v>#N/A</v>
      </c>
      <c r="O67" s="76">
        <f>VLOOKUP($A67,IDX_SPECS!$B$1:$V$200,TESTS!O$1-1,0)</f>
        <v>29810.68</v>
      </c>
      <c r="P67" s="76" t="e">
        <f>VLOOKUP($A67,IMS!$B$2:$V$89,TESTS!P$2-1,0)</f>
        <v>#N/A</v>
      </c>
      <c r="Q67" s="76" t="e">
        <f t="shared" si="4"/>
        <v>#N/A</v>
      </c>
      <c r="R67" s="79">
        <f>VLOOKUP($A67,IDX_SPECS!$B$1:$Y$89,TESTS!R$1-1,0)</f>
        <v>-5.392827301362721</v>
      </c>
      <c r="S67" s="12" t="e">
        <f>VLOOKUP($A67,IMS!$B$2:$AC$89,TESTS!S$2-1,0)</f>
        <v>#N/A</v>
      </c>
      <c r="T67" s="8" t="e">
        <f t="shared" si="5"/>
        <v>#N/A</v>
      </c>
    </row>
    <row r="68" spans="1:20" x14ac:dyDescent="0.2">
      <c r="A68" t="str">
        <f>IF(ISTEXT(IDX_SPECS!B66),IDX_SPECS!B66,"")</f>
        <v>VNXBMTRVND</v>
      </c>
      <c r="C68" s="76">
        <f>VLOOKUP($A68,IDX_SPECS!$B$1:$V$200,TESTS!C$1-1,0)</f>
        <v>14803791408000</v>
      </c>
      <c r="D68" s="76" t="e">
        <f>VLOOKUP($A68,IMS!$B$2:$V$89,TESTS!D$2-1,0)</f>
        <v>#N/A</v>
      </c>
      <c r="E68" t="e">
        <f t="shared" si="0"/>
        <v>#N/A</v>
      </c>
      <c r="F68" s="12">
        <f>VLOOKUP($A68,IDX_SPECS!$B$1:$V$200,TESTS!F$1-1,0)</f>
        <v>10000000000000</v>
      </c>
      <c r="G68" s="12" t="e">
        <f>VLOOKUP($A68,IMS!$B$2:$V$89,TESTS!G$2-1,0)</f>
        <v>#N/A</v>
      </c>
      <c r="H68" t="e">
        <f t="shared" si="1"/>
        <v>#N/A</v>
      </c>
      <c r="I68" s="79">
        <f>VLOOKUP($A68,IDX_SPECS!$B$1:$V$200,TESTS!I$1-1,0)</f>
        <v>1572.0839193562765</v>
      </c>
      <c r="J68" s="79" t="e">
        <f>VLOOKUP($A68,IMS!$B$2:$V$89,TESTS!J$2-1,0)</f>
        <v>#N/A</v>
      </c>
      <c r="K68" t="e">
        <f t="shared" si="2"/>
        <v>#N/A</v>
      </c>
      <c r="L68" s="79">
        <f>VLOOKUP($A68,IDX_SPECS!$B$1:$W$200,TESTS!L$1-1,0)</f>
        <v>1598.191</v>
      </c>
      <c r="M68" s="79" t="e">
        <f>VLOOKUP($A68,IMS!$B$2:$AC$89,TESTS!M$2-1,0)</f>
        <v>#N/A</v>
      </c>
      <c r="N68" t="e">
        <f t="shared" si="3"/>
        <v>#N/A</v>
      </c>
      <c r="O68" s="76">
        <f>VLOOKUP($A68,IDX_SPECS!$B$1:$V$200,TESTS!O$1-1,0)</f>
        <v>1</v>
      </c>
      <c r="P68" s="76" t="e">
        <f>VLOOKUP($A68,IMS!$B$2:$V$89,TESTS!P$2-1,0)</f>
        <v>#N/A</v>
      </c>
      <c r="Q68" s="76" t="e">
        <f t="shared" si="4"/>
        <v>#N/A</v>
      </c>
      <c r="R68" s="79">
        <f>VLOOKUP($A68,IDX_SPECS!$B$1:$Y$89,TESTS!R$1-1,0)</f>
        <v>-1.6335394607855707</v>
      </c>
      <c r="S68" s="12" t="e">
        <f>VLOOKUP($A68,IMS!$B$2:$AC$89,TESTS!S$2-1,0)</f>
        <v>#N/A</v>
      </c>
      <c r="T68" s="8" t="e">
        <f t="shared" si="5"/>
        <v>#N/A</v>
      </c>
    </row>
    <row r="69" spans="1:20" x14ac:dyDescent="0.2">
      <c r="A69" t="str">
        <f>IF(ISTEXT(IDX_SPECS!B67),IDX_SPECS!B67,"")</f>
        <v>VNXBMTRUSD</v>
      </c>
      <c r="C69" s="76">
        <f>VLOOKUP($A69,IDX_SPECS!$B$1:$V$200,TESTS!C$1-1,0)</f>
        <v>676281014.52718139</v>
      </c>
      <c r="D69" s="76" t="e">
        <f>VLOOKUP($A69,IMS!$B$2:$V$89,TESTS!D$2-1,0)</f>
        <v>#N/A</v>
      </c>
      <c r="E69" t="e">
        <f t="shared" ref="E69:E91" si="6">ABS(ROUND(C69,$C$2)-ROUND(D69,$C$2))</f>
        <v>#N/A</v>
      </c>
      <c r="F69" s="12">
        <f>VLOOKUP($A69,IDX_SPECS!$B$1:$V$200,TESTS!F$1-1,0)</f>
        <v>476190476190.4762</v>
      </c>
      <c r="G69" s="12" t="e">
        <f>VLOOKUP($A69,IMS!$B$2:$V$89,TESTS!G$2-1,0)</f>
        <v>#N/A</v>
      </c>
      <c r="H69" t="e">
        <f t="shared" ref="H69:H91" si="7">ABS(ROUND(F69,$F$2)-ROUND(G69,$F$2))</f>
        <v>#N/A</v>
      </c>
      <c r="I69" s="79">
        <f>VLOOKUP($A69,IDX_SPECS!$B$1:$V$200,TESTS!I$1-1,0)</f>
        <v>1414.0902087916224</v>
      </c>
      <c r="J69" s="79" t="e">
        <f>VLOOKUP($A69,IMS!$B$2:$V$89,TESTS!J$2-1,0)</f>
        <v>#N/A</v>
      </c>
      <c r="K69" t="e">
        <f t="shared" ref="K69:K91" si="8">ABS(ROUND(I69,$I$2)-ROUND(J69,$I$2))</f>
        <v>#N/A</v>
      </c>
      <c r="L69" s="79">
        <f>VLOOKUP($A69,IDX_SPECS!$B$1:$W$200,TESTS!L$1-1,0)</f>
        <v>1356.6949999999999</v>
      </c>
      <c r="M69" s="79" t="e">
        <f>VLOOKUP($A69,IMS!$B$2:$AC$89,TESTS!M$2-1,0)</f>
        <v>#N/A</v>
      </c>
      <c r="N69" t="e">
        <f t="shared" ref="N69:N91" si="9">ABS(ROUND(L69,$L$2)-ROUND(M69,$L$2))</f>
        <v>#N/A</v>
      </c>
      <c r="O69" s="76">
        <f>VLOOKUP($A69,IDX_SPECS!$B$1:$V$200,TESTS!O$1-1,0)</f>
        <v>21890</v>
      </c>
      <c r="P69" s="76" t="e">
        <f>VLOOKUP($A69,IMS!$B$2:$V$89,TESTS!P$2-1,0)</f>
        <v>#N/A</v>
      </c>
      <c r="Q69" s="76" t="e">
        <f t="shared" ref="Q69:Q91" si="10">ABS(ROUND(O69,$O$2)-ROUND(P69,$O$2))</f>
        <v>#N/A</v>
      </c>
      <c r="R69" s="79">
        <f>VLOOKUP($A69,IDX_SPECS!$B$1:$Y$89,TESTS!R$1-1,0)</f>
        <v>4.2305167183208097</v>
      </c>
      <c r="S69" s="12" t="e">
        <f>VLOOKUP($A69,IMS!$B$2:$AC$89,TESTS!S$2-1,0)</f>
        <v>#N/A</v>
      </c>
      <c r="T69" s="8" t="e">
        <f t="shared" ref="T69:T91" si="11">ABS(ROUND(R69,$O$2)-ROUND(S69,$O$2))</f>
        <v>#N/A</v>
      </c>
    </row>
    <row r="70" spans="1:20" x14ac:dyDescent="0.2">
      <c r="A70" t="str">
        <f>IF(ISTEXT(IDX_SPECS!B68),IDX_SPECS!B68,"")</f>
        <v>VNXBMTRJPY</v>
      </c>
      <c r="C70" s="76">
        <f>VLOOKUP($A70,IDX_SPECS!$B$1:$V$200,TESTS!C$1-1,0)</f>
        <v>52495714212.765961</v>
      </c>
      <c r="D70" s="76" t="e">
        <f>VLOOKUP($A70,IMS!$B$2:$V$89,TESTS!D$2-1,0)</f>
        <v>#N/A</v>
      </c>
      <c r="E70" t="e">
        <f t="shared" si="6"/>
        <v>#N/A</v>
      </c>
      <c r="F70" s="12">
        <f>VLOOKUP($A70,IDX_SPECS!$B$1:$V$200,TESTS!F$1-1,0)</f>
        <v>37735849056.603775</v>
      </c>
      <c r="G70" s="12" t="e">
        <f>VLOOKUP($A70,IMS!$B$2:$V$89,TESTS!G$2-1,0)</f>
        <v>#N/A</v>
      </c>
      <c r="H70" t="e">
        <f t="shared" si="7"/>
        <v>#N/A</v>
      </c>
      <c r="I70" s="79">
        <f>VLOOKUP($A70,IDX_SPECS!$B$1:$V$200,TESTS!I$1-1,0)</f>
        <v>1689.9633314358146</v>
      </c>
      <c r="J70" s="79" t="e">
        <f>VLOOKUP($A70,IMS!$B$2:$V$89,TESTS!J$2-1,0)</f>
        <v>#N/A</v>
      </c>
      <c r="K70" t="e">
        <f t="shared" si="8"/>
        <v>#N/A</v>
      </c>
      <c r="L70" s="79">
        <f>VLOOKUP($A70,IDX_SPECS!$B$1:$W$200,TESTS!L$1-1,0)</f>
        <v>1667.0129999999999</v>
      </c>
      <c r="M70" s="79" t="e">
        <f>VLOOKUP($A70,IMS!$B$2:$AC$89,TESTS!M$2-1,0)</f>
        <v>#N/A</v>
      </c>
      <c r="N70" t="e">
        <f t="shared" si="9"/>
        <v>#N/A</v>
      </c>
      <c r="O70" s="76">
        <f>VLOOKUP($A70,IDX_SPECS!$B$1:$V$200,TESTS!O$1-1,0)</f>
        <v>282</v>
      </c>
      <c r="P70" s="76" t="e">
        <f>VLOOKUP($A70,IMS!$B$2:$V$89,TESTS!P$2-1,0)</f>
        <v>#N/A</v>
      </c>
      <c r="Q70" s="76" t="e">
        <f t="shared" si="10"/>
        <v>#N/A</v>
      </c>
      <c r="R70" s="79">
        <f>VLOOKUP($A70,IDX_SPECS!$B$1:$Y$89,TESTS!R$1-1,0)</f>
        <v>1.3767338008650583</v>
      </c>
      <c r="S70" s="12" t="e">
        <f>VLOOKUP($A70,IMS!$B$2:$AC$89,TESTS!S$2-1,0)</f>
        <v>#N/A</v>
      </c>
      <c r="T70" s="8" t="e">
        <f t="shared" si="11"/>
        <v>#N/A</v>
      </c>
    </row>
    <row r="71" spans="1:20" x14ac:dyDescent="0.2">
      <c r="A71" t="str">
        <f>IF(ISTEXT(IDX_SPECS!B69),IDX_SPECS!B69,"")</f>
        <v>VNXBMTREUR</v>
      </c>
      <c r="C71" s="76">
        <f>VLOOKUP($A71,IDX_SPECS!$B$1:$V$200,TESTS!C$1-1,0)</f>
        <v>496593549.96263081</v>
      </c>
      <c r="D71" s="76" t="e">
        <f>VLOOKUP($A71,IMS!$B$2:$V$89,TESTS!D$2-1,0)</f>
        <v>#N/A</v>
      </c>
      <c r="E71" t="e">
        <f t="shared" si="6"/>
        <v>#N/A</v>
      </c>
      <c r="F71" s="12">
        <f>VLOOKUP($A71,IDX_SPECS!$B$1:$V$200,TESTS!F$1-1,0)</f>
        <v>344827586206.89655</v>
      </c>
      <c r="G71" s="12" t="e">
        <f>VLOOKUP($A71,IMS!$B$2:$V$89,TESTS!G$2-1,0)</f>
        <v>#N/A</v>
      </c>
      <c r="H71" t="e">
        <f t="shared" si="7"/>
        <v>#N/A</v>
      </c>
      <c r="I71" s="79">
        <f>VLOOKUP($A71,IDX_SPECS!$B$1:$V$200,TESTS!I$1-1,0)</f>
        <v>1356.2927077094992</v>
      </c>
      <c r="J71" s="79" t="e">
        <f>VLOOKUP($A71,IMS!$B$2:$V$89,TESTS!J$2-1,0)</f>
        <v>#N/A</v>
      </c>
      <c r="K71" t="e">
        <f t="shared" si="8"/>
        <v>#N/A</v>
      </c>
      <c r="L71" s="79">
        <f>VLOOKUP($A71,IDX_SPECS!$B$1:$W$200,TESTS!L$1-1,0)</f>
        <v>1434.7950000000001</v>
      </c>
      <c r="M71" s="79" t="e">
        <f>VLOOKUP($A71,IMS!$B$2:$AC$89,TESTS!M$2-1,0)</f>
        <v>#N/A</v>
      </c>
      <c r="N71" t="e">
        <f t="shared" si="9"/>
        <v>#N/A</v>
      </c>
      <c r="O71" s="76">
        <f>VLOOKUP($A71,IDX_SPECS!$B$1:$V$200,TESTS!O$1-1,0)</f>
        <v>29810.68</v>
      </c>
      <c r="P71" s="76" t="e">
        <f>VLOOKUP($A71,IMS!$B$2:$V$89,TESTS!P$2-1,0)</f>
        <v>#N/A</v>
      </c>
      <c r="Q71" s="76" t="e">
        <f t="shared" si="10"/>
        <v>#N/A</v>
      </c>
      <c r="R71" s="79">
        <f>VLOOKUP($A71,IDX_SPECS!$B$1:$Y$89,TESTS!R$1-1,0)</f>
        <v>-5.4713246345645832</v>
      </c>
      <c r="S71" s="12" t="e">
        <f>VLOOKUP($A71,IMS!$B$2:$AC$89,TESTS!S$2-1,0)</f>
        <v>#N/A</v>
      </c>
      <c r="T71" s="8" t="e">
        <f t="shared" si="11"/>
        <v>#N/A</v>
      </c>
    </row>
    <row r="72" spans="1:20" x14ac:dyDescent="0.2">
      <c r="A72" t="str">
        <f>IF(ISTEXT(IDX_SPECS!B70),IDX_SPECS!B70,"")</f>
        <v>VNXCSTRVND</v>
      </c>
      <c r="C72" s="76">
        <f>VLOOKUP($A72,IDX_SPECS!$B$1:$V$200,TESTS!C$1-1,0)</f>
        <v>788158560000</v>
      </c>
      <c r="D72" s="76" t="e">
        <f>VLOOKUP($A72,IMS!$B$2:$V$89,TESTS!D$2-1,0)</f>
        <v>#N/A</v>
      </c>
      <c r="E72" t="e">
        <f t="shared" si="6"/>
        <v>#N/A</v>
      </c>
      <c r="F72" s="12">
        <f>VLOOKUP($A72,IDX_SPECS!$B$1:$V$200,TESTS!F$1-1,0)</f>
        <v>10000000000000</v>
      </c>
      <c r="G72" s="12" t="e">
        <f>VLOOKUP($A72,IMS!$B$2:$V$89,TESTS!G$2-1,0)</f>
        <v>#N/A</v>
      </c>
      <c r="H72" t="e">
        <f t="shared" si="7"/>
        <v>#N/A</v>
      </c>
      <c r="I72" s="79">
        <f>VLOOKUP($A72,IDX_SPECS!$B$1:$V$200,TESTS!I$1-1,0)</f>
        <v>115.6852126298579</v>
      </c>
      <c r="J72" s="79" t="e">
        <f>VLOOKUP($A72,IMS!$B$2:$V$89,TESTS!J$2-1,0)</f>
        <v>#N/A</v>
      </c>
      <c r="K72" t="e">
        <f t="shared" si="8"/>
        <v>#N/A</v>
      </c>
      <c r="L72" s="79">
        <f>VLOOKUP($A72,IDX_SPECS!$B$1:$W$200,TESTS!L$1-1,0)</f>
        <v>104.3109</v>
      </c>
      <c r="M72" s="79" t="e">
        <f>VLOOKUP($A72,IMS!$B$2:$AC$89,TESTS!M$2-1,0)</f>
        <v>#N/A</v>
      </c>
      <c r="N72" t="e">
        <f t="shared" si="9"/>
        <v>#N/A</v>
      </c>
      <c r="O72" s="76">
        <f>VLOOKUP($A72,IDX_SPECS!$B$1:$V$200,TESTS!O$1-1,0)</f>
        <v>1</v>
      </c>
      <c r="P72" s="76" t="e">
        <f>VLOOKUP($A72,IMS!$B$2:$V$89,TESTS!P$2-1,0)</f>
        <v>#N/A</v>
      </c>
      <c r="Q72" s="76" t="e">
        <f t="shared" si="10"/>
        <v>#N/A</v>
      </c>
      <c r="R72" s="79">
        <f>VLOOKUP($A72,IDX_SPECS!$B$1:$Y$89,TESTS!R$1-1,0)</f>
        <v>10.904241675470058</v>
      </c>
      <c r="S72" s="12" t="e">
        <f>VLOOKUP($A72,IMS!$B$2:$AC$89,TESTS!S$2-1,0)</f>
        <v>#N/A</v>
      </c>
      <c r="T72" s="8" t="e">
        <f t="shared" si="11"/>
        <v>#N/A</v>
      </c>
    </row>
    <row r="73" spans="1:20" x14ac:dyDescent="0.2">
      <c r="A73" t="str">
        <f>IF(ISTEXT(IDX_SPECS!B71),IDX_SPECS!B71,"")</f>
        <v>VNXCSTRUSD</v>
      </c>
      <c r="C73" s="76">
        <f>VLOOKUP($A73,IDX_SPECS!$B$1:$V$200,TESTS!C$1-1,0)</f>
        <v>36005416.171767928</v>
      </c>
      <c r="D73" s="76" t="e">
        <f>VLOOKUP($A73,IMS!$B$2:$V$89,TESTS!D$2-1,0)</f>
        <v>#N/A</v>
      </c>
      <c r="E73" t="e">
        <f t="shared" si="6"/>
        <v>#N/A</v>
      </c>
      <c r="F73" s="12">
        <f>VLOOKUP($A73,IDX_SPECS!$B$1:$V$200,TESTS!F$1-1,0)</f>
        <v>476190476190.4762</v>
      </c>
      <c r="G73" s="12" t="e">
        <f>VLOOKUP($A73,IMS!$B$2:$V$89,TESTS!G$2-1,0)</f>
        <v>#N/A</v>
      </c>
      <c r="H73" t="e">
        <f t="shared" si="7"/>
        <v>#N/A</v>
      </c>
      <c r="I73" s="79">
        <f>VLOOKUP($A73,IDX_SPECS!$B$1:$V$200,TESTS!I$1-1,0)</f>
        <v>69.269659572267813</v>
      </c>
      <c r="J73" s="79" t="e">
        <f>VLOOKUP($A73,IMS!$B$2:$V$89,TESTS!J$2-1,0)</f>
        <v>#N/A</v>
      </c>
      <c r="K73" t="e">
        <f t="shared" si="8"/>
        <v>#N/A</v>
      </c>
      <c r="L73" s="79">
        <f>VLOOKUP($A73,IDX_SPECS!$B$1:$W$200,TESTS!L$1-1,0)</f>
        <v>69.260379999999998</v>
      </c>
      <c r="M73" s="79" t="e">
        <f>VLOOKUP($A73,IMS!$B$2:$AC$89,TESTS!M$2-1,0)</f>
        <v>#N/A</v>
      </c>
      <c r="N73" t="e">
        <f t="shared" si="9"/>
        <v>#N/A</v>
      </c>
      <c r="O73" s="76">
        <f>VLOOKUP($A73,IDX_SPECS!$B$1:$V$200,TESTS!O$1-1,0)</f>
        <v>21890</v>
      </c>
      <c r="P73" s="76" t="e">
        <f>VLOOKUP($A73,IMS!$B$2:$V$89,TESTS!P$2-1,0)</f>
        <v>#N/A</v>
      </c>
      <c r="Q73" s="76" t="e">
        <f t="shared" si="10"/>
        <v>#N/A</v>
      </c>
      <c r="R73" s="79">
        <f>VLOOKUP($A73,IDX_SPECS!$B$1:$Y$89,TESTS!R$1-1,0)</f>
        <v>1.3398096094498367E-2</v>
      </c>
      <c r="S73" s="12" t="e">
        <f>VLOOKUP($A73,IMS!$B$2:$AC$89,TESTS!S$2-1,0)</f>
        <v>#N/A</v>
      </c>
      <c r="T73" s="8" t="e">
        <f t="shared" si="11"/>
        <v>#N/A</v>
      </c>
    </row>
    <row r="74" spans="1:20" x14ac:dyDescent="0.2">
      <c r="A74" t="str">
        <f>IF(ISTEXT(IDX_SPECS!B72),IDX_SPECS!B72,"")</f>
        <v>VNXCSTRJPY</v>
      </c>
      <c r="C74" s="76">
        <f>VLOOKUP($A74,IDX_SPECS!$B$1:$V$200,TESTS!C$1-1,0)</f>
        <v>2794888510.638298</v>
      </c>
      <c r="D74" s="76" t="e">
        <f>VLOOKUP($A74,IMS!$B$2:$V$89,TESTS!D$2-1,0)</f>
        <v>#N/A</v>
      </c>
      <c r="E74" t="e">
        <f t="shared" si="6"/>
        <v>#N/A</v>
      </c>
      <c r="F74" s="12">
        <f>VLOOKUP($A74,IDX_SPECS!$B$1:$V$200,TESTS!F$1-1,0)</f>
        <v>37735849056.603775</v>
      </c>
      <c r="G74" s="12" t="e">
        <f>VLOOKUP($A74,IMS!$B$2:$V$89,TESTS!G$2-1,0)</f>
        <v>#N/A</v>
      </c>
      <c r="H74" t="e">
        <f t="shared" si="7"/>
        <v>#N/A</v>
      </c>
      <c r="I74" s="79">
        <f>VLOOKUP($A74,IDX_SPECS!$B$1:$V$200,TESTS!I$1-1,0)</f>
        <v>103.21278182429221</v>
      </c>
      <c r="J74" s="79" t="e">
        <f>VLOOKUP($A74,IMS!$B$2:$V$89,TESTS!J$2-1,0)</f>
        <v>#N/A</v>
      </c>
      <c r="K74" t="e">
        <f t="shared" si="8"/>
        <v>#N/A</v>
      </c>
      <c r="L74" s="79">
        <f>VLOOKUP($A74,IDX_SPECS!$B$1:$W$200,TESTS!L$1-1,0)</f>
        <v>92.882379999999998</v>
      </c>
      <c r="M74" s="79" t="e">
        <f>VLOOKUP($A74,IMS!$B$2:$AC$89,TESTS!M$2-1,0)</f>
        <v>#N/A</v>
      </c>
      <c r="N74" t="e">
        <f t="shared" si="9"/>
        <v>#N/A</v>
      </c>
      <c r="O74" s="76">
        <f>VLOOKUP($A74,IDX_SPECS!$B$1:$V$200,TESTS!O$1-1,0)</f>
        <v>282</v>
      </c>
      <c r="P74" s="76" t="e">
        <f>VLOOKUP($A74,IMS!$B$2:$V$89,TESTS!P$2-1,0)</f>
        <v>#N/A</v>
      </c>
      <c r="Q74" s="76" t="e">
        <f t="shared" si="10"/>
        <v>#N/A</v>
      </c>
      <c r="R74" s="79">
        <f>VLOOKUP($A74,IDX_SPECS!$B$1:$Y$89,TESTS!R$1-1,0)</f>
        <v>11.122025323093798</v>
      </c>
      <c r="S74" s="12" t="e">
        <f>VLOOKUP($A74,IMS!$B$2:$AC$89,TESTS!S$2-1,0)</f>
        <v>#N/A</v>
      </c>
      <c r="T74" s="8" t="e">
        <f t="shared" si="11"/>
        <v>#N/A</v>
      </c>
    </row>
    <row r="75" spans="1:20" x14ac:dyDescent="0.2">
      <c r="A75" t="str">
        <f>IF(ISTEXT(IDX_SPECS!B73),IDX_SPECS!B73,"")</f>
        <v>VNXCSTREUR</v>
      </c>
      <c r="C75" s="76">
        <f>VLOOKUP($A75,IDX_SPECS!$B$1:$V$200,TESTS!C$1-1,0)</f>
        <v>26438798.44404757</v>
      </c>
      <c r="D75" s="76" t="e">
        <f>VLOOKUP($A75,IMS!$B$2:$V$89,TESTS!D$2-1,0)</f>
        <v>#N/A</v>
      </c>
      <c r="E75" t="e">
        <f t="shared" si="6"/>
        <v>#N/A</v>
      </c>
      <c r="F75" s="12">
        <f>VLOOKUP($A75,IDX_SPECS!$B$1:$V$200,TESTS!F$1-1,0)</f>
        <v>344827586206.89655</v>
      </c>
      <c r="G75" s="12" t="e">
        <f>VLOOKUP($A75,IMS!$B$2:$V$89,TESTS!G$2-1,0)</f>
        <v>#N/A</v>
      </c>
      <c r="H75" t="e">
        <f t="shared" si="7"/>
        <v>#N/A</v>
      </c>
      <c r="I75" s="79">
        <f>VLOOKUP($A75,IDX_SPECS!$B$1:$V$200,TESTS!I$1-1,0)</f>
        <v>78.735701970086367</v>
      </c>
      <c r="J75" s="79" t="e">
        <f>VLOOKUP($A75,IMS!$B$2:$V$89,TESTS!J$2-1,0)</f>
        <v>#N/A</v>
      </c>
      <c r="K75" t="e">
        <f t="shared" si="8"/>
        <v>#N/A</v>
      </c>
      <c r="L75" s="79">
        <f>VLOOKUP($A75,IDX_SPECS!$B$1:$W$200,TESTS!L$1-1,0)</f>
        <v>82.224379999999996</v>
      </c>
      <c r="M75" s="79" t="e">
        <f>VLOOKUP($A75,IMS!$B$2:$AC$89,TESTS!M$2-1,0)</f>
        <v>#N/A</v>
      </c>
      <c r="N75" t="e">
        <f t="shared" si="9"/>
        <v>#N/A</v>
      </c>
      <c r="O75" s="76">
        <f>VLOOKUP($A75,IDX_SPECS!$B$1:$V$200,TESTS!O$1-1,0)</f>
        <v>29810.68</v>
      </c>
      <c r="P75" s="76" t="e">
        <f>VLOOKUP($A75,IMS!$B$2:$V$89,TESTS!P$2-1,0)</f>
        <v>#N/A</v>
      </c>
      <c r="Q75" s="76" t="e">
        <f t="shared" si="10"/>
        <v>#N/A</v>
      </c>
      <c r="R75" s="79">
        <f>VLOOKUP($A75,IDX_SPECS!$B$1:$Y$89,TESTS!R$1-1,0)</f>
        <v>-4.2428754463258089</v>
      </c>
      <c r="S75" s="12" t="e">
        <f>VLOOKUP($A75,IMS!$B$2:$AC$89,TESTS!S$2-1,0)</f>
        <v>#N/A</v>
      </c>
      <c r="T75" s="8" t="e">
        <f t="shared" si="11"/>
        <v>#N/A</v>
      </c>
    </row>
    <row r="76" spans="1:20" x14ac:dyDescent="0.2">
      <c r="A76" t="str">
        <f>IF(ISTEXT(IDX_SPECS!B74),IDX_SPECS!B74,"")</f>
        <v>VNXFITRVND</v>
      </c>
      <c r="C76" s="76">
        <f>VLOOKUP($A76,IDX_SPECS!$B$1:$V$200,TESTS!C$1-1,0)</f>
        <v>10683771510000</v>
      </c>
      <c r="D76" s="76" t="e">
        <f>VLOOKUP($A76,IMS!$B$2:$V$89,TESTS!D$2-1,0)</f>
        <v>#N/A</v>
      </c>
      <c r="E76" t="e">
        <f t="shared" si="6"/>
        <v>#N/A</v>
      </c>
      <c r="F76" s="12">
        <f>VLOOKUP($A76,IDX_SPECS!$B$1:$V$200,TESTS!F$1-1,0)</f>
        <v>10000000000000</v>
      </c>
      <c r="G76" s="12" t="e">
        <f>VLOOKUP($A76,IMS!$B$2:$V$89,TESTS!G$2-1,0)</f>
        <v>#N/A</v>
      </c>
      <c r="H76" t="e">
        <f t="shared" si="7"/>
        <v>#N/A</v>
      </c>
      <c r="I76" s="79">
        <f>VLOOKUP($A76,IDX_SPECS!$B$1:$V$200,TESTS!I$1-1,0)</f>
        <v>927.5800824124118</v>
      </c>
      <c r="J76" s="79" t="e">
        <f>VLOOKUP($A76,IMS!$B$2:$V$89,TESTS!J$2-1,0)</f>
        <v>#N/A</v>
      </c>
      <c r="K76" t="e">
        <f t="shared" si="8"/>
        <v>#N/A</v>
      </c>
      <c r="L76" s="79">
        <f>VLOOKUP($A76,IDX_SPECS!$B$1:$W$200,TESTS!L$1-1,0)</f>
        <v>942.60699999999997</v>
      </c>
      <c r="M76" s="79" t="e">
        <f>VLOOKUP($A76,IMS!$B$2:$AC$89,TESTS!M$2-1,0)</f>
        <v>#N/A</v>
      </c>
      <c r="N76" t="e">
        <f t="shared" si="9"/>
        <v>#N/A</v>
      </c>
      <c r="O76" s="76">
        <f>VLOOKUP($A76,IDX_SPECS!$B$1:$V$200,TESTS!O$1-1,0)</f>
        <v>1</v>
      </c>
      <c r="P76" s="76" t="e">
        <f>VLOOKUP($A76,IMS!$B$2:$V$89,TESTS!P$2-1,0)</f>
        <v>#N/A</v>
      </c>
      <c r="Q76" s="76" t="e">
        <f t="shared" si="10"/>
        <v>#N/A</v>
      </c>
      <c r="R76" s="79">
        <f>VLOOKUP($A76,IDX_SPECS!$B$1:$Y$89,TESTS!R$1-1,0)</f>
        <v>-1.5941869291855644</v>
      </c>
      <c r="S76" s="12" t="e">
        <f>VLOOKUP($A76,IMS!$B$2:$AC$89,TESTS!S$2-1,0)</f>
        <v>#N/A</v>
      </c>
      <c r="T76" s="8" t="e">
        <f t="shared" si="11"/>
        <v>#N/A</v>
      </c>
    </row>
    <row r="77" spans="1:20" x14ac:dyDescent="0.2">
      <c r="A77" t="str">
        <f>IF(ISTEXT(IDX_SPECS!B75),IDX_SPECS!B75,"")</f>
        <v>VNXFITRUSD</v>
      </c>
      <c r="C77" s="76">
        <f>VLOOKUP($A77,IDX_SPECS!$B$1:$V$200,TESTS!C$1-1,0)</f>
        <v>488066309.27364093</v>
      </c>
      <c r="D77" s="76" t="e">
        <f>VLOOKUP($A77,IMS!$B$2:$V$89,TESTS!D$2-1,0)</f>
        <v>#N/A</v>
      </c>
      <c r="E77" t="e">
        <f t="shared" si="6"/>
        <v>#N/A</v>
      </c>
      <c r="F77" s="12">
        <f>VLOOKUP($A77,IDX_SPECS!$B$1:$V$200,TESTS!F$1-1,0)</f>
        <v>476190476190.4762</v>
      </c>
      <c r="G77" s="12" t="e">
        <f>VLOOKUP($A77,IMS!$B$2:$V$89,TESTS!G$2-1,0)</f>
        <v>#N/A</v>
      </c>
      <c r="H77" t="e">
        <f t="shared" si="7"/>
        <v>#N/A</v>
      </c>
      <c r="I77" s="79">
        <f>VLOOKUP($A77,IDX_SPECS!$B$1:$V$200,TESTS!I$1-1,0)</f>
        <v>964.58011019817411</v>
      </c>
      <c r="J77" s="79" t="e">
        <f>VLOOKUP($A77,IMS!$B$2:$V$89,TESTS!J$2-1,0)</f>
        <v>#N/A</v>
      </c>
      <c r="K77" t="e">
        <f t="shared" si="8"/>
        <v>#N/A</v>
      </c>
      <c r="L77" s="79">
        <f>VLOOKUP($A77,IDX_SPECS!$B$1:$W$200,TESTS!L$1-1,0)</f>
        <v>933.87350000000004</v>
      </c>
      <c r="M77" s="79" t="e">
        <f>VLOOKUP($A77,IMS!$B$2:$AC$89,TESTS!M$2-1,0)</f>
        <v>#N/A</v>
      </c>
      <c r="N77" t="e">
        <f t="shared" si="9"/>
        <v>#N/A</v>
      </c>
      <c r="O77" s="76">
        <f>VLOOKUP($A77,IDX_SPECS!$B$1:$V$200,TESTS!O$1-1,0)</f>
        <v>21890</v>
      </c>
      <c r="P77" s="76" t="e">
        <f>VLOOKUP($A77,IMS!$B$2:$V$89,TESTS!P$2-1,0)</f>
        <v>#N/A</v>
      </c>
      <c r="Q77" s="76" t="e">
        <f t="shared" si="10"/>
        <v>#N/A</v>
      </c>
      <c r="R77" s="79">
        <f>VLOOKUP($A77,IDX_SPECS!$B$1:$Y$89,TESTS!R$1-1,0)</f>
        <v>3.2880909671571228</v>
      </c>
      <c r="S77" s="12" t="e">
        <f>VLOOKUP($A77,IMS!$B$2:$AC$89,TESTS!S$2-1,0)</f>
        <v>#N/A</v>
      </c>
      <c r="T77" s="8" t="e">
        <f t="shared" si="11"/>
        <v>#N/A</v>
      </c>
    </row>
    <row r="78" spans="1:20" x14ac:dyDescent="0.2">
      <c r="A78" t="str">
        <f>IF(ISTEXT(IDX_SPECS!B76),IDX_SPECS!B76,"")</f>
        <v>VNXFITRJPY</v>
      </c>
      <c r="C78" s="76">
        <f>VLOOKUP($A78,IDX_SPECS!$B$1:$V$200,TESTS!C$1-1,0)</f>
        <v>37885714574.468086</v>
      </c>
      <c r="D78" s="76" t="e">
        <f>VLOOKUP($A78,IMS!$B$2:$V$89,TESTS!D$2-1,0)</f>
        <v>#N/A</v>
      </c>
      <c r="E78" t="e">
        <f t="shared" si="6"/>
        <v>#N/A</v>
      </c>
      <c r="F78" s="12">
        <f>VLOOKUP($A78,IDX_SPECS!$B$1:$V$200,TESTS!F$1-1,0)</f>
        <v>37735849056.603775</v>
      </c>
      <c r="G78" s="12" t="e">
        <f>VLOOKUP($A78,IMS!$B$2:$V$89,TESTS!G$2-1,0)</f>
        <v>#N/A</v>
      </c>
      <c r="H78" t="e">
        <f t="shared" si="7"/>
        <v>#N/A</v>
      </c>
      <c r="I78" s="79">
        <f>VLOOKUP($A78,IDX_SPECS!$B$1:$V$200,TESTS!I$1-1,0)</f>
        <v>1052.7193752526596</v>
      </c>
      <c r="J78" s="79" t="e">
        <f>VLOOKUP($A78,IMS!$B$2:$V$89,TESTS!J$2-1,0)</f>
        <v>#N/A</v>
      </c>
      <c r="K78" t="e">
        <f t="shared" si="8"/>
        <v>#N/A</v>
      </c>
      <c r="L78" s="79">
        <f>VLOOKUP($A78,IDX_SPECS!$B$1:$W$200,TESTS!L$1-1,0)</f>
        <v>1026.549</v>
      </c>
      <c r="M78" s="79" t="e">
        <f>VLOOKUP($A78,IMS!$B$2:$AC$89,TESTS!M$2-1,0)</f>
        <v>#N/A</v>
      </c>
      <c r="N78" t="e">
        <f t="shared" si="9"/>
        <v>#N/A</v>
      </c>
      <c r="O78" s="76">
        <f>VLOOKUP($A78,IDX_SPECS!$B$1:$V$200,TESTS!O$1-1,0)</f>
        <v>282</v>
      </c>
      <c r="P78" s="76" t="e">
        <f>VLOOKUP($A78,IMS!$B$2:$V$89,TESTS!P$2-1,0)</f>
        <v>#N/A</v>
      </c>
      <c r="Q78" s="76" t="e">
        <f t="shared" si="10"/>
        <v>#N/A</v>
      </c>
      <c r="R78" s="79">
        <f>VLOOKUP($A78,IDX_SPECS!$B$1:$Y$89,TESTS!R$1-1,0)</f>
        <v>2.5493547071459419</v>
      </c>
      <c r="S78" s="12" t="e">
        <f>VLOOKUP($A78,IMS!$B$2:$AC$89,TESTS!S$2-1,0)</f>
        <v>#N/A</v>
      </c>
      <c r="T78" s="8" t="e">
        <f t="shared" si="11"/>
        <v>#N/A</v>
      </c>
    </row>
    <row r="79" spans="1:20" x14ac:dyDescent="0.2">
      <c r="A79" t="str">
        <f>IF(ISTEXT(IDX_SPECS!B77),IDX_SPECS!B77,"")</f>
        <v>VNXFITREUR</v>
      </c>
      <c r="C79" s="76">
        <f>VLOOKUP($A79,IDX_SPECS!$B$1:$V$200,TESTS!C$1-1,0)</f>
        <v>358387380.29457897</v>
      </c>
      <c r="D79" s="76" t="e">
        <f>VLOOKUP($A79,IMS!$B$2:$V$89,TESTS!D$2-1,0)</f>
        <v>#N/A</v>
      </c>
      <c r="E79" t="e">
        <f t="shared" si="6"/>
        <v>#N/A</v>
      </c>
      <c r="F79" s="12">
        <f>VLOOKUP($A79,IDX_SPECS!$B$1:$V$200,TESTS!F$1-1,0)</f>
        <v>344827586206.89655</v>
      </c>
      <c r="G79" s="12" t="e">
        <f>VLOOKUP($A79,IMS!$B$2:$V$89,TESTS!G$2-1,0)</f>
        <v>#N/A</v>
      </c>
      <c r="H79" t="e">
        <f t="shared" si="7"/>
        <v>#N/A</v>
      </c>
      <c r="I79" s="79">
        <f>VLOOKUP($A79,IDX_SPECS!$B$1:$V$200,TESTS!I$1-1,0)</f>
        <v>987.53597135832672</v>
      </c>
      <c r="J79" s="79" t="e">
        <f>VLOOKUP($A79,IMS!$B$2:$V$89,TESTS!J$2-1,0)</f>
        <v>#N/A</v>
      </c>
      <c r="K79" t="e">
        <f t="shared" si="8"/>
        <v>#N/A</v>
      </c>
      <c r="L79" s="79">
        <f>VLOOKUP($A79,IDX_SPECS!$B$1:$W$200,TESTS!L$1-1,0)</f>
        <v>1018.629</v>
      </c>
      <c r="M79" s="79" t="e">
        <f>VLOOKUP($A79,IMS!$B$2:$AC$89,TESTS!M$2-1,0)</f>
        <v>#N/A</v>
      </c>
      <c r="N79" t="e">
        <f t="shared" si="9"/>
        <v>#N/A</v>
      </c>
      <c r="O79" s="76">
        <f>VLOOKUP($A79,IDX_SPECS!$B$1:$V$200,TESTS!O$1-1,0)</f>
        <v>29810.68</v>
      </c>
      <c r="P79" s="76" t="e">
        <f>VLOOKUP($A79,IMS!$B$2:$V$89,TESTS!P$2-1,0)</f>
        <v>#N/A</v>
      </c>
      <c r="Q79" s="76" t="e">
        <f t="shared" si="10"/>
        <v>#N/A</v>
      </c>
      <c r="R79" s="79">
        <f>VLOOKUP($A79,IDX_SPECS!$B$1:$Y$89,TESTS!R$1-1,0)</f>
        <v>-3.0524389784380084</v>
      </c>
      <c r="S79" s="12" t="e">
        <f>VLOOKUP($A79,IMS!$B$2:$AC$89,TESTS!S$2-1,0)</f>
        <v>#N/A</v>
      </c>
      <c r="T79" s="8" t="e">
        <f t="shared" si="11"/>
        <v>#N/A</v>
      </c>
    </row>
    <row r="80" spans="1:20" x14ac:dyDescent="0.2">
      <c r="A80" t="str">
        <f>IF(ISTEXT(IDX_SPECS!B78),IDX_SPECS!B78,"")</f>
        <v>VNXINTRVND</v>
      </c>
      <c r="C80" s="76">
        <f>VLOOKUP($A80,IDX_SPECS!$B$1:$V$200,TESTS!C$1-1,0)</f>
        <v>12555633734400</v>
      </c>
      <c r="D80" s="76" t="e">
        <f>VLOOKUP($A80,IMS!$B$2:$V$89,TESTS!D$2-1,0)</f>
        <v>#N/A</v>
      </c>
      <c r="E80" t="e">
        <f t="shared" si="6"/>
        <v>#N/A</v>
      </c>
      <c r="F80" s="12">
        <f>VLOOKUP($A80,IDX_SPECS!$B$1:$V$200,TESTS!F$1-1,0)</f>
        <v>10000000000000</v>
      </c>
      <c r="G80" s="12" t="e">
        <f>VLOOKUP($A80,IMS!$B$2:$V$89,TESTS!G$2-1,0)</f>
        <v>#N/A</v>
      </c>
      <c r="H80" t="e">
        <f t="shared" si="7"/>
        <v>#N/A</v>
      </c>
      <c r="I80" s="79">
        <f>VLOOKUP($A80,IDX_SPECS!$B$1:$V$200,TESTS!I$1-1,0)</f>
        <v>1457.7818717248695</v>
      </c>
      <c r="J80" s="79" t="e">
        <f>VLOOKUP($A80,IMS!$B$2:$V$89,TESTS!J$2-1,0)</f>
        <v>#N/A</v>
      </c>
      <c r="K80" t="e">
        <f t="shared" si="8"/>
        <v>#N/A</v>
      </c>
      <c r="L80" s="79">
        <f>VLOOKUP($A80,IDX_SPECS!$B$1:$W$200,TESTS!L$1-1,0)</f>
        <v>1362.3</v>
      </c>
      <c r="M80" s="79" t="e">
        <f>VLOOKUP($A80,IMS!$B$2:$AC$89,TESTS!M$2-1,0)</f>
        <v>#N/A</v>
      </c>
      <c r="N80" t="e">
        <f t="shared" si="9"/>
        <v>#N/A</v>
      </c>
      <c r="O80" s="76">
        <f>VLOOKUP($A80,IDX_SPECS!$B$1:$V$200,TESTS!O$1-1,0)</f>
        <v>1</v>
      </c>
      <c r="P80" s="76" t="e">
        <f>VLOOKUP($A80,IMS!$B$2:$V$89,TESTS!P$2-1,0)</f>
        <v>#N/A</v>
      </c>
      <c r="Q80" s="76" t="e">
        <f t="shared" si="10"/>
        <v>#N/A</v>
      </c>
      <c r="R80" s="79">
        <f>VLOOKUP($A80,IDX_SPECS!$B$1:$Y$89,TESTS!R$1-1,0)</f>
        <v>7.0088726216596582</v>
      </c>
      <c r="S80" s="12" t="e">
        <f>VLOOKUP($A80,IMS!$B$2:$AC$89,TESTS!S$2-1,0)</f>
        <v>#N/A</v>
      </c>
      <c r="T80" s="8" t="e">
        <f t="shared" si="11"/>
        <v>#N/A</v>
      </c>
    </row>
    <row r="81" spans="1:20" x14ac:dyDescent="0.2">
      <c r="A81" t="str">
        <f>IF(ISTEXT(IDX_SPECS!B79),IDX_SPECS!B79,"")</f>
        <v>VNXINTRUSD</v>
      </c>
      <c r="C81" s="76">
        <f>VLOOKUP($A81,IDX_SPECS!$B$1:$V$200,TESTS!C$1-1,0)</f>
        <v>573578516.87528551</v>
      </c>
      <c r="D81" s="76" t="e">
        <f>VLOOKUP($A81,IMS!$B$2:$V$89,TESTS!D$2-1,0)</f>
        <v>#N/A</v>
      </c>
      <c r="E81" t="e">
        <f t="shared" si="6"/>
        <v>#N/A</v>
      </c>
      <c r="F81" s="12">
        <f>VLOOKUP($A81,IDX_SPECS!$B$1:$V$200,TESTS!F$1-1,0)</f>
        <v>476190476190.4762</v>
      </c>
      <c r="G81" s="12" t="e">
        <f>VLOOKUP($A81,IMS!$B$2:$V$89,TESTS!G$2-1,0)</f>
        <v>#N/A</v>
      </c>
      <c r="H81" t="e">
        <f t="shared" si="7"/>
        <v>#N/A</v>
      </c>
      <c r="I81" s="79">
        <f>VLOOKUP($A81,IDX_SPECS!$B$1:$V$200,TESTS!I$1-1,0)</f>
        <v>1131.7934850458964</v>
      </c>
      <c r="J81" s="79" t="e">
        <f>VLOOKUP($A81,IMS!$B$2:$V$89,TESTS!J$2-1,0)</f>
        <v>#N/A</v>
      </c>
      <c r="K81" t="e">
        <f t="shared" si="8"/>
        <v>#N/A</v>
      </c>
      <c r="L81" s="79">
        <f>VLOOKUP($A81,IDX_SPECS!$B$1:$W$200,TESTS!L$1-1,0)</f>
        <v>1131.752</v>
      </c>
      <c r="M81" s="79" t="e">
        <f>VLOOKUP($A81,IMS!$B$2:$AC$89,TESTS!M$2-1,0)</f>
        <v>#N/A</v>
      </c>
      <c r="N81" t="e">
        <f t="shared" si="9"/>
        <v>#N/A</v>
      </c>
      <c r="O81" s="76">
        <f>VLOOKUP($A81,IDX_SPECS!$B$1:$V$200,TESTS!O$1-1,0)</f>
        <v>21890</v>
      </c>
      <c r="P81" s="76" t="e">
        <f>VLOOKUP($A81,IMS!$B$2:$V$89,TESTS!P$2-1,0)</f>
        <v>#N/A</v>
      </c>
      <c r="Q81" s="76" t="e">
        <f t="shared" si="10"/>
        <v>#N/A</v>
      </c>
      <c r="R81" s="79">
        <f>VLOOKUP($A81,IDX_SPECS!$B$1:$Y$89,TESTS!R$1-1,0)</f>
        <v>3.6655597601311313E-3</v>
      </c>
      <c r="S81" s="12" t="e">
        <f>VLOOKUP($A81,IMS!$B$2:$AC$89,TESTS!S$2-1,0)</f>
        <v>#N/A</v>
      </c>
      <c r="T81" s="8" t="e">
        <f t="shared" si="11"/>
        <v>#N/A</v>
      </c>
    </row>
    <row r="82" spans="1:20" x14ac:dyDescent="0.2">
      <c r="A82" t="str">
        <f>IF(ISTEXT(IDX_SPECS!B80),IDX_SPECS!B80,"")</f>
        <v>VNXINTRJPY</v>
      </c>
      <c r="C82" s="76">
        <f>VLOOKUP($A82,IDX_SPECS!$B$1:$V$200,TESTS!C$1-1,0)</f>
        <v>44523523880.851067</v>
      </c>
      <c r="D82" s="76" t="e">
        <f>VLOOKUP($A82,IMS!$B$2:$V$89,TESTS!D$2-1,0)</f>
        <v>#N/A</v>
      </c>
      <c r="E82" t="e">
        <f t="shared" si="6"/>
        <v>#N/A</v>
      </c>
      <c r="F82" s="12">
        <f>VLOOKUP($A82,IDX_SPECS!$B$1:$V$200,TESTS!F$1-1,0)</f>
        <v>37735849056.603775</v>
      </c>
      <c r="G82" s="12" t="e">
        <f>VLOOKUP($A82,IMS!$B$2:$V$89,TESTS!G$2-1,0)</f>
        <v>#N/A</v>
      </c>
      <c r="H82" t="e">
        <f t="shared" si="7"/>
        <v>#N/A</v>
      </c>
      <c r="I82" s="79">
        <f>VLOOKUP($A82,IDX_SPECS!$B$1:$V$200,TESTS!I$1-1,0)</f>
        <v>1403.1581352681933</v>
      </c>
      <c r="J82" s="79" t="e">
        <f>VLOOKUP($A82,IMS!$B$2:$V$89,TESTS!J$2-1,0)</f>
        <v>#N/A</v>
      </c>
      <c r="K82" t="e">
        <f t="shared" si="8"/>
        <v>#N/A</v>
      </c>
      <c r="L82" s="79">
        <f>VLOOKUP($A82,IDX_SPECS!$B$1:$W$200,TESTS!L$1-1,0)</f>
        <v>1311.317</v>
      </c>
      <c r="M82" s="79" t="e">
        <f>VLOOKUP($A82,IMS!$B$2:$AC$89,TESTS!M$2-1,0)</f>
        <v>#N/A</v>
      </c>
      <c r="N82" t="e">
        <f t="shared" si="9"/>
        <v>#N/A</v>
      </c>
      <c r="O82" s="76">
        <f>VLOOKUP($A82,IDX_SPECS!$B$1:$V$200,TESTS!O$1-1,0)</f>
        <v>282</v>
      </c>
      <c r="P82" s="76" t="e">
        <f>VLOOKUP($A82,IMS!$B$2:$V$89,TESTS!P$2-1,0)</f>
        <v>#N/A</v>
      </c>
      <c r="Q82" s="76" t="e">
        <f t="shared" si="10"/>
        <v>#N/A</v>
      </c>
      <c r="R82" s="79">
        <f>VLOOKUP($A82,IDX_SPECS!$B$1:$Y$89,TESTS!R$1-1,0)</f>
        <v>7.0037325275424083</v>
      </c>
      <c r="S82" s="12" t="e">
        <f>VLOOKUP($A82,IMS!$B$2:$AC$89,TESTS!S$2-1,0)</f>
        <v>#N/A</v>
      </c>
      <c r="T82" s="8" t="e">
        <f t="shared" si="11"/>
        <v>#N/A</v>
      </c>
    </row>
    <row r="83" spans="1:20" x14ac:dyDescent="0.2">
      <c r="A83" t="str">
        <f>IF(ISTEXT(IDX_SPECS!B81),IDX_SPECS!B81,"")</f>
        <v>VNXINTREUR</v>
      </c>
      <c r="C83" s="76">
        <f>VLOOKUP($A83,IDX_SPECS!$B$1:$V$200,TESTS!C$1-1,0)</f>
        <v>421179045.04023391</v>
      </c>
      <c r="D83" s="76" t="e">
        <f>VLOOKUP($A83,IMS!$B$2:$V$89,TESTS!D$2-1,0)</f>
        <v>#N/A</v>
      </c>
      <c r="E83" t="e">
        <f t="shared" si="6"/>
        <v>#N/A</v>
      </c>
      <c r="F83" s="12">
        <f>VLOOKUP($A83,IDX_SPECS!$B$1:$V$200,TESTS!F$1-1,0)</f>
        <v>344827586206.89655</v>
      </c>
      <c r="G83" s="12" t="e">
        <f>VLOOKUP($A83,IMS!$B$2:$V$89,TESTS!G$2-1,0)</f>
        <v>#N/A</v>
      </c>
      <c r="H83" t="e">
        <f t="shared" si="7"/>
        <v>#N/A</v>
      </c>
      <c r="I83" s="79">
        <f>VLOOKUP($A83,IDX_SPECS!$B$1:$V$200,TESTS!I$1-1,0)</f>
        <v>1111.7890674473633</v>
      </c>
      <c r="J83" s="79" t="e">
        <f>VLOOKUP($A83,IMS!$B$2:$V$89,TESTS!J$2-1,0)</f>
        <v>#N/A</v>
      </c>
      <c r="K83" t="e">
        <f t="shared" si="8"/>
        <v>#N/A</v>
      </c>
      <c r="L83" s="79">
        <f>VLOOKUP($A83,IDX_SPECS!$B$1:$W$200,TESTS!L$1-1,0)</f>
        <v>1111.748</v>
      </c>
      <c r="M83" s="79" t="e">
        <f>VLOOKUP($A83,IMS!$B$2:$AC$89,TESTS!M$2-1,0)</f>
        <v>#N/A</v>
      </c>
      <c r="N83" t="e">
        <f t="shared" si="9"/>
        <v>#N/A</v>
      </c>
      <c r="O83" s="76">
        <f>VLOOKUP($A83,IDX_SPECS!$B$1:$V$200,TESTS!O$1-1,0)</f>
        <v>29810.68</v>
      </c>
      <c r="P83" s="76" t="e">
        <f>VLOOKUP($A83,IMS!$B$2:$V$89,TESTS!P$2-1,0)</f>
        <v>#N/A</v>
      </c>
      <c r="Q83" s="76" t="e">
        <f t="shared" si="10"/>
        <v>#N/A</v>
      </c>
      <c r="R83" s="79">
        <f>VLOOKUP($A83,IDX_SPECS!$B$1:$Y$89,TESTS!R$1-1,0)</f>
        <v>3.6939528888988581E-3</v>
      </c>
      <c r="S83" s="12" t="e">
        <f>VLOOKUP($A83,IMS!$B$2:$AC$89,TESTS!S$2-1,0)</f>
        <v>#N/A</v>
      </c>
      <c r="T83" s="8" t="e">
        <f t="shared" si="11"/>
        <v>#N/A</v>
      </c>
    </row>
    <row r="84" spans="1:20" x14ac:dyDescent="0.2">
      <c r="A84" t="str">
        <f>IF(ISTEXT(IDX_SPECS!B82),IDX_SPECS!B82,"")</f>
        <v>VNXOGTRVND</v>
      </c>
      <c r="C84" s="76">
        <f>VLOOKUP($A84,IDX_SPECS!$B$1:$V$200,TESTS!C$1-1,0)</f>
        <v>13957715385000</v>
      </c>
      <c r="D84" s="76" t="e">
        <f>VLOOKUP($A84,IMS!$B$2:$V$89,TESTS!D$2-1,0)</f>
        <v>#N/A</v>
      </c>
      <c r="E84" t="e">
        <f t="shared" si="6"/>
        <v>#N/A</v>
      </c>
      <c r="F84" s="12">
        <f>VLOOKUP($A84,IDX_SPECS!$B$1:$V$200,TESTS!F$1-1,0)</f>
        <v>10000000000000</v>
      </c>
      <c r="G84" s="12" t="e">
        <f>VLOOKUP($A84,IMS!$B$2:$V$89,TESTS!G$2-1,0)</f>
        <v>#N/A</v>
      </c>
      <c r="H84" t="e">
        <f t="shared" si="7"/>
        <v>#N/A</v>
      </c>
      <c r="I84" s="79">
        <f>VLOOKUP($A84,IDX_SPECS!$B$1:$V$200,TESTS!I$1-1,0)</f>
        <v>1627.2731777104718</v>
      </c>
      <c r="J84" s="79" t="e">
        <f>VLOOKUP($A84,IMS!$B$2:$V$89,TESTS!J$2-1,0)</f>
        <v>#N/A</v>
      </c>
      <c r="K84" t="e">
        <f t="shared" si="8"/>
        <v>#N/A</v>
      </c>
      <c r="L84" s="79">
        <f>VLOOKUP($A84,IDX_SPECS!$B$1:$W$200,TESTS!L$1-1,0)</f>
        <v>1631.848</v>
      </c>
      <c r="M84" s="79" t="e">
        <f>VLOOKUP($A84,IMS!$B$2:$AC$89,TESTS!M$2-1,0)</f>
        <v>#N/A</v>
      </c>
      <c r="N84" t="e">
        <f t="shared" si="9"/>
        <v>#N/A</v>
      </c>
      <c r="O84" s="76">
        <f>VLOOKUP($A84,IDX_SPECS!$B$1:$V$200,TESTS!O$1-1,0)</f>
        <v>1</v>
      </c>
      <c r="P84" s="76" t="e">
        <f>VLOOKUP($A84,IMS!$B$2:$V$89,TESTS!P$2-1,0)</f>
        <v>#N/A</v>
      </c>
      <c r="Q84" s="76" t="e">
        <f t="shared" si="10"/>
        <v>#N/A</v>
      </c>
      <c r="R84" s="79">
        <f>VLOOKUP($A84,IDX_SPECS!$B$1:$Y$89,TESTS!R$1-1,0)</f>
        <v>-0.2803461038974297</v>
      </c>
      <c r="S84" s="12" t="e">
        <f>VLOOKUP($A84,IMS!$B$2:$AC$89,TESTS!S$2-1,0)</f>
        <v>#N/A</v>
      </c>
      <c r="T84" s="8" t="e">
        <f t="shared" si="11"/>
        <v>#N/A</v>
      </c>
    </row>
    <row r="85" spans="1:20" x14ac:dyDescent="0.2">
      <c r="A85" t="str">
        <f>IF(ISTEXT(IDX_SPECS!B83),IDX_SPECS!B83,"")</f>
        <v>VNXOGTRUSD</v>
      </c>
      <c r="C85" s="76">
        <f>VLOOKUP($A85,IDX_SPECS!$B$1:$V$200,TESTS!C$1-1,0)</f>
        <v>637629757.19506621</v>
      </c>
      <c r="D85" s="76" t="e">
        <f>VLOOKUP($A85,IMS!$B$2:$V$89,TESTS!D$2-1,0)</f>
        <v>#N/A</v>
      </c>
      <c r="E85" t="e">
        <f t="shared" si="6"/>
        <v>#N/A</v>
      </c>
      <c r="F85" s="12">
        <f>VLOOKUP($A85,IDX_SPECS!$B$1:$V$200,TESTS!F$1-1,0)</f>
        <v>476190476190.4762</v>
      </c>
      <c r="G85" s="12" t="e">
        <f>VLOOKUP($A85,IMS!$B$2:$V$89,TESTS!G$2-1,0)</f>
        <v>#N/A</v>
      </c>
      <c r="H85" t="e">
        <f t="shared" si="7"/>
        <v>#N/A</v>
      </c>
      <c r="I85" s="79">
        <f>VLOOKUP($A85,IDX_SPECS!$B$1:$V$200,TESTS!I$1-1,0)</f>
        <v>1416.4518888936013</v>
      </c>
      <c r="J85" s="79" t="e">
        <f>VLOOKUP($A85,IMS!$B$2:$V$89,TESTS!J$2-1,0)</f>
        <v>#N/A</v>
      </c>
      <c r="K85" t="e">
        <f t="shared" si="8"/>
        <v>#N/A</v>
      </c>
      <c r="L85" s="79">
        <f>VLOOKUP($A85,IDX_SPECS!$B$1:$W$200,TESTS!L$1-1,0)</f>
        <v>1447.0619999999999</v>
      </c>
      <c r="M85" s="79" t="e">
        <f>VLOOKUP($A85,IMS!$B$2:$AC$89,TESTS!M$2-1,0)</f>
        <v>#N/A</v>
      </c>
      <c r="N85" t="e">
        <f t="shared" si="9"/>
        <v>#N/A</v>
      </c>
      <c r="O85" s="76">
        <f>VLOOKUP($A85,IDX_SPECS!$B$1:$V$200,TESTS!O$1-1,0)</f>
        <v>21890</v>
      </c>
      <c r="P85" s="76" t="e">
        <f>VLOOKUP($A85,IMS!$B$2:$V$89,TESTS!P$2-1,0)</f>
        <v>#N/A</v>
      </c>
      <c r="Q85" s="76" t="e">
        <f t="shared" si="10"/>
        <v>#N/A</v>
      </c>
      <c r="R85" s="79">
        <f>VLOOKUP($A85,IDX_SPECS!$B$1:$Y$89,TESTS!R$1-1,0)</f>
        <v>-2.1153282379330371</v>
      </c>
      <c r="S85" s="12" t="e">
        <f>VLOOKUP($A85,IMS!$B$2:$AC$89,TESTS!S$2-1,0)</f>
        <v>#N/A</v>
      </c>
      <c r="T85" s="8" t="e">
        <f t="shared" si="11"/>
        <v>#N/A</v>
      </c>
    </row>
    <row r="86" spans="1:20" x14ac:dyDescent="0.2">
      <c r="A86" t="str">
        <f>IF(ISTEXT(IDX_SPECS!B84),IDX_SPECS!B84,"")</f>
        <v>VNXOGTRJPY</v>
      </c>
      <c r="C86" s="76">
        <f>VLOOKUP($A86,IDX_SPECS!$B$1:$V$200,TESTS!C$1-1,0)</f>
        <v>49495444627.659576</v>
      </c>
      <c r="D86" s="76" t="e">
        <f>VLOOKUP($A86,IMS!$B$2:$V$89,TESTS!D$2-1,0)</f>
        <v>#N/A</v>
      </c>
      <c r="E86" t="e">
        <f t="shared" si="6"/>
        <v>#N/A</v>
      </c>
      <c r="F86" s="12">
        <f>VLOOKUP($A86,IDX_SPECS!$B$1:$V$200,TESTS!F$1-1,0)</f>
        <v>37735849056.603775</v>
      </c>
      <c r="G86" s="12" t="e">
        <f>VLOOKUP($A86,IMS!$B$2:$V$89,TESTS!G$2-1,0)</f>
        <v>#N/A</v>
      </c>
      <c r="H86" t="e">
        <f t="shared" si="7"/>
        <v>#N/A</v>
      </c>
      <c r="I86" s="79">
        <f>VLOOKUP($A86,IDX_SPECS!$B$1:$V$200,TESTS!I$1-1,0)</f>
        <v>1726.7871142710751</v>
      </c>
      <c r="J86" s="79" t="e">
        <f>VLOOKUP($A86,IMS!$B$2:$V$89,TESTS!J$2-1,0)</f>
        <v>#N/A</v>
      </c>
      <c r="K86" t="e">
        <f t="shared" si="8"/>
        <v>#N/A</v>
      </c>
      <c r="L86" s="79">
        <f>VLOOKUP($A86,IDX_SPECS!$B$1:$W$200,TESTS!L$1-1,0)</f>
        <v>1611.0609999999999</v>
      </c>
      <c r="M86" s="79" t="e">
        <f>VLOOKUP($A86,IMS!$B$2:$AC$89,TESTS!M$2-1,0)</f>
        <v>#N/A</v>
      </c>
      <c r="N86" t="e">
        <f t="shared" si="9"/>
        <v>#N/A</v>
      </c>
      <c r="O86" s="76">
        <f>VLOOKUP($A86,IDX_SPECS!$B$1:$V$200,TESTS!O$1-1,0)</f>
        <v>282</v>
      </c>
      <c r="P86" s="76" t="e">
        <f>VLOOKUP($A86,IMS!$B$2:$V$89,TESTS!P$2-1,0)</f>
        <v>#N/A</v>
      </c>
      <c r="Q86" s="76" t="e">
        <f t="shared" si="10"/>
        <v>#N/A</v>
      </c>
      <c r="R86" s="79">
        <f>VLOOKUP($A86,IDX_SPECS!$B$1:$Y$89,TESTS!R$1-1,0)</f>
        <v>7.1832236191599934</v>
      </c>
      <c r="S86" s="12" t="e">
        <f>VLOOKUP($A86,IMS!$B$2:$AC$89,TESTS!S$2-1,0)</f>
        <v>#N/A</v>
      </c>
      <c r="T86" s="8" t="e">
        <f t="shared" si="11"/>
        <v>#N/A</v>
      </c>
    </row>
    <row r="87" spans="1:20" x14ac:dyDescent="0.2">
      <c r="A87" t="str">
        <f>IF(ISTEXT(IDX_SPECS!B85),IDX_SPECS!B85,"")</f>
        <v>VNXOGTREUR</v>
      </c>
      <c r="C87" s="76">
        <f>VLOOKUP($A87,IDX_SPECS!$B$1:$V$200,TESTS!C$1-1,0)</f>
        <v>468211908.78571033</v>
      </c>
      <c r="D87" s="76" t="e">
        <f>VLOOKUP($A87,IMS!$B$2:$V$89,TESTS!D$2-1,0)</f>
        <v>#N/A</v>
      </c>
      <c r="E87" t="e">
        <f t="shared" si="6"/>
        <v>#N/A</v>
      </c>
      <c r="F87" s="12">
        <f>VLOOKUP($A87,IDX_SPECS!$B$1:$V$200,TESTS!F$1-1,0)</f>
        <v>344827586206.89655</v>
      </c>
      <c r="G87" s="12" t="e">
        <f>VLOOKUP($A87,IMS!$B$2:$V$89,TESTS!G$2-1,0)</f>
        <v>#N/A</v>
      </c>
      <c r="H87" t="e">
        <f t="shared" si="7"/>
        <v>#N/A</v>
      </c>
      <c r="I87" s="79">
        <f>VLOOKUP($A87,IDX_SPECS!$B$1:$V$200,TESTS!I$1-1,0)</f>
        <v>1407.6676750953329</v>
      </c>
      <c r="J87" s="79" t="e">
        <f>VLOOKUP($A87,IMS!$B$2:$V$89,TESTS!J$2-1,0)</f>
        <v>#N/A</v>
      </c>
      <c r="K87" t="e">
        <f t="shared" si="8"/>
        <v>#N/A</v>
      </c>
      <c r="L87" s="79">
        <f>VLOOKUP($A87,IDX_SPECS!$B$1:$W$200,TESTS!L$1-1,0)</f>
        <v>1472.192</v>
      </c>
      <c r="M87" s="79" t="e">
        <f>VLOOKUP($A87,IMS!$B$2:$AC$89,TESTS!M$2-1,0)</f>
        <v>#N/A</v>
      </c>
      <c r="N87" t="e">
        <f t="shared" si="9"/>
        <v>#N/A</v>
      </c>
      <c r="O87" s="76">
        <f>VLOOKUP($A87,IDX_SPECS!$B$1:$V$200,TESTS!O$1-1,0)</f>
        <v>29810.68</v>
      </c>
      <c r="P87" s="76" t="e">
        <f>VLOOKUP($A87,IMS!$B$2:$V$89,TESTS!P$2-1,0)</f>
        <v>#N/A</v>
      </c>
      <c r="Q87" s="76" t="e">
        <f t="shared" si="10"/>
        <v>#N/A</v>
      </c>
      <c r="R87" s="79">
        <f>VLOOKUP($A87,IDX_SPECS!$B$1:$Y$89,TESTS!R$1-1,0)</f>
        <v>-4.3828743061140862</v>
      </c>
      <c r="S87" s="12" t="e">
        <f>VLOOKUP($A87,IMS!$B$2:$AC$89,TESTS!S$2-1,0)</f>
        <v>#N/A</v>
      </c>
      <c r="T87" s="8" t="e">
        <f t="shared" si="11"/>
        <v>#N/A</v>
      </c>
    </row>
    <row r="88" spans="1:20" x14ac:dyDescent="0.2">
      <c r="A88" t="str">
        <f>IF(ISTEXT(IDX_SPECS!B86),IDX_SPECS!B86,"")</f>
        <v>VNXUTTRVND</v>
      </c>
      <c r="C88" s="76">
        <f>VLOOKUP($A88,IDX_SPECS!$B$1:$V$200,TESTS!C$1-1,0)</f>
        <v>2957227000000</v>
      </c>
      <c r="D88" s="76" t="e">
        <f>VLOOKUP($A88,IMS!$B$2:$V$89,TESTS!D$2-1,0)</f>
        <v>#N/A</v>
      </c>
      <c r="E88" t="e">
        <f t="shared" si="6"/>
        <v>#N/A</v>
      </c>
      <c r="F88" s="12">
        <f>VLOOKUP($A88,IDX_SPECS!$B$1:$V$200,TESTS!F$1-1,0)</f>
        <v>10000000000000</v>
      </c>
      <c r="G88" s="12" t="e">
        <f>VLOOKUP($A88,IMS!$B$2:$V$89,TESTS!G$2-1,0)</f>
        <v>#N/A</v>
      </c>
      <c r="H88" t="e">
        <f t="shared" si="7"/>
        <v>#N/A</v>
      </c>
      <c r="I88" s="79">
        <f>VLOOKUP($A88,IDX_SPECS!$B$1:$V$200,TESTS!I$1-1,0)</f>
        <v>293.8777</v>
      </c>
      <c r="J88" s="79" t="e">
        <f>VLOOKUP($A88,IMS!$B$2:$V$89,TESTS!J$2-1,0)</f>
        <v>#N/A</v>
      </c>
      <c r="K88" t="e">
        <f t="shared" si="8"/>
        <v>#N/A</v>
      </c>
      <c r="L88" s="79">
        <f>VLOOKUP($A88,IDX_SPECS!$B$1:$W$200,TESTS!L$1-1,0)</f>
        <v>293.8777</v>
      </c>
      <c r="M88" s="79" t="e">
        <f>VLOOKUP($A88,IMS!$B$2:$AC$89,TESTS!M$2-1,0)</f>
        <v>#N/A</v>
      </c>
      <c r="N88" t="e">
        <f t="shared" si="9"/>
        <v>#N/A</v>
      </c>
      <c r="O88" s="76">
        <f>VLOOKUP($A88,IDX_SPECS!$B$1:$V$200,TESTS!O$1-1,0)</f>
        <v>1</v>
      </c>
      <c r="P88" s="76" t="e">
        <f>VLOOKUP($A88,IMS!$B$2:$V$89,TESTS!P$2-1,0)</f>
        <v>#N/A</v>
      </c>
      <c r="Q88" s="76" t="e">
        <f t="shared" si="10"/>
        <v>#N/A</v>
      </c>
      <c r="R88" s="79">
        <f>VLOOKUP($A88,IDX_SPECS!$B$1:$Y$89,TESTS!R$1-1,0)</f>
        <v>0</v>
      </c>
      <c r="S88" s="12" t="e">
        <f>VLOOKUP($A88,IMS!$B$2:$AC$89,TESTS!S$2-1,0)</f>
        <v>#N/A</v>
      </c>
      <c r="T88" s="8" t="e">
        <f t="shared" si="11"/>
        <v>#N/A</v>
      </c>
    </row>
    <row r="89" spans="1:20" x14ac:dyDescent="0.2">
      <c r="A89" t="str">
        <f>IF(ISTEXT(IDX_SPECS!B87),IDX_SPECS!B87,"")</f>
        <v>VNXUTTRUSD</v>
      </c>
      <c r="C89" s="76">
        <f>VLOOKUP($A89,IDX_SPECS!$B$1:$V$200,TESTS!C$1-1,0)</f>
        <v>135094883.50845134</v>
      </c>
      <c r="D89" s="76" t="e">
        <f>VLOOKUP($A89,IMS!$B$2:$V$89,TESTS!D$2-1,0)</f>
        <v>#N/A</v>
      </c>
      <c r="E89" t="e">
        <f t="shared" si="6"/>
        <v>#N/A</v>
      </c>
      <c r="F89" s="12">
        <f>VLOOKUP($A89,IDX_SPECS!$B$1:$V$200,TESTS!F$1-1,0)</f>
        <v>476190476190.4762</v>
      </c>
      <c r="G89" s="12" t="e">
        <f>VLOOKUP($A89,IMS!$B$2:$V$89,TESTS!G$2-1,0)</f>
        <v>#N/A</v>
      </c>
      <c r="H89" t="e">
        <f t="shared" si="7"/>
        <v>#N/A</v>
      </c>
      <c r="I89" s="79">
        <f>VLOOKUP($A89,IDX_SPECS!$B$1:$V$200,TESTS!I$1-1,0)</f>
        <v>318.25601412739678</v>
      </c>
      <c r="J89" s="79" t="e">
        <f>VLOOKUP($A89,IMS!$B$2:$V$89,TESTS!J$2-1,0)</f>
        <v>#N/A</v>
      </c>
      <c r="K89" t="e">
        <f t="shared" si="8"/>
        <v>#N/A</v>
      </c>
      <c r="L89" s="79">
        <f>VLOOKUP($A89,IDX_SPECS!$B$1:$W$200,TESTS!L$1-1,0)</f>
        <v>308.84320000000002</v>
      </c>
      <c r="M89" s="79" t="e">
        <f>VLOOKUP($A89,IMS!$B$2:$AC$89,TESTS!M$2-1,0)</f>
        <v>#N/A</v>
      </c>
      <c r="N89" t="e">
        <f t="shared" si="9"/>
        <v>#N/A</v>
      </c>
      <c r="O89" s="76">
        <f>VLOOKUP($A89,IDX_SPECS!$B$1:$V$200,TESTS!O$1-1,0)</f>
        <v>21890</v>
      </c>
      <c r="P89" s="76" t="e">
        <f>VLOOKUP($A89,IMS!$B$2:$V$89,TESTS!P$2-1,0)</f>
        <v>#N/A</v>
      </c>
      <c r="Q89" s="76" t="e">
        <f t="shared" si="10"/>
        <v>#N/A</v>
      </c>
      <c r="R89" s="79">
        <f>VLOOKUP($A89,IDX_SPECS!$B$1:$Y$89,TESTS!R$1-1,0)</f>
        <v>3.0477647321996262</v>
      </c>
      <c r="S89" s="12" t="e">
        <f>VLOOKUP($A89,IMS!$B$2:$AC$89,TESTS!S$2-1,0)</f>
        <v>#N/A</v>
      </c>
      <c r="T89" s="8" t="e">
        <f t="shared" si="11"/>
        <v>#N/A</v>
      </c>
    </row>
    <row r="90" spans="1:20" x14ac:dyDescent="0.2">
      <c r="A90" t="str">
        <f>IF(ISTEXT(IDX_SPECS!B88),IDX_SPECS!B88,"")</f>
        <v>VNXUTTRJPY</v>
      </c>
      <c r="C90" s="76">
        <f>VLOOKUP($A90,IDX_SPECS!$B$1:$V$200,TESTS!C$1-1,0)</f>
        <v>10486620567.375887</v>
      </c>
      <c r="D90" s="76" t="e">
        <f>VLOOKUP($A90,IMS!$B$2:$V$89,TESTS!D$2-1,0)</f>
        <v>#N/A</v>
      </c>
      <c r="E90" t="e">
        <f t="shared" si="6"/>
        <v>#N/A</v>
      </c>
      <c r="F90" s="12">
        <f>VLOOKUP($A90,IDX_SPECS!$B$1:$V$200,TESTS!F$1-1,0)</f>
        <v>37735849056.603775</v>
      </c>
      <c r="G90" s="12" t="e">
        <f>VLOOKUP($A90,IMS!$B$2:$V$89,TESTS!G$2-1,0)</f>
        <v>#N/A</v>
      </c>
      <c r="H90" t="e">
        <f t="shared" si="7"/>
        <v>#N/A</v>
      </c>
      <c r="I90" s="79">
        <f>VLOOKUP($A90,IDX_SPECS!$B$1:$V$200,TESTS!I$1-1,0)</f>
        <v>244.27569022088505</v>
      </c>
      <c r="J90" s="79" t="e">
        <f>VLOOKUP($A90,IMS!$B$2:$V$89,TESTS!J$2-1,0)</f>
        <v>#N/A</v>
      </c>
      <c r="K90" t="e">
        <f t="shared" si="8"/>
        <v>#N/A</v>
      </c>
      <c r="L90" s="79">
        <f>VLOOKUP($A90,IDX_SPECS!$B$1:$W$200,TESTS!L$1-1,0)</f>
        <v>249.34829999999999</v>
      </c>
      <c r="M90" s="79" t="e">
        <f>VLOOKUP($A90,IMS!$B$2:$AC$89,TESTS!M$2-1,0)</f>
        <v>#N/A</v>
      </c>
      <c r="N90" t="e">
        <f t="shared" si="9"/>
        <v>#N/A</v>
      </c>
      <c r="O90" s="76">
        <f>VLOOKUP($A90,IDX_SPECS!$B$1:$V$200,TESTS!O$1-1,0)</f>
        <v>282</v>
      </c>
      <c r="P90" s="76" t="e">
        <f>VLOOKUP($A90,IMS!$B$2:$V$89,TESTS!P$2-1,0)</f>
        <v>#N/A</v>
      </c>
      <c r="Q90" s="76" t="e">
        <f t="shared" si="10"/>
        <v>#N/A</v>
      </c>
      <c r="R90" s="79">
        <f>VLOOKUP($A90,IDX_SPECS!$B$1:$Y$89,TESTS!R$1-1,0)</f>
        <v>-2.0343470475294763</v>
      </c>
      <c r="S90" s="12" t="e">
        <f>VLOOKUP($A90,IMS!$B$2:$AC$89,TESTS!S$2-1,0)</f>
        <v>#N/A</v>
      </c>
      <c r="T90" s="8" t="e">
        <f t="shared" si="11"/>
        <v>#N/A</v>
      </c>
    </row>
    <row r="91" spans="1:20" x14ac:dyDescent="0.2">
      <c r="A91" t="str">
        <f>IF(ISTEXT(IDX_SPECS!B89),IDX_SPECS!B89,"")</f>
        <v>VNXUTTREUR</v>
      </c>
      <c r="C91" s="76">
        <f>VLOOKUP($A91,IDX_SPECS!$B$1:$V$200,TESTS!C$1-1,0)</f>
        <v>99200253.063667119</v>
      </c>
      <c r="D91" s="76" t="e">
        <f>VLOOKUP($A91,IMS!$B$2:$V$89,TESTS!D$2-1,0)</f>
        <v>#N/A</v>
      </c>
      <c r="E91" t="e">
        <f t="shared" si="6"/>
        <v>#N/A</v>
      </c>
      <c r="F91" s="12">
        <f>VLOOKUP($A91,IDX_SPECS!$B$1:$V$200,TESTS!F$1-1,0)</f>
        <v>344827586206.89655</v>
      </c>
      <c r="G91" s="12" t="e">
        <f>VLOOKUP($A91,IMS!$B$2:$V$89,TESTS!G$2-1,0)</f>
        <v>#N/A</v>
      </c>
      <c r="H91" t="e">
        <f t="shared" si="7"/>
        <v>#N/A</v>
      </c>
      <c r="I91" s="79">
        <f>VLOOKUP($A91,IDX_SPECS!$B$1:$V$200,TESTS!I$1-1,0)</f>
        <v>274.75143384212078</v>
      </c>
      <c r="J91" s="79" t="e">
        <f>VLOOKUP($A91,IMS!$B$2:$V$89,TESTS!J$2-1,0)</f>
        <v>#N/A</v>
      </c>
      <c r="K91" t="e">
        <f t="shared" si="8"/>
        <v>#N/A</v>
      </c>
      <c r="L91" s="79">
        <f>VLOOKUP($A91,IDX_SPECS!$B$1:$W$200,TESTS!L$1-1,0)</f>
        <v>290.41289999999998</v>
      </c>
      <c r="M91" s="79" t="e">
        <f>VLOOKUP($A91,IMS!$B$2:$AC$89,TESTS!M$2-1,0)</f>
        <v>#N/A</v>
      </c>
      <c r="N91" t="e">
        <f t="shared" si="9"/>
        <v>#N/A</v>
      </c>
      <c r="O91" s="76">
        <f>VLOOKUP($A91,IDX_SPECS!$B$1:$V$200,TESTS!O$1-1,0)</f>
        <v>29810.68</v>
      </c>
      <c r="P91" s="76" t="e">
        <f>VLOOKUP($A91,IMS!$B$2:$V$89,TESTS!P$2-1,0)</f>
        <v>#N/A</v>
      </c>
      <c r="Q91" s="76" t="e">
        <f t="shared" si="10"/>
        <v>#N/A</v>
      </c>
      <c r="R91" s="79">
        <f>VLOOKUP($A91,IDX_SPECS!$B$1:$Y$89,TESTS!R$1-1,0)</f>
        <v>-5.3928273013627166</v>
      </c>
      <c r="S91" s="12" t="e">
        <f>VLOOKUP($A91,IMS!$B$2:$AC$89,TESTS!S$2-1,0)</f>
        <v>#N/A</v>
      </c>
      <c r="T91" s="8" t="e">
        <f t="shared" si="11"/>
        <v>#N/A</v>
      </c>
    </row>
  </sheetData>
  <conditionalFormatting sqref="H4:H91">
    <cfRule type="cellIs" dxfId="11" priority="12" operator="greaterThan">
      <formula>$G$1</formula>
    </cfRule>
  </conditionalFormatting>
  <conditionalFormatting sqref="E4:E91">
    <cfRule type="cellIs" dxfId="10" priority="6" operator="greaterThan">
      <formula>$D$1</formula>
    </cfRule>
    <cfRule type="cellIs" dxfId="9" priority="7" operator="greaterThan">
      <formula>$D$1</formula>
    </cfRule>
    <cfRule type="cellIs" dxfId="8" priority="11" operator="greaterThan">
      <formula>$G$1</formula>
    </cfRule>
  </conditionalFormatting>
  <conditionalFormatting sqref="K4:K91">
    <cfRule type="cellIs" dxfId="7" priority="8" operator="greaterThan">
      <formula>$J$1</formula>
    </cfRule>
    <cfRule type="cellIs" dxfId="6" priority="9" operator="greaterThan">
      <formula>42.62812145</formula>
    </cfRule>
    <cfRule type="cellIs" dxfId="5" priority="10" operator="greaterThan">
      <formula>$J$1</formula>
    </cfRule>
  </conditionalFormatting>
  <conditionalFormatting sqref="N4:N91">
    <cfRule type="cellIs" dxfId="4" priority="3" operator="greaterThan">
      <formula>$J$1</formula>
    </cfRule>
    <cfRule type="cellIs" dxfId="3" priority="4" operator="greaterThan">
      <formula>42.62812145</formula>
    </cfRule>
    <cfRule type="cellIs" dxfId="2" priority="5" operator="greaterThan">
      <formula>$J$1</formula>
    </cfRule>
    <cfRule type="cellIs" dxfId="1" priority="2" operator="greaterThan">
      <formula>$M$1</formula>
    </cfRule>
  </conditionalFormatting>
  <conditionalFormatting sqref="T4:T91">
    <cfRule type="cellIs" dxfId="0" priority="1" operator="greaterThan">
      <formula>$S$1</formula>
    </cfRule>
  </conditionalFormatting>
  <pageMargins left="0.7" right="0.7" top="0.75" bottom="0.75" header="0.3" footer="0.3"/>
  <pageSetup paperSize="55" orientation="landscape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89"/>
  <sheetViews>
    <sheetView topLeftCell="H1" workbookViewId="0">
      <selection activeCell="AB2" sqref="AB2:AB89"/>
    </sheetView>
  </sheetViews>
  <sheetFormatPr defaultRowHeight="12.75" x14ac:dyDescent="0.2"/>
  <cols>
    <col min="2" max="2" width="15" bestFit="1" customWidth="1"/>
    <col min="3" max="3" width="37.5703125" bestFit="1" customWidth="1"/>
    <col min="7" max="7" width="15" bestFit="1" customWidth="1"/>
    <col min="21" max="22" width="10.42578125" bestFit="1" customWidth="1"/>
    <col min="28" max="28" width="9.5703125" bestFit="1" customWidth="1"/>
  </cols>
  <sheetData>
    <row r="1" spans="1:29" x14ac:dyDescent="0.2">
      <c r="A1" t="s">
        <v>0</v>
      </c>
      <c r="B1" t="s">
        <v>1268</v>
      </c>
      <c r="C1" t="s">
        <v>1269</v>
      </c>
      <c r="D1" t="s">
        <v>1270</v>
      </c>
      <c r="E1" t="s">
        <v>1271</v>
      </c>
      <c r="F1" t="s">
        <v>1272</v>
      </c>
      <c r="G1" t="s">
        <v>1273</v>
      </c>
      <c r="H1" t="s">
        <v>1274</v>
      </c>
      <c r="I1" t="s">
        <v>1275</v>
      </c>
      <c r="J1" t="s">
        <v>1276</v>
      </c>
      <c r="K1" t="s">
        <v>1277</v>
      </c>
      <c r="L1" t="s">
        <v>1278</v>
      </c>
      <c r="M1" t="s">
        <v>1279</v>
      </c>
      <c r="N1" t="s">
        <v>1280</v>
      </c>
      <c r="O1" t="s">
        <v>1281</v>
      </c>
      <c r="P1" t="s">
        <v>1282</v>
      </c>
      <c r="Q1" t="s">
        <v>1283</v>
      </c>
      <c r="R1" t="s">
        <v>1284</v>
      </c>
      <c r="S1" t="s">
        <v>1285</v>
      </c>
      <c r="T1" t="s">
        <v>1286</v>
      </c>
      <c r="U1" t="s">
        <v>1287</v>
      </c>
      <c r="V1" t="s">
        <v>1312</v>
      </c>
      <c r="W1" t="s">
        <v>1313</v>
      </c>
      <c r="X1" t="s">
        <v>1288</v>
      </c>
      <c r="Y1" t="s">
        <v>1289</v>
      </c>
      <c r="Z1" t="s">
        <v>1314</v>
      </c>
      <c r="AA1" t="s">
        <v>1315</v>
      </c>
      <c r="AB1" t="s">
        <v>1317</v>
      </c>
      <c r="AC1" t="s">
        <v>1366</v>
      </c>
    </row>
    <row r="2" spans="1:29" x14ac:dyDescent="0.2">
      <c r="A2">
        <v>19990</v>
      </c>
      <c r="B2" t="s">
        <v>278</v>
      </c>
      <c r="C2" t="s">
        <v>1290</v>
      </c>
      <c r="D2" t="s">
        <v>14</v>
      </c>
      <c r="E2">
        <v>1000</v>
      </c>
      <c r="F2" t="s">
        <v>80</v>
      </c>
      <c r="G2" t="s">
        <v>278</v>
      </c>
      <c r="H2">
        <v>30000000000000</v>
      </c>
      <c r="I2" s="77">
        <v>39491866310320.5</v>
      </c>
      <c r="J2">
        <v>1316.3955436773499</v>
      </c>
      <c r="K2" s="64">
        <v>41165</v>
      </c>
      <c r="L2" s="1">
        <v>0.58934027777777775</v>
      </c>
      <c r="M2">
        <v>10</v>
      </c>
      <c r="N2">
        <v>1</v>
      </c>
      <c r="O2">
        <v>0</v>
      </c>
      <c r="P2">
        <v>0</v>
      </c>
      <c r="Q2">
        <v>1032314040887.97</v>
      </c>
      <c r="R2">
        <v>0</v>
      </c>
      <c r="S2">
        <v>0</v>
      </c>
      <c r="T2">
        <v>0</v>
      </c>
      <c r="U2" t="s">
        <v>92</v>
      </c>
      <c r="V2">
        <v>1</v>
      </c>
      <c r="Y2">
        <v>1358.2600990000001</v>
      </c>
      <c r="AB2" s="12">
        <v>-3.0822193299699499</v>
      </c>
    </row>
    <row r="3" spans="1:29" x14ac:dyDescent="0.2">
      <c r="A3">
        <v>19991</v>
      </c>
      <c r="B3" t="s">
        <v>279</v>
      </c>
      <c r="C3" t="s">
        <v>96</v>
      </c>
      <c r="D3" t="s">
        <v>84</v>
      </c>
      <c r="E3">
        <v>1000</v>
      </c>
      <c r="F3" t="s">
        <v>80</v>
      </c>
      <c r="G3" t="s">
        <v>278</v>
      </c>
      <c r="H3">
        <v>1428571428.57143</v>
      </c>
      <c r="I3">
        <v>1804105359.08271</v>
      </c>
      <c r="J3">
        <v>1262.8737513578899</v>
      </c>
      <c r="K3" s="64">
        <v>41165</v>
      </c>
      <c r="L3" s="1">
        <v>0</v>
      </c>
      <c r="M3">
        <v>10</v>
      </c>
      <c r="N3">
        <v>1</v>
      </c>
      <c r="O3">
        <v>0</v>
      </c>
      <c r="P3">
        <v>0</v>
      </c>
      <c r="Q3">
        <v>47159161.301414803</v>
      </c>
      <c r="R3">
        <v>0</v>
      </c>
      <c r="S3">
        <v>0</v>
      </c>
      <c r="T3">
        <v>0</v>
      </c>
      <c r="U3" t="s">
        <v>92</v>
      </c>
      <c r="V3">
        <v>21890</v>
      </c>
      <c r="Y3">
        <v>1198.411173</v>
      </c>
      <c r="AB3" s="12">
        <v>5.3790034514220997</v>
      </c>
    </row>
    <row r="4" spans="1:29" x14ac:dyDescent="0.2">
      <c r="A4">
        <v>19992</v>
      </c>
      <c r="B4" t="s">
        <v>280</v>
      </c>
      <c r="C4" t="s">
        <v>97</v>
      </c>
      <c r="D4" t="s">
        <v>85</v>
      </c>
      <c r="E4">
        <v>1000</v>
      </c>
      <c r="F4" t="s">
        <v>80</v>
      </c>
      <c r="G4" t="s">
        <v>278</v>
      </c>
      <c r="H4">
        <v>113207547169.811</v>
      </c>
      <c r="I4">
        <v>140042079114.612</v>
      </c>
      <c r="J4">
        <v>1237.0383655124001</v>
      </c>
      <c r="K4" s="64">
        <v>41165</v>
      </c>
      <c r="L4" s="1">
        <v>0</v>
      </c>
      <c r="M4">
        <v>10</v>
      </c>
      <c r="N4">
        <v>1</v>
      </c>
      <c r="O4">
        <v>0</v>
      </c>
      <c r="P4">
        <v>0</v>
      </c>
      <c r="Q4">
        <v>3660688088.2552099</v>
      </c>
      <c r="R4">
        <v>0</v>
      </c>
      <c r="S4">
        <v>0</v>
      </c>
      <c r="T4">
        <v>0</v>
      </c>
      <c r="U4" t="s">
        <v>92</v>
      </c>
      <c r="V4">
        <v>282</v>
      </c>
      <c r="Y4">
        <v>1200.9885630000001</v>
      </c>
      <c r="AB4" s="12">
        <v>3.0016774200046599</v>
      </c>
    </row>
    <row r="5" spans="1:29" x14ac:dyDescent="0.2">
      <c r="A5">
        <v>19993</v>
      </c>
      <c r="B5" t="s">
        <v>281</v>
      </c>
      <c r="C5" t="s">
        <v>95</v>
      </c>
      <c r="D5" t="s">
        <v>83</v>
      </c>
      <c r="E5">
        <v>1000</v>
      </c>
      <c r="F5" t="s">
        <v>80</v>
      </c>
      <c r="G5" t="s">
        <v>278</v>
      </c>
      <c r="H5">
        <v>1034482758.62069</v>
      </c>
      <c r="I5">
        <v>1324755634.9040201</v>
      </c>
      <c r="J5">
        <v>1280.59711374055</v>
      </c>
      <c r="K5" s="64">
        <v>41165</v>
      </c>
      <c r="L5" s="1">
        <v>0</v>
      </c>
      <c r="M5">
        <v>10</v>
      </c>
      <c r="N5">
        <v>1</v>
      </c>
      <c r="O5">
        <v>0</v>
      </c>
      <c r="P5">
        <v>0</v>
      </c>
      <c r="Q5">
        <v>34629000.106269598</v>
      </c>
      <c r="R5">
        <v>0</v>
      </c>
      <c r="S5">
        <v>0</v>
      </c>
      <c r="T5">
        <v>0</v>
      </c>
      <c r="U5" t="s">
        <v>92</v>
      </c>
      <c r="V5">
        <v>29810.68</v>
      </c>
      <c r="Y5">
        <v>1309.0286040000001</v>
      </c>
      <c r="AB5" s="12">
        <v>-2.1719533226828598</v>
      </c>
    </row>
    <row r="6" spans="1:29" x14ac:dyDescent="0.2">
      <c r="A6">
        <v>19994</v>
      </c>
      <c r="B6" t="s">
        <v>282</v>
      </c>
      <c r="C6" t="s">
        <v>1291</v>
      </c>
      <c r="D6" t="s">
        <v>14</v>
      </c>
      <c r="E6">
        <v>1000</v>
      </c>
      <c r="F6" t="s">
        <v>94</v>
      </c>
      <c r="G6" t="s">
        <v>278</v>
      </c>
      <c r="H6">
        <v>30000000000000</v>
      </c>
      <c r="I6" s="77">
        <v>39491866310320.5</v>
      </c>
      <c r="J6">
        <v>1469.31353339825</v>
      </c>
      <c r="K6" s="64">
        <v>41165</v>
      </c>
      <c r="L6" s="1">
        <v>0</v>
      </c>
      <c r="M6">
        <v>10</v>
      </c>
      <c r="N6">
        <v>1</v>
      </c>
      <c r="O6">
        <v>0</v>
      </c>
      <c r="P6">
        <v>0</v>
      </c>
      <c r="Q6">
        <v>1032314040887.97</v>
      </c>
      <c r="R6">
        <v>0</v>
      </c>
      <c r="S6">
        <v>0</v>
      </c>
      <c r="T6">
        <v>0</v>
      </c>
      <c r="U6" t="s">
        <v>92</v>
      </c>
      <c r="V6">
        <v>1</v>
      </c>
      <c r="Y6">
        <v>1477.4215750000001</v>
      </c>
      <c r="Z6">
        <v>1316.3955436773499</v>
      </c>
      <c r="AA6">
        <v>0</v>
      </c>
      <c r="AB6" s="12">
        <v>-0.54879675097103298</v>
      </c>
    </row>
    <row r="7" spans="1:29" x14ac:dyDescent="0.2">
      <c r="A7">
        <v>19995</v>
      </c>
      <c r="B7" t="s">
        <v>283</v>
      </c>
      <c r="C7" t="s">
        <v>161</v>
      </c>
      <c r="D7" t="s">
        <v>84</v>
      </c>
      <c r="E7">
        <v>1000</v>
      </c>
      <c r="F7" t="s">
        <v>94</v>
      </c>
      <c r="G7" t="s">
        <v>278</v>
      </c>
      <c r="H7">
        <v>1428571428571.4299</v>
      </c>
      <c r="I7">
        <v>1804105359.08271</v>
      </c>
      <c r="J7">
        <v>1380.06511564676</v>
      </c>
      <c r="K7" s="64">
        <v>41165</v>
      </c>
      <c r="L7" s="1">
        <v>0</v>
      </c>
      <c r="M7">
        <v>10</v>
      </c>
      <c r="N7">
        <v>1</v>
      </c>
      <c r="O7">
        <v>0</v>
      </c>
      <c r="P7">
        <v>0</v>
      </c>
      <c r="Q7">
        <v>47159161.301414803</v>
      </c>
      <c r="R7">
        <v>0</v>
      </c>
      <c r="S7">
        <v>0</v>
      </c>
      <c r="T7">
        <v>0</v>
      </c>
      <c r="U7" t="s">
        <v>92</v>
      </c>
      <c r="V7">
        <v>21890</v>
      </c>
      <c r="Y7">
        <v>1309.5863469999999</v>
      </c>
      <c r="Z7">
        <v>1262.8737513578899</v>
      </c>
      <c r="AA7">
        <v>0</v>
      </c>
      <c r="AB7" s="12">
        <v>5.3817580496480497</v>
      </c>
    </row>
    <row r="8" spans="1:29" x14ac:dyDescent="0.2">
      <c r="A8">
        <v>19996</v>
      </c>
      <c r="B8" t="s">
        <v>284</v>
      </c>
      <c r="C8" t="s">
        <v>162</v>
      </c>
      <c r="D8" t="s">
        <v>85</v>
      </c>
      <c r="E8">
        <v>1000</v>
      </c>
      <c r="F8" t="s">
        <v>94</v>
      </c>
      <c r="G8" t="s">
        <v>278</v>
      </c>
      <c r="H8">
        <v>113207547169.811</v>
      </c>
      <c r="I8">
        <v>140042079114.612</v>
      </c>
      <c r="J8">
        <v>1464.8260226907801</v>
      </c>
      <c r="K8" s="64">
        <v>41165</v>
      </c>
      <c r="L8" s="1">
        <v>0</v>
      </c>
      <c r="M8">
        <v>10</v>
      </c>
      <c r="N8">
        <v>1</v>
      </c>
      <c r="O8">
        <v>0</v>
      </c>
      <c r="P8">
        <v>0</v>
      </c>
      <c r="Q8">
        <v>3660688088.2552099</v>
      </c>
      <c r="R8">
        <v>0</v>
      </c>
      <c r="S8">
        <v>0</v>
      </c>
      <c r="T8">
        <v>0</v>
      </c>
      <c r="U8" t="s">
        <v>92</v>
      </c>
      <c r="V8">
        <v>282</v>
      </c>
      <c r="Y8">
        <v>1385.910445</v>
      </c>
      <c r="Z8">
        <v>1237.0383655124001</v>
      </c>
      <c r="AA8">
        <v>0</v>
      </c>
      <c r="AB8" s="12">
        <v>5.6941325448184497</v>
      </c>
    </row>
    <row r="9" spans="1:29" x14ac:dyDescent="0.2">
      <c r="A9">
        <v>19997</v>
      </c>
      <c r="B9" t="s">
        <v>285</v>
      </c>
      <c r="C9" t="s">
        <v>160</v>
      </c>
      <c r="D9" t="s">
        <v>83</v>
      </c>
      <c r="E9">
        <v>1000</v>
      </c>
      <c r="F9" t="s">
        <v>94</v>
      </c>
      <c r="G9" t="s">
        <v>278</v>
      </c>
      <c r="H9">
        <v>1034482758620.6899</v>
      </c>
      <c r="I9">
        <v>1324755634.9040201</v>
      </c>
      <c r="J9">
        <v>1135.4099096511</v>
      </c>
      <c r="K9" s="64">
        <v>41165</v>
      </c>
      <c r="L9" s="1">
        <v>0</v>
      </c>
      <c r="M9">
        <v>10</v>
      </c>
      <c r="N9">
        <v>1</v>
      </c>
      <c r="O9">
        <v>0</v>
      </c>
      <c r="P9">
        <v>0</v>
      </c>
      <c r="Q9">
        <v>34629000.106269598</v>
      </c>
      <c r="R9">
        <v>0</v>
      </c>
      <c r="S9">
        <v>0</v>
      </c>
      <c r="T9">
        <v>0</v>
      </c>
      <c r="U9" t="s">
        <v>92</v>
      </c>
      <c r="V9">
        <v>29810.68</v>
      </c>
      <c r="Y9">
        <v>1160.587653</v>
      </c>
      <c r="Z9">
        <v>1280.59711374055</v>
      </c>
      <c r="AA9">
        <v>0</v>
      </c>
      <c r="AB9" s="12">
        <v>-2.1693961058275302</v>
      </c>
    </row>
    <row r="10" spans="1:29" x14ac:dyDescent="0.2">
      <c r="A10">
        <v>19998</v>
      </c>
      <c r="B10" t="s">
        <v>286</v>
      </c>
      <c r="C10" t="s">
        <v>1292</v>
      </c>
      <c r="D10" t="s">
        <v>14</v>
      </c>
      <c r="E10">
        <v>1000</v>
      </c>
      <c r="F10" t="s">
        <v>80</v>
      </c>
      <c r="G10" t="s">
        <v>286</v>
      </c>
      <c r="H10">
        <v>35000000000000</v>
      </c>
      <c r="I10" s="77">
        <v>49683919830700</v>
      </c>
      <c r="J10">
        <v>1419.54056659142</v>
      </c>
      <c r="K10" s="64">
        <v>41165</v>
      </c>
      <c r="L10" s="1">
        <v>0.58934027777777775</v>
      </c>
      <c r="M10">
        <v>30</v>
      </c>
      <c r="N10">
        <v>1</v>
      </c>
      <c r="O10">
        <v>0</v>
      </c>
      <c r="P10">
        <v>0</v>
      </c>
      <c r="Q10">
        <v>2288862544800</v>
      </c>
      <c r="R10">
        <v>1</v>
      </c>
      <c r="S10">
        <v>0</v>
      </c>
      <c r="T10">
        <v>0</v>
      </c>
      <c r="U10" t="s">
        <v>91</v>
      </c>
      <c r="V10">
        <v>1</v>
      </c>
      <c r="Y10">
        <v>1419.540567</v>
      </c>
      <c r="AB10" s="12">
        <v>-2.87819457140424E-8</v>
      </c>
    </row>
    <row r="11" spans="1:29" x14ac:dyDescent="0.2">
      <c r="A11">
        <v>19999</v>
      </c>
      <c r="B11" t="s">
        <v>287</v>
      </c>
      <c r="C11" t="s">
        <v>288</v>
      </c>
      <c r="D11" t="s">
        <v>84</v>
      </c>
      <c r="E11">
        <v>1000</v>
      </c>
      <c r="F11" t="s">
        <v>80</v>
      </c>
      <c r="G11" t="s">
        <v>286</v>
      </c>
      <c r="H11">
        <v>1666666666.6666701</v>
      </c>
      <c r="I11">
        <v>2269708534.9794402</v>
      </c>
      <c r="J11">
        <v>1361.8251209876601</v>
      </c>
      <c r="K11" s="64">
        <v>41165</v>
      </c>
      <c r="L11" s="1">
        <v>0</v>
      </c>
      <c r="M11">
        <v>30</v>
      </c>
      <c r="N11">
        <v>1</v>
      </c>
      <c r="O11">
        <v>0</v>
      </c>
      <c r="P11">
        <v>0</v>
      </c>
      <c r="Q11">
        <v>104562016.665143</v>
      </c>
      <c r="R11">
        <v>1</v>
      </c>
      <c r="S11">
        <v>0</v>
      </c>
      <c r="T11">
        <v>0</v>
      </c>
      <c r="U11" t="s">
        <v>91</v>
      </c>
      <c r="V11">
        <v>21890</v>
      </c>
      <c r="Y11">
        <v>1403.9552409999999</v>
      </c>
      <c r="AB11" s="12">
        <v>-3.0008164635169599</v>
      </c>
    </row>
    <row r="12" spans="1:29" x14ac:dyDescent="0.2">
      <c r="A12">
        <v>20000</v>
      </c>
      <c r="B12" t="s">
        <v>289</v>
      </c>
      <c r="C12" t="s">
        <v>290</v>
      </c>
      <c r="D12" t="s">
        <v>85</v>
      </c>
      <c r="E12">
        <v>1000</v>
      </c>
      <c r="F12" t="s">
        <v>80</v>
      </c>
      <c r="G12" t="s">
        <v>286</v>
      </c>
      <c r="H12">
        <v>132075471698.11301</v>
      </c>
      <c r="I12">
        <v>176184112874.82199</v>
      </c>
      <c r="J12">
        <v>1333.96542605223</v>
      </c>
      <c r="K12" s="64">
        <v>41165</v>
      </c>
      <c r="L12" s="1">
        <v>0</v>
      </c>
      <c r="M12">
        <v>30</v>
      </c>
      <c r="N12">
        <v>1</v>
      </c>
      <c r="O12">
        <v>0</v>
      </c>
      <c r="P12">
        <v>0</v>
      </c>
      <c r="Q12">
        <v>8116533846.8085098</v>
      </c>
      <c r="R12">
        <v>1</v>
      </c>
      <c r="S12">
        <v>0</v>
      </c>
      <c r="T12">
        <v>0</v>
      </c>
      <c r="U12" t="s">
        <v>91</v>
      </c>
      <c r="V12">
        <v>282</v>
      </c>
      <c r="Y12">
        <v>1376.000706</v>
      </c>
      <c r="AB12" s="12">
        <v>-3.0548879636816899</v>
      </c>
    </row>
    <row r="13" spans="1:29" x14ac:dyDescent="0.2">
      <c r="A13">
        <v>20001</v>
      </c>
      <c r="B13" t="s">
        <v>291</v>
      </c>
      <c r="C13" t="s">
        <v>299</v>
      </c>
      <c r="D13" t="s">
        <v>83</v>
      </c>
      <c r="E13">
        <v>1000</v>
      </c>
      <c r="F13" t="s">
        <v>80</v>
      </c>
      <c r="G13" t="s">
        <v>286</v>
      </c>
      <c r="H13">
        <v>1206896551.7241399</v>
      </c>
      <c r="I13">
        <v>1666648323.0406001</v>
      </c>
      <c r="J13">
        <v>1380.93718194792</v>
      </c>
      <c r="K13" s="64">
        <v>41165</v>
      </c>
      <c r="L13" s="1">
        <v>0</v>
      </c>
      <c r="M13">
        <v>30</v>
      </c>
      <c r="N13">
        <v>1</v>
      </c>
      <c r="O13">
        <v>0</v>
      </c>
      <c r="P13">
        <v>0</v>
      </c>
      <c r="Q13">
        <v>76779950.836411595</v>
      </c>
      <c r="R13">
        <v>1</v>
      </c>
      <c r="S13">
        <v>0</v>
      </c>
      <c r="T13">
        <v>0</v>
      </c>
      <c r="U13" t="s">
        <v>91</v>
      </c>
      <c r="V13">
        <v>29810.68</v>
      </c>
      <c r="Y13">
        <v>1410.3885769999999</v>
      </c>
      <c r="AB13" s="12">
        <v>-2.0881759489799898</v>
      </c>
    </row>
    <row r="14" spans="1:29" x14ac:dyDescent="0.2">
      <c r="A14">
        <v>20002</v>
      </c>
      <c r="B14" t="s">
        <v>293</v>
      </c>
      <c r="C14" t="s">
        <v>1293</v>
      </c>
      <c r="D14" t="s">
        <v>14</v>
      </c>
      <c r="E14">
        <v>1000</v>
      </c>
      <c r="F14" t="s">
        <v>94</v>
      </c>
      <c r="G14" t="s">
        <v>286</v>
      </c>
      <c r="H14">
        <v>35000000000000</v>
      </c>
      <c r="I14" s="77">
        <v>49683919830700</v>
      </c>
      <c r="J14">
        <v>1849.02796975399</v>
      </c>
      <c r="K14" s="64">
        <v>41165</v>
      </c>
      <c r="L14" s="1">
        <v>0</v>
      </c>
      <c r="M14">
        <v>30</v>
      </c>
      <c r="N14">
        <v>1</v>
      </c>
      <c r="O14">
        <v>0</v>
      </c>
      <c r="P14">
        <v>0</v>
      </c>
      <c r="Q14">
        <v>2288862544800</v>
      </c>
      <c r="R14">
        <v>0</v>
      </c>
      <c r="S14">
        <v>0</v>
      </c>
      <c r="T14">
        <v>0</v>
      </c>
      <c r="U14" t="s">
        <v>91</v>
      </c>
      <c r="V14">
        <v>1</v>
      </c>
      <c r="Y14">
        <v>1767.5974470000001</v>
      </c>
      <c r="Z14">
        <v>1419.54056659142</v>
      </c>
      <c r="AA14">
        <v>0</v>
      </c>
      <c r="AB14" s="12">
        <v>4.6068477238523302</v>
      </c>
    </row>
    <row r="15" spans="1:29" x14ac:dyDescent="0.2">
      <c r="A15">
        <v>20003</v>
      </c>
      <c r="B15" t="s">
        <v>294</v>
      </c>
      <c r="C15" t="s">
        <v>295</v>
      </c>
      <c r="D15" t="s">
        <v>84</v>
      </c>
      <c r="E15">
        <v>1000</v>
      </c>
      <c r="F15" t="s">
        <v>94</v>
      </c>
      <c r="G15" t="s">
        <v>286</v>
      </c>
      <c r="H15">
        <v>1666666666666.6699</v>
      </c>
      <c r="I15">
        <v>2269708534.9794402</v>
      </c>
      <c r="J15">
        <v>1557.8338212096101</v>
      </c>
      <c r="K15" s="64">
        <v>41165</v>
      </c>
      <c r="L15" s="1">
        <v>0</v>
      </c>
      <c r="M15">
        <v>30</v>
      </c>
      <c r="N15">
        <v>1</v>
      </c>
      <c r="O15">
        <v>0</v>
      </c>
      <c r="P15">
        <v>0</v>
      </c>
      <c r="Q15">
        <v>104562016.665143</v>
      </c>
      <c r="R15">
        <v>0</v>
      </c>
      <c r="S15">
        <v>0</v>
      </c>
      <c r="T15">
        <v>0</v>
      </c>
      <c r="U15" t="s">
        <v>91</v>
      </c>
      <c r="V15">
        <v>21890</v>
      </c>
      <c r="Y15">
        <v>1605.9537829999999</v>
      </c>
      <c r="Z15">
        <v>1361.8251209876601</v>
      </c>
      <c r="AA15">
        <v>0</v>
      </c>
      <c r="AB15" s="12">
        <v>-2.9963478588088699</v>
      </c>
    </row>
    <row r="16" spans="1:29" x14ac:dyDescent="0.2">
      <c r="A16">
        <v>20004</v>
      </c>
      <c r="B16" t="s">
        <v>296</v>
      </c>
      <c r="C16" t="s">
        <v>297</v>
      </c>
      <c r="D16" t="s">
        <v>85</v>
      </c>
      <c r="E16">
        <v>1000</v>
      </c>
      <c r="F16" t="s">
        <v>94</v>
      </c>
      <c r="G16" t="s">
        <v>286</v>
      </c>
      <c r="H16">
        <v>132075471698.11301</v>
      </c>
      <c r="I16">
        <v>176184112874.82199</v>
      </c>
      <c r="J16">
        <v>2014.73882490134</v>
      </c>
      <c r="K16" s="64">
        <v>41165</v>
      </c>
      <c r="L16" s="1">
        <v>0</v>
      </c>
      <c r="M16">
        <v>30</v>
      </c>
      <c r="N16">
        <v>1</v>
      </c>
      <c r="O16">
        <v>0</v>
      </c>
      <c r="P16">
        <v>0</v>
      </c>
      <c r="Q16">
        <v>8116533846.8085098</v>
      </c>
      <c r="R16">
        <v>0</v>
      </c>
      <c r="S16">
        <v>0</v>
      </c>
      <c r="T16">
        <v>0</v>
      </c>
      <c r="U16" t="s">
        <v>91</v>
      </c>
      <c r="V16">
        <v>282</v>
      </c>
      <c r="Y16">
        <v>1986.7019749999999</v>
      </c>
      <c r="Z16">
        <v>1333.96542605223</v>
      </c>
      <c r="AA16">
        <v>0</v>
      </c>
      <c r="AB16" s="12">
        <v>1.4112257527376499</v>
      </c>
    </row>
    <row r="17" spans="1:28" x14ac:dyDescent="0.2">
      <c r="A17">
        <v>20005</v>
      </c>
      <c r="B17" t="s">
        <v>298</v>
      </c>
      <c r="C17" t="s">
        <v>292</v>
      </c>
      <c r="D17" t="s">
        <v>83</v>
      </c>
      <c r="E17">
        <v>1000</v>
      </c>
      <c r="F17" t="s">
        <v>94</v>
      </c>
      <c r="G17" t="s">
        <v>286</v>
      </c>
      <c r="H17">
        <v>1206896551724.1399</v>
      </c>
      <c r="I17">
        <v>1666648323.0406001</v>
      </c>
      <c r="J17">
        <v>1546.22331292384</v>
      </c>
      <c r="K17" s="64">
        <v>41165</v>
      </c>
      <c r="L17" s="1">
        <v>0</v>
      </c>
      <c r="M17">
        <v>30</v>
      </c>
      <c r="N17">
        <v>1</v>
      </c>
      <c r="O17">
        <v>0</v>
      </c>
      <c r="P17">
        <v>0</v>
      </c>
      <c r="Q17">
        <v>76779950.836411595</v>
      </c>
      <c r="R17">
        <v>0</v>
      </c>
      <c r="S17">
        <v>0</v>
      </c>
      <c r="T17">
        <v>0</v>
      </c>
      <c r="U17" t="s">
        <v>91</v>
      </c>
      <c r="V17">
        <v>29810.68</v>
      </c>
      <c r="Y17">
        <v>1579.127035</v>
      </c>
      <c r="Z17">
        <v>1380.93718194792</v>
      </c>
      <c r="AA17">
        <v>0</v>
      </c>
      <c r="AB17" s="12">
        <v>-2.0836653003128398</v>
      </c>
    </row>
    <row r="18" spans="1:28" x14ac:dyDescent="0.2">
      <c r="A18">
        <v>20006</v>
      </c>
      <c r="B18" t="s">
        <v>378</v>
      </c>
      <c r="C18" t="s">
        <v>379</v>
      </c>
      <c r="D18" t="s">
        <v>14</v>
      </c>
      <c r="E18">
        <v>1000</v>
      </c>
      <c r="F18" t="s">
        <v>80</v>
      </c>
      <c r="G18" t="s">
        <v>378</v>
      </c>
      <c r="H18">
        <v>30000000000000</v>
      </c>
      <c r="I18" s="77">
        <v>38273174294700</v>
      </c>
      <c r="J18">
        <v>1275.7724764899999</v>
      </c>
      <c r="K18" s="64">
        <v>41165</v>
      </c>
      <c r="L18" s="1">
        <v>0.58934027777777775</v>
      </c>
      <c r="M18">
        <v>26</v>
      </c>
      <c r="N18">
        <v>1</v>
      </c>
      <c r="O18">
        <v>0</v>
      </c>
      <c r="P18">
        <v>0</v>
      </c>
      <c r="Q18">
        <v>821873696000</v>
      </c>
      <c r="R18">
        <v>0</v>
      </c>
      <c r="S18">
        <v>0</v>
      </c>
      <c r="T18">
        <v>0</v>
      </c>
      <c r="U18" t="s">
        <v>91</v>
      </c>
      <c r="V18">
        <v>1</v>
      </c>
      <c r="Y18">
        <v>1225.2456079999999</v>
      </c>
      <c r="AB18" s="12">
        <v>4.1238155158520602</v>
      </c>
    </row>
    <row r="19" spans="1:28" x14ac:dyDescent="0.2">
      <c r="A19">
        <v>20007</v>
      </c>
      <c r="B19" t="s">
        <v>380</v>
      </c>
      <c r="C19" t="s">
        <v>381</v>
      </c>
      <c r="D19" t="s">
        <v>84</v>
      </c>
      <c r="E19">
        <v>1000</v>
      </c>
      <c r="F19" t="s">
        <v>80</v>
      </c>
      <c r="G19" t="s">
        <v>378</v>
      </c>
      <c r="H19">
        <v>1428571428.57143</v>
      </c>
      <c r="I19">
        <v>1748431900.1690199</v>
      </c>
      <c r="J19">
        <v>1223.9023301183099</v>
      </c>
      <c r="K19" s="64">
        <v>41165</v>
      </c>
      <c r="L19" s="1">
        <v>0</v>
      </c>
      <c r="M19">
        <v>26</v>
      </c>
      <c r="N19">
        <v>1</v>
      </c>
      <c r="O19">
        <v>0</v>
      </c>
      <c r="P19">
        <v>0</v>
      </c>
      <c r="Q19">
        <v>37545623.389675602</v>
      </c>
      <c r="R19">
        <v>0</v>
      </c>
      <c r="S19">
        <v>0</v>
      </c>
      <c r="T19">
        <v>0</v>
      </c>
      <c r="U19" t="s">
        <v>91</v>
      </c>
      <c r="V19">
        <v>21890</v>
      </c>
      <c r="Y19">
        <v>1279.3354730000001</v>
      </c>
      <c r="AB19" s="12">
        <v>-4.3329637965633401</v>
      </c>
    </row>
    <row r="20" spans="1:28" x14ac:dyDescent="0.2">
      <c r="A20">
        <v>20008</v>
      </c>
      <c r="B20" t="s">
        <v>382</v>
      </c>
      <c r="C20" t="s">
        <v>383</v>
      </c>
      <c r="D20" t="s">
        <v>85</v>
      </c>
      <c r="E20">
        <v>1000</v>
      </c>
      <c r="F20" t="s">
        <v>80</v>
      </c>
      <c r="G20" t="s">
        <v>378</v>
      </c>
      <c r="H20">
        <v>113207547169.811</v>
      </c>
      <c r="I20">
        <v>135720476222.34</v>
      </c>
      <c r="J20">
        <v>1198.86420663067</v>
      </c>
      <c r="K20" s="64">
        <v>41165</v>
      </c>
      <c r="L20" s="1">
        <v>0</v>
      </c>
      <c r="M20">
        <v>26</v>
      </c>
      <c r="N20">
        <v>1</v>
      </c>
      <c r="O20">
        <v>0</v>
      </c>
      <c r="P20">
        <v>0</v>
      </c>
      <c r="Q20">
        <v>2914445730.4964499</v>
      </c>
      <c r="R20">
        <v>0</v>
      </c>
      <c r="S20">
        <v>0</v>
      </c>
      <c r="T20">
        <v>0</v>
      </c>
      <c r="U20" t="s">
        <v>91</v>
      </c>
      <c r="V20">
        <v>282</v>
      </c>
      <c r="Y20">
        <v>1211.4577770000001</v>
      </c>
      <c r="AB20" s="12">
        <v>-1.0395385302250599</v>
      </c>
    </row>
    <row r="21" spans="1:28" x14ac:dyDescent="0.2">
      <c r="A21">
        <v>20009</v>
      </c>
      <c r="B21" t="s">
        <v>384</v>
      </c>
      <c r="C21" t="s">
        <v>385</v>
      </c>
      <c r="D21" t="s">
        <v>83</v>
      </c>
      <c r="E21">
        <v>1000</v>
      </c>
      <c r="F21" t="s">
        <v>80</v>
      </c>
      <c r="G21" t="s">
        <v>378</v>
      </c>
      <c r="H21">
        <v>1034482758.62069</v>
      </c>
      <c r="I21">
        <v>1283874581.0125699</v>
      </c>
      <c r="J21">
        <v>1241.07876164549</v>
      </c>
      <c r="K21" s="64">
        <v>41165</v>
      </c>
      <c r="L21" s="1">
        <v>0</v>
      </c>
      <c r="M21">
        <v>26</v>
      </c>
      <c r="N21">
        <v>1</v>
      </c>
      <c r="O21">
        <v>0</v>
      </c>
      <c r="P21">
        <v>0</v>
      </c>
      <c r="Q21">
        <v>27569773.517410502</v>
      </c>
      <c r="R21">
        <v>0</v>
      </c>
      <c r="S21">
        <v>0</v>
      </c>
      <c r="T21">
        <v>0</v>
      </c>
      <c r="U21" t="s">
        <v>91</v>
      </c>
      <c r="V21">
        <v>29810.68</v>
      </c>
      <c r="Y21">
        <v>1181.5202019999999</v>
      </c>
      <c r="AB21" s="12">
        <v>5.0408414130095798</v>
      </c>
    </row>
    <row r="22" spans="1:28" x14ac:dyDescent="0.2">
      <c r="A22">
        <v>20010</v>
      </c>
      <c r="B22" t="s">
        <v>386</v>
      </c>
      <c r="C22" t="s">
        <v>387</v>
      </c>
      <c r="D22" t="s">
        <v>14</v>
      </c>
      <c r="E22">
        <v>1000</v>
      </c>
      <c r="F22" t="s">
        <v>94</v>
      </c>
      <c r="G22" t="s">
        <v>378</v>
      </c>
      <c r="H22">
        <v>30000000000000</v>
      </c>
      <c r="I22" s="77">
        <v>38273174294700</v>
      </c>
      <c r="J22">
        <v>1644.82297193709</v>
      </c>
      <c r="K22" s="64">
        <v>41165</v>
      </c>
      <c r="L22" s="1">
        <v>0</v>
      </c>
      <c r="M22">
        <v>26</v>
      </c>
      <c r="N22">
        <v>1</v>
      </c>
      <c r="O22">
        <v>0</v>
      </c>
      <c r="P22">
        <v>0</v>
      </c>
      <c r="Q22">
        <v>821873696000</v>
      </c>
      <c r="R22">
        <v>0</v>
      </c>
      <c r="S22">
        <v>0</v>
      </c>
      <c r="T22">
        <v>0</v>
      </c>
      <c r="U22" t="s">
        <v>91</v>
      </c>
      <c r="V22">
        <v>1</v>
      </c>
      <c r="Y22">
        <v>1546.4711460000001</v>
      </c>
      <c r="Z22">
        <v>1275.7724764899999</v>
      </c>
      <c r="AA22">
        <v>0</v>
      </c>
      <c r="AB22" s="12">
        <v>6.3597582270759299</v>
      </c>
    </row>
    <row r="23" spans="1:28" x14ac:dyDescent="0.2">
      <c r="A23">
        <v>20011</v>
      </c>
      <c r="B23" t="s">
        <v>388</v>
      </c>
      <c r="C23" t="s">
        <v>389</v>
      </c>
      <c r="D23" t="s">
        <v>84</v>
      </c>
      <c r="E23">
        <v>1000</v>
      </c>
      <c r="F23" t="s">
        <v>94</v>
      </c>
      <c r="G23" t="s">
        <v>378</v>
      </c>
      <c r="H23">
        <v>1428571428571.4299</v>
      </c>
      <c r="I23">
        <v>1748431900.1690199</v>
      </c>
      <c r="J23">
        <v>1323.7667463114899</v>
      </c>
      <c r="K23" s="64">
        <v>41165</v>
      </c>
      <c r="L23" s="1">
        <v>0</v>
      </c>
      <c r="M23">
        <v>26</v>
      </c>
      <c r="N23">
        <v>1</v>
      </c>
      <c r="O23">
        <v>0</v>
      </c>
      <c r="P23">
        <v>0</v>
      </c>
      <c r="Q23">
        <v>37545623.389675602</v>
      </c>
      <c r="R23">
        <v>0</v>
      </c>
      <c r="S23">
        <v>0</v>
      </c>
      <c r="T23">
        <v>0</v>
      </c>
      <c r="U23" t="s">
        <v>91</v>
      </c>
      <c r="V23">
        <v>21890</v>
      </c>
      <c r="Y23">
        <v>1383.693248</v>
      </c>
      <c r="Z23">
        <v>1223.9023301183099</v>
      </c>
      <c r="AA23">
        <v>0</v>
      </c>
      <c r="AB23" s="12">
        <v>-4.3309094537480899</v>
      </c>
    </row>
    <row r="24" spans="1:28" x14ac:dyDescent="0.2">
      <c r="A24">
        <v>20012</v>
      </c>
      <c r="B24" t="s">
        <v>390</v>
      </c>
      <c r="C24" t="s">
        <v>391</v>
      </c>
      <c r="D24" t="s">
        <v>85</v>
      </c>
      <c r="E24">
        <v>1000</v>
      </c>
      <c r="F24" t="s">
        <v>94</v>
      </c>
      <c r="G24" t="s">
        <v>378</v>
      </c>
      <c r="H24">
        <v>113207547169.811</v>
      </c>
      <c r="I24">
        <v>135720476222.34</v>
      </c>
      <c r="J24">
        <v>1139.2962682263999</v>
      </c>
      <c r="K24" s="64">
        <v>41165</v>
      </c>
      <c r="L24" s="1">
        <v>0</v>
      </c>
      <c r="M24">
        <v>26</v>
      </c>
      <c r="N24">
        <v>1</v>
      </c>
      <c r="O24">
        <v>0</v>
      </c>
      <c r="P24">
        <v>0</v>
      </c>
      <c r="Q24">
        <v>2914445730.4964499</v>
      </c>
      <c r="R24">
        <v>0</v>
      </c>
      <c r="S24">
        <v>0</v>
      </c>
      <c r="T24">
        <v>0</v>
      </c>
      <c r="U24" t="s">
        <v>91</v>
      </c>
      <c r="V24">
        <v>282</v>
      </c>
      <c r="Y24">
        <v>1127.0617099999999</v>
      </c>
      <c r="Z24">
        <v>1198.86420663067</v>
      </c>
      <c r="AA24">
        <v>0</v>
      </c>
      <c r="AB24" s="12">
        <v>1.0855269163922501</v>
      </c>
    </row>
    <row r="25" spans="1:28" x14ac:dyDescent="0.2">
      <c r="A25">
        <v>20013</v>
      </c>
      <c r="B25" t="s">
        <v>392</v>
      </c>
      <c r="C25" t="s">
        <v>393</v>
      </c>
      <c r="D25" t="s">
        <v>83</v>
      </c>
      <c r="E25">
        <v>1000</v>
      </c>
      <c r="F25" t="s">
        <v>94</v>
      </c>
      <c r="G25" t="s">
        <v>378</v>
      </c>
      <c r="H25">
        <v>1034482758620.6899</v>
      </c>
      <c r="I25">
        <v>1283874581.0125699</v>
      </c>
      <c r="J25">
        <v>1133.2809937089701</v>
      </c>
      <c r="K25" s="64">
        <v>41165</v>
      </c>
      <c r="L25" s="1">
        <v>0</v>
      </c>
      <c r="M25">
        <v>26</v>
      </c>
      <c r="N25">
        <v>1</v>
      </c>
      <c r="O25">
        <v>0</v>
      </c>
      <c r="P25">
        <v>0</v>
      </c>
      <c r="Q25">
        <v>27569773.517410502</v>
      </c>
      <c r="R25">
        <v>0</v>
      </c>
      <c r="S25">
        <v>0</v>
      </c>
      <c r="T25">
        <v>0</v>
      </c>
      <c r="U25" t="s">
        <v>91</v>
      </c>
      <c r="V25">
        <v>29810.68</v>
      </c>
      <c r="Y25">
        <v>1078.8724110000001</v>
      </c>
      <c r="Z25">
        <v>1241.07876164549</v>
      </c>
      <c r="AA25">
        <v>0</v>
      </c>
      <c r="AB25" s="12">
        <v>5.0430970478283204</v>
      </c>
    </row>
    <row r="26" spans="1:28" x14ac:dyDescent="0.2">
      <c r="A26">
        <v>20014</v>
      </c>
      <c r="B26" t="s">
        <v>300</v>
      </c>
      <c r="C26" t="s">
        <v>1294</v>
      </c>
      <c r="D26" t="s">
        <v>14</v>
      </c>
      <c r="E26">
        <v>1000</v>
      </c>
      <c r="F26" t="s">
        <v>80</v>
      </c>
      <c r="G26" t="s">
        <v>300</v>
      </c>
      <c r="H26">
        <v>25000000000000</v>
      </c>
      <c r="I26" s="77">
        <v>44040484805400</v>
      </c>
      <c r="J26">
        <v>1761.6193922160001</v>
      </c>
      <c r="K26" s="64">
        <v>41165</v>
      </c>
      <c r="L26" s="1">
        <v>0.58934027777777775</v>
      </c>
      <c r="M26">
        <v>11</v>
      </c>
      <c r="N26">
        <v>1</v>
      </c>
      <c r="O26">
        <v>0</v>
      </c>
      <c r="P26">
        <v>0</v>
      </c>
      <c r="Q26">
        <v>778523696000</v>
      </c>
      <c r="R26">
        <v>0</v>
      </c>
      <c r="S26">
        <v>0</v>
      </c>
      <c r="T26">
        <v>0</v>
      </c>
      <c r="U26" t="s">
        <v>91</v>
      </c>
      <c r="V26">
        <v>1</v>
      </c>
      <c r="Y26">
        <v>1708.018898</v>
      </c>
      <c r="AB26" s="12">
        <v>3.1381675155212401</v>
      </c>
    </row>
    <row r="27" spans="1:28" x14ac:dyDescent="0.2">
      <c r="A27">
        <v>20015</v>
      </c>
      <c r="B27" t="s">
        <v>301</v>
      </c>
      <c r="C27" t="s">
        <v>302</v>
      </c>
      <c r="D27" t="s">
        <v>84</v>
      </c>
      <c r="E27">
        <v>1000</v>
      </c>
      <c r="F27" t="s">
        <v>80</v>
      </c>
      <c r="G27" t="s">
        <v>300</v>
      </c>
      <c r="H27">
        <v>1190476190.4761901</v>
      </c>
      <c r="I27">
        <v>2011899717.0123301</v>
      </c>
      <c r="J27">
        <v>1689.9957622903601</v>
      </c>
      <c r="K27" s="64">
        <v>41165</v>
      </c>
      <c r="L27" s="1">
        <v>0</v>
      </c>
      <c r="M27">
        <v>11</v>
      </c>
      <c r="N27">
        <v>1</v>
      </c>
      <c r="O27">
        <v>0</v>
      </c>
      <c r="P27">
        <v>0</v>
      </c>
      <c r="Q27">
        <v>35565267.0625856</v>
      </c>
      <c r="R27">
        <v>0</v>
      </c>
      <c r="S27">
        <v>0</v>
      </c>
      <c r="T27">
        <v>0</v>
      </c>
      <c r="U27" t="s">
        <v>91</v>
      </c>
      <c r="V27">
        <v>21890</v>
      </c>
      <c r="Y27">
        <v>1784.4695380000001</v>
      </c>
      <c r="AB27" s="12">
        <v>-5.2942218232272698</v>
      </c>
    </row>
    <row r="28" spans="1:28" x14ac:dyDescent="0.2">
      <c r="A28">
        <v>20016</v>
      </c>
      <c r="B28" t="s">
        <v>303</v>
      </c>
      <c r="C28" t="s">
        <v>304</v>
      </c>
      <c r="D28" t="s">
        <v>85</v>
      </c>
      <c r="E28">
        <v>1000</v>
      </c>
      <c r="F28" t="s">
        <v>80</v>
      </c>
      <c r="G28" t="s">
        <v>300</v>
      </c>
      <c r="H28">
        <v>94339622641.509399</v>
      </c>
      <c r="I28">
        <v>156171931934.04199</v>
      </c>
      <c r="J28">
        <v>1655.42247850085</v>
      </c>
      <c r="K28" s="64">
        <v>41165</v>
      </c>
      <c r="L28" s="1">
        <v>0</v>
      </c>
      <c r="M28">
        <v>11</v>
      </c>
      <c r="N28">
        <v>1</v>
      </c>
      <c r="O28">
        <v>0</v>
      </c>
      <c r="P28">
        <v>0</v>
      </c>
      <c r="Q28">
        <v>2760722326.2411299</v>
      </c>
      <c r="R28">
        <v>0</v>
      </c>
      <c r="S28">
        <v>0</v>
      </c>
      <c r="T28">
        <v>0</v>
      </c>
      <c r="U28" t="s">
        <v>91</v>
      </c>
      <c r="V28">
        <v>282</v>
      </c>
      <c r="Y28">
        <v>1606.6043480000001</v>
      </c>
      <c r="AB28" s="12">
        <v>3.0385907122449298</v>
      </c>
    </row>
    <row r="29" spans="1:28" x14ac:dyDescent="0.2">
      <c r="A29">
        <v>20017</v>
      </c>
      <c r="B29" t="s">
        <v>305</v>
      </c>
      <c r="C29" t="s">
        <v>313</v>
      </c>
      <c r="D29" t="s">
        <v>83</v>
      </c>
      <c r="E29">
        <v>1000</v>
      </c>
      <c r="F29" t="s">
        <v>80</v>
      </c>
      <c r="G29" t="s">
        <v>300</v>
      </c>
      <c r="H29">
        <v>862068965.517241</v>
      </c>
      <c r="I29">
        <v>1477339155.14171</v>
      </c>
      <c r="J29">
        <v>1713.7134199643799</v>
      </c>
      <c r="K29" s="64">
        <v>41165</v>
      </c>
      <c r="L29" s="1">
        <v>0</v>
      </c>
      <c r="M29">
        <v>11</v>
      </c>
      <c r="N29">
        <v>1</v>
      </c>
      <c r="O29">
        <v>0</v>
      </c>
      <c r="P29">
        <v>0</v>
      </c>
      <c r="Q29">
        <v>26115596.6921921</v>
      </c>
      <c r="R29">
        <v>0</v>
      </c>
      <c r="S29">
        <v>0</v>
      </c>
      <c r="T29">
        <v>0</v>
      </c>
      <c r="U29" t="s">
        <v>91</v>
      </c>
      <c r="V29">
        <v>29810.68</v>
      </c>
      <c r="Y29">
        <v>1677.5073709999999</v>
      </c>
      <c r="AB29" s="12">
        <v>2.1583242846084301</v>
      </c>
    </row>
    <row r="30" spans="1:28" x14ac:dyDescent="0.2">
      <c r="A30">
        <v>20018</v>
      </c>
      <c r="B30" t="s">
        <v>307</v>
      </c>
      <c r="C30" t="s">
        <v>1295</v>
      </c>
      <c r="D30" t="s">
        <v>14</v>
      </c>
      <c r="E30">
        <v>1000</v>
      </c>
      <c r="F30" t="s">
        <v>94</v>
      </c>
      <c r="G30" t="s">
        <v>300</v>
      </c>
      <c r="H30">
        <v>25000000000000</v>
      </c>
      <c r="I30" s="77">
        <v>44040484805400</v>
      </c>
      <c r="J30">
        <v>2204.4732312122901</v>
      </c>
      <c r="K30" s="64">
        <v>41165</v>
      </c>
      <c r="L30" s="1">
        <v>0</v>
      </c>
      <c r="M30">
        <v>11</v>
      </c>
      <c r="N30">
        <v>1</v>
      </c>
      <c r="O30">
        <v>0</v>
      </c>
      <c r="P30">
        <v>0</v>
      </c>
      <c r="Q30">
        <v>778523696000</v>
      </c>
      <c r="R30">
        <v>0</v>
      </c>
      <c r="S30">
        <v>0</v>
      </c>
      <c r="T30">
        <v>0</v>
      </c>
      <c r="U30" t="s">
        <v>91</v>
      </c>
      <c r="V30">
        <v>1</v>
      </c>
      <c r="Y30">
        <v>2100.2706579999999</v>
      </c>
      <c r="Z30">
        <v>1761.6193922160001</v>
      </c>
      <c r="AA30">
        <v>0</v>
      </c>
      <c r="AB30" s="12">
        <v>4.9613878485318699</v>
      </c>
    </row>
    <row r="31" spans="1:28" x14ac:dyDescent="0.2">
      <c r="A31">
        <v>20019</v>
      </c>
      <c r="B31" t="s">
        <v>308</v>
      </c>
      <c r="C31" t="s">
        <v>309</v>
      </c>
      <c r="D31" t="s">
        <v>84</v>
      </c>
      <c r="E31">
        <v>1000</v>
      </c>
      <c r="F31" t="s">
        <v>94</v>
      </c>
      <c r="G31" t="s">
        <v>300</v>
      </c>
      <c r="H31">
        <v>1190476190476.1899</v>
      </c>
      <c r="I31">
        <v>2011899717.0123301</v>
      </c>
      <c r="J31">
        <v>1492.91526988378</v>
      </c>
      <c r="K31" s="64">
        <v>41165</v>
      </c>
      <c r="L31" s="1">
        <v>0</v>
      </c>
      <c r="M31">
        <v>11</v>
      </c>
      <c r="N31">
        <v>1</v>
      </c>
      <c r="O31">
        <v>0</v>
      </c>
      <c r="P31">
        <v>0</v>
      </c>
      <c r="Q31">
        <v>35565267.0625856</v>
      </c>
      <c r="R31">
        <v>0</v>
      </c>
      <c r="S31">
        <v>0</v>
      </c>
      <c r="T31">
        <v>0</v>
      </c>
      <c r="U31" t="s">
        <v>91</v>
      </c>
      <c r="V31">
        <v>21890</v>
      </c>
      <c r="Y31">
        <v>1576.3440290000001</v>
      </c>
      <c r="Z31">
        <v>1689.9957622903601</v>
      </c>
      <c r="AA31">
        <v>0</v>
      </c>
      <c r="AB31" s="12">
        <v>-5.2925476660788</v>
      </c>
    </row>
    <row r="32" spans="1:28" x14ac:dyDescent="0.2">
      <c r="A32">
        <v>20020</v>
      </c>
      <c r="B32" t="s">
        <v>310</v>
      </c>
      <c r="C32" t="s">
        <v>311</v>
      </c>
      <c r="D32" t="s">
        <v>85</v>
      </c>
      <c r="E32">
        <v>1000</v>
      </c>
      <c r="F32" t="s">
        <v>94</v>
      </c>
      <c r="G32" t="s">
        <v>300</v>
      </c>
      <c r="H32">
        <v>94339622641.509399</v>
      </c>
      <c r="I32">
        <v>156171931934.04199</v>
      </c>
      <c r="J32">
        <v>1765.41302170017</v>
      </c>
      <c r="K32" s="64">
        <v>41165</v>
      </c>
      <c r="L32" s="1">
        <v>0</v>
      </c>
      <c r="M32">
        <v>11</v>
      </c>
      <c r="N32">
        <v>1</v>
      </c>
      <c r="O32">
        <v>0</v>
      </c>
      <c r="P32">
        <v>0</v>
      </c>
      <c r="Q32">
        <v>2760722326.2411299</v>
      </c>
      <c r="R32">
        <v>0</v>
      </c>
      <c r="S32">
        <v>0</v>
      </c>
      <c r="T32">
        <v>0</v>
      </c>
      <c r="U32" t="s">
        <v>91</v>
      </c>
      <c r="V32">
        <v>282</v>
      </c>
      <c r="Y32">
        <v>1683.5897070000001</v>
      </c>
      <c r="Z32">
        <v>1655.42247850085</v>
      </c>
      <c r="AA32">
        <v>0</v>
      </c>
      <c r="AB32" s="12">
        <v>4.8600507807792601</v>
      </c>
    </row>
    <row r="33" spans="1:28" x14ac:dyDescent="0.2">
      <c r="A33">
        <v>20021</v>
      </c>
      <c r="B33" t="s">
        <v>312</v>
      </c>
      <c r="C33" t="s">
        <v>306</v>
      </c>
      <c r="D33" t="s">
        <v>83</v>
      </c>
      <c r="E33">
        <v>1000</v>
      </c>
      <c r="F33" t="s">
        <v>94</v>
      </c>
      <c r="G33" t="s">
        <v>300</v>
      </c>
      <c r="H33">
        <v>862068965517.24097</v>
      </c>
      <c r="I33">
        <v>1477339155.14171</v>
      </c>
      <c r="J33">
        <v>1985.57966852817</v>
      </c>
      <c r="K33" s="64">
        <v>41165</v>
      </c>
      <c r="L33" s="1">
        <v>0</v>
      </c>
      <c r="M33">
        <v>11</v>
      </c>
      <c r="N33">
        <v>1</v>
      </c>
      <c r="O33">
        <v>0</v>
      </c>
      <c r="P33">
        <v>0</v>
      </c>
      <c r="Q33">
        <v>26115596.6921921</v>
      </c>
      <c r="R33">
        <v>0</v>
      </c>
      <c r="S33">
        <v>0</v>
      </c>
      <c r="T33">
        <v>0</v>
      </c>
      <c r="U33" t="s">
        <v>91</v>
      </c>
      <c r="V33">
        <v>29810.68</v>
      </c>
      <c r="Y33">
        <v>1943.595476</v>
      </c>
      <c r="Z33">
        <v>1713.7134199643799</v>
      </c>
      <c r="AA33">
        <v>0</v>
      </c>
      <c r="AB33" s="12">
        <v>2.16013018380665</v>
      </c>
    </row>
    <row r="34" spans="1:28" x14ac:dyDescent="0.2">
      <c r="A34">
        <v>20022</v>
      </c>
      <c r="B34" t="s">
        <v>314</v>
      </c>
      <c r="C34" t="s">
        <v>1296</v>
      </c>
      <c r="D34" t="s">
        <v>14</v>
      </c>
      <c r="E34">
        <v>1000</v>
      </c>
      <c r="F34" t="s">
        <v>80</v>
      </c>
      <c r="G34" t="s">
        <v>314</v>
      </c>
      <c r="H34">
        <v>8000000000000</v>
      </c>
      <c r="I34" s="77">
        <v>8168944913000</v>
      </c>
      <c r="J34">
        <v>1021.118114125</v>
      </c>
      <c r="K34" s="64">
        <v>41165</v>
      </c>
      <c r="L34" s="1">
        <v>0.58934027777777775</v>
      </c>
      <c r="M34">
        <v>15</v>
      </c>
      <c r="N34">
        <v>1</v>
      </c>
      <c r="O34">
        <v>0</v>
      </c>
      <c r="P34">
        <v>0</v>
      </c>
      <c r="Q34">
        <v>71809560000</v>
      </c>
      <c r="R34">
        <v>0</v>
      </c>
      <c r="S34">
        <v>0</v>
      </c>
      <c r="T34">
        <v>0</v>
      </c>
      <c r="U34" t="s">
        <v>91</v>
      </c>
      <c r="V34">
        <v>1</v>
      </c>
      <c r="Y34">
        <v>1031.442421</v>
      </c>
      <c r="AB34" s="12">
        <v>-1.0009581402508401</v>
      </c>
    </row>
    <row r="35" spans="1:28" x14ac:dyDescent="0.2">
      <c r="A35">
        <v>20023</v>
      </c>
      <c r="B35" t="s">
        <v>315</v>
      </c>
      <c r="C35" t="s">
        <v>316</v>
      </c>
      <c r="D35" t="s">
        <v>84</v>
      </c>
      <c r="E35">
        <v>1000</v>
      </c>
      <c r="F35" t="s">
        <v>80</v>
      </c>
      <c r="G35" t="s">
        <v>314</v>
      </c>
      <c r="H35">
        <v>380952380.95238101</v>
      </c>
      <c r="I35">
        <v>373181585.79259902</v>
      </c>
      <c r="J35">
        <v>979.60166270557295</v>
      </c>
      <c r="K35" s="64">
        <v>41165</v>
      </c>
      <c r="L35" s="1">
        <v>0</v>
      </c>
      <c r="M35">
        <v>15</v>
      </c>
      <c r="N35">
        <v>1</v>
      </c>
      <c r="O35">
        <v>0</v>
      </c>
      <c r="P35">
        <v>0</v>
      </c>
      <c r="Q35">
        <v>3280473.2754682498</v>
      </c>
      <c r="R35">
        <v>0</v>
      </c>
      <c r="S35">
        <v>0</v>
      </c>
      <c r="T35">
        <v>0</v>
      </c>
      <c r="U35" t="s">
        <v>91</v>
      </c>
      <c r="V35">
        <v>21890</v>
      </c>
      <c r="Y35">
        <v>979.60166270000002</v>
      </c>
      <c r="AB35" s="12">
        <v>5.6892065121941501E-10</v>
      </c>
    </row>
    <row r="36" spans="1:28" x14ac:dyDescent="0.2">
      <c r="A36">
        <v>20024</v>
      </c>
      <c r="B36" t="s">
        <v>317</v>
      </c>
      <c r="C36" t="s">
        <v>318</v>
      </c>
      <c r="D36" t="s">
        <v>85</v>
      </c>
      <c r="E36">
        <v>1000</v>
      </c>
      <c r="F36" t="s">
        <v>80</v>
      </c>
      <c r="G36" t="s">
        <v>314</v>
      </c>
      <c r="H36">
        <v>30188679245.283001</v>
      </c>
      <c r="I36">
        <v>28967889762.411301</v>
      </c>
      <c r="J36">
        <v>959.56134837987599</v>
      </c>
      <c r="K36" s="64">
        <v>41165</v>
      </c>
      <c r="L36" s="1">
        <v>0</v>
      </c>
      <c r="M36">
        <v>15</v>
      </c>
      <c r="N36">
        <v>1</v>
      </c>
      <c r="O36">
        <v>0</v>
      </c>
      <c r="P36">
        <v>0</v>
      </c>
      <c r="Q36">
        <v>254643829.78723401</v>
      </c>
      <c r="R36">
        <v>0</v>
      </c>
      <c r="S36">
        <v>0</v>
      </c>
      <c r="T36">
        <v>0</v>
      </c>
      <c r="U36" t="s">
        <v>91</v>
      </c>
      <c r="V36">
        <v>282</v>
      </c>
      <c r="Y36">
        <v>911.14470930000005</v>
      </c>
      <c r="AB36" s="12">
        <v>5.3138254094756396</v>
      </c>
    </row>
    <row r="37" spans="1:28" x14ac:dyDescent="0.2">
      <c r="A37">
        <v>20025</v>
      </c>
      <c r="B37" t="s">
        <v>319</v>
      </c>
      <c r="C37" t="s">
        <v>327</v>
      </c>
      <c r="D37" t="s">
        <v>83</v>
      </c>
      <c r="E37">
        <v>1000</v>
      </c>
      <c r="F37" t="s">
        <v>80</v>
      </c>
      <c r="G37" t="s">
        <v>314</v>
      </c>
      <c r="H37">
        <v>275862068.96551698</v>
      </c>
      <c r="I37">
        <v>274027459.72248799</v>
      </c>
      <c r="J37">
        <v>993.34954149402199</v>
      </c>
      <c r="K37" s="64">
        <v>41165</v>
      </c>
      <c r="L37" s="1">
        <v>0</v>
      </c>
      <c r="M37">
        <v>15</v>
      </c>
      <c r="N37">
        <v>1</v>
      </c>
      <c r="O37">
        <v>0</v>
      </c>
      <c r="P37">
        <v>0</v>
      </c>
      <c r="Q37">
        <v>2408853.47130625</v>
      </c>
      <c r="R37">
        <v>0</v>
      </c>
      <c r="S37">
        <v>0</v>
      </c>
      <c r="T37">
        <v>0</v>
      </c>
      <c r="U37" t="s">
        <v>91</v>
      </c>
      <c r="V37">
        <v>29810.68</v>
      </c>
      <c r="Y37">
        <v>972.7444845</v>
      </c>
      <c r="AB37" s="12">
        <v>2.11823940637542</v>
      </c>
    </row>
    <row r="38" spans="1:28" x14ac:dyDescent="0.2">
      <c r="A38">
        <v>20026</v>
      </c>
      <c r="B38" t="s">
        <v>321</v>
      </c>
      <c r="C38" t="s">
        <v>1297</v>
      </c>
      <c r="D38" t="s">
        <v>14</v>
      </c>
      <c r="E38">
        <v>1000</v>
      </c>
      <c r="F38" t="s">
        <v>94</v>
      </c>
      <c r="G38" t="s">
        <v>314</v>
      </c>
      <c r="H38">
        <v>8000000000000</v>
      </c>
      <c r="I38" s="77">
        <v>8168944913000</v>
      </c>
      <c r="J38">
        <v>1118.0208493185501</v>
      </c>
      <c r="K38" s="64">
        <v>41165</v>
      </c>
      <c r="L38" s="1">
        <v>0</v>
      </c>
      <c r="M38">
        <v>15</v>
      </c>
      <c r="N38">
        <v>1</v>
      </c>
      <c r="O38">
        <v>0</v>
      </c>
      <c r="P38">
        <v>0</v>
      </c>
      <c r="Q38">
        <v>71809560000</v>
      </c>
      <c r="R38">
        <v>0</v>
      </c>
      <c r="S38">
        <v>0</v>
      </c>
      <c r="T38">
        <v>0</v>
      </c>
      <c r="U38" t="s">
        <v>91</v>
      </c>
      <c r="V38">
        <v>1</v>
      </c>
      <c r="Y38">
        <v>1119.484033</v>
      </c>
      <c r="Z38">
        <v>1021.118114125</v>
      </c>
      <c r="AA38">
        <v>0</v>
      </c>
      <c r="AB38" s="12">
        <v>-0.13070161237821001</v>
      </c>
    </row>
    <row r="39" spans="1:28" x14ac:dyDescent="0.2">
      <c r="A39">
        <v>20027</v>
      </c>
      <c r="B39" t="s">
        <v>322</v>
      </c>
      <c r="C39" t="s">
        <v>323</v>
      </c>
      <c r="D39" t="s">
        <v>84</v>
      </c>
      <c r="E39">
        <v>1000</v>
      </c>
      <c r="F39" t="s">
        <v>94</v>
      </c>
      <c r="G39" t="s">
        <v>314</v>
      </c>
      <c r="H39">
        <v>380952380952.38098</v>
      </c>
      <c r="I39">
        <v>373181585.79259902</v>
      </c>
      <c r="J39">
        <v>1010.07179201939</v>
      </c>
      <c r="K39" s="64">
        <v>41165</v>
      </c>
      <c r="L39" s="1">
        <v>0</v>
      </c>
      <c r="M39">
        <v>15</v>
      </c>
      <c r="N39">
        <v>1</v>
      </c>
      <c r="O39">
        <v>0</v>
      </c>
      <c r="P39">
        <v>0</v>
      </c>
      <c r="Q39">
        <v>3280473.2754682498</v>
      </c>
      <c r="R39">
        <v>0</v>
      </c>
      <c r="S39">
        <v>0</v>
      </c>
      <c r="T39">
        <v>0</v>
      </c>
      <c r="U39" t="s">
        <v>91</v>
      </c>
      <c r="V39">
        <v>21890</v>
      </c>
      <c r="Y39">
        <v>1010.062913</v>
      </c>
      <c r="Z39">
        <v>979.60166270557295</v>
      </c>
      <c r="AA39">
        <v>0</v>
      </c>
      <c r="AB39" s="12">
        <v>8.7905607445722296E-4</v>
      </c>
    </row>
    <row r="40" spans="1:28" x14ac:dyDescent="0.2">
      <c r="A40">
        <v>20028</v>
      </c>
      <c r="B40" t="s">
        <v>324</v>
      </c>
      <c r="C40" t="s">
        <v>325</v>
      </c>
      <c r="D40" t="s">
        <v>85</v>
      </c>
      <c r="E40">
        <v>1000</v>
      </c>
      <c r="F40" t="s">
        <v>94</v>
      </c>
      <c r="G40" t="s">
        <v>314</v>
      </c>
      <c r="H40">
        <v>30188679245.283001</v>
      </c>
      <c r="I40">
        <v>28967889762.411301</v>
      </c>
      <c r="J40">
        <v>1058.8598283065901</v>
      </c>
      <c r="K40" s="64">
        <v>41165</v>
      </c>
      <c r="L40" s="1">
        <v>0</v>
      </c>
      <c r="M40">
        <v>15</v>
      </c>
      <c r="N40">
        <v>1</v>
      </c>
      <c r="O40">
        <v>0</v>
      </c>
      <c r="P40">
        <v>0</v>
      </c>
      <c r="Q40">
        <v>254643829.78723401</v>
      </c>
      <c r="R40">
        <v>0</v>
      </c>
      <c r="S40">
        <v>0</v>
      </c>
      <c r="T40">
        <v>0</v>
      </c>
      <c r="U40" t="s">
        <v>91</v>
      </c>
      <c r="V40">
        <v>282</v>
      </c>
      <c r="Y40">
        <v>996.67158400000005</v>
      </c>
      <c r="Z40">
        <v>959.56134837987599</v>
      </c>
      <c r="AA40">
        <v>0</v>
      </c>
      <c r="AB40" s="12">
        <v>6.2395923898033399</v>
      </c>
    </row>
    <row r="41" spans="1:28" x14ac:dyDescent="0.2">
      <c r="A41">
        <v>20029</v>
      </c>
      <c r="B41" t="s">
        <v>326</v>
      </c>
      <c r="C41" t="s">
        <v>320</v>
      </c>
      <c r="D41" t="s">
        <v>83</v>
      </c>
      <c r="E41">
        <v>1000</v>
      </c>
      <c r="F41" t="s">
        <v>94</v>
      </c>
      <c r="G41" t="s">
        <v>314</v>
      </c>
      <c r="H41">
        <v>275862068965.51703</v>
      </c>
      <c r="I41">
        <v>274027459.72248799</v>
      </c>
      <c r="J41">
        <v>1149.8697317103099</v>
      </c>
      <c r="K41" s="64">
        <v>41165</v>
      </c>
      <c r="L41" s="1">
        <v>0</v>
      </c>
      <c r="M41">
        <v>15</v>
      </c>
      <c r="N41">
        <v>1</v>
      </c>
      <c r="O41">
        <v>0</v>
      </c>
      <c r="P41">
        <v>0</v>
      </c>
      <c r="Q41">
        <v>2408853.47130625</v>
      </c>
      <c r="R41">
        <v>0</v>
      </c>
      <c r="S41">
        <v>0</v>
      </c>
      <c r="T41">
        <v>0</v>
      </c>
      <c r="U41" t="s">
        <v>91</v>
      </c>
      <c r="V41">
        <v>29810.68</v>
      </c>
      <c r="Y41">
        <v>1126.008077</v>
      </c>
      <c r="Z41">
        <v>993.34954149402199</v>
      </c>
      <c r="AA41">
        <v>0</v>
      </c>
      <c r="AB41" s="12">
        <v>2.11913708238106</v>
      </c>
    </row>
    <row r="42" spans="1:28" x14ac:dyDescent="0.2">
      <c r="A42">
        <v>20030</v>
      </c>
      <c r="B42" t="s">
        <v>328</v>
      </c>
      <c r="C42" t="s">
        <v>1298</v>
      </c>
      <c r="D42" t="s">
        <v>14</v>
      </c>
      <c r="E42">
        <v>1000</v>
      </c>
      <c r="F42" t="s">
        <v>80</v>
      </c>
      <c r="G42" t="s">
        <v>328</v>
      </c>
      <c r="H42">
        <v>10000000000000</v>
      </c>
      <c r="I42" s="77">
        <v>14803791408000</v>
      </c>
      <c r="J42">
        <v>1480.3791408</v>
      </c>
      <c r="K42" s="64">
        <v>41165</v>
      </c>
      <c r="L42" s="1">
        <v>0.58934027777777775</v>
      </c>
      <c r="M42">
        <v>1</v>
      </c>
      <c r="N42">
        <v>1</v>
      </c>
      <c r="O42">
        <v>0</v>
      </c>
      <c r="P42">
        <v>0</v>
      </c>
      <c r="Q42">
        <v>528706836000</v>
      </c>
      <c r="R42">
        <v>0</v>
      </c>
      <c r="S42">
        <v>0</v>
      </c>
      <c r="T42">
        <v>0</v>
      </c>
      <c r="U42" t="s">
        <v>93</v>
      </c>
      <c r="V42">
        <v>1</v>
      </c>
      <c r="Y42">
        <v>1558.712102</v>
      </c>
      <c r="AB42" s="12">
        <v>-5.0254925909338901</v>
      </c>
    </row>
    <row r="43" spans="1:28" x14ac:dyDescent="0.2">
      <c r="A43">
        <v>20031</v>
      </c>
      <c r="B43" t="s">
        <v>329</v>
      </c>
      <c r="C43" t="s">
        <v>177</v>
      </c>
      <c r="D43" t="s">
        <v>84</v>
      </c>
      <c r="E43">
        <v>1000</v>
      </c>
      <c r="F43" t="s">
        <v>80</v>
      </c>
      <c r="G43" t="s">
        <v>328</v>
      </c>
      <c r="H43">
        <v>476190476.190476</v>
      </c>
      <c r="I43">
        <v>676281014.52718103</v>
      </c>
      <c r="J43">
        <v>1420.1901305070801</v>
      </c>
      <c r="K43" s="64">
        <v>41165</v>
      </c>
      <c r="L43" s="1">
        <v>0</v>
      </c>
      <c r="M43">
        <v>1</v>
      </c>
      <c r="N43">
        <v>1</v>
      </c>
      <c r="O43">
        <v>0</v>
      </c>
      <c r="P43">
        <v>0</v>
      </c>
      <c r="Q43">
        <v>24152893.375970699</v>
      </c>
      <c r="R43">
        <v>0</v>
      </c>
      <c r="S43">
        <v>0</v>
      </c>
      <c r="T43">
        <v>0</v>
      </c>
      <c r="U43" t="s">
        <v>93</v>
      </c>
      <c r="V43">
        <v>21890</v>
      </c>
      <c r="Y43">
        <v>1362.5964329999999</v>
      </c>
      <c r="AB43" s="12">
        <v>4.2267612120691203</v>
      </c>
    </row>
    <row r="44" spans="1:28" x14ac:dyDescent="0.2">
      <c r="A44">
        <v>20032</v>
      </c>
      <c r="B44" t="s">
        <v>330</v>
      </c>
      <c r="C44" t="s">
        <v>176</v>
      </c>
      <c r="D44" t="s">
        <v>85</v>
      </c>
      <c r="E44">
        <v>1000</v>
      </c>
      <c r="F44" t="s">
        <v>80</v>
      </c>
      <c r="G44" t="s">
        <v>328</v>
      </c>
      <c r="H44">
        <v>37735849056.603798</v>
      </c>
      <c r="I44">
        <v>52495714212.7659</v>
      </c>
      <c r="J44">
        <v>1391.13642663829</v>
      </c>
      <c r="K44" s="64">
        <v>41165</v>
      </c>
      <c r="L44" s="1">
        <v>0</v>
      </c>
      <c r="M44">
        <v>1</v>
      </c>
      <c r="N44">
        <v>1</v>
      </c>
      <c r="O44">
        <v>0</v>
      </c>
      <c r="P44">
        <v>0</v>
      </c>
      <c r="Q44">
        <v>1874846936.1702099</v>
      </c>
      <c r="R44">
        <v>0</v>
      </c>
      <c r="S44">
        <v>0</v>
      </c>
      <c r="T44">
        <v>0</v>
      </c>
      <c r="U44" t="s">
        <v>93</v>
      </c>
      <c r="V44">
        <v>282</v>
      </c>
      <c r="Y44">
        <v>1421.2529629999999</v>
      </c>
      <c r="AB44" s="12">
        <v>-2.1190130923725499</v>
      </c>
    </row>
    <row r="45" spans="1:28" x14ac:dyDescent="0.2">
      <c r="A45">
        <v>20033</v>
      </c>
      <c r="B45" t="s">
        <v>331</v>
      </c>
      <c r="C45" t="s">
        <v>175</v>
      </c>
      <c r="D45" t="s">
        <v>83</v>
      </c>
      <c r="E45">
        <v>1000</v>
      </c>
      <c r="F45" t="s">
        <v>80</v>
      </c>
      <c r="G45" t="s">
        <v>328</v>
      </c>
      <c r="H45">
        <v>344827586.20689702</v>
      </c>
      <c r="I45">
        <v>496593549.96262997</v>
      </c>
      <c r="J45">
        <v>1440.12129489162</v>
      </c>
      <c r="K45" s="64">
        <v>41165</v>
      </c>
      <c r="L45" s="1">
        <v>0</v>
      </c>
      <c r="M45">
        <v>1</v>
      </c>
      <c r="N45">
        <v>1</v>
      </c>
      <c r="O45">
        <v>0</v>
      </c>
      <c r="P45">
        <v>0</v>
      </c>
      <c r="Q45">
        <v>17735483.927236799</v>
      </c>
      <c r="R45">
        <v>0</v>
      </c>
      <c r="S45">
        <v>0</v>
      </c>
      <c r="T45">
        <v>0</v>
      </c>
      <c r="U45" t="s">
        <v>93</v>
      </c>
      <c r="V45">
        <v>29810.68</v>
      </c>
      <c r="Y45">
        <v>1523.529665</v>
      </c>
      <c r="AB45" s="12">
        <v>-5.47467975350337</v>
      </c>
    </row>
    <row r="46" spans="1:28" x14ac:dyDescent="0.2">
      <c r="A46">
        <v>20034</v>
      </c>
      <c r="B46" t="s">
        <v>332</v>
      </c>
      <c r="C46" t="s">
        <v>1299</v>
      </c>
      <c r="D46" t="s">
        <v>14</v>
      </c>
      <c r="E46">
        <v>1000</v>
      </c>
      <c r="F46" t="s">
        <v>80</v>
      </c>
      <c r="G46" t="s">
        <v>332</v>
      </c>
      <c r="H46">
        <v>10000000000000</v>
      </c>
      <c r="I46" s="77">
        <v>788158560000</v>
      </c>
      <c r="J46">
        <v>78.815855999999997</v>
      </c>
      <c r="K46" s="64">
        <v>41165</v>
      </c>
      <c r="L46" s="1">
        <v>0.58934027777777775</v>
      </c>
      <c r="M46">
        <v>1</v>
      </c>
      <c r="N46">
        <v>1</v>
      </c>
      <c r="O46">
        <v>0</v>
      </c>
      <c r="P46">
        <v>0</v>
      </c>
      <c r="Q46">
        <v>105556950000</v>
      </c>
      <c r="R46">
        <v>0</v>
      </c>
      <c r="S46">
        <v>0</v>
      </c>
      <c r="T46">
        <v>0</v>
      </c>
      <c r="U46" t="s">
        <v>93</v>
      </c>
      <c r="V46">
        <v>1</v>
      </c>
      <c r="Y46">
        <v>80.584432280000001</v>
      </c>
      <c r="AB46" s="12">
        <v>-2.1946872739077898</v>
      </c>
    </row>
    <row r="47" spans="1:28" x14ac:dyDescent="0.2">
      <c r="A47">
        <v>20035</v>
      </c>
      <c r="B47" t="s">
        <v>333</v>
      </c>
      <c r="C47" t="s">
        <v>108</v>
      </c>
      <c r="D47" t="s">
        <v>84</v>
      </c>
      <c r="E47">
        <v>1000</v>
      </c>
      <c r="F47" t="s">
        <v>80</v>
      </c>
      <c r="G47" t="s">
        <v>332</v>
      </c>
      <c r="H47">
        <v>476190476.190476</v>
      </c>
      <c r="I47">
        <v>36005416.171767898</v>
      </c>
      <c r="J47">
        <v>75.611373960712598</v>
      </c>
      <c r="K47" s="64">
        <v>41165</v>
      </c>
      <c r="L47" s="1">
        <v>0</v>
      </c>
      <c r="M47">
        <v>1</v>
      </c>
      <c r="N47">
        <v>1</v>
      </c>
      <c r="O47">
        <v>0</v>
      </c>
      <c r="P47">
        <v>0</v>
      </c>
      <c r="Q47">
        <v>4822153.9515760597</v>
      </c>
      <c r="R47">
        <v>0</v>
      </c>
      <c r="S47">
        <v>0</v>
      </c>
      <c r="T47">
        <v>0</v>
      </c>
      <c r="U47" t="s">
        <v>93</v>
      </c>
      <c r="V47">
        <v>21890</v>
      </c>
      <c r="Y47">
        <v>75.611373959999995</v>
      </c>
      <c r="AB47" s="12">
        <v>9.4256794645620704E-10</v>
      </c>
    </row>
    <row r="48" spans="1:28" x14ac:dyDescent="0.2">
      <c r="A48">
        <v>20036</v>
      </c>
      <c r="B48" t="s">
        <v>334</v>
      </c>
      <c r="C48" t="s">
        <v>109</v>
      </c>
      <c r="D48" t="s">
        <v>85</v>
      </c>
      <c r="E48">
        <v>1000</v>
      </c>
      <c r="F48" t="s">
        <v>80</v>
      </c>
      <c r="G48" t="s">
        <v>332</v>
      </c>
      <c r="H48">
        <v>37735849056.603798</v>
      </c>
      <c r="I48">
        <v>2794888510.6382899</v>
      </c>
      <c r="J48">
        <v>74.064545531914803</v>
      </c>
      <c r="K48" s="64">
        <v>41165</v>
      </c>
      <c r="L48" s="1">
        <v>0</v>
      </c>
      <c r="M48">
        <v>1</v>
      </c>
      <c r="N48">
        <v>1</v>
      </c>
      <c r="O48">
        <v>0</v>
      </c>
      <c r="P48">
        <v>0</v>
      </c>
      <c r="Q48">
        <v>374315425.531914</v>
      </c>
      <c r="R48">
        <v>0</v>
      </c>
      <c r="S48">
        <v>0</v>
      </c>
      <c r="T48">
        <v>0</v>
      </c>
      <c r="U48" t="s">
        <v>93</v>
      </c>
      <c r="V48">
        <v>282</v>
      </c>
      <c r="Y48">
        <v>75.578091630000003</v>
      </c>
      <c r="AB48" s="12">
        <v>-2.0026254506330599</v>
      </c>
    </row>
    <row r="49" spans="1:28" x14ac:dyDescent="0.2">
      <c r="A49">
        <v>20037</v>
      </c>
      <c r="B49" t="s">
        <v>335</v>
      </c>
      <c r="C49" t="s">
        <v>107</v>
      </c>
      <c r="D49" t="s">
        <v>83</v>
      </c>
      <c r="E49">
        <v>1000</v>
      </c>
      <c r="F49" t="s">
        <v>80</v>
      </c>
      <c r="G49" t="s">
        <v>332</v>
      </c>
      <c r="H49">
        <v>344827586.20689702</v>
      </c>
      <c r="I49">
        <v>26438798.444047499</v>
      </c>
      <c r="J49">
        <v>76.672515487737797</v>
      </c>
      <c r="K49" s="64">
        <v>41165</v>
      </c>
      <c r="L49" s="1">
        <v>0</v>
      </c>
      <c r="M49">
        <v>1</v>
      </c>
      <c r="N49">
        <v>1</v>
      </c>
      <c r="O49">
        <v>0</v>
      </c>
      <c r="P49">
        <v>0</v>
      </c>
      <c r="Q49">
        <v>3540910.5058992198</v>
      </c>
      <c r="R49">
        <v>0</v>
      </c>
      <c r="S49">
        <v>0</v>
      </c>
      <c r="T49">
        <v>0</v>
      </c>
      <c r="U49" t="s">
        <v>93</v>
      </c>
      <c r="V49">
        <v>29810.68</v>
      </c>
      <c r="Y49">
        <v>80.080501249999998</v>
      </c>
      <c r="AB49" s="12">
        <v>-4.2556998383700204</v>
      </c>
    </row>
    <row r="50" spans="1:28" x14ac:dyDescent="0.2">
      <c r="A50">
        <v>20038</v>
      </c>
      <c r="B50" t="s">
        <v>336</v>
      </c>
      <c r="C50" t="s">
        <v>1300</v>
      </c>
      <c r="D50" t="s">
        <v>14</v>
      </c>
      <c r="E50">
        <v>1000</v>
      </c>
      <c r="F50" t="s">
        <v>80</v>
      </c>
      <c r="G50" t="s">
        <v>336</v>
      </c>
      <c r="H50">
        <v>10000000000000</v>
      </c>
      <c r="I50" s="77">
        <v>10683771510000</v>
      </c>
      <c r="J50">
        <v>1068.3771509999999</v>
      </c>
      <c r="K50" s="64">
        <v>41165</v>
      </c>
      <c r="L50" s="1">
        <v>0.58934027777777775</v>
      </c>
      <c r="M50">
        <v>5</v>
      </c>
      <c r="N50">
        <v>1</v>
      </c>
      <c r="O50">
        <v>0</v>
      </c>
      <c r="P50">
        <v>0</v>
      </c>
      <c r="Q50">
        <v>50000000000</v>
      </c>
      <c r="R50">
        <v>0</v>
      </c>
      <c r="S50">
        <v>0</v>
      </c>
      <c r="T50">
        <v>0</v>
      </c>
      <c r="U50" t="s">
        <v>93</v>
      </c>
      <c r="V50">
        <v>1</v>
      </c>
      <c r="Y50">
        <v>1090.7663889999999</v>
      </c>
      <c r="AB50" s="12">
        <v>-2.05261531944765</v>
      </c>
    </row>
    <row r="51" spans="1:28" x14ac:dyDescent="0.2">
      <c r="A51">
        <v>20039</v>
      </c>
      <c r="B51" t="s">
        <v>337</v>
      </c>
      <c r="C51" t="s">
        <v>102</v>
      </c>
      <c r="D51" t="s">
        <v>84</v>
      </c>
      <c r="E51">
        <v>1000</v>
      </c>
      <c r="F51" t="s">
        <v>80</v>
      </c>
      <c r="G51" t="s">
        <v>336</v>
      </c>
      <c r="H51">
        <v>476190476.190476</v>
      </c>
      <c r="I51">
        <v>488066309.27363998</v>
      </c>
      <c r="J51">
        <v>1024.9392494746401</v>
      </c>
      <c r="K51" s="64">
        <v>41165</v>
      </c>
      <c r="L51" s="1">
        <v>0</v>
      </c>
      <c r="M51">
        <v>5</v>
      </c>
      <c r="N51">
        <v>1</v>
      </c>
      <c r="O51">
        <v>0</v>
      </c>
      <c r="P51">
        <v>0</v>
      </c>
      <c r="Q51">
        <v>2284148.0127912201</v>
      </c>
      <c r="R51">
        <v>0</v>
      </c>
      <c r="S51">
        <v>0</v>
      </c>
      <c r="T51">
        <v>0</v>
      </c>
      <c r="U51" t="s">
        <v>93</v>
      </c>
      <c r="V51">
        <v>21890</v>
      </c>
      <c r="Y51">
        <v>992.31577949999996</v>
      </c>
      <c r="AB51" s="12">
        <v>3.2876097154359898</v>
      </c>
    </row>
    <row r="52" spans="1:28" x14ac:dyDescent="0.2">
      <c r="A52">
        <v>20040</v>
      </c>
      <c r="B52" t="s">
        <v>338</v>
      </c>
      <c r="C52" t="s">
        <v>103</v>
      </c>
      <c r="D52" t="s">
        <v>85</v>
      </c>
      <c r="E52">
        <v>1000</v>
      </c>
      <c r="F52" t="s">
        <v>80</v>
      </c>
      <c r="G52" t="s">
        <v>336</v>
      </c>
      <c r="H52">
        <v>37735849056.603798</v>
      </c>
      <c r="I52">
        <v>37885714574.468002</v>
      </c>
      <c r="J52">
        <v>1003.9714362234</v>
      </c>
      <c r="K52" s="64">
        <v>41165</v>
      </c>
      <c r="L52" s="1">
        <v>0</v>
      </c>
      <c r="M52">
        <v>5</v>
      </c>
      <c r="N52">
        <v>1</v>
      </c>
      <c r="O52">
        <v>0</v>
      </c>
      <c r="P52">
        <v>0</v>
      </c>
      <c r="Q52">
        <v>177304964.53900701</v>
      </c>
      <c r="R52">
        <v>0</v>
      </c>
      <c r="S52">
        <v>0</v>
      </c>
      <c r="T52">
        <v>0</v>
      </c>
      <c r="U52" t="s">
        <v>93</v>
      </c>
      <c r="V52">
        <v>282</v>
      </c>
      <c r="Y52">
        <v>983.5947122</v>
      </c>
      <c r="AB52" s="12">
        <v>2.0716585571944699</v>
      </c>
    </row>
    <row r="53" spans="1:28" x14ac:dyDescent="0.2">
      <c r="A53">
        <v>20041</v>
      </c>
      <c r="B53" t="s">
        <v>339</v>
      </c>
      <c r="C53" t="s">
        <v>101</v>
      </c>
      <c r="D53" t="s">
        <v>83</v>
      </c>
      <c r="E53">
        <v>1000</v>
      </c>
      <c r="F53" t="s">
        <v>80</v>
      </c>
      <c r="G53" t="s">
        <v>336</v>
      </c>
      <c r="H53">
        <v>344827586.20689702</v>
      </c>
      <c r="I53">
        <v>358387380.29457802</v>
      </c>
      <c r="J53">
        <v>1039.3234028542699</v>
      </c>
      <c r="K53" s="64">
        <v>41165</v>
      </c>
      <c r="L53" s="1">
        <v>0</v>
      </c>
      <c r="M53">
        <v>5</v>
      </c>
      <c r="N53">
        <v>1</v>
      </c>
      <c r="O53">
        <v>0</v>
      </c>
      <c r="P53">
        <v>0</v>
      </c>
      <c r="Q53">
        <v>1677251.24015956</v>
      </c>
      <c r="R53">
        <v>0</v>
      </c>
      <c r="S53">
        <v>0</v>
      </c>
      <c r="T53">
        <v>0</v>
      </c>
      <c r="U53" t="s">
        <v>93</v>
      </c>
      <c r="V53">
        <v>29810.68</v>
      </c>
      <c r="Y53">
        <v>1072.0518830000001</v>
      </c>
      <c r="AB53" s="12">
        <v>-3.05288210997176</v>
      </c>
    </row>
    <row r="54" spans="1:28" x14ac:dyDescent="0.2">
      <c r="A54">
        <v>20042</v>
      </c>
      <c r="B54" t="s">
        <v>340</v>
      </c>
      <c r="C54" t="s">
        <v>1301</v>
      </c>
      <c r="D54" t="s">
        <v>14</v>
      </c>
      <c r="E54">
        <v>1000</v>
      </c>
      <c r="F54" t="s">
        <v>80</v>
      </c>
      <c r="G54" t="s">
        <v>340</v>
      </c>
      <c r="H54">
        <v>10000000000000</v>
      </c>
      <c r="I54" s="77">
        <v>12555633734400</v>
      </c>
      <c r="J54">
        <v>1255.5633734400001</v>
      </c>
      <c r="K54" s="64">
        <v>41165</v>
      </c>
      <c r="L54" s="1">
        <v>0.58934027777777775</v>
      </c>
      <c r="M54">
        <v>15</v>
      </c>
      <c r="N54">
        <v>1</v>
      </c>
      <c r="O54">
        <v>0</v>
      </c>
      <c r="P54">
        <v>0</v>
      </c>
      <c r="Q54">
        <v>461428473000</v>
      </c>
      <c r="R54">
        <v>0</v>
      </c>
      <c r="S54">
        <v>0</v>
      </c>
      <c r="T54">
        <v>0</v>
      </c>
      <c r="U54" t="s">
        <v>93</v>
      </c>
      <c r="V54">
        <v>1</v>
      </c>
      <c r="Y54">
        <v>1216.4468010000001</v>
      </c>
      <c r="AB54" s="12">
        <v>3.2156418519777099</v>
      </c>
    </row>
    <row r="55" spans="1:28" x14ac:dyDescent="0.2">
      <c r="A55">
        <v>20043</v>
      </c>
      <c r="B55" t="s">
        <v>341</v>
      </c>
      <c r="C55" t="s">
        <v>105</v>
      </c>
      <c r="D55" t="s">
        <v>84</v>
      </c>
      <c r="E55">
        <v>1000</v>
      </c>
      <c r="F55" t="s">
        <v>80</v>
      </c>
      <c r="G55" t="s">
        <v>340</v>
      </c>
      <c r="H55">
        <v>476190476.190476</v>
      </c>
      <c r="I55">
        <v>573578516.87528503</v>
      </c>
      <c r="J55">
        <v>1204.5148854381</v>
      </c>
      <c r="K55" s="64">
        <v>41165</v>
      </c>
      <c r="L55" s="1">
        <v>0</v>
      </c>
      <c r="M55">
        <v>15</v>
      </c>
      <c r="N55">
        <v>1</v>
      </c>
      <c r="O55">
        <v>0</v>
      </c>
      <c r="P55">
        <v>0</v>
      </c>
      <c r="Q55">
        <v>21079418.592964798</v>
      </c>
      <c r="R55">
        <v>0</v>
      </c>
      <c r="S55">
        <v>0</v>
      </c>
      <c r="T55">
        <v>0</v>
      </c>
      <c r="U55" t="s">
        <v>93</v>
      </c>
      <c r="V55">
        <v>21890</v>
      </c>
      <c r="Y55">
        <v>1204.514885</v>
      </c>
      <c r="AB55" s="12">
        <v>3.6371485759199397E-8</v>
      </c>
    </row>
    <row r="56" spans="1:28" x14ac:dyDescent="0.2">
      <c r="A56">
        <v>20044</v>
      </c>
      <c r="B56" t="s">
        <v>342</v>
      </c>
      <c r="C56" t="s">
        <v>106</v>
      </c>
      <c r="D56" t="s">
        <v>85</v>
      </c>
      <c r="E56">
        <v>1000</v>
      </c>
      <c r="F56" t="s">
        <v>80</v>
      </c>
      <c r="G56" t="s">
        <v>340</v>
      </c>
      <c r="H56">
        <v>37735849056.603798</v>
      </c>
      <c r="I56">
        <v>44523523880.850998</v>
      </c>
      <c r="J56">
        <v>1179.87338284255</v>
      </c>
      <c r="K56" s="64">
        <v>41165</v>
      </c>
      <c r="L56" s="1">
        <v>0</v>
      </c>
      <c r="M56">
        <v>15</v>
      </c>
      <c r="N56">
        <v>1</v>
      </c>
      <c r="O56">
        <v>0</v>
      </c>
      <c r="P56">
        <v>0</v>
      </c>
      <c r="Q56">
        <v>1636271180.8510599</v>
      </c>
      <c r="R56">
        <v>0</v>
      </c>
      <c r="S56">
        <v>0</v>
      </c>
      <c r="T56">
        <v>0</v>
      </c>
      <c r="U56" t="s">
        <v>93</v>
      </c>
      <c r="V56">
        <v>282</v>
      </c>
      <c r="Y56">
        <v>1143.1701519999999</v>
      </c>
      <c r="AB56" s="12">
        <v>3.2106533553504399</v>
      </c>
    </row>
    <row r="57" spans="1:28" x14ac:dyDescent="0.2">
      <c r="A57">
        <v>20045</v>
      </c>
      <c r="B57" t="s">
        <v>343</v>
      </c>
      <c r="C57" t="s">
        <v>104</v>
      </c>
      <c r="D57" t="s">
        <v>83</v>
      </c>
      <c r="E57">
        <v>1000</v>
      </c>
      <c r="F57" t="s">
        <v>80</v>
      </c>
      <c r="G57" t="s">
        <v>340</v>
      </c>
      <c r="H57">
        <v>344827586.20689702</v>
      </c>
      <c r="I57">
        <v>421179045.04023302</v>
      </c>
      <c r="J57">
        <v>1221.4192306166699</v>
      </c>
      <c r="K57" s="64">
        <v>41165</v>
      </c>
      <c r="L57" s="1">
        <v>0</v>
      </c>
      <c r="M57">
        <v>15</v>
      </c>
      <c r="N57">
        <v>1</v>
      </c>
      <c r="O57">
        <v>0</v>
      </c>
      <c r="P57">
        <v>0</v>
      </c>
      <c r="Q57">
        <v>15478629.571683699</v>
      </c>
      <c r="R57">
        <v>0</v>
      </c>
      <c r="S57">
        <v>0</v>
      </c>
      <c r="T57">
        <v>0</v>
      </c>
      <c r="U57" t="s">
        <v>93</v>
      </c>
      <c r="V57">
        <v>29810.68</v>
      </c>
      <c r="Y57">
        <v>1221.4192310000001</v>
      </c>
      <c r="AB57" s="12">
        <v>-3.1383439689282499E-8</v>
      </c>
    </row>
    <row r="58" spans="1:28" x14ac:dyDescent="0.2">
      <c r="A58">
        <v>20046</v>
      </c>
      <c r="B58" t="s">
        <v>344</v>
      </c>
      <c r="C58" t="s">
        <v>1302</v>
      </c>
      <c r="D58" t="s">
        <v>14</v>
      </c>
      <c r="E58">
        <v>1000</v>
      </c>
      <c r="F58" t="s">
        <v>80</v>
      </c>
      <c r="G58" t="s">
        <v>344</v>
      </c>
      <c r="H58">
        <v>10000000000000</v>
      </c>
      <c r="I58" s="77">
        <v>13957715385000</v>
      </c>
      <c r="J58">
        <v>1395.7715384999999</v>
      </c>
      <c r="K58" s="64">
        <v>41165</v>
      </c>
      <c r="L58" s="1">
        <v>0.58934027777777775</v>
      </c>
      <c r="M58">
        <v>5</v>
      </c>
      <c r="N58">
        <v>1</v>
      </c>
      <c r="O58">
        <v>0</v>
      </c>
      <c r="P58">
        <v>0</v>
      </c>
      <c r="Q58">
        <v>700764606800</v>
      </c>
      <c r="R58">
        <v>0</v>
      </c>
      <c r="S58">
        <v>0</v>
      </c>
      <c r="T58">
        <v>0</v>
      </c>
      <c r="U58" t="s">
        <v>93</v>
      </c>
      <c r="V58">
        <v>1</v>
      </c>
      <c r="Y58">
        <v>1469.9690089999999</v>
      </c>
      <c r="AB58" s="12">
        <v>-5.0475533868891196</v>
      </c>
    </row>
    <row r="59" spans="1:28" x14ac:dyDescent="0.2">
      <c r="A59">
        <v>20047</v>
      </c>
      <c r="B59" t="s">
        <v>345</v>
      </c>
      <c r="C59" t="s">
        <v>99</v>
      </c>
      <c r="D59" t="s">
        <v>84</v>
      </c>
      <c r="E59">
        <v>1000</v>
      </c>
      <c r="F59" t="s">
        <v>80</v>
      </c>
      <c r="G59" t="s">
        <v>344</v>
      </c>
      <c r="H59">
        <v>476190476.190476</v>
      </c>
      <c r="I59">
        <v>637629757.19506598</v>
      </c>
      <c r="J59">
        <v>1339.0224901096301</v>
      </c>
      <c r="K59" s="64">
        <v>41165</v>
      </c>
      <c r="L59" s="1">
        <v>0</v>
      </c>
      <c r="M59">
        <v>5</v>
      </c>
      <c r="N59">
        <v>1</v>
      </c>
      <c r="O59">
        <v>0</v>
      </c>
      <c r="P59">
        <v>0</v>
      </c>
      <c r="Q59">
        <v>32013001.681132901</v>
      </c>
      <c r="R59">
        <v>0</v>
      </c>
      <c r="S59">
        <v>0</v>
      </c>
      <c r="T59">
        <v>0</v>
      </c>
      <c r="U59" t="s">
        <v>93</v>
      </c>
      <c r="V59">
        <v>21890</v>
      </c>
      <c r="Y59">
        <v>1368.0283529999999</v>
      </c>
      <c r="AB59" s="12">
        <v>-2.12026767038508</v>
      </c>
    </row>
    <row r="60" spans="1:28" x14ac:dyDescent="0.2">
      <c r="A60">
        <v>20048</v>
      </c>
      <c r="B60" t="s">
        <v>346</v>
      </c>
      <c r="C60" t="s">
        <v>100</v>
      </c>
      <c r="D60" t="s">
        <v>85</v>
      </c>
      <c r="E60">
        <v>1000</v>
      </c>
      <c r="F60" t="s">
        <v>80</v>
      </c>
      <c r="G60" t="s">
        <v>344</v>
      </c>
      <c r="H60">
        <v>37735849056.603798</v>
      </c>
      <c r="I60">
        <v>49495444627.6595</v>
      </c>
      <c r="J60">
        <v>1311.62928263297</v>
      </c>
      <c r="K60" s="64">
        <v>41165</v>
      </c>
      <c r="L60" s="1">
        <v>0</v>
      </c>
      <c r="M60">
        <v>5</v>
      </c>
      <c r="N60">
        <v>1</v>
      </c>
      <c r="O60">
        <v>0</v>
      </c>
      <c r="P60">
        <v>0</v>
      </c>
      <c r="Q60">
        <v>2484980875.1773</v>
      </c>
      <c r="R60">
        <v>0</v>
      </c>
      <c r="S60">
        <v>0</v>
      </c>
      <c r="T60">
        <v>0</v>
      </c>
      <c r="U60" t="s">
        <v>93</v>
      </c>
      <c r="V60">
        <v>282</v>
      </c>
      <c r="Y60">
        <v>1285.1646249999999</v>
      </c>
      <c r="AB60" s="12">
        <v>2.0592426151613101</v>
      </c>
    </row>
    <row r="61" spans="1:28" x14ac:dyDescent="0.2">
      <c r="A61">
        <v>20049</v>
      </c>
      <c r="B61" t="s">
        <v>347</v>
      </c>
      <c r="C61" t="s">
        <v>98</v>
      </c>
      <c r="D61" t="s">
        <v>83</v>
      </c>
      <c r="E61">
        <v>1000</v>
      </c>
      <c r="F61" t="s">
        <v>80</v>
      </c>
      <c r="G61" t="s">
        <v>344</v>
      </c>
      <c r="H61">
        <v>344827586.20689702</v>
      </c>
      <c r="I61">
        <v>468211908.78570998</v>
      </c>
      <c r="J61">
        <v>1357.8145354785499</v>
      </c>
      <c r="K61" s="64">
        <v>41165</v>
      </c>
      <c r="L61" s="1">
        <v>0</v>
      </c>
      <c r="M61">
        <v>5</v>
      </c>
      <c r="N61">
        <v>1</v>
      </c>
      <c r="O61">
        <v>0</v>
      </c>
      <c r="P61">
        <v>0</v>
      </c>
      <c r="Q61">
        <v>23507166.116304599</v>
      </c>
      <c r="R61">
        <v>0</v>
      </c>
      <c r="S61">
        <v>0</v>
      </c>
      <c r="T61">
        <v>0</v>
      </c>
      <c r="U61" t="s">
        <v>93</v>
      </c>
      <c r="V61">
        <v>29810.68</v>
      </c>
      <c r="Y61">
        <v>1420.1246470000001</v>
      </c>
      <c r="AB61" s="12">
        <v>-4.3876508764967497</v>
      </c>
    </row>
    <row r="62" spans="1:28" x14ac:dyDescent="0.2">
      <c r="A62">
        <v>20050</v>
      </c>
      <c r="B62" t="s">
        <v>348</v>
      </c>
      <c r="C62" t="s">
        <v>1303</v>
      </c>
      <c r="D62" t="s">
        <v>14</v>
      </c>
      <c r="E62">
        <v>1000</v>
      </c>
      <c r="F62" t="s">
        <v>80</v>
      </c>
      <c r="G62" t="s">
        <v>348</v>
      </c>
      <c r="H62">
        <v>10000000000000</v>
      </c>
      <c r="I62" s="77">
        <v>2957227000000</v>
      </c>
      <c r="J62">
        <v>295.72269999999997</v>
      </c>
      <c r="K62" s="64">
        <v>41165</v>
      </c>
      <c r="L62" s="1">
        <v>0.58934027777777775</v>
      </c>
      <c r="M62">
        <v>3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93</v>
      </c>
      <c r="V62">
        <v>1</v>
      </c>
      <c r="Y62">
        <v>295.72269999999997</v>
      </c>
      <c r="AB62" s="12">
        <v>0</v>
      </c>
    </row>
    <row r="63" spans="1:28" x14ac:dyDescent="0.2">
      <c r="A63">
        <v>20051</v>
      </c>
      <c r="B63" t="s">
        <v>349</v>
      </c>
      <c r="C63" t="s">
        <v>183</v>
      </c>
      <c r="D63" t="s">
        <v>84</v>
      </c>
      <c r="E63">
        <v>1000</v>
      </c>
      <c r="F63" t="s">
        <v>80</v>
      </c>
      <c r="G63" t="s">
        <v>348</v>
      </c>
      <c r="H63">
        <v>476190476.190476</v>
      </c>
      <c r="I63">
        <v>135094883.50845101</v>
      </c>
      <c r="J63">
        <v>283.69925536774701</v>
      </c>
      <c r="K63" s="64">
        <v>41165</v>
      </c>
      <c r="L63" s="1">
        <v>0</v>
      </c>
      <c r="M63">
        <v>3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93</v>
      </c>
      <c r="V63">
        <v>21890</v>
      </c>
      <c r="Y63">
        <v>275.30846300000002</v>
      </c>
      <c r="AB63" s="12">
        <v>3.0477785812737199</v>
      </c>
    </row>
    <row r="64" spans="1:28" x14ac:dyDescent="0.2">
      <c r="A64">
        <v>20052</v>
      </c>
      <c r="B64" t="s">
        <v>350</v>
      </c>
      <c r="C64" t="s">
        <v>182</v>
      </c>
      <c r="D64" t="s">
        <v>85</v>
      </c>
      <c r="E64">
        <v>1000</v>
      </c>
      <c r="F64" t="s">
        <v>80</v>
      </c>
      <c r="G64" t="s">
        <v>348</v>
      </c>
      <c r="H64">
        <v>37735849056.603798</v>
      </c>
      <c r="I64">
        <v>10486620567.375799</v>
      </c>
      <c r="J64">
        <v>277.89544503546</v>
      </c>
      <c r="K64" s="64">
        <v>41165</v>
      </c>
      <c r="L64" s="1">
        <v>0</v>
      </c>
      <c r="M64">
        <v>3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93</v>
      </c>
      <c r="V64">
        <v>282</v>
      </c>
      <c r="Y64">
        <v>283.66619609999998</v>
      </c>
      <c r="AB64" s="12">
        <v>-2.03434570064345</v>
      </c>
    </row>
    <row r="65" spans="1:28" x14ac:dyDescent="0.2">
      <c r="A65">
        <v>20053</v>
      </c>
      <c r="B65" t="s">
        <v>351</v>
      </c>
      <c r="C65" t="s">
        <v>184</v>
      </c>
      <c r="D65" t="s">
        <v>83</v>
      </c>
      <c r="E65">
        <v>1000</v>
      </c>
      <c r="F65" t="s">
        <v>80</v>
      </c>
      <c r="G65" t="s">
        <v>348</v>
      </c>
      <c r="H65">
        <v>344827586.20689702</v>
      </c>
      <c r="I65">
        <v>99200253.063667104</v>
      </c>
      <c r="J65">
        <v>287.68073388463398</v>
      </c>
      <c r="K65" s="64">
        <v>41165</v>
      </c>
      <c r="L65" s="1">
        <v>0</v>
      </c>
      <c r="M65">
        <v>3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93</v>
      </c>
      <c r="V65">
        <v>29810.68</v>
      </c>
      <c r="Y65">
        <v>304.07921649999997</v>
      </c>
      <c r="AB65" s="12">
        <v>-5.3928324349538999</v>
      </c>
    </row>
    <row r="66" spans="1:28" x14ac:dyDescent="0.2">
      <c r="A66">
        <v>20054</v>
      </c>
      <c r="B66" t="s">
        <v>352</v>
      </c>
      <c r="C66" t="s">
        <v>1304</v>
      </c>
      <c r="D66" t="s">
        <v>14</v>
      </c>
      <c r="E66">
        <v>1000</v>
      </c>
      <c r="F66" t="s">
        <v>94</v>
      </c>
      <c r="G66" t="s">
        <v>328</v>
      </c>
      <c r="H66">
        <v>10000000000000</v>
      </c>
      <c r="I66" s="77">
        <v>14803791408000</v>
      </c>
      <c r="J66">
        <v>1572.0838587788101</v>
      </c>
      <c r="K66" s="64">
        <v>41165</v>
      </c>
      <c r="L66" s="1">
        <v>0</v>
      </c>
      <c r="M66">
        <v>1</v>
      </c>
      <c r="N66">
        <v>1</v>
      </c>
      <c r="O66">
        <v>0</v>
      </c>
      <c r="P66">
        <v>0</v>
      </c>
      <c r="Q66">
        <v>528706836000</v>
      </c>
      <c r="R66">
        <v>0</v>
      </c>
      <c r="S66">
        <v>0</v>
      </c>
      <c r="T66">
        <v>0</v>
      </c>
      <c r="U66" t="s">
        <v>93</v>
      </c>
      <c r="V66">
        <v>1</v>
      </c>
      <c r="Y66">
        <v>1598.191043</v>
      </c>
      <c r="Z66">
        <v>1480.3791408</v>
      </c>
      <c r="AA66">
        <v>0</v>
      </c>
      <c r="AB66" s="12">
        <v>-1.63354589775297</v>
      </c>
    </row>
    <row r="67" spans="1:28" x14ac:dyDescent="0.2">
      <c r="A67">
        <v>20055</v>
      </c>
      <c r="B67" t="s">
        <v>353</v>
      </c>
      <c r="C67" t="s">
        <v>180</v>
      </c>
      <c r="D67" t="s">
        <v>84</v>
      </c>
      <c r="E67">
        <v>1000</v>
      </c>
      <c r="F67" t="s">
        <v>94</v>
      </c>
      <c r="G67" t="s">
        <v>328</v>
      </c>
      <c r="H67">
        <v>476190476190.47601</v>
      </c>
      <c r="I67">
        <v>676281014.52718103</v>
      </c>
      <c r="J67">
        <v>1414.0898824201199</v>
      </c>
      <c r="K67" s="64">
        <v>41165</v>
      </c>
      <c r="L67" s="1">
        <v>0</v>
      </c>
      <c r="M67">
        <v>1</v>
      </c>
      <c r="N67">
        <v>1</v>
      </c>
      <c r="O67">
        <v>0</v>
      </c>
      <c r="P67">
        <v>0</v>
      </c>
      <c r="Q67">
        <v>24152893.375970699</v>
      </c>
      <c r="R67">
        <v>0</v>
      </c>
      <c r="S67">
        <v>0</v>
      </c>
      <c r="T67">
        <v>0</v>
      </c>
      <c r="U67" t="s">
        <v>93</v>
      </c>
      <c r="V67">
        <v>21890</v>
      </c>
      <c r="Y67">
        <v>1356.6951180000001</v>
      </c>
      <c r="Z67">
        <v>1420.1901305070801</v>
      </c>
      <c r="AA67">
        <v>0</v>
      </c>
      <c r="AB67" s="12">
        <v>4.2304835963981198</v>
      </c>
    </row>
    <row r="68" spans="1:28" x14ac:dyDescent="0.2">
      <c r="A68">
        <v>20056</v>
      </c>
      <c r="B68" t="s">
        <v>354</v>
      </c>
      <c r="C68" t="s">
        <v>179</v>
      </c>
      <c r="D68" t="s">
        <v>85</v>
      </c>
      <c r="E68">
        <v>1000</v>
      </c>
      <c r="F68" t="s">
        <v>94</v>
      </c>
      <c r="G68" t="s">
        <v>328</v>
      </c>
      <c r="H68">
        <v>37735849056.603798</v>
      </c>
      <c r="I68">
        <v>52495714212.7659</v>
      </c>
      <c r="J68">
        <v>1689.96368361652</v>
      </c>
      <c r="K68" s="64">
        <v>41165</v>
      </c>
      <c r="L68" s="1">
        <v>0</v>
      </c>
      <c r="M68">
        <v>1</v>
      </c>
      <c r="N68">
        <v>1</v>
      </c>
      <c r="O68">
        <v>0</v>
      </c>
      <c r="P68">
        <v>0</v>
      </c>
      <c r="Q68">
        <v>1874846936.1702099</v>
      </c>
      <c r="R68">
        <v>0</v>
      </c>
      <c r="S68">
        <v>0</v>
      </c>
      <c r="T68">
        <v>0</v>
      </c>
      <c r="U68" t="s">
        <v>93</v>
      </c>
      <c r="V68">
        <v>282</v>
      </c>
      <c r="Y68">
        <v>1667.0133040000001</v>
      </c>
      <c r="Z68">
        <v>1391.13642663829</v>
      </c>
      <c r="AA68">
        <v>0</v>
      </c>
      <c r="AB68" s="12">
        <v>1.37673644004272</v>
      </c>
    </row>
    <row r="69" spans="1:28" x14ac:dyDescent="0.2">
      <c r="A69">
        <v>20057</v>
      </c>
      <c r="B69" t="s">
        <v>355</v>
      </c>
      <c r="C69" t="s">
        <v>178</v>
      </c>
      <c r="D69" t="s">
        <v>83</v>
      </c>
      <c r="E69">
        <v>1000</v>
      </c>
      <c r="F69" t="s">
        <v>94</v>
      </c>
      <c r="G69" t="s">
        <v>328</v>
      </c>
      <c r="H69">
        <v>344827586206.89697</v>
      </c>
      <c r="I69">
        <v>496593549.96262997</v>
      </c>
      <c r="J69">
        <v>1356.29299648387</v>
      </c>
      <c r="K69" s="64">
        <v>41165</v>
      </c>
      <c r="L69" s="1">
        <v>0</v>
      </c>
      <c r="M69">
        <v>1</v>
      </c>
      <c r="N69">
        <v>1</v>
      </c>
      <c r="O69">
        <v>0</v>
      </c>
      <c r="P69">
        <v>0</v>
      </c>
      <c r="Q69">
        <v>17735483.927236799</v>
      </c>
      <c r="R69">
        <v>0</v>
      </c>
      <c r="S69">
        <v>0</v>
      </c>
      <c r="T69">
        <v>0</v>
      </c>
      <c r="U69" t="s">
        <v>93</v>
      </c>
      <c r="V69">
        <v>29810.68</v>
      </c>
      <c r="Y69">
        <v>1434.7949900000001</v>
      </c>
      <c r="Z69">
        <v>1440.12129489162</v>
      </c>
      <c r="AA69">
        <v>0</v>
      </c>
      <c r="AB69" s="12">
        <v>-5.4713038492088497</v>
      </c>
    </row>
    <row r="70" spans="1:28" x14ac:dyDescent="0.2">
      <c r="A70">
        <v>20058</v>
      </c>
      <c r="B70" t="s">
        <v>356</v>
      </c>
      <c r="C70" t="s">
        <v>1305</v>
      </c>
      <c r="D70" t="s">
        <v>14</v>
      </c>
      <c r="E70">
        <v>1000</v>
      </c>
      <c r="F70" t="s">
        <v>94</v>
      </c>
      <c r="G70" t="s">
        <v>332</v>
      </c>
      <c r="H70">
        <v>10000000000000</v>
      </c>
      <c r="I70" s="77">
        <v>788158560000</v>
      </c>
      <c r="J70">
        <v>115.685221223494</v>
      </c>
      <c r="K70" s="64">
        <v>41165</v>
      </c>
      <c r="L70" s="1">
        <v>0</v>
      </c>
      <c r="M70">
        <v>1</v>
      </c>
      <c r="N70">
        <v>1</v>
      </c>
      <c r="O70">
        <v>0</v>
      </c>
      <c r="P70">
        <v>0</v>
      </c>
      <c r="Q70">
        <v>105556950000</v>
      </c>
      <c r="R70">
        <v>0</v>
      </c>
      <c r="S70">
        <v>0</v>
      </c>
      <c r="T70">
        <v>0</v>
      </c>
      <c r="U70" t="s">
        <v>93</v>
      </c>
      <c r="V70">
        <v>1</v>
      </c>
      <c r="Y70">
        <v>104.31091069999999</v>
      </c>
      <c r="Z70">
        <v>78.815855999999997</v>
      </c>
      <c r="AA70">
        <v>0</v>
      </c>
      <c r="AB70" s="12">
        <v>10.904238537622399</v>
      </c>
    </row>
    <row r="71" spans="1:28" x14ac:dyDescent="0.2">
      <c r="A71">
        <v>20059</v>
      </c>
      <c r="B71" t="s">
        <v>357</v>
      </c>
      <c r="C71" t="s">
        <v>173</v>
      </c>
      <c r="D71" t="s">
        <v>84</v>
      </c>
      <c r="E71">
        <v>1000</v>
      </c>
      <c r="F71" t="s">
        <v>94</v>
      </c>
      <c r="G71" t="s">
        <v>332</v>
      </c>
      <c r="H71">
        <v>476190476190.47601</v>
      </c>
      <c r="I71">
        <v>36005416.171767898</v>
      </c>
      <c r="J71">
        <v>69.269660875063096</v>
      </c>
      <c r="K71" s="64">
        <v>41165</v>
      </c>
      <c r="L71" s="1">
        <v>0</v>
      </c>
      <c r="M71">
        <v>1</v>
      </c>
      <c r="N71">
        <v>1</v>
      </c>
      <c r="O71">
        <v>0</v>
      </c>
      <c r="P71">
        <v>0</v>
      </c>
      <c r="Q71">
        <v>4822153.9515760597</v>
      </c>
      <c r="R71">
        <v>0</v>
      </c>
      <c r="S71">
        <v>0</v>
      </c>
      <c r="T71">
        <v>0</v>
      </c>
      <c r="U71" t="s">
        <v>93</v>
      </c>
      <c r="V71">
        <v>21890</v>
      </c>
      <c r="Y71">
        <v>69.260384930000001</v>
      </c>
      <c r="Z71">
        <v>75.611373960712598</v>
      </c>
      <c r="AA71">
        <v>0</v>
      </c>
      <c r="AB71" s="12">
        <v>1.3392858085549599E-2</v>
      </c>
    </row>
    <row r="72" spans="1:28" x14ac:dyDescent="0.2">
      <c r="A72">
        <v>20060</v>
      </c>
      <c r="B72" t="s">
        <v>358</v>
      </c>
      <c r="C72" t="s">
        <v>174</v>
      </c>
      <c r="D72" t="s">
        <v>85</v>
      </c>
      <c r="E72">
        <v>1000</v>
      </c>
      <c r="F72" t="s">
        <v>94</v>
      </c>
      <c r="G72" t="s">
        <v>332</v>
      </c>
      <c r="H72">
        <v>37735849056.603798</v>
      </c>
      <c r="I72">
        <v>2794888510.6382899</v>
      </c>
      <c r="J72">
        <v>103.21277786478799</v>
      </c>
      <c r="K72" s="64">
        <v>41165</v>
      </c>
      <c r="L72" s="1">
        <v>0</v>
      </c>
      <c r="M72">
        <v>1</v>
      </c>
      <c r="N72">
        <v>1</v>
      </c>
      <c r="O72">
        <v>0</v>
      </c>
      <c r="P72">
        <v>0</v>
      </c>
      <c r="Q72">
        <v>374315425.531914</v>
      </c>
      <c r="R72">
        <v>0</v>
      </c>
      <c r="S72">
        <v>0</v>
      </c>
      <c r="T72">
        <v>0</v>
      </c>
      <c r="U72" t="s">
        <v>93</v>
      </c>
      <c r="V72">
        <v>282</v>
      </c>
      <c r="Y72">
        <v>92.882378439999997</v>
      </c>
      <c r="Z72">
        <v>74.064545531914803</v>
      </c>
      <c r="AA72">
        <v>0</v>
      </c>
      <c r="AB72" s="12">
        <v>11.122022926514299</v>
      </c>
    </row>
    <row r="73" spans="1:28" x14ac:dyDescent="0.2">
      <c r="A73">
        <v>20061</v>
      </c>
      <c r="B73" t="s">
        <v>359</v>
      </c>
      <c r="C73" t="s">
        <v>172</v>
      </c>
      <c r="D73" t="s">
        <v>83</v>
      </c>
      <c r="E73">
        <v>1000</v>
      </c>
      <c r="F73" t="s">
        <v>94</v>
      </c>
      <c r="G73" t="s">
        <v>332</v>
      </c>
      <c r="H73">
        <v>344827586206.89697</v>
      </c>
      <c r="I73">
        <v>26438798.444047499</v>
      </c>
      <c r="J73">
        <v>78.735700635744706</v>
      </c>
      <c r="K73" s="64">
        <v>41165</v>
      </c>
      <c r="L73" s="1">
        <v>0</v>
      </c>
      <c r="M73">
        <v>1</v>
      </c>
      <c r="N73">
        <v>1</v>
      </c>
      <c r="O73">
        <v>0</v>
      </c>
      <c r="P73">
        <v>0</v>
      </c>
      <c r="Q73">
        <v>3540910.5058992198</v>
      </c>
      <c r="R73">
        <v>0</v>
      </c>
      <c r="S73">
        <v>0</v>
      </c>
      <c r="T73">
        <v>0</v>
      </c>
      <c r="U73" t="s">
        <v>93</v>
      </c>
      <c r="V73">
        <v>29810.68</v>
      </c>
      <c r="Y73">
        <v>82.224379889999994</v>
      </c>
      <c r="Z73">
        <v>76.672515487737797</v>
      </c>
      <c r="AA73">
        <v>0</v>
      </c>
      <c r="AB73" s="12">
        <v>-4.2428769410269496</v>
      </c>
    </row>
    <row r="74" spans="1:28" x14ac:dyDescent="0.2">
      <c r="A74">
        <v>20062</v>
      </c>
      <c r="B74" t="s">
        <v>360</v>
      </c>
      <c r="C74" t="s">
        <v>1306</v>
      </c>
      <c r="D74" t="s">
        <v>14</v>
      </c>
      <c r="E74">
        <v>1000</v>
      </c>
      <c r="F74" t="s">
        <v>94</v>
      </c>
      <c r="G74" t="s">
        <v>336</v>
      </c>
      <c r="H74">
        <v>10000000000000</v>
      </c>
      <c r="I74" s="77">
        <v>10683771510000</v>
      </c>
      <c r="J74">
        <v>927.57972444954703</v>
      </c>
      <c r="K74" s="64">
        <v>41165</v>
      </c>
      <c r="L74" s="1">
        <v>0</v>
      </c>
      <c r="M74">
        <v>5</v>
      </c>
      <c r="N74">
        <v>1</v>
      </c>
      <c r="O74">
        <v>0</v>
      </c>
      <c r="P74">
        <v>0</v>
      </c>
      <c r="Q74">
        <v>50000000000</v>
      </c>
      <c r="R74">
        <v>0</v>
      </c>
      <c r="S74">
        <v>0</v>
      </c>
      <c r="T74">
        <v>0</v>
      </c>
      <c r="U74" t="s">
        <v>93</v>
      </c>
      <c r="V74">
        <v>1</v>
      </c>
      <c r="Y74">
        <v>942.60697240000002</v>
      </c>
      <c r="Z74">
        <v>1068.3771509999999</v>
      </c>
      <c r="AA74">
        <v>0</v>
      </c>
      <c r="AB74" s="12">
        <v>-1.59422202364909</v>
      </c>
    </row>
    <row r="75" spans="1:28" x14ac:dyDescent="0.2">
      <c r="A75">
        <v>20063</v>
      </c>
      <c r="B75" t="s">
        <v>361</v>
      </c>
      <c r="C75" t="s">
        <v>167</v>
      </c>
      <c r="D75" t="s">
        <v>84</v>
      </c>
      <c r="E75">
        <v>1000</v>
      </c>
      <c r="F75" t="s">
        <v>94</v>
      </c>
      <c r="G75" t="s">
        <v>336</v>
      </c>
      <c r="H75">
        <v>476190476190.47601</v>
      </c>
      <c r="I75">
        <v>488066309.27363998</v>
      </c>
      <c r="J75">
        <v>964.580092321748</v>
      </c>
      <c r="K75" s="64">
        <v>41165</v>
      </c>
      <c r="L75" s="1">
        <v>0</v>
      </c>
      <c r="M75">
        <v>5</v>
      </c>
      <c r="N75">
        <v>1</v>
      </c>
      <c r="O75">
        <v>0</v>
      </c>
      <c r="P75">
        <v>0</v>
      </c>
      <c r="Q75">
        <v>2284148.0127912201</v>
      </c>
      <c r="R75">
        <v>0</v>
      </c>
      <c r="S75">
        <v>0</v>
      </c>
      <c r="T75">
        <v>0</v>
      </c>
      <c r="U75" t="s">
        <v>93</v>
      </c>
      <c r="V75">
        <v>21890</v>
      </c>
      <c r="Y75">
        <v>933.87346339999999</v>
      </c>
      <c r="Z75">
        <v>1024.9392494746401</v>
      </c>
      <c r="AA75">
        <v>0</v>
      </c>
      <c r="AB75" s="12">
        <v>3.2880931009596299</v>
      </c>
    </row>
    <row r="76" spans="1:28" x14ac:dyDescent="0.2">
      <c r="A76">
        <v>20064</v>
      </c>
      <c r="B76" t="s">
        <v>362</v>
      </c>
      <c r="C76" t="s">
        <v>168</v>
      </c>
      <c r="D76" t="s">
        <v>85</v>
      </c>
      <c r="E76">
        <v>1000</v>
      </c>
      <c r="F76" t="s">
        <v>94</v>
      </c>
      <c r="G76" t="s">
        <v>336</v>
      </c>
      <c r="H76">
        <v>37735849056.603798</v>
      </c>
      <c r="I76">
        <v>37885714574.468002</v>
      </c>
      <c r="J76">
        <v>1052.7197826476199</v>
      </c>
      <c r="K76" s="64">
        <v>41165</v>
      </c>
      <c r="L76" s="1">
        <v>0</v>
      </c>
      <c r="M76">
        <v>5</v>
      </c>
      <c r="N76">
        <v>1</v>
      </c>
      <c r="O76">
        <v>0</v>
      </c>
      <c r="P76">
        <v>0</v>
      </c>
      <c r="Q76">
        <v>177304964.53900701</v>
      </c>
      <c r="R76">
        <v>0</v>
      </c>
      <c r="S76">
        <v>0</v>
      </c>
      <c r="T76">
        <v>0</v>
      </c>
      <c r="U76" t="s">
        <v>93</v>
      </c>
      <c r="V76">
        <v>282</v>
      </c>
      <c r="Y76">
        <v>1026.5494100000001</v>
      </c>
      <c r="Z76">
        <v>1003.9714362234</v>
      </c>
      <c r="AA76">
        <v>0</v>
      </c>
      <c r="AB76" s="12">
        <v>2.54935343517672</v>
      </c>
    </row>
    <row r="77" spans="1:28" x14ac:dyDescent="0.2">
      <c r="A77">
        <v>20065</v>
      </c>
      <c r="B77" t="s">
        <v>363</v>
      </c>
      <c r="C77" t="s">
        <v>166</v>
      </c>
      <c r="D77" t="s">
        <v>83</v>
      </c>
      <c r="E77">
        <v>1000</v>
      </c>
      <c r="F77" t="s">
        <v>94</v>
      </c>
      <c r="G77" t="s">
        <v>336</v>
      </c>
      <c r="H77">
        <v>344827586206.89697</v>
      </c>
      <c r="I77">
        <v>358387380.29457802</v>
      </c>
      <c r="J77">
        <v>987.53632150348199</v>
      </c>
      <c r="K77" s="64">
        <v>41165</v>
      </c>
      <c r="L77" s="1">
        <v>0</v>
      </c>
      <c r="M77">
        <v>5</v>
      </c>
      <c r="N77">
        <v>1</v>
      </c>
      <c r="O77">
        <v>0</v>
      </c>
      <c r="P77">
        <v>0</v>
      </c>
      <c r="Q77">
        <v>1677251.24015956</v>
      </c>
      <c r="R77">
        <v>0</v>
      </c>
      <c r="S77">
        <v>0</v>
      </c>
      <c r="T77">
        <v>0</v>
      </c>
      <c r="U77" t="s">
        <v>93</v>
      </c>
      <c r="V77">
        <v>29810.68</v>
      </c>
      <c r="Y77">
        <v>1018.62925</v>
      </c>
      <c r="Z77">
        <v>1039.3234028542699</v>
      </c>
      <c r="AA77">
        <v>0</v>
      </c>
      <c r="AB77" s="12">
        <v>-3.0524283979197899</v>
      </c>
    </row>
    <row r="78" spans="1:28" x14ac:dyDescent="0.2">
      <c r="A78">
        <v>20066</v>
      </c>
      <c r="B78" t="s">
        <v>364</v>
      </c>
      <c r="C78" t="s">
        <v>1307</v>
      </c>
      <c r="D78" t="s">
        <v>14</v>
      </c>
      <c r="E78">
        <v>1000</v>
      </c>
      <c r="F78" t="s">
        <v>94</v>
      </c>
      <c r="G78" t="s">
        <v>340</v>
      </c>
      <c r="H78">
        <v>10000000000000</v>
      </c>
      <c r="I78" s="77">
        <v>12555633734400</v>
      </c>
      <c r="J78">
        <v>1457.7823049613401</v>
      </c>
      <c r="K78" s="64">
        <v>41165</v>
      </c>
      <c r="L78" s="1">
        <v>0</v>
      </c>
      <c r="M78">
        <v>15</v>
      </c>
      <c r="N78">
        <v>1</v>
      </c>
      <c r="O78">
        <v>0</v>
      </c>
      <c r="P78">
        <v>0</v>
      </c>
      <c r="Q78">
        <v>461428473000</v>
      </c>
      <c r="R78">
        <v>0</v>
      </c>
      <c r="S78">
        <v>0</v>
      </c>
      <c r="T78">
        <v>0</v>
      </c>
      <c r="U78" t="s">
        <v>93</v>
      </c>
      <c r="V78">
        <v>1</v>
      </c>
      <c r="Y78">
        <v>1362.3001819999999</v>
      </c>
      <c r="Z78">
        <v>1255.5633734400001</v>
      </c>
      <c r="AA78">
        <v>0</v>
      </c>
      <c r="AB78" s="12">
        <v>7.0088901273702202</v>
      </c>
    </row>
    <row r="79" spans="1:28" x14ac:dyDescent="0.2">
      <c r="A79">
        <v>20067</v>
      </c>
      <c r="B79" t="s">
        <v>365</v>
      </c>
      <c r="C79" t="s">
        <v>170</v>
      </c>
      <c r="D79" t="s">
        <v>84</v>
      </c>
      <c r="E79">
        <v>1000</v>
      </c>
      <c r="F79" t="s">
        <v>94</v>
      </c>
      <c r="G79" t="s">
        <v>340</v>
      </c>
      <c r="H79">
        <v>476190476190.47601</v>
      </c>
      <c r="I79">
        <v>573578516.87528503</v>
      </c>
      <c r="J79">
        <v>1131.79352610042</v>
      </c>
      <c r="K79" s="64">
        <v>41165</v>
      </c>
      <c r="L79" s="1">
        <v>0</v>
      </c>
      <c r="M79">
        <v>15</v>
      </c>
      <c r="N79">
        <v>1</v>
      </c>
      <c r="O79">
        <v>0</v>
      </c>
      <c r="P79">
        <v>0</v>
      </c>
      <c r="Q79">
        <v>21079418.592964798</v>
      </c>
      <c r="R79">
        <v>0</v>
      </c>
      <c r="S79">
        <v>0</v>
      </c>
      <c r="T79">
        <v>0</v>
      </c>
      <c r="U79" t="s">
        <v>93</v>
      </c>
      <c r="V79">
        <v>21890</v>
      </c>
      <c r="Y79">
        <v>1131.751933</v>
      </c>
      <c r="Z79">
        <v>1204.5148854381</v>
      </c>
      <c r="AA79">
        <v>0</v>
      </c>
      <c r="AB79" s="12">
        <v>3.6751075222519699E-3</v>
      </c>
    </row>
    <row r="80" spans="1:28" x14ac:dyDescent="0.2">
      <c r="A80">
        <v>20068</v>
      </c>
      <c r="B80" t="s">
        <v>366</v>
      </c>
      <c r="C80" t="s">
        <v>171</v>
      </c>
      <c r="D80" t="s">
        <v>85</v>
      </c>
      <c r="E80">
        <v>1000</v>
      </c>
      <c r="F80" t="s">
        <v>94</v>
      </c>
      <c r="G80" t="s">
        <v>340</v>
      </c>
      <c r="H80">
        <v>37735849056.603798</v>
      </c>
      <c r="I80">
        <v>44523523880.850998</v>
      </c>
      <c r="J80">
        <v>1403.1576833300301</v>
      </c>
      <c r="K80" s="64">
        <v>41165</v>
      </c>
      <c r="L80" s="1">
        <v>0</v>
      </c>
      <c r="M80">
        <v>15</v>
      </c>
      <c r="N80">
        <v>1</v>
      </c>
      <c r="O80">
        <v>0</v>
      </c>
      <c r="P80">
        <v>0</v>
      </c>
      <c r="Q80">
        <v>1636271180.8510599</v>
      </c>
      <c r="R80">
        <v>0</v>
      </c>
      <c r="S80">
        <v>0</v>
      </c>
      <c r="T80">
        <v>0</v>
      </c>
      <c r="U80" t="s">
        <v>93</v>
      </c>
      <c r="V80">
        <v>282</v>
      </c>
      <c r="Y80">
        <v>1311.316752</v>
      </c>
      <c r="Z80">
        <v>1179.87338284255</v>
      </c>
      <c r="AA80">
        <v>0</v>
      </c>
      <c r="AB80" s="12">
        <v>7.00371829994263</v>
      </c>
    </row>
    <row r="81" spans="1:28" x14ac:dyDescent="0.2">
      <c r="A81">
        <v>20069</v>
      </c>
      <c r="B81" t="s">
        <v>367</v>
      </c>
      <c r="C81" t="s">
        <v>169</v>
      </c>
      <c r="D81" t="s">
        <v>83</v>
      </c>
      <c r="E81">
        <v>1000</v>
      </c>
      <c r="F81" t="s">
        <v>94</v>
      </c>
      <c r="G81" t="s">
        <v>340</v>
      </c>
      <c r="H81">
        <v>344827586206.89697</v>
      </c>
      <c r="I81">
        <v>421179045.04023302</v>
      </c>
      <c r="J81">
        <v>1111.7886641739899</v>
      </c>
      <c r="K81" s="64">
        <v>41165</v>
      </c>
      <c r="L81" s="1">
        <v>0</v>
      </c>
      <c r="M81">
        <v>15</v>
      </c>
      <c r="N81">
        <v>1</v>
      </c>
      <c r="O81">
        <v>0</v>
      </c>
      <c r="P81">
        <v>0</v>
      </c>
      <c r="Q81">
        <v>15478629.571683699</v>
      </c>
      <c r="R81">
        <v>0</v>
      </c>
      <c r="S81">
        <v>0</v>
      </c>
      <c r="T81">
        <v>0</v>
      </c>
      <c r="U81" t="s">
        <v>93</v>
      </c>
      <c r="V81">
        <v>29810.68</v>
      </c>
      <c r="Y81">
        <v>1111.747807</v>
      </c>
      <c r="Z81">
        <v>1221.4192306166699</v>
      </c>
      <c r="AA81">
        <v>0</v>
      </c>
      <c r="AB81" s="12">
        <v>3.6750397648394602E-3</v>
      </c>
    </row>
    <row r="82" spans="1:28" x14ac:dyDescent="0.2">
      <c r="A82">
        <v>20070</v>
      </c>
      <c r="B82" t="s">
        <v>368</v>
      </c>
      <c r="C82" t="s">
        <v>1308</v>
      </c>
      <c r="D82" t="s">
        <v>14</v>
      </c>
      <c r="E82">
        <v>1000</v>
      </c>
      <c r="F82" t="s">
        <v>94</v>
      </c>
      <c r="G82" t="s">
        <v>344</v>
      </c>
      <c r="H82">
        <v>10000000000000</v>
      </c>
      <c r="I82" s="77">
        <v>13957715385000</v>
      </c>
      <c r="J82">
        <v>1627.2732136184</v>
      </c>
      <c r="K82" s="64">
        <v>41165</v>
      </c>
      <c r="L82" s="1">
        <v>0</v>
      </c>
      <c r="M82">
        <v>5</v>
      </c>
      <c r="N82">
        <v>1</v>
      </c>
      <c r="O82">
        <v>0</v>
      </c>
      <c r="P82">
        <v>0</v>
      </c>
      <c r="Q82">
        <v>700764606800</v>
      </c>
      <c r="R82">
        <v>0</v>
      </c>
      <c r="S82">
        <v>0</v>
      </c>
      <c r="T82">
        <v>0</v>
      </c>
      <c r="U82" t="s">
        <v>93</v>
      </c>
      <c r="V82">
        <v>1</v>
      </c>
      <c r="Y82">
        <v>1631.8480460000001</v>
      </c>
      <c r="Z82">
        <v>1395.7715384999999</v>
      </c>
      <c r="AA82">
        <v>0</v>
      </c>
      <c r="AB82" s="12">
        <v>-0.280346714438794</v>
      </c>
    </row>
    <row r="83" spans="1:28" x14ac:dyDescent="0.2">
      <c r="A83">
        <v>20071</v>
      </c>
      <c r="B83" t="s">
        <v>369</v>
      </c>
      <c r="C83" t="s">
        <v>164</v>
      </c>
      <c r="D83" t="s">
        <v>84</v>
      </c>
      <c r="E83">
        <v>1000</v>
      </c>
      <c r="F83" t="s">
        <v>94</v>
      </c>
      <c r="G83" t="s">
        <v>344</v>
      </c>
      <c r="H83">
        <v>476190476190.47601</v>
      </c>
      <c r="I83">
        <v>637629757.19506598</v>
      </c>
      <c r="J83">
        <v>1416.4511945061899</v>
      </c>
      <c r="K83" s="64">
        <v>41165</v>
      </c>
      <c r="L83" s="1">
        <v>0</v>
      </c>
      <c r="M83">
        <v>5</v>
      </c>
      <c r="N83">
        <v>1</v>
      </c>
      <c r="O83">
        <v>0</v>
      </c>
      <c r="P83">
        <v>0</v>
      </c>
      <c r="Q83">
        <v>32013001.681132901</v>
      </c>
      <c r="R83">
        <v>0</v>
      </c>
      <c r="S83">
        <v>0</v>
      </c>
      <c r="T83">
        <v>0</v>
      </c>
      <c r="U83" t="s">
        <v>93</v>
      </c>
      <c r="V83">
        <v>21890</v>
      </c>
      <c r="Y83">
        <v>1447.0616640000001</v>
      </c>
      <c r="Z83">
        <v>1339.0224901096301</v>
      </c>
      <c r="AA83">
        <v>0</v>
      </c>
      <c r="AB83" s="12">
        <v>-2.1153534956617901</v>
      </c>
    </row>
    <row r="84" spans="1:28" x14ac:dyDescent="0.2">
      <c r="A84">
        <v>20072</v>
      </c>
      <c r="B84" t="s">
        <v>370</v>
      </c>
      <c r="C84" t="s">
        <v>165</v>
      </c>
      <c r="D84" t="s">
        <v>85</v>
      </c>
      <c r="E84">
        <v>1000</v>
      </c>
      <c r="F84" t="s">
        <v>94</v>
      </c>
      <c r="G84" t="s">
        <v>344</v>
      </c>
      <c r="H84">
        <v>37735849056.603798</v>
      </c>
      <c r="I84">
        <v>49495444627.6595</v>
      </c>
      <c r="J84">
        <v>1726.78718082504</v>
      </c>
      <c r="K84" s="64">
        <v>41165</v>
      </c>
      <c r="L84" s="1">
        <v>0</v>
      </c>
      <c r="M84">
        <v>5</v>
      </c>
      <c r="N84">
        <v>1</v>
      </c>
      <c r="O84">
        <v>0</v>
      </c>
      <c r="P84">
        <v>0</v>
      </c>
      <c r="Q84">
        <v>2484980875.1773</v>
      </c>
      <c r="R84">
        <v>0</v>
      </c>
      <c r="S84">
        <v>0</v>
      </c>
      <c r="T84">
        <v>0</v>
      </c>
      <c r="U84" t="s">
        <v>93</v>
      </c>
      <c r="V84">
        <v>282</v>
      </c>
      <c r="Y84">
        <v>1611.060592</v>
      </c>
      <c r="Z84">
        <v>1311.62928263297</v>
      </c>
      <c r="AA84">
        <v>0</v>
      </c>
      <c r="AB84" s="12">
        <v>7.1832548943040297</v>
      </c>
    </row>
    <row r="85" spans="1:28" x14ac:dyDescent="0.2">
      <c r="A85">
        <v>20073</v>
      </c>
      <c r="B85" t="s">
        <v>371</v>
      </c>
      <c r="C85" t="s">
        <v>163</v>
      </c>
      <c r="D85" t="s">
        <v>83</v>
      </c>
      <c r="E85">
        <v>1000</v>
      </c>
      <c r="F85" t="s">
        <v>94</v>
      </c>
      <c r="G85" t="s">
        <v>344</v>
      </c>
      <c r="H85">
        <v>344827586206.89697</v>
      </c>
      <c r="I85">
        <v>468211908.78570998</v>
      </c>
      <c r="J85">
        <v>1407.66836922064</v>
      </c>
      <c r="K85" s="64">
        <v>41165</v>
      </c>
      <c r="L85" s="1">
        <v>0</v>
      </c>
      <c r="M85">
        <v>5</v>
      </c>
      <c r="N85">
        <v>1</v>
      </c>
      <c r="O85">
        <v>0</v>
      </c>
      <c r="P85">
        <v>0</v>
      </c>
      <c r="Q85">
        <v>23507166.116304599</v>
      </c>
      <c r="R85">
        <v>0</v>
      </c>
      <c r="S85">
        <v>0</v>
      </c>
      <c r="T85">
        <v>0</v>
      </c>
      <c r="U85" t="s">
        <v>93</v>
      </c>
      <c r="V85">
        <v>29810.68</v>
      </c>
      <c r="Y85">
        <v>1472.19236</v>
      </c>
      <c r="Z85">
        <v>1357.8145354785499</v>
      </c>
      <c r="AA85">
        <v>0</v>
      </c>
      <c r="AB85" s="12">
        <v>-4.3828505385911001</v>
      </c>
    </row>
    <row r="86" spans="1:28" x14ac:dyDescent="0.2">
      <c r="A86">
        <v>20074</v>
      </c>
      <c r="B86" t="s">
        <v>372</v>
      </c>
      <c r="C86" t="s">
        <v>1309</v>
      </c>
      <c r="D86" t="s">
        <v>14</v>
      </c>
      <c r="E86">
        <v>1000</v>
      </c>
      <c r="F86" t="s">
        <v>94</v>
      </c>
      <c r="G86" t="s">
        <v>348</v>
      </c>
      <c r="H86">
        <v>10000000000000</v>
      </c>
      <c r="I86" s="77">
        <v>2957227000000</v>
      </c>
      <c r="J86">
        <v>293.87772649999999</v>
      </c>
      <c r="K86" s="64">
        <v>41165</v>
      </c>
      <c r="L86" s="1">
        <v>0</v>
      </c>
      <c r="M86">
        <v>3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93</v>
      </c>
      <c r="V86">
        <v>1</v>
      </c>
      <c r="Y86">
        <v>293.87772649999999</v>
      </c>
      <c r="Z86">
        <v>295.72269999999997</v>
      </c>
      <c r="AA86">
        <v>0</v>
      </c>
      <c r="AB86" s="12">
        <v>0</v>
      </c>
    </row>
    <row r="87" spans="1:28" x14ac:dyDescent="0.2">
      <c r="A87">
        <v>20075</v>
      </c>
      <c r="B87" t="s">
        <v>373</v>
      </c>
      <c r="C87" t="s">
        <v>186</v>
      </c>
      <c r="D87" t="s">
        <v>84</v>
      </c>
      <c r="E87">
        <v>1000</v>
      </c>
      <c r="F87" t="s">
        <v>94</v>
      </c>
      <c r="G87" t="s">
        <v>348</v>
      </c>
      <c r="H87">
        <v>476190476190.47601</v>
      </c>
      <c r="I87">
        <v>135094883.50845101</v>
      </c>
      <c r="J87">
        <v>318.25605782675001</v>
      </c>
      <c r="K87" s="64">
        <v>41165</v>
      </c>
      <c r="L87" s="1">
        <v>0</v>
      </c>
      <c r="M87">
        <v>3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93</v>
      </c>
      <c r="V87">
        <v>21890</v>
      </c>
      <c r="Y87">
        <v>308.8432009</v>
      </c>
      <c r="Z87">
        <v>283.69925536774701</v>
      </c>
      <c r="AA87">
        <v>0</v>
      </c>
      <c r="AB87" s="12">
        <v>3.0477785812737301</v>
      </c>
    </row>
    <row r="88" spans="1:28" x14ac:dyDescent="0.2">
      <c r="A88">
        <v>20076</v>
      </c>
      <c r="B88" t="s">
        <v>374</v>
      </c>
      <c r="C88" t="s">
        <v>185</v>
      </c>
      <c r="D88" t="s">
        <v>85</v>
      </c>
      <c r="E88">
        <v>1000</v>
      </c>
      <c r="F88" t="s">
        <v>94</v>
      </c>
      <c r="G88" t="s">
        <v>348</v>
      </c>
      <c r="H88">
        <v>37735849056.603798</v>
      </c>
      <c r="I88">
        <v>10486620567.375799</v>
      </c>
      <c r="J88">
        <v>244.275730610339</v>
      </c>
      <c r="K88" s="64">
        <v>41165</v>
      </c>
      <c r="L88" s="1">
        <v>0</v>
      </c>
      <c r="M88">
        <v>3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93</v>
      </c>
      <c r="V88">
        <v>282</v>
      </c>
      <c r="Y88">
        <v>249.3483378</v>
      </c>
      <c r="Z88">
        <v>277.89544503546</v>
      </c>
      <c r="AA88">
        <v>0</v>
      </c>
      <c r="AB88" s="12">
        <v>-2.0343457006434602</v>
      </c>
    </row>
    <row r="89" spans="1:28" x14ac:dyDescent="0.2">
      <c r="A89">
        <v>20077</v>
      </c>
      <c r="B89" t="s">
        <v>375</v>
      </c>
      <c r="C89" t="s">
        <v>181</v>
      </c>
      <c r="D89" t="s">
        <v>83</v>
      </c>
      <c r="E89">
        <v>1000</v>
      </c>
      <c r="F89" t="s">
        <v>94</v>
      </c>
      <c r="G89" t="s">
        <v>348</v>
      </c>
      <c r="H89">
        <v>344827586206.89697</v>
      </c>
      <c r="I89">
        <v>99200253.063667104</v>
      </c>
      <c r="J89">
        <v>274.75137749557001</v>
      </c>
      <c r="K89" s="64">
        <v>41165</v>
      </c>
      <c r="L89" s="1">
        <v>0</v>
      </c>
      <c r="M89">
        <v>3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93</v>
      </c>
      <c r="V89">
        <v>29810.68</v>
      </c>
      <c r="Y89">
        <v>290.41285620000002</v>
      </c>
      <c r="Z89">
        <v>287.68073388463398</v>
      </c>
      <c r="AA89">
        <v>0</v>
      </c>
      <c r="AB89" s="12">
        <v>-5.3928324349539096</v>
      </c>
    </row>
  </sheetData>
  <pageMargins left="0.7" right="0.7" top="0.75" bottom="0.75" header="0.3" footer="0.3"/>
  <pageSetup paperSize="55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G24" sqref="G24"/>
    </sheetView>
  </sheetViews>
  <sheetFormatPr defaultRowHeight="12.75" x14ac:dyDescent="0.2"/>
  <cols>
    <col min="1" max="1" width="15.42578125" bestFit="1" customWidth="1"/>
    <col min="3" max="3" width="24.42578125" bestFit="1" customWidth="1"/>
    <col min="4" max="5" width="16.42578125" customWidth="1"/>
    <col min="6" max="6" width="23" customWidth="1"/>
    <col min="7" max="7" width="9.5703125" bestFit="1" customWidth="1"/>
    <col min="8" max="8" width="24.28515625" bestFit="1" customWidth="1"/>
    <col min="14" max="14" width="16.5703125" bestFit="1" customWidth="1"/>
    <col min="15" max="15" width="9.28515625" customWidth="1"/>
  </cols>
  <sheetData>
    <row r="1" spans="1:16" x14ac:dyDescent="0.2">
      <c r="A1" s="5" t="s">
        <v>1318</v>
      </c>
      <c r="M1">
        <v>1</v>
      </c>
      <c r="N1" t="s">
        <v>0</v>
      </c>
      <c r="O1">
        <v>1</v>
      </c>
      <c r="P1" t="s">
        <v>1268</v>
      </c>
    </row>
    <row r="2" spans="1:16" x14ac:dyDescent="0.2">
      <c r="M2">
        <v>2</v>
      </c>
      <c r="N2" t="s">
        <v>57</v>
      </c>
      <c r="O2">
        <v>2</v>
      </c>
      <c r="P2" t="s">
        <v>1269</v>
      </c>
    </row>
    <row r="3" spans="1:16" x14ac:dyDescent="0.2">
      <c r="M3">
        <v>3</v>
      </c>
      <c r="N3" t="s">
        <v>73</v>
      </c>
      <c r="O3">
        <v>3</v>
      </c>
      <c r="P3" t="s">
        <v>1270</v>
      </c>
    </row>
    <row r="4" spans="1:16" x14ac:dyDescent="0.2">
      <c r="A4" s="5" t="s">
        <v>1319</v>
      </c>
      <c r="M4">
        <v>4</v>
      </c>
      <c r="N4" t="s">
        <v>74</v>
      </c>
      <c r="O4">
        <v>4</v>
      </c>
      <c r="P4" t="s">
        <v>1271</v>
      </c>
    </row>
    <row r="5" spans="1:16" x14ac:dyDescent="0.2">
      <c r="M5">
        <v>5</v>
      </c>
      <c r="N5" t="s">
        <v>75</v>
      </c>
      <c r="O5">
        <v>5</v>
      </c>
      <c r="P5" t="s">
        <v>1272</v>
      </c>
    </row>
    <row r="6" spans="1:16" x14ac:dyDescent="0.2">
      <c r="M6">
        <v>6</v>
      </c>
      <c r="N6" t="s">
        <v>76</v>
      </c>
      <c r="O6">
        <v>6</v>
      </c>
      <c r="P6" t="s">
        <v>1273</v>
      </c>
    </row>
    <row r="7" spans="1:16" x14ac:dyDescent="0.2">
      <c r="M7">
        <v>7</v>
      </c>
      <c r="N7" t="s">
        <v>77</v>
      </c>
      <c r="O7">
        <v>7</v>
      </c>
      <c r="P7" t="s">
        <v>1274</v>
      </c>
    </row>
    <row r="8" spans="1:16" x14ac:dyDescent="0.2">
      <c r="M8">
        <v>8</v>
      </c>
      <c r="N8" t="s">
        <v>78</v>
      </c>
      <c r="O8">
        <v>8</v>
      </c>
      <c r="P8" t="s">
        <v>1275</v>
      </c>
    </row>
    <row r="9" spans="1:16" x14ac:dyDescent="0.2">
      <c r="M9">
        <v>9</v>
      </c>
      <c r="N9" t="s">
        <v>79</v>
      </c>
      <c r="O9">
        <v>9</v>
      </c>
      <c r="P9" t="s">
        <v>1276</v>
      </c>
    </row>
    <row r="10" spans="1:16" x14ac:dyDescent="0.2">
      <c r="A10" s="5" t="s">
        <v>1320</v>
      </c>
      <c r="C10" s="5" t="s">
        <v>283</v>
      </c>
      <c r="F10" s="5" t="s">
        <v>117</v>
      </c>
      <c r="G10" s="5"/>
      <c r="H10" s="5" t="s">
        <v>1327</v>
      </c>
      <c r="M10">
        <v>10</v>
      </c>
      <c r="N10" t="s">
        <v>116</v>
      </c>
      <c r="O10">
        <v>10</v>
      </c>
      <c r="P10" t="s">
        <v>1277</v>
      </c>
    </row>
    <row r="11" spans="1:16" x14ac:dyDescent="0.2">
      <c r="A11" t="s">
        <v>1319</v>
      </c>
      <c r="C11" s="5" t="s">
        <v>279</v>
      </c>
      <c r="M11">
        <v>11</v>
      </c>
      <c r="N11" t="s">
        <v>10</v>
      </c>
      <c r="O11">
        <v>11</v>
      </c>
      <c r="P11" t="s">
        <v>1278</v>
      </c>
    </row>
    <row r="12" spans="1:16" x14ac:dyDescent="0.2">
      <c r="C12" s="5" t="s">
        <v>398</v>
      </c>
      <c r="D12" t="s">
        <v>75</v>
      </c>
      <c r="E12">
        <v>5</v>
      </c>
      <c r="F12" s="79" t="e">
        <f>VLOOKUP(TEST1!$C$10,IDX_SPECS!$B$1:$W$89,TEST1!E12-1,0)</f>
        <v>#N/A</v>
      </c>
      <c r="G12" s="82">
        <v>4</v>
      </c>
      <c r="H12" s="79">
        <f>VLOOKUP(TEST1!$C$10,IMS!$B$1:$AB$89,TEST1!G12,0)</f>
        <v>1000</v>
      </c>
      <c r="M12">
        <v>12</v>
      </c>
      <c r="N12" t="s">
        <v>11</v>
      </c>
      <c r="O12">
        <v>12</v>
      </c>
      <c r="P12" t="s">
        <v>1279</v>
      </c>
    </row>
    <row r="13" spans="1:16" x14ac:dyDescent="0.2">
      <c r="C13" s="5" t="s">
        <v>1321</v>
      </c>
      <c r="D13" t="s">
        <v>78</v>
      </c>
      <c r="E13">
        <v>8</v>
      </c>
      <c r="F13" s="76" t="e">
        <f>VLOOKUP(TEST1!$C$10,IDX_SPECS!$B$1:$W$89,TEST1!E13-1,0)</f>
        <v>#N/A</v>
      </c>
      <c r="G13" s="82">
        <v>7</v>
      </c>
      <c r="H13" s="79">
        <f>VLOOKUP(TEST1!$C$10,IMS!$B$1:$AB$89,TEST1!G13,0)</f>
        <v>1428571428571.4299</v>
      </c>
      <c r="M13">
        <v>13</v>
      </c>
      <c r="N13" t="s">
        <v>126</v>
      </c>
      <c r="O13">
        <v>13</v>
      </c>
      <c r="P13" t="s">
        <v>1280</v>
      </c>
    </row>
    <row r="14" spans="1:16" x14ac:dyDescent="0.2">
      <c r="C14" s="5" t="s">
        <v>1322</v>
      </c>
      <c r="D14" t="s">
        <v>79</v>
      </c>
      <c r="E14">
        <v>9</v>
      </c>
      <c r="F14" s="76" t="e">
        <f>VLOOKUP(TEST1!$C$10,IDX_SPECS!$B$1:$W$89,TEST1!E14-1,0)</f>
        <v>#N/A</v>
      </c>
      <c r="G14" s="82">
        <v>8</v>
      </c>
      <c r="H14" s="79">
        <f>VLOOKUP(TEST1!$C$10,IMS!$B$1:$AB$89,TEST1!G14,0)</f>
        <v>1804105359.08271</v>
      </c>
      <c r="M14">
        <v>14</v>
      </c>
      <c r="N14" t="s">
        <v>86</v>
      </c>
      <c r="O14">
        <v>14</v>
      </c>
      <c r="P14" t="s">
        <v>1281</v>
      </c>
    </row>
    <row r="15" spans="1:16" x14ac:dyDescent="0.2">
      <c r="C15" s="5" t="s">
        <v>1323</v>
      </c>
      <c r="D15" t="s">
        <v>89</v>
      </c>
      <c r="E15">
        <v>17</v>
      </c>
      <c r="F15" s="76" t="e">
        <f>VLOOKUP(TEST1!$C$10,IDX_SPECS!$B$1:$W$89,TEST1!E15-1,0)</f>
        <v>#N/A</v>
      </c>
      <c r="G15" s="82">
        <v>16</v>
      </c>
      <c r="H15" s="79">
        <f>VLOOKUP(TEST1!$C$10,IMS!$B$1:$AB$89,TEST1!G15,0)</f>
        <v>47159161.301414803</v>
      </c>
      <c r="M15">
        <v>15</v>
      </c>
      <c r="N15" t="s">
        <v>87</v>
      </c>
      <c r="O15">
        <v>15</v>
      </c>
      <c r="P15" t="s">
        <v>1282</v>
      </c>
    </row>
    <row r="16" spans="1:16" x14ac:dyDescent="0.2">
      <c r="C16" s="5" t="s">
        <v>1326</v>
      </c>
      <c r="D16" t="s">
        <v>1316</v>
      </c>
      <c r="E16">
        <v>23</v>
      </c>
      <c r="F16" s="79" t="e">
        <f>VLOOKUP(TEST1!$C$10,IDX_SPECS!$B$1:$W$89,TEST1!E16-1,0)</f>
        <v>#N/A</v>
      </c>
      <c r="G16" s="82">
        <v>24</v>
      </c>
      <c r="H16" s="79">
        <f>VLOOKUP(TEST1!$C$10,IMS!$B$1:$AB$89,TEST1!G16,0)</f>
        <v>1309.5863469999999</v>
      </c>
      <c r="M16">
        <v>16</v>
      </c>
      <c r="N16" t="s">
        <v>88</v>
      </c>
      <c r="O16">
        <v>16</v>
      </c>
      <c r="P16" t="s">
        <v>1283</v>
      </c>
    </row>
    <row r="17" spans="3:16" x14ac:dyDescent="0.2">
      <c r="C17" s="5" t="s">
        <v>1324</v>
      </c>
      <c r="D17" t="s">
        <v>1316</v>
      </c>
      <c r="E17">
        <v>23</v>
      </c>
      <c r="F17" s="79" t="e">
        <f>VLOOKUP(TEST1!$C$11,IDX_SPECS!$B$1:$W$89,TEST1!E17-1,0)</f>
        <v>#N/A</v>
      </c>
      <c r="G17" s="82">
        <v>24</v>
      </c>
      <c r="H17" s="79">
        <f>VLOOKUP($C$11,IMS!$B$1:$AB$89,TEST1!G16,0)</f>
        <v>1198.411173</v>
      </c>
      <c r="M17">
        <v>17</v>
      </c>
      <c r="N17" t="s">
        <v>89</v>
      </c>
      <c r="O17">
        <v>17</v>
      </c>
      <c r="P17" t="s">
        <v>1284</v>
      </c>
    </row>
    <row r="18" spans="3:16" x14ac:dyDescent="0.2">
      <c r="C18" s="5" t="s">
        <v>1325</v>
      </c>
      <c r="D18" t="s">
        <v>116</v>
      </c>
      <c r="E18">
        <v>10</v>
      </c>
      <c r="F18" s="79" t="e">
        <f>VLOOKUP(TEST1!$C$11,IDX_SPECS!$B$1:$W$89,TEST1!E18-1,0)</f>
        <v>#N/A</v>
      </c>
      <c r="G18" s="82">
        <v>9</v>
      </c>
      <c r="H18" s="79">
        <f>VLOOKUP($C$11,IMS!$B$1:$AB$89,TEST1!G18,0)</f>
        <v>1262.8737513578899</v>
      </c>
      <c r="M18">
        <v>18</v>
      </c>
      <c r="N18" t="s">
        <v>115</v>
      </c>
      <c r="O18">
        <v>18</v>
      </c>
      <c r="P18" t="s">
        <v>1285</v>
      </c>
    </row>
    <row r="19" spans="3:16" x14ac:dyDescent="0.2">
      <c r="F19" s="79"/>
      <c r="G19" s="79"/>
      <c r="M19">
        <v>19</v>
      </c>
      <c r="N19" t="s">
        <v>137</v>
      </c>
      <c r="O19">
        <v>19</v>
      </c>
      <c r="P19" t="s">
        <v>1286</v>
      </c>
    </row>
    <row r="20" spans="3:16" x14ac:dyDescent="0.2">
      <c r="F20" s="79" t="e">
        <f>(F16/F17)*(F18+(F12*F15)/F13)</f>
        <v>#N/A</v>
      </c>
      <c r="G20" s="79"/>
      <c r="H20" s="79">
        <f t="shared" ref="H20" si="0">(H16/H17)*(H18+(H12*H15)/H13)</f>
        <v>1380.0651156467554</v>
      </c>
      <c r="M20">
        <v>20</v>
      </c>
      <c r="N20" t="s">
        <v>138</v>
      </c>
      <c r="O20">
        <v>20</v>
      </c>
      <c r="P20" t="s">
        <v>1287</v>
      </c>
    </row>
    <row r="21" spans="3:16" x14ac:dyDescent="0.2">
      <c r="E21">
        <v>10</v>
      </c>
      <c r="F21" s="79" t="e">
        <f>VLOOKUP(TEST1!$C$10,IDX_SPECS!$B$1:$W$89,TEST1!E21-1,0)</f>
        <v>#N/A</v>
      </c>
      <c r="G21" s="79"/>
      <c r="M21">
        <v>21</v>
      </c>
      <c r="N21" t="s">
        <v>90</v>
      </c>
      <c r="O21">
        <v>21</v>
      </c>
      <c r="P21" t="s">
        <v>1312</v>
      </c>
    </row>
    <row r="22" spans="3:16" x14ac:dyDescent="0.2">
      <c r="M22">
        <v>22</v>
      </c>
      <c r="N22" t="s">
        <v>397</v>
      </c>
      <c r="O22">
        <v>22</v>
      </c>
      <c r="P22" t="s">
        <v>1313</v>
      </c>
    </row>
    <row r="23" spans="3:16" x14ac:dyDescent="0.2">
      <c r="M23">
        <v>23</v>
      </c>
      <c r="N23" t="s">
        <v>1316</v>
      </c>
      <c r="O23">
        <v>23</v>
      </c>
      <c r="P23" t="s">
        <v>1288</v>
      </c>
    </row>
    <row r="24" spans="3:16" x14ac:dyDescent="0.2">
      <c r="O24">
        <v>24</v>
      </c>
      <c r="P24" t="s">
        <v>1289</v>
      </c>
    </row>
    <row r="25" spans="3:16" x14ac:dyDescent="0.2">
      <c r="O25">
        <v>25</v>
      </c>
      <c r="P25" t="s">
        <v>1314</v>
      </c>
    </row>
    <row r="26" spans="3:16" x14ac:dyDescent="0.2">
      <c r="O26">
        <v>26</v>
      </c>
      <c r="P26" t="s">
        <v>1315</v>
      </c>
    </row>
    <row r="27" spans="3:16" x14ac:dyDescent="0.2">
      <c r="O27">
        <v>27</v>
      </c>
      <c r="P27" t="s">
        <v>1317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TESTS!$A$4:$A$91</xm:f>
          </x14:formula1>
          <xm:sqref>C10 C11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D2"/>
    </sheetView>
  </sheetViews>
  <sheetFormatPr defaultRowHeight="12.75" x14ac:dyDescent="0.2"/>
  <cols>
    <col min="4" max="4" width="14.28515625" bestFit="1" customWidth="1"/>
  </cols>
  <sheetData>
    <row r="1" spans="1:4" x14ac:dyDescent="0.2">
      <c r="A1" s="3" t="s">
        <v>1328</v>
      </c>
      <c r="B1" s="3" t="s">
        <v>1329</v>
      </c>
      <c r="C1" s="3" t="s">
        <v>1330</v>
      </c>
      <c r="D1" s="3" t="s">
        <v>1331</v>
      </c>
    </row>
    <row r="2" spans="1:4" x14ac:dyDescent="0.2">
      <c r="A2" t="s">
        <v>1332</v>
      </c>
      <c r="B2" t="s">
        <v>1333</v>
      </c>
      <c r="C2" t="s">
        <v>1334</v>
      </c>
      <c r="D2" t="s">
        <v>92</v>
      </c>
    </row>
    <row r="3" spans="1:4" x14ac:dyDescent="0.2">
      <c r="A3" t="s">
        <v>1335</v>
      </c>
      <c r="B3" t="s">
        <v>91</v>
      </c>
      <c r="C3" t="s">
        <v>1336</v>
      </c>
      <c r="D3" t="s">
        <v>1337</v>
      </c>
    </row>
    <row r="4" spans="1:4" x14ac:dyDescent="0.2">
      <c r="A4" t="s">
        <v>1335</v>
      </c>
      <c r="B4" t="s">
        <v>91</v>
      </c>
      <c r="C4" t="s">
        <v>1338</v>
      </c>
      <c r="D4" t="s">
        <v>93</v>
      </c>
    </row>
    <row r="5" spans="1:4" x14ac:dyDescent="0.2">
      <c r="A5" t="s">
        <v>1335</v>
      </c>
      <c r="B5" t="s">
        <v>91</v>
      </c>
      <c r="C5" t="s">
        <v>1339</v>
      </c>
      <c r="D5" t="s">
        <v>1340</v>
      </c>
    </row>
    <row r="6" spans="1:4" x14ac:dyDescent="0.2">
      <c r="A6" t="s">
        <v>1332</v>
      </c>
      <c r="B6" t="s">
        <v>1333</v>
      </c>
      <c r="C6" t="s">
        <v>1341</v>
      </c>
      <c r="D6" t="s">
        <v>1342</v>
      </c>
    </row>
    <row r="7" spans="1:4" x14ac:dyDescent="0.2">
      <c r="A7" t="s">
        <v>1343</v>
      </c>
      <c r="B7" t="s">
        <v>1344</v>
      </c>
      <c r="C7" t="s">
        <v>1345</v>
      </c>
      <c r="D7" t="s">
        <v>1346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7" sqref="D7"/>
    </sheetView>
  </sheetViews>
  <sheetFormatPr defaultRowHeight="12.75" x14ac:dyDescent="0.2"/>
  <cols>
    <col min="1" max="1" width="8.85546875" bestFit="1" customWidth="1"/>
    <col min="2" max="2" width="15.28515625" bestFit="1" customWidth="1"/>
    <col min="3" max="3" width="9" bestFit="1" customWidth="1"/>
    <col min="4" max="4" width="15.42578125" bestFit="1" customWidth="1"/>
  </cols>
  <sheetData>
    <row r="1" spans="1:4" x14ac:dyDescent="0.2">
      <c r="A1" s="3" t="s">
        <v>1347</v>
      </c>
      <c r="B1" s="3" t="s">
        <v>1348</v>
      </c>
      <c r="C1" s="3" t="s">
        <v>90</v>
      </c>
      <c r="D1" s="3" t="s">
        <v>1349</v>
      </c>
    </row>
    <row r="2" spans="1:4" x14ac:dyDescent="0.2">
      <c r="A2" t="s">
        <v>1350</v>
      </c>
      <c r="B2" t="s">
        <v>1351</v>
      </c>
      <c r="C2" t="s">
        <v>1334</v>
      </c>
      <c r="D2" t="s">
        <v>92</v>
      </c>
    </row>
    <row r="3" spans="1:4" x14ac:dyDescent="0.2">
      <c r="A3" t="s">
        <v>1350</v>
      </c>
      <c r="B3" t="s">
        <v>1351</v>
      </c>
      <c r="C3" t="s">
        <v>1335</v>
      </c>
      <c r="D3" t="s">
        <v>91</v>
      </c>
    </row>
    <row r="4" spans="1:4" x14ac:dyDescent="0.2">
      <c r="A4" t="s">
        <v>1350</v>
      </c>
      <c r="B4" t="s">
        <v>1351</v>
      </c>
      <c r="C4" t="s">
        <v>1338</v>
      </c>
      <c r="D4" t="s">
        <v>93</v>
      </c>
    </row>
    <row r="5" spans="1:4" x14ac:dyDescent="0.2">
      <c r="A5" t="s">
        <v>1350</v>
      </c>
      <c r="B5" t="s">
        <v>1351</v>
      </c>
      <c r="C5" t="s">
        <v>1339</v>
      </c>
      <c r="D5" t="s">
        <v>1340</v>
      </c>
    </row>
    <row r="6" spans="1:4" x14ac:dyDescent="0.2">
      <c r="A6" t="s">
        <v>1350</v>
      </c>
      <c r="B6" t="s">
        <v>1351</v>
      </c>
      <c r="C6" t="s">
        <v>1352</v>
      </c>
      <c r="D6" t="s">
        <v>1353</v>
      </c>
    </row>
    <row r="7" spans="1:4" x14ac:dyDescent="0.2">
      <c r="A7" t="s">
        <v>1350</v>
      </c>
      <c r="B7" t="s">
        <v>1351</v>
      </c>
      <c r="C7" t="s">
        <v>1354</v>
      </c>
      <c r="D7" t="s">
        <v>1355</v>
      </c>
    </row>
    <row r="8" spans="1:4" x14ac:dyDescent="0.2">
      <c r="A8" t="s">
        <v>1350</v>
      </c>
      <c r="B8" t="s">
        <v>1351</v>
      </c>
      <c r="C8" t="s">
        <v>1356</v>
      </c>
      <c r="D8" t="s">
        <v>1357</v>
      </c>
    </row>
    <row r="9" spans="1:4" x14ac:dyDescent="0.2">
      <c r="A9" t="s">
        <v>1358</v>
      </c>
      <c r="B9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RECAP</vt:lpstr>
      <vt:lpstr>MAR_REF</vt:lpstr>
      <vt:lpstr>SEC_REF</vt:lpstr>
      <vt:lpstr>STK_REF</vt:lpstr>
      <vt:lpstr>IDX_REF</vt:lpstr>
      <vt:lpstr>STK_FEED</vt:lpstr>
      <vt:lpstr>STK_PRICES</vt:lpstr>
      <vt:lpstr>CUR_RATES</vt:lpstr>
      <vt:lpstr>IDX_COMPO</vt:lpstr>
      <vt:lpstr>IDX_COMPOSITION</vt:lpstr>
      <vt:lpstr>IDX_SPECS</vt:lpstr>
      <vt:lpstr>NXT_COMPO</vt:lpstr>
      <vt:lpstr>NXT_SPECS</vt:lpstr>
      <vt:lpstr>IDX_CA</vt:lpstr>
      <vt:lpstr>STK_DIV</vt:lpstr>
      <vt:lpstr>IDX_CALENDAR</vt:lpstr>
      <vt:lpstr>SUMMARY</vt:lpstr>
      <vt:lpstr>IDX_INTRADAY</vt:lpstr>
      <vt:lpstr>IDX_DAY</vt:lpstr>
      <vt:lpstr>IDX_HISTODAY</vt:lpstr>
      <vt:lpstr>CMP_INTRADAY</vt:lpstr>
      <vt:lpstr>CMP_DAY</vt:lpstr>
      <vt:lpstr>STK_HISTODAY</vt:lpstr>
      <vt:lpstr>SYS_FORMAT</vt:lpstr>
      <vt:lpstr>IDX_FILES</vt:lpstr>
      <vt:lpstr>TESTS</vt:lpstr>
      <vt:lpstr>IMS</vt:lpstr>
      <vt:lpstr>TEST1</vt:lpstr>
      <vt:lpstr>IDX_GROUP</vt:lpstr>
      <vt:lpstr>IDX_BBS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MINH</dc:creator>
  <cp:lastModifiedBy>IFRC-PV</cp:lastModifiedBy>
  <dcterms:created xsi:type="dcterms:W3CDTF">2011-10-12T06:55:36Z</dcterms:created>
  <dcterms:modified xsi:type="dcterms:W3CDTF">2012-10-12T02:09:06Z</dcterms:modified>
</cp:coreProperties>
</file>