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drawings/drawing11.xml" ContentType="application/vnd.openxmlformats-officedocument.drawing+xml"/>
  <Override PartName="/xl/ctrlProps/ctrlProp3.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4.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kbmapp-maisya\"/>
    </mc:Choice>
  </mc:AlternateContent>
  <xr:revisionPtr revIDLastSave="0" documentId="13_ncr:1_{53A7164C-D56C-4772-B6FA-D76C04F84414}" xr6:coauthVersionLast="47" xr6:coauthVersionMax="47" xr10:uidLastSave="{00000000-0000-0000-0000-000000000000}"/>
  <bookViews>
    <workbookView xWindow="-110" yWindow="-110" windowWidth="19420" windowHeight="10300" tabRatio="807" firstSheet="11" activeTab="11" xr2:uid="{00000000-000D-0000-FFFF-FFFF00000000}"/>
  </bookViews>
  <sheets>
    <sheet name="mulai" sheetId="1" state="hidden" r:id="rId1"/>
    <sheet name="text fo icon" sheetId="24" state="hidden" r:id="rId2"/>
    <sheet name="utama" sheetId="3" state="hidden" r:id="rId3"/>
    <sheet name="setting" sheetId="10" state="hidden" r:id="rId4"/>
    <sheet name="nilwk-s2" sheetId="22" state="hidden" r:id="rId5"/>
    <sheet name="nilwk-s1" sheetId="19" state="hidden" r:id="rId6"/>
    <sheet name="range nilai kesantrian" sheetId="25" state="hidden" r:id="rId7"/>
    <sheet name="nilpel-s2" sheetId="30" state="hidden" r:id="rId8"/>
    <sheet name="nilpel-s1" sheetId="12" state="hidden" r:id="rId9"/>
    <sheet name="rap-s1- backup" sheetId="27" state="hidden" r:id="rId10"/>
    <sheet name="rap-s2" sheetId="29" state="hidden" r:id="rId11"/>
    <sheet name="rap-s1" sheetId="18" r:id="rId12"/>
    <sheet name="Sheet1" sheetId="26" state="hidden" r:id="rId13"/>
    <sheet name="menu-genap" sheetId="20" state="hidden" r:id="rId14"/>
    <sheet name="menu-gasal" sheetId="11" state="hidden" r:id="rId15"/>
    <sheet name="set-dakol" sheetId="4" state="hidden" r:id="rId16"/>
    <sheet name="set-cover" sheetId="9" state="hidden" r:id="rId17"/>
    <sheet name="set-kkm" sheetId="8" state="hidden" r:id="rId18"/>
    <sheet name="set-dasis" sheetId="7" state="hidden" r:id="rId19"/>
    <sheet name="dasis" sheetId="33" state="hidden" r:id="rId20"/>
    <sheet name="tes" sheetId="32" state="hidden" r:id="rId21"/>
    <sheet name="Sheet2" sheetId="31" state="hidden" r:id="rId22"/>
  </sheets>
  <externalReferences>
    <externalReference r:id="rId23"/>
    <externalReference r:id="rId24"/>
  </externalReferences>
  <definedNames>
    <definedName name="dakol" localSheetId="14">'menu-gasal'!#REF!</definedName>
    <definedName name="dakol" localSheetId="13">'menu-genap'!#REF!</definedName>
    <definedName name="dakol" localSheetId="8">'nilpel-s1'!#REF!</definedName>
    <definedName name="dakol" localSheetId="7">'nilpel-s2'!#REF!</definedName>
    <definedName name="dakol" localSheetId="5">'nilwk-s1'!#REF!</definedName>
    <definedName name="dakol" localSheetId="4">'nilwk-s2'!#REF!</definedName>
    <definedName name="dakol" localSheetId="11">'rap-s1'!#REF!</definedName>
    <definedName name="dakol" localSheetId="9">'rap-s1- backup'!#REF!</definedName>
    <definedName name="dakol" localSheetId="10">'rap-s2'!#REF!</definedName>
    <definedName name="dakol">'set-dakol'!$H$2:$H$18</definedName>
    <definedName name="dari">'set-cover'!$W$2</definedName>
    <definedName name="daris1" localSheetId="9">'rap-s1- backup'!$Q$2</definedName>
    <definedName name="daris1">'rap-s1'!$Q$2</definedName>
    <definedName name="daris2" localSheetId="10">'rap-s2'!$Q$2</definedName>
    <definedName name="dasis" localSheetId="17">'set-kkm'!#REF!</definedName>
    <definedName name="datasantri">'set-dasis'!$E$5:$AH$54</definedName>
    <definedName name="gasal">'set-dakol'!$L$23</definedName>
    <definedName name="genap">'set-dakol'!$L$24</definedName>
    <definedName name="jlmsis">'set-dasis'!$F$5:$F$54</definedName>
    <definedName name="kelas">'set-dakol'!$H$20</definedName>
    <definedName name="nilai">'[1]Input Nilai'!$A$7:$Z$46</definedName>
    <definedName name="nilaisem2">#REF!</definedName>
    <definedName name="nilpels1" localSheetId="7">'nilpel-s2'!$F$9:$AN$48</definedName>
    <definedName name="nilpels1">'nilpel-s1'!$F$9:$AN$58</definedName>
    <definedName name="nilpels2">'nilpel-s2'!$F$9:$AN$49</definedName>
    <definedName name="nilwks1">'nilwk-s1'!$F$5:$AQ$54</definedName>
    <definedName name="nilwks2">'nilwk-s1'!$F$5:$AM$54</definedName>
    <definedName name="patokan">'set-cover'!$K$2</definedName>
    <definedName name="patokans1" localSheetId="9">'rap-s1- backup'!$N$2</definedName>
    <definedName name="patokans1">'rap-s1'!$N$2</definedName>
    <definedName name="patokans2" localSheetId="10">'rap-s2'!$N$2</definedName>
    <definedName name="pesdikb">[2]pesdik!$A$6:$AJ$105</definedName>
    <definedName name="_xlnm.Print_Area" localSheetId="11">'rap-s1'!$F$7:$Y$53</definedName>
    <definedName name="_xlnm.Print_Area" localSheetId="9">'rap-s1- backup'!$F$7:$W$174</definedName>
    <definedName name="_xlnm.Print_Area" localSheetId="10">'rap-s2'!$F$7:$Y$56</definedName>
    <definedName name="_xlnm.Print_Area" localSheetId="16">'set-cover'!$E$7:$X$291</definedName>
    <definedName name="rata2kls">'nilpel-s1'!$AQ$59:$BG$59</definedName>
    <definedName name="ratas1" localSheetId="7">'nilpel-s2'!$F$49:$X$49</definedName>
    <definedName name="ratas1">'nilpel-s1'!$F$59:$X$59</definedName>
    <definedName name="sampai">'set-cover'!$W$4</definedName>
    <definedName name="sampais1" localSheetId="9">'rap-s1- backup'!$Q$4</definedName>
    <definedName name="sampais1">'rap-s1'!$Q$4</definedName>
    <definedName name="sampais2" localSheetId="10">'rap-s2'!$Q$4</definedName>
    <definedName name="setdakol">'set-dakol'!$E$1:$M$24</definedName>
    <definedName name="tahunajaran">'set-dakol'!$H$10</definedName>
    <definedName name="terbilang">Sheet1!$A$3:$B$2088</definedName>
    <definedName name="terbilangok">[1]Sheet1!$A$3:$B$2088</definedName>
    <definedName name="walikls2">'nilwk-s2'!$F$5:$AQ$44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22" i="18" l="1"/>
  <c r="N36" i="18"/>
  <c r="N41" i="12" l="1"/>
  <c r="N21" i="12"/>
  <c r="N18" i="12"/>
  <c r="O12" i="12"/>
  <c r="G33" i="9" l="1"/>
  <c r="P39" i="19" l="1"/>
  <c r="Q39" i="19"/>
  <c r="T39" i="19"/>
  <c r="U39" i="19"/>
  <c r="P40" i="19"/>
  <c r="Q40" i="19"/>
  <c r="T40" i="19"/>
  <c r="U40" i="19"/>
  <c r="P41" i="19"/>
  <c r="Q41" i="19"/>
  <c r="T41" i="19"/>
  <c r="U41" i="19"/>
  <c r="P42" i="19"/>
  <c r="Q42" i="19"/>
  <c r="T42" i="19"/>
  <c r="U42" i="19"/>
  <c r="P43" i="19"/>
  <c r="Q43" i="19"/>
  <c r="T43" i="19"/>
  <c r="U43" i="19"/>
  <c r="P44" i="19"/>
  <c r="Q44" i="19"/>
  <c r="T44" i="19"/>
  <c r="U44" i="19"/>
  <c r="P45" i="19"/>
  <c r="Q45" i="19"/>
  <c r="T45" i="19"/>
  <c r="U45" i="19"/>
  <c r="P46" i="19"/>
  <c r="Q46" i="19"/>
  <c r="T46" i="19"/>
  <c r="U46" i="19"/>
  <c r="P47" i="19"/>
  <c r="Q47" i="19"/>
  <c r="T47" i="19"/>
  <c r="U47" i="19"/>
  <c r="P48" i="19"/>
  <c r="Q48" i="19"/>
  <c r="T48" i="19"/>
  <c r="U48" i="19"/>
  <c r="P49" i="19"/>
  <c r="Q49" i="19"/>
  <c r="T49" i="19"/>
  <c r="U49" i="19"/>
  <c r="P50" i="19"/>
  <c r="Q50" i="19"/>
  <c r="T50" i="19"/>
  <c r="U50" i="19"/>
  <c r="P51" i="19"/>
  <c r="Q51" i="19"/>
  <c r="T51" i="19"/>
  <c r="U51" i="19"/>
  <c r="P52" i="19"/>
  <c r="Q52" i="19"/>
  <c r="T52" i="19"/>
  <c r="U52" i="19"/>
  <c r="P53" i="19"/>
  <c r="Q53" i="19"/>
  <c r="T53" i="19"/>
  <c r="U53" i="19"/>
  <c r="P54" i="19"/>
  <c r="Q54" i="19"/>
  <c r="T54" i="19"/>
  <c r="U54"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R39" i="19" s="1"/>
  <c r="G40" i="19"/>
  <c r="G41" i="19"/>
  <c r="R41" i="19" s="1"/>
  <c r="G42" i="19"/>
  <c r="G43" i="19"/>
  <c r="R43" i="19" s="1"/>
  <c r="G44" i="19"/>
  <c r="G45" i="19"/>
  <c r="R45" i="19" s="1"/>
  <c r="G46" i="19"/>
  <c r="G47" i="19"/>
  <c r="R47" i="19" s="1"/>
  <c r="G48" i="19"/>
  <c r="G49" i="19"/>
  <c r="R49" i="19" s="1"/>
  <c r="G50" i="19"/>
  <c r="V50" i="19" s="1"/>
  <c r="G51" i="19"/>
  <c r="G52" i="19"/>
  <c r="V52" i="19" s="1"/>
  <c r="G53" i="19"/>
  <c r="G54" i="19"/>
  <c r="V54" i="19" s="1"/>
  <c r="AQ10" i="12"/>
  <c r="AR10" i="12"/>
  <c r="AS10" i="12"/>
  <c r="AT10" i="12"/>
  <c r="AU10" i="12"/>
  <c r="AV10" i="12"/>
  <c r="AW10" i="12"/>
  <c r="AX10" i="12"/>
  <c r="AY10" i="12"/>
  <c r="AZ10" i="12"/>
  <c r="BA10" i="12"/>
  <c r="BB10" i="12"/>
  <c r="BC10" i="12"/>
  <c r="BD10" i="12"/>
  <c r="BE10" i="12"/>
  <c r="BF10" i="12"/>
  <c r="BG10" i="12"/>
  <c r="AQ11" i="12"/>
  <c r="AR11" i="12"/>
  <c r="AS11" i="12"/>
  <c r="AT11" i="12"/>
  <c r="AU11" i="12"/>
  <c r="AV11" i="12"/>
  <c r="AW11" i="12"/>
  <c r="AX11" i="12"/>
  <c r="AY11" i="12"/>
  <c r="AZ11" i="12"/>
  <c r="BA11" i="12"/>
  <c r="BB11" i="12"/>
  <c r="BC11" i="12"/>
  <c r="BD11" i="12"/>
  <c r="BE11" i="12"/>
  <c r="BF11" i="12"/>
  <c r="BG11" i="12"/>
  <c r="AQ12" i="12"/>
  <c r="AR12" i="12"/>
  <c r="AS12" i="12"/>
  <c r="AT12" i="12"/>
  <c r="AU12" i="12"/>
  <c r="AV12" i="12"/>
  <c r="AW12" i="12"/>
  <c r="AX12" i="12"/>
  <c r="AY12" i="12"/>
  <c r="AZ12" i="12"/>
  <c r="BA12" i="12"/>
  <c r="BB12" i="12"/>
  <c r="BC12" i="12"/>
  <c r="BD12" i="12"/>
  <c r="BE12" i="12"/>
  <c r="BF12" i="12"/>
  <c r="BG12" i="12"/>
  <c r="AQ13" i="12"/>
  <c r="AR13" i="12"/>
  <c r="AS13" i="12"/>
  <c r="AT13" i="12"/>
  <c r="AU13" i="12"/>
  <c r="AV13" i="12"/>
  <c r="AW13" i="12"/>
  <c r="AX13" i="12"/>
  <c r="AY13" i="12"/>
  <c r="AZ13" i="12"/>
  <c r="BA13" i="12"/>
  <c r="BB13" i="12"/>
  <c r="BC13" i="12"/>
  <c r="BD13" i="12"/>
  <c r="BE13" i="12"/>
  <c r="BF13" i="12"/>
  <c r="BG13" i="12"/>
  <c r="AQ14" i="12"/>
  <c r="AR14" i="12"/>
  <c r="AS14" i="12"/>
  <c r="AT14" i="12"/>
  <c r="AU14" i="12"/>
  <c r="AV14" i="12"/>
  <c r="AW14" i="12"/>
  <c r="AX14" i="12"/>
  <c r="AY14" i="12"/>
  <c r="AZ14" i="12"/>
  <c r="BA14" i="12"/>
  <c r="BB14" i="12"/>
  <c r="BC14" i="12"/>
  <c r="BD14" i="12"/>
  <c r="BE14" i="12"/>
  <c r="BF14" i="12"/>
  <c r="BG14" i="12"/>
  <c r="AQ15" i="12"/>
  <c r="AR15" i="12"/>
  <c r="AS15" i="12"/>
  <c r="AT15" i="12"/>
  <c r="AU15" i="12"/>
  <c r="AV15" i="12"/>
  <c r="AW15" i="12"/>
  <c r="AX15" i="12"/>
  <c r="AY15" i="12"/>
  <c r="AZ15" i="12"/>
  <c r="BA15" i="12"/>
  <c r="BB15" i="12"/>
  <c r="BC15" i="12"/>
  <c r="BD15" i="12"/>
  <c r="BE15" i="12"/>
  <c r="BF15" i="12"/>
  <c r="BG15" i="12"/>
  <c r="AQ16" i="12"/>
  <c r="AR16" i="12"/>
  <c r="AS16" i="12"/>
  <c r="AT16" i="12"/>
  <c r="AU16" i="12"/>
  <c r="AV16" i="12"/>
  <c r="AW16" i="12"/>
  <c r="AX16" i="12"/>
  <c r="AY16" i="12"/>
  <c r="AZ16" i="12"/>
  <c r="BA16" i="12"/>
  <c r="BB16" i="12"/>
  <c r="BC16" i="12"/>
  <c r="BD16" i="12"/>
  <c r="BE16" i="12"/>
  <c r="BF16" i="12"/>
  <c r="BG16" i="12"/>
  <c r="AQ17" i="12"/>
  <c r="AR17" i="12"/>
  <c r="AS17" i="12"/>
  <c r="AT17" i="12"/>
  <c r="AU17" i="12"/>
  <c r="AV17" i="12"/>
  <c r="AW17" i="12"/>
  <c r="AX17" i="12"/>
  <c r="AY17" i="12"/>
  <c r="AZ17" i="12"/>
  <c r="BA17" i="12"/>
  <c r="BB17" i="12"/>
  <c r="BC17" i="12"/>
  <c r="BD17" i="12"/>
  <c r="BE17" i="12"/>
  <c r="BF17" i="12"/>
  <c r="BG17" i="12"/>
  <c r="AQ18" i="12"/>
  <c r="AR18" i="12"/>
  <c r="AS18" i="12"/>
  <c r="AT18" i="12"/>
  <c r="AU18" i="12"/>
  <c r="AV18" i="12"/>
  <c r="AW18" i="12"/>
  <c r="AX18" i="12"/>
  <c r="AY18" i="12"/>
  <c r="AZ18" i="12"/>
  <c r="BA18" i="12"/>
  <c r="BB18" i="12"/>
  <c r="BC18" i="12"/>
  <c r="BD18" i="12"/>
  <c r="BE18" i="12"/>
  <c r="BF18" i="12"/>
  <c r="BG18" i="12"/>
  <c r="AQ19" i="12"/>
  <c r="AR19" i="12"/>
  <c r="AS19" i="12"/>
  <c r="AT19" i="12"/>
  <c r="AU19" i="12"/>
  <c r="AV19" i="12"/>
  <c r="AW19" i="12"/>
  <c r="AX19" i="12"/>
  <c r="AY19" i="12"/>
  <c r="AZ19" i="12"/>
  <c r="BA19" i="12"/>
  <c r="BB19" i="12"/>
  <c r="BC19" i="12"/>
  <c r="BD19" i="12"/>
  <c r="BE19" i="12"/>
  <c r="BF19" i="12"/>
  <c r="BG19" i="12"/>
  <c r="AQ20" i="12"/>
  <c r="AR20" i="12"/>
  <c r="AS20" i="12"/>
  <c r="AT20" i="12"/>
  <c r="AU20" i="12"/>
  <c r="AV20" i="12"/>
  <c r="AW20" i="12"/>
  <c r="AX20" i="12"/>
  <c r="AY20" i="12"/>
  <c r="AZ20" i="12"/>
  <c r="BA20" i="12"/>
  <c r="BB20" i="12"/>
  <c r="BC20" i="12"/>
  <c r="BD20" i="12"/>
  <c r="BE20" i="12"/>
  <c r="BF20" i="12"/>
  <c r="BG20" i="12"/>
  <c r="AQ21" i="12"/>
  <c r="AR21" i="12"/>
  <c r="AS21" i="12"/>
  <c r="AT21" i="12"/>
  <c r="AU21" i="12"/>
  <c r="AV21" i="12"/>
  <c r="AW21" i="12"/>
  <c r="AX21" i="12"/>
  <c r="AY21" i="12"/>
  <c r="AZ21" i="12"/>
  <c r="BA21" i="12"/>
  <c r="BB21" i="12"/>
  <c r="BC21" i="12"/>
  <c r="BD21" i="12"/>
  <c r="BE21" i="12"/>
  <c r="BF21" i="12"/>
  <c r="BG21" i="12"/>
  <c r="AQ22" i="12"/>
  <c r="AR22" i="12"/>
  <c r="AS22" i="12"/>
  <c r="AT22" i="12"/>
  <c r="AU22" i="12"/>
  <c r="AV22" i="12"/>
  <c r="AW22" i="12"/>
  <c r="AX22" i="12"/>
  <c r="AY22" i="12"/>
  <c r="AZ22" i="12"/>
  <c r="BA22" i="12"/>
  <c r="BB22" i="12"/>
  <c r="BC22" i="12"/>
  <c r="BD22" i="12"/>
  <c r="BE22" i="12"/>
  <c r="BF22" i="12"/>
  <c r="BG22" i="12"/>
  <c r="AQ23" i="12"/>
  <c r="AR23" i="12"/>
  <c r="AS23" i="12"/>
  <c r="AT23" i="12"/>
  <c r="AU23" i="12"/>
  <c r="AV23" i="12"/>
  <c r="AW23" i="12"/>
  <c r="AX23" i="12"/>
  <c r="AY23" i="12"/>
  <c r="AZ23" i="12"/>
  <c r="BA23" i="12"/>
  <c r="BB23" i="12"/>
  <c r="BC23" i="12"/>
  <c r="BD23" i="12"/>
  <c r="BE23" i="12"/>
  <c r="BF23" i="12"/>
  <c r="BG23" i="12"/>
  <c r="AQ24" i="12"/>
  <c r="AR24" i="12"/>
  <c r="AS24" i="12"/>
  <c r="AT24" i="12"/>
  <c r="AU24" i="12"/>
  <c r="AV24" i="12"/>
  <c r="AW24" i="12"/>
  <c r="AX24" i="12"/>
  <c r="AY24" i="12"/>
  <c r="AZ24" i="12"/>
  <c r="BA24" i="12"/>
  <c r="BB24" i="12"/>
  <c r="BC24" i="12"/>
  <c r="BD24" i="12"/>
  <c r="BE24" i="12"/>
  <c r="BF24" i="12"/>
  <c r="BG24" i="12"/>
  <c r="AQ25" i="12"/>
  <c r="AR25" i="12"/>
  <c r="AS25" i="12"/>
  <c r="AT25" i="12"/>
  <c r="AU25" i="12"/>
  <c r="AV25" i="12"/>
  <c r="AW25" i="12"/>
  <c r="AX25" i="12"/>
  <c r="AY25" i="12"/>
  <c r="AZ25" i="12"/>
  <c r="BA25" i="12"/>
  <c r="BB25" i="12"/>
  <c r="BC25" i="12"/>
  <c r="BD25" i="12"/>
  <c r="BE25" i="12"/>
  <c r="BF25" i="12"/>
  <c r="BG25" i="12"/>
  <c r="AQ26" i="12"/>
  <c r="AR26" i="12"/>
  <c r="AS26" i="12"/>
  <c r="AT26" i="12"/>
  <c r="AU26" i="12"/>
  <c r="AV26" i="12"/>
  <c r="AW26" i="12"/>
  <c r="AX26" i="12"/>
  <c r="AY26" i="12"/>
  <c r="AZ26" i="12"/>
  <c r="BA26" i="12"/>
  <c r="BB26" i="12"/>
  <c r="BC26" i="12"/>
  <c r="BD26" i="12"/>
  <c r="BE26" i="12"/>
  <c r="BF26" i="12"/>
  <c r="BG26" i="12"/>
  <c r="AQ27" i="12"/>
  <c r="AR27" i="12"/>
  <c r="AS27" i="12"/>
  <c r="AT27" i="12"/>
  <c r="AU27" i="12"/>
  <c r="AV27" i="12"/>
  <c r="AW27" i="12"/>
  <c r="AX27" i="12"/>
  <c r="AY27" i="12"/>
  <c r="AZ27" i="12"/>
  <c r="BA27" i="12"/>
  <c r="BB27" i="12"/>
  <c r="BC27" i="12"/>
  <c r="BD27" i="12"/>
  <c r="BE27" i="12"/>
  <c r="BF27" i="12"/>
  <c r="BG27" i="12"/>
  <c r="AQ28" i="12"/>
  <c r="AR28" i="12"/>
  <c r="AS28" i="12"/>
  <c r="AT28" i="12"/>
  <c r="AU28" i="12"/>
  <c r="AV28" i="12"/>
  <c r="AW28" i="12"/>
  <c r="AX28" i="12"/>
  <c r="AY28" i="12"/>
  <c r="AZ28" i="12"/>
  <c r="BA28" i="12"/>
  <c r="BB28" i="12"/>
  <c r="BC28" i="12"/>
  <c r="BD28" i="12"/>
  <c r="BE28" i="12"/>
  <c r="BF28" i="12"/>
  <c r="BG28" i="12"/>
  <c r="AQ29" i="12"/>
  <c r="AR29" i="12"/>
  <c r="AS29" i="12"/>
  <c r="AT29" i="12"/>
  <c r="AU29" i="12"/>
  <c r="AV29" i="12"/>
  <c r="AW29" i="12"/>
  <c r="AX29" i="12"/>
  <c r="AY29" i="12"/>
  <c r="AZ29" i="12"/>
  <c r="BA29" i="12"/>
  <c r="BB29" i="12"/>
  <c r="BC29" i="12"/>
  <c r="BD29" i="12"/>
  <c r="BE29" i="12"/>
  <c r="BF29" i="12"/>
  <c r="BG29" i="12"/>
  <c r="AQ30" i="12"/>
  <c r="AR30" i="12"/>
  <c r="AS30" i="12"/>
  <c r="AT30" i="12"/>
  <c r="AU30" i="12"/>
  <c r="AV30" i="12"/>
  <c r="AW30" i="12"/>
  <c r="AX30" i="12"/>
  <c r="AY30" i="12"/>
  <c r="AZ30" i="12"/>
  <c r="BA30" i="12"/>
  <c r="BB30" i="12"/>
  <c r="BC30" i="12"/>
  <c r="BD30" i="12"/>
  <c r="BE30" i="12"/>
  <c r="BF30" i="12"/>
  <c r="BG30" i="12"/>
  <c r="AQ31" i="12"/>
  <c r="AR31" i="12"/>
  <c r="AS31" i="12"/>
  <c r="AT31" i="12"/>
  <c r="AU31" i="12"/>
  <c r="AV31" i="12"/>
  <c r="AW31" i="12"/>
  <c r="AX31" i="12"/>
  <c r="AY31" i="12"/>
  <c r="AZ31" i="12"/>
  <c r="BA31" i="12"/>
  <c r="BB31" i="12"/>
  <c r="BC31" i="12"/>
  <c r="BD31" i="12"/>
  <c r="BE31" i="12"/>
  <c r="BF31" i="12"/>
  <c r="BG31" i="12"/>
  <c r="AQ32" i="12"/>
  <c r="AR32" i="12"/>
  <c r="AS32" i="12"/>
  <c r="AT32" i="12"/>
  <c r="AU32" i="12"/>
  <c r="AV32" i="12"/>
  <c r="AW32" i="12"/>
  <c r="AX32" i="12"/>
  <c r="AY32" i="12"/>
  <c r="AZ32" i="12"/>
  <c r="BA32" i="12"/>
  <c r="BB32" i="12"/>
  <c r="BC32" i="12"/>
  <c r="BD32" i="12"/>
  <c r="BE32" i="12"/>
  <c r="BF32" i="12"/>
  <c r="BG32" i="12"/>
  <c r="AQ33" i="12"/>
  <c r="AR33" i="12"/>
  <c r="AS33" i="12"/>
  <c r="AT33" i="12"/>
  <c r="AU33" i="12"/>
  <c r="AV33" i="12"/>
  <c r="AW33" i="12"/>
  <c r="AX33" i="12"/>
  <c r="AY33" i="12"/>
  <c r="AZ33" i="12"/>
  <c r="BA33" i="12"/>
  <c r="BB33" i="12"/>
  <c r="BC33" i="12"/>
  <c r="BD33" i="12"/>
  <c r="BE33" i="12"/>
  <c r="BF33" i="12"/>
  <c r="BG33" i="12"/>
  <c r="AQ34" i="12"/>
  <c r="AR34" i="12"/>
  <c r="AS34" i="12"/>
  <c r="AT34" i="12"/>
  <c r="AU34" i="12"/>
  <c r="AV34" i="12"/>
  <c r="AW34" i="12"/>
  <c r="AX34" i="12"/>
  <c r="AY34" i="12"/>
  <c r="AZ34" i="12"/>
  <c r="BA34" i="12"/>
  <c r="BB34" i="12"/>
  <c r="BC34" i="12"/>
  <c r="BD34" i="12"/>
  <c r="BE34" i="12"/>
  <c r="BF34" i="12"/>
  <c r="BG34" i="12"/>
  <c r="AQ35" i="12"/>
  <c r="AR35" i="12"/>
  <c r="AS35" i="12"/>
  <c r="AT35" i="12"/>
  <c r="AU35" i="12"/>
  <c r="AV35" i="12"/>
  <c r="AW35" i="12"/>
  <c r="AX35" i="12"/>
  <c r="AY35" i="12"/>
  <c r="AZ35" i="12"/>
  <c r="BA35" i="12"/>
  <c r="BB35" i="12"/>
  <c r="BC35" i="12"/>
  <c r="BD35" i="12"/>
  <c r="BE35" i="12"/>
  <c r="BF35" i="12"/>
  <c r="BG35" i="12"/>
  <c r="AQ36" i="12"/>
  <c r="AR36" i="12"/>
  <c r="AS36" i="12"/>
  <c r="AT36" i="12"/>
  <c r="AU36" i="12"/>
  <c r="AV36" i="12"/>
  <c r="AW36" i="12"/>
  <c r="AX36" i="12"/>
  <c r="AY36" i="12"/>
  <c r="AZ36" i="12"/>
  <c r="BA36" i="12"/>
  <c r="BB36" i="12"/>
  <c r="BC36" i="12"/>
  <c r="BD36" i="12"/>
  <c r="BE36" i="12"/>
  <c r="BF36" i="12"/>
  <c r="BG36" i="12"/>
  <c r="AQ37" i="12"/>
  <c r="AR37" i="12"/>
  <c r="AS37" i="12"/>
  <c r="AT37" i="12"/>
  <c r="AU37" i="12"/>
  <c r="AV37" i="12"/>
  <c r="AW37" i="12"/>
  <c r="AX37" i="12"/>
  <c r="AY37" i="12"/>
  <c r="AZ37" i="12"/>
  <c r="BA37" i="12"/>
  <c r="BB37" i="12"/>
  <c r="BC37" i="12"/>
  <c r="BD37" i="12"/>
  <c r="BE37" i="12"/>
  <c r="BF37" i="12"/>
  <c r="BG37" i="12"/>
  <c r="AQ38" i="12"/>
  <c r="AR38" i="12"/>
  <c r="AS38" i="12"/>
  <c r="AT38" i="12"/>
  <c r="AU38" i="12"/>
  <c r="AV38" i="12"/>
  <c r="AW38" i="12"/>
  <c r="AX38" i="12"/>
  <c r="AY38" i="12"/>
  <c r="AZ38" i="12"/>
  <c r="BA38" i="12"/>
  <c r="BB38" i="12"/>
  <c r="BC38" i="12"/>
  <c r="BD38" i="12"/>
  <c r="BE38" i="12"/>
  <c r="BF38" i="12"/>
  <c r="BG38" i="12"/>
  <c r="AQ39" i="12"/>
  <c r="AR39" i="12"/>
  <c r="AS39" i="12"/>
  <c r="AT39" i="12"/>
  <c r="AU39" i="12"/>
  <c r="AV39" i="12"/>
  <c r="AW39" i="12"/>
  <c r="AX39" i="12"/>
  <c r="AY39" i="12"/>
  <c r="AZ39" i="12"/>
  <c r="BA39" i="12"/>
  <c r="BB39" i="12"/>
  <c r="BC39" i="12"/>
  <c r="BD39" i="12"/>
  <c r="BE39" i="12"/>
  <c r="BF39" i="12"/>
  <c r="BG39" i="12"/>
  <c r="AQ40" i="12"/>
  <c r="AR40" i="12"/>
  <c r="AS40" i="12"/>
  <c r="AT40" i="12"/>
  <c r="AU40" i="12"/>
  <c r="AV40" i="12"/>
  <c r="AW40" i="12"/>
  <c r="AX40" i="12"/>
  <c r="AY40" i="12"/>
  <c r="AZ40" i="12"/>
  <c r="BA40" i="12"/>
  <c r="BB40" i="12"/>
  <c r="BC40" i="12"/>
  <c r="BD40" i="12"/>
  <c r="BE40" i="12"/>
  <c r="BF40" i="12"/>
  <c r="BG40" i="12"/>
  <c r="AQ41" i="12"/>
  <c r="AR41" i="12"/>
  <c r="AS41" i="12"/>
  <c r="AT41" i="12"/>
  <c r="AU41" i="12"/>
  <c r="AV41" i="12"/>
  <c r="AW41" i="12"/>
  <c r="AX41" i="12"/>
  <c r="AY41" i="12"/>
  <c r="AZ41" i="12"/>
  <c r="BA41" i="12"/>
  <c r="BB41" i="12"/>
  <c r="BC41" i="12"/>
  <c r="BD41" i="12"/>
  <c r="BE41" i="12"/>
  <c r="BF41" i="12"/>
  <c r="BG41" i="12"/>
  <c r="AQ42" i="12"/>
  <c r="AR42" i="12"/>
  <c r="AS42" i="12"/>
  <c r="AT42" i="12"/>
  <c r="AU42" i="12"/>
  <c r="AV42" i="12"/>
  <c r="AW42" i="12"/>
  <c r="AX42" i="12"/>
  <c r="AY42" i="12"/>
  <c r="AZ42" i="12"/>
  <c r="BA42" i="12"/>
  <c r="BB42" i="12"/>
  <c r="BC42" i="12"/>
  <c r="BD42" i="12"/>
  <c r="BE42" i="12"/>
  <c r="BF42" i="12"/>
  <c r="BG42" i="12"/>
  <c r="AQ43" i="12"/>
  <c r="AR43" i="12"/>
  <c r="AS43" i="12"/>
  <c r="AT43" i="12"/>
  <c r="AU43" i="12"/>
  <c r="AV43" i="12"/>
  <c r="AW43" i="12"/>
  <c r="AX43" i="12"/>
  <c r="AY43" i="12"/>
  <c r="AZ43" i="12"/>
  <c r="BA43" i="12"/>
  <c r="BB43" i="12"/>
  <c r="BC43" i="12"/>
  <c r="BD43" i="12"/>
  <c r="BE43" i="12"/>
  <c r="BF43" i="12"/>
  <c r="BG43" i="12"/>
  <c r="AQ44" i="12"/>
  <c r="AR44" i="12"/>
  <c r="AS44" i="12"/>
  <c r="AT44" i="12"/>
  <c r="AU44" i="12"/>
  <c r="AV44" i="12"/>
  <c r="AW44" i="12"/>
  <c r="AX44" i="12"/>
  <c r="AY44" i="12"/>
  <c r="AZ44" i="12"/>
  <c r="BA44" i="12"/>
  <c r="BB44" i="12"/>
  <c r="BC44" i="12"/>
  <c r="BD44" i="12"/>
  <c r="BE44" i="12"/>
  <c r="BF44" i="12"/>
  <c r="BG44" i="12"/>
  <c r="AQ45" i="12"/>
  <c r="AR45" i="12"/>
  <c r="AS45" i="12"/>
  <c r="AT45" i="12"/>
  <c r="AU45" i="12"/>
  <c r="AV45" i="12"/>
  <c r="AW45" i="12"/>
  <c r="AX45" i="12"/>
  <c r="AY45" i="12"/>
  <c r="AZ45" i="12"/>
  <c r="BA45" i="12"/>
  <c r="BB45" i="12"/>
  <c r="BC45" i="12"/>
  <c r="BD45" i="12"/>
  <c r="BE45" i="12"/>
  <c r="BF45" i="12"/>
  <c r="BG45" i="12"/>
  <c r="AQ46" i="12"/>
  <c r="AR46" i="12"/>
  <c r="AS46" i="12"/>
  <c r="AT46" i="12"/>
  <c r="AU46" i="12"/>
  <c r="AV46" i="12"/>
  <c r="AW46" i="12"/>
  <c r="AX46" i="12"/>
  <c r="AY46" i="12"/>
  <c r="AZ46" i="12"/>
  <c r="BA46" i="12"/>
  <c r="BB46" i="12"/>
  <c r="BC46" i="12"/>
  <c r="BD46" i="12"/>
  <c r="BE46" i="12"/>
  <c r="BF46" i="12"/>
  <c r="BG46" i="12"/>
  <c r="AQ47" i="12"/>
  <c r="AR47" i="12"/>
  <c r="AS47" i="12"/>
  <c r="AT47" i="12"/>
  <c r="AU47" i="12"/>
  <c r="AV47" i="12"/>
  <c r="AW47" i="12"/>
  <c r="AX47" i="12"/>
  <c r="AY47" i="12"/>
  <c r="AZ47" i="12"/>
  <c r="BA47" i="12"/>
  <c r="BB47" i="12"/>
  <c r="BC47" i="12"/>
  <c r="BD47" i="12"/>
  <c r="BE47" i="12"/>
  <c r="BF47" i="12"/>
  <c r="BG47" i="12"/>
  <c r="AQ48" i="12"/>
  <c r="AR48" i="12"/>
  <c r="AS48" i="12"/>
  <c r="AT48" i="12"/>
  <c r="AU48" i="12"/>
  <c r="AV48" i="12"/>
  <c r="AW48" i="12"/>
  <c r="AX48" i="12"/>
  <c r="AY48" i="12"/>
  <c r="AZ48" i="12"/>
  <c r="BA48" i="12"/>
  <c r="BB48" i="12"/>
  <c r="BC48" i="12"/>
  <c r="BD48" i="12"/>
  <c r="BE48" i="12"/>
  <c r="BF48" i="12"/>
  <c r="BG48" i="12"/>
  <c r="AQ49" i="12"/>
  <c r="AR49" i="12"/>
  <c r="AS49" i="12"/>
  <c r="AT49" i="12"/>
  <c r="AU49" i="12"/>
  <c r="AV49" i="12"/>
  <c r="AW49" i="12"/>
  <c r="AX49" i="12"/>
  <c r="AY49" i="12"/>
  <c r="AZ49" i="12"/>
  <c r="BA49" i="12"/>
  <c r="BB49" i="12"/>
  <c r="BC49" i="12"/>
  <c r="BD49" i="12"/>
  <c r="BE49" i="12"/>
  <c r="BF49" i="12"/>
  <c r="BG49" i="12"/>
  <c r="AQ50" i="12"/>
  <c r="AR50" i="12"/>
  <c r="AS50" i="12"/>
  <c r="AT50" i="12"/>
  <c r="AU50" i="12"/>
  <c r="AV50" i="12"/>
  <c r="AW50" i="12"/>
  <c r="AX50" i="12"/>
  <c r="AY50" i="12"/>
  <c r="AZ50" i="12"/>
  <c r="BA50" i="12"/>
  <c r="BB50" i="12"/>
  <c r="BC50" i="12"/>
  <c r="BD50" i="12"/>
  <c r="BE50" i="12"/>
  <c r="BF50" i="12"/>
  <c r="BG50" i="12"/>
  <c r="AQ51" i="12"/>
  <c r="AR51" i="12"/>
  <c r="AS51" i="12"/>
  <c r="AT51" i="12"/>
  <c r="AU51" i="12"/>
  <c r="AV51" i="12"/>
  <c r="AW51" i="12"/>
  <c r="AX51" i="12"/>
  <c r="AY51" i="12"/>
  <c r="AZ51" i="12"/>
  <c r="BA51" i="12"/>
  <c r="BB51" i="12"/>
  <c r="BC51" i="12"/>
  <c r="BD51" i="12"/>
  <c r="BE51" i="12"/>
  <c r="BF51" i="12"/>
  <c r="BG51" i="12"/>
  <c r="AQ52" i="12"/>
  <c r="AR52" i="12"/>
  <c r="AS52" i="12"/>
  <c r="AT52" i="12"/>
  <c r="AU52" i="12"/>
  <c r="AV52" i="12"/>
  <c r="AW52" i="12"/>
  <c r="AX52" i="12"/>
  <c r="AY52" i="12"/>
  <c r="AZ52" i="12"/>
  <c r="BA52" i="12"/>
  <c r="BB52" i="12"/>
  <c r="BC52" i="12"/>
  <c r="BD52" i="12"/>
  <c r="BE52" i="12"/>
  <c r="BF52" i="12"/>
  <c r="BG52" i="12"/>
  <c r="AQ53" i="12"/>
  <c r="AR53" i="12"/>
  <c r="AS53" i="12"/>
  <c r="AT53" i="12"/>
  <c r="AU53" i="12"/>
  <c r="AV53" i="12"/>
  <c r="AW53" i="12"/>
  <c r="AX53" i="12"/>
  <c r="AY53" i="12"/>
  <c r="AZ53" i="12"/>
  <c r="BA53" i="12"/>
  <c r="BB53" i="12"/>
  <c r="BC53" i="12"/>
  <c r="BD53" i="12"/>
  <c r="BE53" i="12"/>
  <c r="BF53" i="12"/>
  <c r="BG53" i="12"/>
  <c r="AQ54" i="12"/>
  <c r="AR54" i="12"/>
  <c r="AS54" i="12"/>
  <c r="AT54" i="12"/>
  <c r="AU54" i="12"/>
  <c r="AV54" i="12"/>
  <c r="AW54" i="12"/>
  <c r="AX54" i="12"/>
  <c r="AY54" i="12"/>
  <c r="AZ54" i="12"/>
  <c r="BA54" i="12"/>
  <c r="BB54" i="12"/>
  <c r="BC54" i="12"/>
  <c r="BD54" i="12"/>
  <c r="BE54" i="12"/>
  <c r="BF54" i="12"/>
  <c r="BG54" i="12"/>
  <c r="AQ55" i="12"/>
  <c r="AR55" i="12"/>
  <c r="AS55" i="12"/>
  <c r="AT55" i="12"/>
  <c r="AU55" i="12"/>
  <c r="AV55" i="12"/>
  <c r="AW55" i="12"/>
  <c r="AX55" i="12"/>
  <c r="AY55" i="12"/>
  <c r="AZ55" i="12"/>
  <c r="BA55" i="12"/>
  <c r="BB55" i="12"/>
  <c r="BC55" i="12"/>
  <c r="BD55" i="12"/>
  <c r="BE55" i="12"/>
  <c r="BF55" i="12"/>
  <c r="BG55" i="12"/>
  <c r="AQ56" i="12"/>
  <c r="AR56" i="12"/>
  <c r="AS56" i="12"/>
  <c r="AT56" i="12"/>
  <c r="AU56" i="12"/>
  <c r="AV56" i="12"/>
  <c r="AW56" i="12"/>
  <c r="AX56" i="12"/>
  <c r="AY56" i="12"/>
  <c r="AZ56" i="12"/>
  <c r="BA56" i="12"/>
  <c r="BB56" i="12"/>
  <c r="BC56" i="12"/>
  <c r="BD56" i="12"/>
  <c r="BE56" i="12"/>
  <c r="BF56" i="12"/>
  <c r="BG56" i="12"/>
  <c r="AQ57" i="12"/>
  <c r="AR57" i="12"/>
  <c r="AS57" i="12"/>
  <c r="AT57" i="12"/>
  <c r="AU57" i="12"/>
  <c r="AV57" i="12"/>
  <c r="AW57" i="12"/>
  <c r="AX57" i="12"/>
  <c r="AY57" i="12"/>
  <c r="AZ57" i="12"/>
  <c r="BA57" i="12"/>
  <c r="BB57" i="12"/>
  <c r="BC57" i="12"/>
  <c r="BD57" i="12"/>
  <c r="BE57" i="12"/>
  <c r="BF57" i="12"/>
  <c r="BG57" i="12"/>
  <c r="AQ58" i="12"/>
  <c r="AR58" i="12"/>
  <c r="AS58" i="12"/>
  <c r="AT58" i="12"/>
  <c r="AU58" i="12"/>
  <c r="AV58" i="12"/>
  <c r="AW58" i="12"/>
  <c r="AX58" i="12"/>
  <c r="AY58" i="12"/>
  <c r="AZ58" i="12"/>
  <c r="BA58" i="12"/>
  <c r="BB58" i="12"/>
  <c r="BC58" i="12"/>
  <c r="BD58" i="12"/>
  <c r="BE58" i="12"/>
  <c r="BF58" i="12"/>
  <c r="BG58" i="12"/>
  <c r="Y45" i="12"/>
  <c r="Z45" i="12"/>
  <c r="AA45" i="12"/>
  <c r="AB45" i="12" s="1"/>
  <c r="AC45" i="12"/>
  <c r="AD45" i="12" s="1"/>
  <c r="AE45" i="12"/>
  <c r="AF45" i="12" s="1"/>
  <c r="AG45" i="12"/>
  <c r="AH45" i="12" s="1"/>
  <c r="AI45" i="12"/>
  <c r="AJ45" i="12" s="1"/>
  <c r="AK45" i="12"/>
  <c r="AL45" i="12" s="1"/>
  <c r="AM45" i="12"/>
  <c r="AN45" i="12" s="1"/>
  <c r="Y46" i="12"/>
  <c r="Z46" i="12"/>
  <c r="AA46" i="12"/>
  <c r="AB46" i="12" s="1"/>
  <c r="AC46" i="12"/>
  <c r="AD46" i="12" s="1"/>
  <c r="AE46" i="12"/>
  <c r="AF46" i="12" s="1"/>
  <c r="AG46" i="12"/>
  <c r="AH46" i="12" s="1"/>
  <c r="AI46" i="12"/>
  <c r="AJ46" i="12" s="1"/>
  <c r="AK46" i="12"/>
  <c r="AL46" i="12" s="1"/>
  <c r="AM46" i="12"/>
  <c r="AN46" i="12" s="1"/>
  <c r="Y47" i="12"/>
  <c r="Z47" i="12"/>
  <c r="AA47" i="12"/>
  <c r="AB47" i="12" s="1"/>
  <c r="AC47" i="12"/>
  <c r="AD47" i="12" s="1"/>
  <c r="AE47" i="12"/>
  <c r="AF47" i="12" s="1"/>
  <c r="AG47" i="12"/>
  <c r="AH47" i="12" s="1"/>
  <c r="AI47" i="12"/>
  <c r="AJ47" i="12" s="1"/>
  <c r="AK47" i="12"/>
  <c r="AL47" i="12" s="1"/>
  <c r="AM47" i="12"/>
  <c r="AN47" i="12" s="1"/>
  <c r="Y48" i="12"/>
  <c r="Z48" i="12"/>
  <c r="AA48" i="12"/>
  <c r="AB48" i="12" s="1"/>
  <c r="AC48" i="12"/>
  <c r="AD48" i="12" s="1"/>
  <c r="AE48" i="12"/>
  <c r="AF48" i="12" s="1"/>
  <c r="AG48" i="12"/>
  <c r="AH48" i="12" s="1"/>
  <c r="AI48" i="12"/>
  <c r="AJ48" i="12" s="1"/>
  <c r="AK48" i="12"/>
  <c r="AL48" i="12" s="1"/>
  <c r="AM48" i="12"/>
  <c r="AN48" i="12" s="1"/>
  <c r="Y49" i="12"/>
  <c r="Z49" i="12"/>
  <c r="AA49" i="12"/>
  <c r="AB49" i="12" s="1"/>
  <c r="AC49" i="12"/>
  <c r="AD49" i="12" s="1"/>
  <c r="AE49" i="12"/>
  <c r="AF49" i="12" s="1"/>
  <c r="AG49" i="12"/>
  <c r="AH49" i="12" s="1"/>
  <c r="AI49" i="12"/>
  <c r="AJ49" i="12" s="1"/>
  <c r="AK49" i="12"/>
  <c r="AL49" i="12" s="1"/>
  <c r="AM49" i="12"/>
  <c r="AN49" i="12" s="1"/>
  <c r="Y50" i="12"/>
  <c r="Z50" i="12"/>
  <c r="AA50" i="12"/>
  <c r="AB50" i="12" s="1"/>
  <c r="AC50" i="12"/>
  <c r="AD50" i="12" s="1"/>
  <c r="AE50" i="12"/>
  <c r="AF50" i="12" s="1"/>
  <c r="AG50" i="12"/>
  <c r="AH50" i="12" s="1"/>
  <c r="AI50" i="12"/>
  <c r="AJ50" i="12" s="1"/>
  <c r="AK50" i="12"/>
  <c r="AL50" i="12" s="1"/>
  <c r="AM50" i="12"/>
  <c r="AN50" i="12" s="1"/>
  <c r="Y51" i="12"/>
  <c r="Z51" i="12"/>
  <c r="AA51" i="12"/>
  <c r="AB51" i="12" s="1"/>
  <c r="AC51" i="12"/>
  <c r="AD51" i="12" s="1"/>
  <c r="AE51" i="12"/>
  <c r="AF51" i="12" s="1"/>
  <c r="AG51" i="12"/>
  <c r="AH51" i="12" s="1"/>
  <c r="AI51" i="12"/>
  <c r="AJ51" i="12" s="1"/>
  <c r="AK51" i="12"/>
  <c r="AL51" i="12" s="1"/>
  <c r="AM51" i="12"/>
  <c r="AN51" i="12" s="1"/>
  <c r="Y52" i="12"/>
  <c r="Z52" i="12"/>
  <c r="AA52" i="12"/>
  <c r="AB52" i="12" s="1"/>
  <c r="AC52" i="12"/>
  <c r="AD52" i="12" s="1"/>
  <c r="AE52" i="12"/>
  <c r="AF52" i="12" s="1"/>
  <c r="AG52" i="12"/>
  <c r="AH52" i="12" s="1"/>
  <c r="AI52" i="12"/>
  <c r="AJ52" i="12" s="1"/>
  <c r="AK52" i="12"/>
  <c r="AL52" i="12" s="1"/>
  <c r="AM52" i="12"/>
  <c r="AN52" i="12" s="1"/>
  <c r="Y53" i="12"/>
  <c r="Z53" i="12"/>
  <c r="AA53" i="12"/>
  <c r="AB53" i="12" s="1"/>
  <c r="AC53" i="12"/>
  <c r="AD53" i="12" s="1"/>
  <c r="AE53" i="12"/>
  <c r="AF53" i="12" s="1"/>
  <c r="AG53" i="12"/>
  <c r="AH53" i="12" s="1"/>
  <c r="AI53" i="12"/>
  <c r="AJ53" i="12" s="1"/>
  <c r="AK53" i="12"/>
  <c r="AL53" i="12" s="1"/>
  <c r="AM53" i="12"/>
  <c r="AN53" i="12" s="1"/>
  <c r="Y54" i="12"/>
  <c r="Z54" i="12"/>
  <c r="AA54" i="12"/>
  <c r="AB54" i="12" s="1"/>
  <c r="AC54" i="12"/>
  <c r="AD54" i="12" s="1"/>
  <c r="AE54" i="12"/>
  <c r="AF54" i="12" s="1"/>
  <c r="AG54" i="12"/>
  <c r="AH54" i="12" s="1"/>
  <c r="AI54" i="12"/>
  <c r="AJ54" i="12" s="1"/>
  <c r="AK54" i="12"/>
  <c r="AL54" i="12" s="1"/>
  <c r="AM54" i="12"/>
  <c r="AN54" i="12" s="1"/>
  <c r="Y55" i="12"/>
  <c r="Z55" i="12"/>
  <c r="AA55" i="12"/>
  <c r="AB55" i="12" s="1"/>
  <c r="AC55" i="12"/>
  <c r="AD55" i="12" s="1"/>
  <c r="AE55" i="12"/>
  <c r="AF55" i="12" s="1"/>
  <c r="AG55" i="12"/>
  <c r="AH55" i="12" s="1"/>
  <c r="AI55" i="12"/>
  <c r="AJ55" i="12" s="1"/>
  <c r="AK55" i="12"/>
  <c r="AL55" i="12" s="1"/>
  <c r="AM55" i="12"/>
  <c r="AN55" i="12" s="1"/>
  <c r="Y56" i="12"/>
  <c r="Z56" i="12"/>
  <c r="AA56" i="12"/>
  <c r="AB56" i="12" s="1"/>
  <c r="AC56" i="12"/>
  <c r="AD56" i="12" s="1"/>
  <c r="AE56" i="12"/>
  <c r="AF56" i="12" s="1"/>
  <c r="AG56" i="12"/>
  <c r="AH56" i="12" s="1"/>
  <c r="AI56" i="12"/>
  <c r="AJ56" i="12" s="1"/>
  <c r="AK56" i="12"/>
  <c r="AL56" i="12" s="1"/>
  <c r="AM56" i="12"/>
  <c r="AN56" i="12" s="1"/>
  <c r="Y57" i="12"/>
  <c r="Z57" i="12"/>
  <c r="AA57" i="12"/>
  <c r="AB57" i="12" s="1"/>
  <c r="AC57" i="12"/>
  <c r="AD57" i="12" s="1"/>
  <c r="AE57" i="12"/>
  <c r="AF57" i="12" s="1"/>
  <c r="AG57" i="12"/>
  <c r="AH57" i="12" s="1"/>
  <c r="AI57" i="12"/>
  <c r="AJ57" i="12" s="1"/>
  <c r="AK57" i="12"/>
  <c r="AL57" i="12" s="1"/>
  <c r="AM57" i="12"/>
  <c r="AN57" i="12" s="1"/>
  <c r="Y58" i="12"/>
  <c r="Z58" i="12"/>
  <c r="AA58" i="12"/>
  <c r="AB58" i="12" s="1"/>
  <c r="AC58" i="12"/>
  <c r="AD58" i="12" s="1"/>
  <c r="AE58" i="12"/>
  <c r="AF58" i="12" s="1"/>
  <c r="AG58" i="12"/>
  <c r="AH58" i="12" s="1"/>
  <c r="AI58" i="12"/>
  <c r="AJ58" i="12" s="1"/>
  <c r="AK58" i="12"/>
  <c r="AL58" i="12" s="1"/>
  <c r="AM58" i="12"/>
  <c r="AN58" i="12" s="1"/>
  <c r="Y10" i="12"/>
  <c r="Z10" i="12"/>
  <c r="AA10" i="12"/>
  <c r="AB10" i="12" s="1"/>
  <c r="AC10" i="12"/>
  <c r="AD10" i="12" s="1"/>
  <c r="AE10" i="12"/>
  <c r="AF10" i="12" s="1"/>
  <c r="AG10" i="12"/>
  <c r="AH10" i="12" s="1"/>
  <c r="AI10" i="12"/>
  <c r="AJ10" i="12" s="1"/>
  <c r="AK10" i="12"/>
  <c r="AL10" i="12" s="1"/>
  <c r="AM10" i="12"/>
  <c r="AN10" i="12" s="1"/>
  <c r="Y11" i="12"/>
  <c r="Z11" i="12"/>
  <c r="AA11" i="12"/>
  <c r="AB11" i="12" s="1"/>
  <c r="AC11" i="12"/>
  <c r="AD11" i="12" s="1"/>
  <c r="AE11" i="12"/>
  <c r="AF11" i="12" s="1"/>
  <c r="AG11" i="12"/>
  <c r="AH11" i="12" s="1"/>
  <c r="AI11" i="12"/>
  <c r="AJ11" i="12" s="1"/>
  <c r="AK11" i="12"/>
  <c r="AL11" i="12" s="1"/>
  <c r="AM11" i="12"/>
  <c r="AN11" i="12" s="1"/>
  <c r="Y12" i="12"/>
  <c r="Z12" i="12"/>
  <c r="AA12" i="12"/>
  <c r="AB12" i="12" s="1"/>
  <c r="AC12" i="12"/>
  <c r="AD12" i="12"/>
  <c r="AE12" i="12"/>
  <c r="AF12" i="12"/>
  <c r="AG12" i="12"/>
  <c r="AH12" i="12" s="1"/>
  <c r="AI12" i="12"/>
  <c r="AJ12" i="12"/>
  <c r="AK12" i="12"/>
  <c r="AL12" i="12"/>
  <c r="AM12" i="12"/>
  <c r="AN12" i="12"/>
  <c r="Y13" i="12"/>
  <c r="Z13" i="12"/>
  <c r="AA13" i="12"/>
  <c r="AB13" i="12"/>
  <c r="AC13" i="12"/>
  <c r="AD13" i="12"/>
  <c r="AE13" i="12"/>
  <c r="AF13" i="12"/>
  <c r="AG13" i="12"/>
  <c r="AH13" i="12" s="1"/>
  <c r="AI13" i="12"/>
  <c r="AJ13" i="12"/>
  <c r="AK13" i="12"/>
  <c r="AL13" i="12"/>
  <c r="AM13" i="12"/>
  <c r="AN13" i="12"/>
  <c r="Y14" i="12"/>
  <c r="Z14" i="12"/>
  <c r="AA14" i="12"/>
  <c r="AB14" i="12"/>
  <c r="AC14" i="12"/>
  <c r="AD14" i="12"/>
  <c r="AE14" i="12"/>
  <c r="AF14" i="12"/>
  <c r="AG14" i="12"/>
  <c r="AH14" i="12" s="1"/>
  <c r="AI14" i="12"/>
  <c r="AJ14" i="12"/>
  <c r="AK14" i="12"/>
  <c r="AL14" i="12"/>
  <c r="AM14" i="12"/>
  <c r="AN14" i="12"/>
  <c r="Y15" i="12"/>
  <c r="Z15" i="12"/>
  <c r="AA15" i="12"/>
  <c r="AB15" i="12"/>
  <c r="AC15" i="12"/>
  <c r="AD15" i="12"/>
  <c r="AE15" i="12"/>
  <c r="AF15" i="12"/>
  <c r="AG15" i="12"/>
  <c r="AH15" i="12" s="1"/>
  <c r="AI15" i="12"/>
  <c r="AJ15" i="12"/>
  <c r="AK15" i="12"/>
  <c r="AL15" i="12"/>
  <c r="AM15" i="12"/>
  <c r="AN15" i="12"/>
  <c r="Y16" i="12"/>
  <c r="Z16" i="12"/>
  <c r="AA16" i="12"/>
  <c r="AB16" i="12"/>
  <c r="AC16" i="12"/>
  <c r="AD16" i="12"/>
  <c r="AE16" i="12"/>
  <c r="AF16" i="12"/>
  <c r="AG16" i="12"/>
  <c r="AH16" i="12" s="1"/>
  <c r="AI16" i="12"/>
  <c r="AJ16" i="12"/>
  <c r="AK16" i="12"/>
  <c r="AL16" i="12"/>
  <c r="AM16" i="12"/>
  <c r="AN16" i="12"/>
  <c r="Y17" i="12"/>
  <c r="Z17" i="12"/>
  <c r="AA17" i="12"/>
  <c r="AB17" i="12"/>
  <c r="AC17" i="12"/>
  <c r="AD17" i="12"/>
  <c r="AE17" i="12"/>
  <c r="AF17" i="12"/>
  <c r="AG17" i="12"/>
  <c r="AH17" i="12" s="1"/>
  <c r="AI17" i="12"/>
  <c r="AJ17" i="12"/>
  <c r="AK17" i="12"/>
  <c r="AL17" i="12"/>
  <c r="AM17" i="12"/>
  <c r="AN17" i="12"/>
  <c r="Y18" i="12"/>
  <c r="Z18" i="12"/>
  <c r="AA18" i="12"/>
  <c r="AB18" i="12"/>
  <c r="AC18" i="12"/>
  <c r="AD18" i="12"/>
  <c r="AE18" i="12"/>
  <c r="AF18" i="12"/>
  <c r="AG18" i="12"/>
  <c r="AH18" i="12" s="1"/>
  <c r="AI18" i="12"/>
  <c r="AJ18" i="12"/>
  <c r="AK18" i="12"/>
  <c r="AL18" i="12"/>
  <c r="AA111" i="18" s="1"/>
  <c r="AB111" i="18" s="1"/>
  <c r="AM18" i="12"/>
  <c r="AN18" i="12"/>
  <c r="Y19" i="12"/>
  <c r="Z19" i="12"/>
  <c r="AA19" i="12"/>
  <c r="AB19" i="12"/>
  <c r="AC19" i="12"/>
  <c r="AD19" i="12"/>
  <c r="AE19" i="12"/>
  <c r="AF19" i="12"/>
  <c r="AG19" i="12"/>
  <c r="AH19" i="12" s="1"/>
  <c r="AI19" i="12"/>
  <c r="AJ19" i="12"/>
  <c r="AK19" i="12"/>
  <c r="AL19" i="12"/>
  <c r="AM19" i="12"/>
  <c r="AN19" i="12"/>
  <c r="Y20" i="12"/>
  <c r="Z20" i="12"/>
  <c r="AA20" i="12"/>
  <c r="AB20" i="12"/>
  <c r="AC20" i="12"/>
  <c r="AD20" i="12"/>
  <c r="AE20" i="12"/>
  <c r="AF20" i="12"/>
  <c r="AG20" i="12"/>
  <c r="AH20" i="12" s="1"/>
  <c r="AI20" i="12"/>
  <c r="AJ20" i="12"/>
  <c r="AK20" i="12"/>
  <c r="AL20" i="12"/>
  <c r="AM20" i="12"/>
  <c r="AN20" i="12"/>
  <c r="Y21" i="12"/>
  <c r="Z21" i="12"/>
  <c r="AA21" i="12"/>
  <c r="AB21" i="12"/>
  <c r="AC21" i="12"/>
  <c r="AD21" i="12"/>
  <c r="AE21" i="12"/>
  <c r="AF21" i="12"/>
  <c r="AG21" i="12"/>
  <c r="AH21" i="12" s="1"/>
  <c r="AI21" i="12"/>
  <c r="AJ21" i="12"/>
  <c r="AK21" i="12"/>
  <c r="AL21" i="12"/>
  <c r="AM21" i="12"/>
  <c r="AN21" i="12"/>
  <c r="Y22" i="12"/>
  <c r="Z22" i="12"/>
  <c r="AA22" i="12"/>
  <c r="AB22" i="12"/>
  <c r="AC22" i="12"/>
  <c r="AD22" i="12"/>
  <c r="AE22" i="12"/>
  <c r="AF22" i="12"/>
  <c r="AG22" i="12"/>
  <c r="AH22" i="12" s="1"/>
  <c r="AI22" i="12"/>
  <c r="AJ22" i="12"/>
  <c r="AK22" i="12"/>
  <c r="AL22" i="12"/>
  <c r="AM22" i="12"/>
  <c r="AN22" i="12"/>
  <c r="Y23" i="12"/>
  <c r="Z23" i="12"/>
  <c r="AA23" i="12"/>
  <c r="AB23" i="12"/>
  <c r="AC23" i="12"/>
  <c r="AD23" i="12"/>
  <c r="AE23" i="12"/>
  <c r="AF23" i="12"/>
  <c r="AG23" i="12"/>
  <c r="AH23" i="12" s="1"/>
  <c r="AI23" i="12"/>
  <c r="AJ23" i="12"/>
  <c r="AK23" i="12"/>
  <c r="AL23" i="12"/>
  <c r="AM23" i="12"/>
  <c r="AN23" i="12"/>
  <c r="Y24" i="12"/>
  <c r="Z24" i="12"/>
  <c r="AA24" i="12"/>
  <c r="AB24" i="12"/>
  <c r="AC24" i="12"/>
  <c r="AD24" i="12"/>
  <c r="AE24" i="12"/>
  <c r="AF24" i="12"/>
  <c r="AG24" i="12"/>
  <c r="AH24" i="12" s="1"/>
  <c r="AI24" i="12"/>
  <c r="AJ24" i="12"/>
  <c r="AK24" i="12"/>
  <c r="AL24" i="12"/>
  <c r="AM24" i="12"/>
  <c r="AN24" i="12"/>
  <c r="Y25" i="12"/>
  <c r="Z25" i="12"/>
  <c r="AA25" i="12"/>
  <c r="AB25" i="12"/>
  <c r="AC25" i="12"/>
  <c r="AD25" i="12"/>
  <c r="AE25" i="12"/>
  <c r="AF25" i="12"/>
  <c r="AG25" i="12"/>
  <c r="AH25" i="12" s="1"/>
  <c r="AI25" i="12"/>
  <c r="AJ25" i="12"/>
  <c r="AK25" i="12"/>
  <c r="AL25" i="12"/>
  <c r="AM25" i="12"/>
  <c r="AN25" i="12"/>
  <c r="Y26" i="12"/>
  <c r="Z26" i="12"/>
  <c r="AA26" i="12"/>
  <c r="AB26" i="12"/>
  <c r="AC26" i="12"/>
  <c r="AD26" i="12"/>
  <c r="AE26" i="12"/>
  <c r="AF26" i="12"/>
  <c r="AG26" i="12"/>
  <c r="AH26" i="12" s="1"/>
  <c r="AI26" i="12"/>
  <c r="AJ26" i="12"/>
  <c r="AK26" i="12"/>
  <c r="AL26" i="12"/>
  <c r="AM26" i="12"/>
  <c r="AN26" i="12"/>
  <c r="Y27" i="12"/>
  <c r="Z27" i="12"/>
  <c r="AA27" i="12"/>
  <c r="AB27" i="12"/>
  <c r="AC27" i="12"/>
  <c r="AD27" i="12"/>
  <c r="AE27" i="12"/>
  <c r="AF27" i="12"/>
  <c r="AG27" i="12"/>
  <c r="AH27" i="12" s="1"/>
  <c r="AI27" i="12"/>
  <c r="AJ27" i="12"/>
  <c r="AK27" i="12"/>
  <c r="AL27" i="12"/>
  <c r="AM27" i="12"/>
  <c r="AN27" i="12"/>
  <c r="Y28" i="12"/>
  <c r="Z28" i="12"/>
  <c r="AA28" i="12"/>
  <c r="AB28" i="12"/>
  <c r="AC28" i="12"/>
  <c r="AD28" i="12"/>
  <c r="AE28" i="12"/>
  <c r="AF28" i="12"/>
  <c r="AG28" i="12"/>
  <c r="AH28" i="12" s="1"/>
  <c r="AI28" i="12"/>
  <c r="AJ28" i="12"/>
  <c r="AK28" i="12"/>
  <c r="AL28" i="12"/>
  <c r="AM28" i="12"/>
  <c r="AN28" i="12"/>
  <c r="Y29" i="12"/>
  <c r="Z29" i="12"/>
  <c r="AA29" i="12"/>
  <c r="AB29" i="12"/>
  <c r="AC29" i="12"/>
  <c r="AD29" i="12"/>
  <c r="AE29" i="12"/>
  <c r="AF29" i="12"/>
  <c r="AG29" i="12"/>
  <c r="AH29" i="12" s="1"/>
  <c r="AI29" i="12"/>
  <c r="AJ29" i="12"/>
  <c r="AK29" i="12"/>
  <c r="AL29" i="12"/>
  <c r="AM29" i="12"/>
  <c r="AN29" i="12"/>
  <c r="Y30" i="12"/>
  <c r="Z30" i="12"/>
  <c r="AA30" i="12"/>
  <c r="AB30" i="12"/>
  <c r="AC30" i="12"/>
  <c r="AD30" i="12"/>
  <c r="AE30" i="12"/>
  <c r="AF30" i="12"/>
  <c r="AG30" i="12"/>
  <c r="AH30" i="12" s="1"/>
  <c r="AI30" i="12"/>
  <c r="AJ30" i="12"/>
  <c r="AK30" i="12"/>
  <c r="AL30" i="12"/>
  <c r="AM30" i="12"/>
  <c r="AN30" i="12"/>
  <c r="Y31" i="12"/>
  <c r="Z31" i="12"/>
  <c r="AA31" i="12"/>
  <c r="AB31" i="12"/>
  <c r="AC31" i="12"/>
  <c r="AD31" i="12"/>
  <c r="AE31" i="12"/>
  <c r="AF31" i="12"/>
  <c r="AG31" i="12"/>
  <c r="AH31" i="12" s="1"/>
  <c r="AI31" i="12"/>
  <c r="AJ31" i="12"/>
  <c r="AK31" i="12"/>
  <c r="AL31" i="12"/>
  <c r="AM31" i="12"/>
  <c r="AN31" i="12"/>
  <c r="Y32" i="12"/>
  <c r="Z32" i="12"/>
  <c r="AA32" i="12"/>
  <c r="AB32" i="12"/>
  <c r="AC32" i="12"/>
  <c r="AD32" i="12"/>
  <c r="AE32" i="12"/>
  <c r="AF32" i="12"/>
  <c r="AG32" i="12"/>
  <c r="AH32" i="12" s="1"/>
  <c r="AI32" i="12"/>
  <c r="AJ32" i="12"/>
  <c r="AK32" i="12"/>
  <c r="AL32" i="12"/>
  <c r="AM32" i="12"/>
  <c r="AN32" i="12"/>
  <c r="Y33" i="12"/>
  <c r="Z33" i="12"/>
  <c r="AA33" i="12"/>
  <c r="AB33" i="12"/>
  <c r="AC33" i="12"/>
  <c r="AD33" i="12"/>
  <c r="AE33" i="12"/>
  <c r="AF33" i="12"/>
  <c r="AG33" i="12"/>
  <c r="AH33" i="12" s="1"/>
  <c r="AI33" i="12"/>
  <c r="AJ33" i="12"/>
  <c r="AK33" i="12"/>
  <c r="AL33" i="12"/>
  <c r="AM33" i="12"/>
  <c r="AN33" i="12"/>
  <c r="Y34" i="12"/>
  <c r="Z34" i="12"/>
  <c r="AA34" i="12"/>
  <c r="AB34" i="12"/>
  <c r="AC34" i="12"/>
  <c r="AD34" i="12"/>
  <c r="AE34" i="12"/>
  <c r="AF34" i="12"/>
  <c r="AG34" i="12"/>
  <c r="AH34" i="12" s="1"/>
  <c r="AI34" i="12"/>
  <c r="AJ34" i="12"/>
  <c r="AK34" i="12"/>
  <c r="AL34" i="12"/>
  <c r="AM34" i="12"/>
  <c r="AN34" i="12"/>
  <c r="Y35" i="12"/>
  <c r="Z35" i="12"/>
  <c r="AA35" i="12"/>
  <c r="AB35" i="12"/>
  <c r="AC35" i="12"/>
  <c r="AD35" i="12"/>
  <c r="AE35" i="12"/>
  <c r="AF35" i="12"/>
  <c r="AG35" i="12"/>
  <c r="AH35" i="12" s="1"/>
  <c r="AI35" i="12"/>
  <c r="AJ35" i="12"/>
  <c r="AK35" i="12"/>
  <c r="AL35" i="12"/>
  <c r="AM35" i="12"/>
  <c r="AN35" i="12"/>
  <c r="Y36" i="12"/>
  <c r="Z36" i="12"/>
  <c r="AA36" i="12"/>
  <c r="AB36" i="12"/>
  <c r="AC36" i="12"/>
  <c r="AD36" i="12"/>
  <c r="AE36" i="12"/>
  <c r="AF36" i="12"/>
  <c r="AG36" i="12"/>
  <c r="AH36" i="12" s="1"/>
  <c r="AI36" i="12"/>
  <c r="AJ36" i="12"/>
  <c r="AK36" i="12"/>
  <c r="AL36" i="12"/>
  <c r="AM36" i="12"/>
  <c r="AN36" i="12"/>
  <c r="Y37" i="12"/>
  <c r="Z37" i="12"/>
  <c r="AA37" i="12"/>
  <c r="AB37" i="12"/>
  <c r="AC37" i="12"/>
  <c r="AD37" i="12"/>
  <c r="AE37" i="12"/>
  <c r="AF37" i="12"/>
  <c r="AG37" i="12"/>
  <c r="AH37" i="12" s="1"/>
  <c r="AI37" i="12"/>
  <c r="AJ37" i="12"/>
  <c r="AK37" i="12"/>
  <c r="AL37" i="12"/>
  <c r="AM37" i="12"/>
  <c r="AN37" i="12"/>
  <c r="Y38" i="12"/>
  <c r="Z38" i="12"/>
  <c r="AA38" i="12"/>
  <c r="AB38" i="12"/>
  <c r="AC38" i="12"/>
  <c r="AD38" i="12"/>
  <c r="AE38" i="12"/>
  <c r="AF38" i="12"/>
  <c r="AG38" i="12"/>
  <c r="AH38" i="12" s="1"/>
  <c r="AI38" i="12"/>
  <c r="AJ38" i="12"/>
  <c r="AK38" i="12"/>
  <c r="AL38" i="12"/>
  <c r="AM38" i="12"/>
  <c r="AN38" i="12"/>
  <c r="Y39" i="12"/>
  <c r="Z39" i="12"/>
  <c r="AA39" i="12"/>
  <c r="AB39" i="12"/>
  <c r="AC39" i="12"/>
  <c r="AD39" i="12"/>
  <c r="AE39" i="12"/>
  <c r="AF39" i="12"/>
  <c r="AG39" i="12"/>
  <c r="AH39" i="12" s="1"/>
  <c r="AI39" i="12"/>
  <c r="AJ39" i="12"/>
  <c r="AK39" i="12"/>
  <c r="AL39" i="12"/>
  <c r="AM39" i="12"/>
  <c r="AN39" i="12"/>
  <c r="Y40" i="12"/>
  <c r="Z40" i="12"/>
  <c r="AA40" i="12"/>
  <c r="AB40" i="12"/>
  <c r="AC40" i="12"/>
  <c r="AD40" i="12"/>
  <c r="AE40" i="12"/>
  <c r="AF40" i="12"/>
  <c r="AG40" i="12"/>
  <c r="AH40" i="12" s="1"/>
  <c r="AI40" i="12"/>
  <c r="AJ40" i="12"/>
  <c r="AK40" i="12"/>
  <c r="AL40" i="12"/>
  <c r="AM40" i="12"/>
  <c r="AN40" i="12"/>
  <c r="Y41" i="12"/>
  <c r="Z41" i="12"/>
  <c r="AA41" i="12"/>
  <c r="AB41" i="12"/>
  <c r="AC41" i="12"/>
  <c r="AD41" i="12"/>
  <c r="AE41" i="12"/>
  <c r="AF41" i="12"/>
  <c r="AG41" i="12"/>
  <c r="AH41" i="12" s="1"/>
  <c r="AI41" i="12"/>
  <c r="AJ41" i="12"/>
  <c r="AK41" i="12"/>
  <c r="AL41" i="12"/>
  <c r="AM41" i="12"/>
  <c r="AN41" i="12"/>
  <c r="Y42" i="12"/>
  <c r="Z42" i="12"/>
  <c r="AA42" i="12"/>
  <c r="AB42" i="12"/>
  <c r="AC42" i="12"/>
  <c r="AD42" i="12"/>
  <c r="AE42" i="12"/>
  <c r="AF42" i="12"/>
  <c r="AG42" i="12"/>
  <c r="AH42" i="12" s="1"/>
  <c r="AI42" i="12"/>
  <c r="AJ42" i="12"/>
  <c r="AK42" i="12"/>
  <c r="AL42" i="12"/>
  <c r="AM42" i="12"/>
  <c r="AN42" i="12"/>
  <c r="Y43" i="12"/>
  <c r="Z43" i="12"/>
  <c r="AA43" i="12"/>
  <c r="AB43" i="12"/>
  <c r="AC43" i="12"/>
  <c r="AD43" i="12"/>
  <c r="AE43" i="12"/>
  <c r="AF43" i="12"/>
  <c r="AG43" i="12"/>
  <c r="AH43" i="12" s="1"/>
  <c r="AI43" i="12"/>
  <c r="AJ43" i="12"/>
  <c r="AK43" i="12"/>
  <c r="AL43" i="12"/>
  <c r="AM43" i="12"/>
  <c r="AN43" i="12"/>
  <c r="Y44" i="12"/>
  <c r="Z44" i="12"/>
  <c r="AA44" i="12"/>
  <c r="AB44" i="12"/>
  <c r="AC44" i="12"/>
  <c r="AD44" i="12"/>
  <c r="AE44" i="12"/>
  <c r="AF44" i="12"/>
  <c r="AG44" i="12"/>
  <c r="AH44" i="12" s="1"/>
  <c r="AI44" i="12"/>
  <c r="AJ44" i="12"/>
  <c r="AK44" i="12"/>
  <c r="AL44" i="12"/>
  <c r="AM44" i="12"/>
  <c r="AN44" i="12"/>
  <c r="H5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R50" i="19" l="1"/>
  <c r="R48" i="19"/>
  <c r="R46" i="19"/>
  <c r="R44" i="19"/>
  <c r="R42" i="19"/>
  <c r="R40" i="19"/>
  <c r="V53" i="19"/>
  <c r="V51" i="19"/>
  <c r="R54" i="19"/>
  <c r="R52" i="19"/>
  <c r="V48" i="19"/>
  <c r="V46" i="19"/>
  <c r="V44" i="19"/>
  <c r="V42" i="19"/>
  <c r="V40" i="19"/>
  <c r="R53" i="19"/>
  <c r="R51" i="19"/>
  <c r="V49" i="19"/>
  <c r="V47" i="19"/>
  <c r="V45" i="19"/>
  <c r="V43" i="19"/>
  <c r="V41" i="19"/>
  <c r="V39" i="19"/>
  <c r="T10" i="18"/>
  <c r="AP9" i="30" l="1"/>
  <c r="AA45" i="29"/>
  <c r="F45" i="29" s="1"/>
  <c r="AB45" i="29"/>
  <c r="I45" i="29" s="1"/>
  <c r="AA44" i="29"/>
  <c r="F44" i="29" s="1"/>
  <c r="AB44" i="29"/>
  <c r="I44" i="29" s="1"/>
  <c r="AA42" i="29"/>
  <c r="F42" i="29" s="1"/>
  <c r="AA41" i="29"/>
  <c r="F41" i="29" s="1"/>
  <c r="AA40" i="29"/>
  <c r="F40" i="29" s="1"/>
  <c r="F146" i="29"/>
  <c r="Q143" i="29"/>
  <c r="H143" i="29"/>
  <c r="Q142" i="29"/>
  <c r="H142" i="29"/>
  <c r="Q141" i="29"/>
  <c r="H141" i="29"/>
  <c r="R129" i="29"/>
  <c r="P129" i="29"/>
  <c r="H129" i="29"/>
  <c r="R128" i="29"/>
  <c r="P128" i="29"/>
  <c r="H128" i="29"/>
  <c r="R127" i="29"/>
  <c r="P127" i="29"/>
  <c r="H127" i="29"/>
  <c r="F47" i="29"/>
  <c r="Q45" i="29"/>
  <c r="Q44" i="29"/>
  <c r="Q42" i="29"/>
  <c r="Q41" i="29"/>
  <c r="Q40" i="29"/>
  <c r="S28" i="22"/>
  <c r="S29" i="22"/>
  <c r="S30" i="22"/>
  <c r="S31" i="22"/>
  <c r="S32" i="22"/>
  <c r="S33" i="22"/>
  <c r="S34" i="22"/>
  <c r="S35" i="22"/>
  <c r="S36" i="22"/>
  <c r="S37" i="22"/>
  <c r="S38" i="22"/>
  <c r="S6" i="22"/>
  <c r="S7" i="22"/>
  <c r="S8" i="22"/>
  <c r="S9" i="22"/>
  <c r="S10" i="22"/>
  <c r="S11" i="22"/>
  <c r="S12" i="22"/>
  <c r="S13" i="22"/>
  <c r="S14" i="22"/>
  <c r="S15" i="22"/>
  <c r="S16" i="22"/>
  <c r="S17" i="22"/>
  <c r="S18" i="22"/>
  <c r="S19" i="22"/>
  <c r="S20" i="22"/>
  <c r="S21" i="22"/>
  <c r="S22" i="22"/>
  <c r="S23" i="22"/>
  <c r="S24" i="22"/>
  <c r="S25" i="22"/>
  <c r="S26" i="22"/>
  <c r="S27" i="22"/>
  <c r="S5" i="22"/>
  <c r="O5" i="22"/>
  <c r="O7" i="22"/>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6" i="22"/>
  <c r="AC43" i="18" l="1"/>
  <c r="BF42" i="30"/>
  <c r="BE42" i="30"/>
  <c r="BD42" i="30"/>
  <c r="BC42" i="30"/>
  <c r="BB42" i="30"/>
  <c r="BA42" i="30"/>
  <c r="AZ42" i="30"/>
  <c r="AY42" i="30"/>
  <c r="AX42" i="30"/>
  <c r="AW42" i="30"/>
  <c r="AV42" i="30"/>
  <c r="AU42" i="30"/>
  <c r="AT42" i="30"/>
  <c r="AS42" i="30"/>
  <c r="AR42" i="30"/>
  <c r="AQ42" i="30"/>
  <c r="AP42" i="30"/>
  <c r="BF41" i="30"/>
  <c r="BE41" i="30"/>
  <c r="BD41" i="30"/>
  <c r="BC41" i="30"/>
  <c r="BB41" i="30"/>
  <c r="BA41" i="30"/>
  <c r="AZ41" i="30"/>
  <c r="AY41" i="30"/>
  <c r="AX41" i="30"/>
  <c r="AW41" i="30"/>
  <c r="AV41" i="30"/>
  <c r="AU41" i="30"/>
  <c r="AT41" i="30"/>
  <c r="AS41" i="30"/>
  <c r="AR41" i="30"/>
  <c r="AQ41" i="30"/>
  <c r="AP41" i="30"/>
  <c r="BF40" i="30"/>
  <c r="BE40" i="30"/>
  <c r="BD40" i="30"/>
  <c r="BC40" i="30"/>
  <c r="BB40" i="30"/>
  <c r="BA40" i="30"/>
  <c r="AZ40" i="30"/>
  <c r="AY40" i="30"/>
  <c r="AX40" i="30"/>
  <c r="AW40" i="30"/>
  <c r="AV40" i="30"/>
  <c r="AU40" i="30"/>
  <c r="AT40" i="30"/>
  <c r="AS40" i="30"/>
  <c r="AR40" i="30"/>
  <c r="AQ40" i="30"/>
  <c r="AP40" i="30"/>
  <c r="BF39" i="30"/>
  <c r="BE39" i="30"/>
  <c r="BD39" i="30"/>
  <c r="BC39" i="30"/>
  <c r="BB39" i="30"/>
  <c r="BA39" i="30"/>
  <c r="AZ39" i="30"/>
  <c r="AY39" i="30"/>
  <c r="AX39" i="30"/>
  <c r="AW39" i="30"/>
  <c r="AV39" i="30"/>
  <c r="AU39" i="30"/>
  <c r="AT39" i="30"/>
  <c r="AS39" i="30"/>
  <c r="AR39" i="30"/>
  <c r="AQ39" i="30"/>
  <c r="AP39" i="30"/>
  <c r="BF38" i="30"/>
  <c r="BE38" i="30"/>
  <c r="BD38" i="30"/>
  <c r="BC38" i="30"/>
  <c r="BB38" i="30"/>
  <c r="BA38" i="30"/>
  <c r="AZ38" i="30"/>
  <c r="AY38" i="30"/>
  <c r="AX38" i="30"/>
  <c r="AW38" i="30"/>
  <c r="AV38" i="30"/>
  <c r="AU38" i="30"/>
  <c r="AT38" i="30"/>
  <c r="AS38" i="30"/>
  <c r="AR38" i="30"/>
  <c r="AQ38" i="30"/>
  <c r="AP38" i="30"/>
  <c r="BF37" i="30"/>
  <c r="BE37" i="30"/>
  <c r="BD37" i="30"/>
  <c r="BC37" i="30"/>
  <c r="BB37" i="30"/>
  <c r="BA37" i="30"/>
  <c r="AZ37" i="30"/>
  <c r="AY37" i="30"/>
  <c r="AX37" i="30"/>
  <c r="AW37" i="30"/>
  <c r="AV37" i="30"/>
  <c r="AU37" i="30"/>
  <c r="AT37" i="30"/>
  <c r="AS37" i="30"/>
  <c r="AR37" i="30"/>
  <c r="AQ37" i="30"/>
  <c r="AP37" i="30"/>
  <c r="BF36" i="30"/>
  <c r="BE36" i="30"/>
  <c r="BD36" i="30"/>
  <c r="BC36" i="30"/>
  <c r="BB36" i="30"/>
  <c r="BA36" i="30"/>
  <c r="AZ36" i="30"/>
  <c r="AY36" i="30"/>
  <c r="AX36" i="30"/>
  <c r="AW36" i="30"/>
  <c r="AV36" i="30"/>
  <c r="AU36" i="30"/>
  <c r="AT36" i="30"/>
  <c r="AS36" i="30"/>
  <c r="AR36" i="30"/>
  <c r="AQ36" i="30"/>
  <c r="AP36" i="30"/>
  <c r="BF35" i="30"/>
  <c r="BE35" i="30"/>
  <c r="BD35" i="30"/>
  <c r="BC35" i="30"/>
  <c r="BB35" i="30"/>
  <c r="BA35" i="30"/>
  <c r="AZ35" i="30"/>
  <c r="AY35" i="30"/>
  <c r="AX35" i="30"/>
  <c r="AW35" i="30"/>
  <c r="AV35" i="30"/>
  <c r="AU35" i="30"/>
  <c r="AT35" i="30"/>
  <c r="AS35" i="30"/>
  <c r="AR35" i="30"/>
  <c r="AQ35" i="30"/>
  <c r="AP35" i="30"/>
  <c r="BF34" i="30"/>
  <c r="BE34" i="30"/>
  <c r="BD34" i="30"/>
  <c r="BC34" i="30"/>
  <c r="BB34" i="30"/>
  <c r="BA34" i="30"/>
  <c r="AZ34" i="30"/>
  <c r="AY34" i="30"/>
  <c r="AX34" i="30"/>
  <c r="AW34" i="30"/>
  <c r="AV34" i="30"/>
  <c r="AU34" i="30"/>
  <c r="AT34" i="30"/>
  <c r="AS34" i="30"/>
  <c r="AR34" i="30"/>
  <c r="AQ34" i="30"/>
  <c r="AP34" i="30"/>
  <c r="BF33" i="30"/>
  <c r="BE33" i="30"/>
  <c r="BD33" i="30"/>
  <c r="BC33" i="30"/>
  <c r="BB33" i="30"/>
  <c r="BA33" i="30"/>
  <c r="AZ33" i="30"/>
  <c r="AY33" i="30"/>
  <c r="AX33" i="30"/>
  <c r="AW33" i="30"/>
  <c r="AV33" i="30"/>
  <c r="AU33" i="30"/>
  <c r="AT33" i="30"/>
  <c r="AS33" i="30"/>
  <c r="AR33" i="30"/>
  <c r="AQ33" i="30"/>
  <c r="AP33" i="30"/>
  <c r="BF32" i="30"/>
  <c r="BE32" i="30"/>
  <c r="BD32" i="30"/>
  <c r="BC32" i="30"/>
  <c r="BB32" i="30"/>
  <c r="BA32" i="30"/>
  <c r="AZ32" i="30"/>
  <c r="AY32" i="30"/>
  <c r="AX32" i="30"/>
  <c r="AW32" i="30"/>
  <c r="AV32" i="30"/>
  <c r="AU32" i="30"/>
  <c r="AT32" i="30"/>
  <c r="AS32" i="30"/>
  <c r="AR32" i="30"/>
  <c r="AQ32" i="30"/>
  <c r="AP32" i="30"/>
  <c r="BF31" i="30"/>
  <c r="BE31" i="30"/>
  <c r="BD31" i="30"/>
  <c r="BC31" i="30"/>
  <c r="BB31" i="30"/>
  <c r="BA31" i="30"/>
  <c r="AZ31" i="30"/>
  <c r="AY31" i="30"/>
  <c r="AX31" i="30"/>
  <c r="AW31" i="30"/>
  <c r="AV31" i="30"/>
  <c r="AU31" i="30"/>
  <c r="AT31" i="30"/>
  <c r="AS31" i="30"/>
  <c r="AR31" i="30"/>
  <c r="AQ31" i="30"/>
  <c r="AP31" i="30"/>
  <c r="BF30" i="30"/>
  <c r="BE30" i="30"/>
  <c r="BD30" i="30"/>
  <c r="BC30" i="30"/>
  <c r="BB30" i="30"/>
  <c r="BA30" i="30"/>
  <c r="AZ30" i="30"/>
  <c r="AY30" i="30"/>
  <c r="AX30" i="30"/>
  <c r="AW30" i="30"/>
  <c r="AV30" i="30"/>
  <c r="AU30" i="30"/>
  <c r="AT30" i="30"/>
  <c r="AS30" i="30"/>
  <c r="AR30" i="30"/>
  <c r="AQ30" i="30"/>
  <c r="AP30" i="30"/>
  <c r="BF29" i="30"/>
  <c r="BE29" i="30"/>
  <c r="BD29" i="30"/>
  <c r="BC29" i="30"/>
  <c r="BB29" i="30"/>
  <c r="BA29" i="30"/>
  <c r="AZ29" i="30"/>
  <c r="AY29" i="30"/>
  <c r="AX29" i="30"/>
  <c r="AW29" i="30"/>
  <c r="AV29" i="30"/>
  <c r="AU29" i="30"/>
  <c r="AT29" i="30"/>
  <c r="AS29" i="30"/>
  <c r="AR29" i="30"/>
  <c r="AQ29" i="30"/>
  <c r="AP29" i="30"/>
  <c r="BF28" i="30"/>
  <c r="BE28" i="30"/>
  <c r="BD28" i="30"/>
  <c r="BC28" i="30"/>
  <c r="BB28" i="30"/>
  <c r="BA28" i="30"/>
  <c r="AZ28" i="30"/>
  <c r="AY28" i="30"/>
  <c r="AX28" i="30"/>
  <c r="AW28" i="30"/>
  <c r="AV28" i="30"/>
  <c r="AU28" i="30"/>
  <c r="AT28" i="30"/>
  <c r="AS28" i="30"/>
  <c r="AR28" i="30"/>
  <c r="AQ28" i="30"/>
  <c r="AP28" i="30"/>
  <c r="BF27" i="30"/>
  <c r="BE27" i="30"/>
  <c r="BD27" i="30"/>
  <c r="BC27" i="30"/>
  <c r="BB27" i="30"/>
  <c r="BA27" i="30"/>
  <c r="AZ27" i="30"/>
  <c r="AY27" i="30"/>
  <c r="AX27" i="30"/>
  <c r="AW27" i="30"/>
  <c r="AV27" i="30"/>
  <c r="AU27" i="30"/>
  <c r="AT27" i="30"/>
  <c r="AS27" i="30"/>
  <c r="AR27" i="30"/>
  <c r="AQ27" i="30"/>
  <c r="AP27" i="30"/>
  <c r="BF26" i="30"/>
  <c r="BE26" i="30"/>
  <c r="BD26" i="30"/>
  <c r="BC26" i="30"/>
  <c r="BB26" i="30"/>
  <c r="BA26" i="30"/>
  <c r="AZ26" i="30"/>
  <c r="AY26" i="30"/>
  <c r="AX26" i="30"/>
  <c r="AW26" i="30"/>
  <c r="AV26" i="30"/>
  <c r="AU26" i="30"/>
  <c r="AT26" i="30"/>
  <c r="AS26" i="30"/>
  <c r="AR26" i="30"/>
  <c r="AQ26" i="30"/>
  <c r="AP26" i="30"/>
  <c r="BF25" i="30"/>
  <c r="BE25" i="30"/>
  <c r="BD25" i="30"/>
  <c r="BC25" i="30"/>
  <c r="BB25" i="30"/>
  <c r="BA25" i="30"/>
  <c r="AZ25" i="30"/>
  <c r="AY25" i="30"/>
  <c r="AX25" i="30"/>
  <c r="AW25" i="30"/>
  <c r="AV25" i="30"/>
  <c r="AU25" i="30"/>
  <c r="AT25" i="30"/>
  <c r="AS25" i="30"/>
  <c r="AR25" i="30"/>
  <c r="AQ25" i="30"/>
  <c r="AP25" i="30"/>
  <c r="BF24" i="30"/>
  <c r="BE24" i="30"/>
  <c r="BD24" i="30"/>
  <c r="BC24" i="30"/>
  <c r="BB24" i="30"/>
  <c r="BA24" i="30"/>
  <c r="AZ24" i="30"/>
  <c r="AY24" i="30"/>
  <c r="AX24" i="30"/>
  <c r="AW24" i="30"/>
  <c r="AV24" i="30"/>
  <c r="AU24" i="30"/>
  <c r="AT24" i="30"/>
  <c r="AS24" i="30"/>
  <c r="AR24" i="30"/>
  <c r="AQ24" i="30"/>
  <c r="AP24" i="30"/>
  <c r="BF23" i="30"/>
  <c r="BE23" i="30"/>
  <c r="BD23" i="30"/>
  <c r="BC23" i="30"/>
  <c r="BB23" i="30"/>
  <c r="BA23" i="30"/>
  <c r="AZ23" i="30"/>
  <c r="AY23" i="30"/>
  <c r="AX23" i="30"/>
  <c r="AW23" i="30"/>
  <c r="AV23" i="30"/>
  <c r="AU23" i="30"/>
  <c r="AT23" i="30"/>
  <c r="AS23" i="30"/>
  <c r="AR23" i="30"/>
  <c r="AQ23" i="30"/>
  <c r="AP23" i="30"/>
  <c r="BF22" i="30"/>
  <c r="BE22" i="30"/>
  <c r="BD22" i="30"/>
  <c r="BC22" i="30"/>
  <c r="BB22" i="30"/>
  <c r="BA22" i="30"/>
  <c r="AZ22" i="30"/>
  <c r="AY22" i="30"/>
  <c r="AX22" i="30"/>
  <c r="AW22" i="30"/>
  <c r="AV22" i="30"/>
  <c r="AU22" i="30"/>
  <c r="AT22" i="30"/>
  <c r="AS22" i="30"/>
  <c r="AR22" i="30"/>
  <c r="AQ22" i="30"/>
  <c r="AP22" i="30"/>
  <c r="BF21" i="30"/>
  <c r="BE21" i="30"/>
  <c r="BD21" i="30"/>
  <c r="BC21" i="30"/>
  <c r="BB21" i="30"/>
  <c r="BA21" i="30"/>
  <c r="AZ21" i="30"/>
  <c r="AY21" i="30"/>
  <c r="AX21" i="30"/>
  <c r="AW21" i="30"/>
  <c r="AV21" i="30"/>
  <c r="AU21" i="30"/>
  <c r="AT21" i="30"/>
  <c r="AS21" i="30"/>
  <c r="AR21" i="30"/>
  <c r="AQ21" i="30"/>
  <c r="AP21" i="30"/>
  <c r="BF20" i="30"/>
  <c r="BE20" i="30"/>
  <c r="BD20" i="30"/>
  <c r="BC20" i="30"/>
  <c r="BB20" i="30"/>
  <c r="BA20" i="30"/>
  <c r="AZ20" i="30"/>
  <c r="AY20" i="30"/>
  <c r="AX20" i="30"/>
  <c r="AW20" i="30"/>
  <c r="AV20" i="30"/>
  <c r="AU20" i="30"/>
  <c r="AT20" i="30"/>
  <c r="AS20" i="30"/>
  <c r="AR20" i="30"/>
  <c r="AQ20" i="30"/>
  <c r="AP20" i="30"/>
  <c r="BF19" i="30"/>
  <c r="BE19" i="30"/>
  <c r="BD19" i="30"/>
  <c r="BC19" i="30"/>
  <c r="BB19" i="30"/>
  <c r="BA19" i="30"/>
  <c r="AZ19" i="30"/>
  <c r="AY19" i="30"/>
  <c r="AX19" i="30"/>
  <c r="AW19" i="30"/>
  <c r="AV19" i="30"/>
  <c r="AU19" i="30"/>
  <c r="AT19" i="30"/>
  <c r="AS19" i="30"/>
  <c r="AR19" i="30"/>
  <c r="AQ19" i="30"/>
  <c r="AP19" i="30"/>
  <c r="BF18" i="30"/>
  <c r="BE18" i="30"/>
  <c r="BD18" i="30"/>
  <c r="BC18" i="30"/>
  <c r="BB18" i="30"/>
  <c r="BA18" i="30"/>
  <c r="AZ18" i="30"/>
  <c r="AY18" i="30"/>
  <c r="AX18" i="30"/>
  <c r="AW18" i="30"/>
  <c r="AV18" i="30"/>
  <c r="AU18" i="30"/>
  <c r="AT18" i="30"/>
  <c r="AS18" i="30"/>
  <c r="AR18" i="30"/>
  <c r="AQ18" i="30"/>
  <c r="AP18" i="30"/>
  <c r="BF17" i="30"/>
  <c r="BE17" i="30"/>
  <c r="BD17" i="30"/>
  <c r="BC17" i="30"/>
  <c r="BB17" i="30"/>
  <c r="BA17" i="30"/>
  <c r="AZ17" i="30"/>
  <c r="AY17" i="30"/>
  <c r="AX17" i="30"/>
  <c r="AW17" i="30"/>
  <c r="AV17" i="30"/>
  <c r="AU17" i="30"/>
  <c r="AT17" i="30"/>
  <c r="AS17" i="30"/>
  <c r="AR17" i="30"/>
  <c r="AQ17" i="30"/>
  <c r="AP17" i="30"/>
  <c r="BF16" i="30"/>
  <c r="BE16" i="30"/>
  <c r="BD16" i="30"/>
  <c r="BC16" i="30"/>
  <c r="BB16" i="30"/>
  <c r="BA16" i="30"/>
  <c r="AZ16" i="30"/>
  <c r="AY16" i="30"/>
  <c r="AX16" i="30"/>
  <c r="AW16" i="30"/>
  <c r="AV16" i="30"/>
  <c r="AU16" i="30"/>
  <c r="AT16" i="30"/>
  <c r="AS16" i="30"/>
  <c r="AR16" i="30"/>
  <c r="AQ16" i="30"/>
  <c r="AP16" i="30"/>
  <c r="BF15" i="30"/>
  <c r="BE15" i="30"/>
  <c r="BD15" i="30"/>
  <c r="BC15" i="30"/>
  <c r="BB15" i="30"/>
  <c r="BA15" i="30"/>
  <c r="AZ15" i="30"/>
  <c r="AY15" i="30"/>
  <c r="AX15" i="30"/>
  <c r="AW15" i="30"/>
  <c r="AV15" i="30"/>
  <c r="AU15" i="30"/>
  <c r="AT15" i="30"/>
  <c r="AS15" i="30"/>
  <c r="AR15" i="30"/>
  <c r="AQ15" i="30"/>
  <c r="AP15" i="30"/>
  <c r="BF14" i="30"/>
  <c r="BE14" i="30"/>
  <c r="BD14" i="30"/>
  <c r="BC14" i="30"/>
  <c r="BB14" i="30"/>
  <c r="BA14" i="30"/>
  <c r="AZ14" i="30"/>
  <c r="AY14" i="30"/>
  <c r="AX14" i="30"/>
  <c r="AW14" i="30"/>
  <c r="AV14" i="30"/>
  <c r="AU14" i="30"/>
  <c r="AT14" i="30"/>
  <c r="AS14" i="30"/>
  <c r="AR14" i="30"/>
  <c r="AQ14" i="30"/>
  <c r="AP14" i="30"/>
  <c r="BF13" i="30"/>
  <c r="BE13" i="30"/>
  <c r="BD13" i="30"/>
  <c r="BC13" i="30"/>
  <c r="BB13" i="30"/>
  <c r="BA13" i="30"/>
  <c r="AZ13" i="30"/>
  <c r="AY13" i="30"/>
  <c r="AX13" i="30"/>
  <c r="AW13" i="30"/>
  <c r="AV13" i="30"/>
  <c r="AU13" i="30"/>
  <c r="AT13" i="30"/>
  <c r="AS13" i="30"/>
  <c r="AR13" i="30"/>
  <c r="AQ13" i="30"/>
  <c r="AP13" i="30"/>
  <c r="BF12" i="30"/>
  <c r="BE12" i="30"/>
  <c r="BD12" i="30"/>
  <c r="BC12" i="30"/>
  <c r="BB12" i="30"/>
  <c r="BA12" i="30"/>
  <c r="AZ12" i="30"/>
  <c r="AY12" i="30"/>
  <c r="AX12" i="30"/>
  <c r="AW12" i="30"/>
  <c r="AV12" i="30"/>
  <c r="AU12" i="30"/>
  <c r="AT12" i="30"/>
  <c r="AS12" i="30"/>
  <c r="AR12" i="30"/>
  <c r="AQ12" i="30"/>
  <c r="AP12" i="30"/>
  <c r="BF11" i="30"/>
  <c r="BE11" i="30"/>
  <c r="BD11" i="30"/>
  <c r="BC11" i="30"/>
  <c r="BB11" i="30"/>
  <c r="BA11" i="30"/>
  <c r="AZ11" i="30"/>
  <c r="AY11" i="30"/>
  <c r="AX11" i="30"/>
  <c r="AW11" i="30"/>
  <c r="AV11" i="30"/>
  <c r="AU11" i="30"/>
  <c r="AT11" i="30"/>
  <c r="AS11" i="30"/>
  <c r="AR11" i="30"/>
  <c r="AQ11" i="30"/>
  <c r="AP11" i="30"/>
  <c r="BF10" i="30"/>
  <c r="BE10" i="30"/>
  <c r="BD10" i="30"/>
  <c r="BC10" i="30"/>
  <c r="BB10" i="30"/>
  <c r="BA10" i="30"/>
  <c r="AZ10" i="30"/>
  <c r="AY10" i="30"/>
  <c r="AX10" i="30"/>
  <c r="AW10" i="30"/>
  <c r="AV10" i="30"/>
  <c r="AU10" i="30"/>
  <c r="AT10" i="30"/>
  <c r="AS10" i="30"/>
  <c r="AR10" i="30"/>
  <c r="AQ10" i="30"/>
  <c r="AP10" i="30"/>
  <c r="BF9" i="30"/>
  <c r="BE9" i="30"/>
  <c r="BD9" i="30"/>
  <c r="BC9" i="30"/>
  <c r="BB9" i="30"/>
  <c r="BA9" i="30"/>
  <c r="AZ9" i="30"/>
  <c r="AY9" i="30"/>
  <c r="AX9" i="30"/>
  <c r="AW9" i="30"/>
  <c r="AV9" i="30"/>
  <c r="AU9" i="30"/>
  <c r="AT9" i="30"/>
  <c r="AS9" i="30"/>
  <c r="AR9" i="30"/>
  <c r="AQ9" i="30"/>
  <c r="AA17" i="18"/>
  <c r="AB17" i="18" s="1"/>
  <c r="T13" i="18"/>
  <c r="BC9" i="12"/>
  <c r="BD9" i="12"/>
  <c r="BD59" i="12" s="1"/>
  <c r="AD30" i="18" s="1"/>
  <c r="P30" i="18" s="1"/>
  <c r="BE9" i="12"/>
  <c r="BF9" i="12"/>
  <c r="BF59" i="12" s="1"/>
  <c r="AD32" i="18" s="1"/>
  <c r="P32" i="18" s="1"/>
  <c r="BG9" i="12"/>
  <c r="BB9" i="12"/>
  <c r="BB59" i="12" s="1"/>
  <c r="AD29" i="18" s="1"/>
  <c r="P29" i="18" s="1"/>
  <c r="AR9" i="12"/>
  <c r="AS9" i="12"/>
  <c r="AS59" i="12" s="1"/>
  <c r="AD19" i="18" s="1"/>
  <c r="P19" i="18" s="1"/>
  <c r="AT9" i="12"/>
  <c r="AU9" i="12"/>
  <c r="AU59" i="12" s="1"/>
  <c r="AD21" i="18" s="1"/>
  <c r="P21" i="18" s="1"/>
  <c r="AV9" i="12"/>
  <c r="AW9" i="12"/>
  <c r="AX9" i="12"/>
  <c r="AY9" i="12"/>
  <c r="AZ9" i="12"/>
  <c r="BA9" i="12"/>
  <c r="AQ9" i="12"/>
  <c r="AQ59" i="12" s="1"/>
  <c r="AD17" i="18" l="1"/>
  <c r="P17" i="18" s="1"/>
  <c r="AZ59" i="12"/>
  <c r="AD26" i="18" s="1"/>
  <c r="P26" i="18" s="1"/>
  <c r="AX59" i="12"/>
  <c r="AD24" i="18" s="1"/>
  <c r="P24" i="18" s="1"/>
  <c r="AT59" i="12"/>
  <c r="AD20" i="18" s="1"/>
  <c r="P20" i="18" s="1"/>
  <c r="AR59" i="12"/>
  <c r="AD18" i="18" s="1"/>
  <c r="P18" i="18" s="1"/>
  <c r="BG59" i="12"/>
  <c r="AD33" i="18" s="1"/>
  <c r="P33" i="18" s="1"/>
  <c r="BE59" i="12"/>
  <c r="AD31" i="18" s="1"/>
  <c r="P31" i="18" s="1"/>
  <c r="BC59" i="12"/>
  <c r="BA59" i="12"/>
  <c r="AD27" i="18" s="1"/>
  <c r="P27" i="18" s="1"/>
  <c r="AY59" i="12"/>
  <c r="AD25" i="18" s="1"/>
  <c r="P25" i="18" s="1"/>
  <c r="AW59" i="12"/>
  <c r="AD23" i="18" s="1"/>
  <c r="P23" i="18" s="1"/>
  <c r="AP49" i="30"/>
  <c r="AD17" i="29" s="1"/>
  <c r="P17" i="29" s="1"/>
  <c r="AR49" i="30"/>
  <c r="AD19" i="29" s="1"/>
  <c r="P19" i="29" s="1"/>
  <c r="AT49" i="30"/>
  <c r="AD21" i="29" s="1"/>
  <c r="P21" i="29" s="1"/>
  <c r="AV49" i="30"/>
  <c r="AD23" i="29" s="1"/>
  <c r="P23" i="29" s="1"/>
  <c r="AX49" i="30"/>
  <c r="AD25" i="29" s="1"/>
  <c r="P25" i="29" s="1"/>
  <c r="AZ49" i="30"/>
  <c r="AD27" i="29" s="1"/>
  <c r="P27" i="29" s="1"/>
  <c r="BB49" i="30"/>
  <c r="AD30" i="29" s="1"/>
  <c r="P30" i="29" s="1"/>
  <c r="BD49" i="30"/>
  <c r="AD32" i="29" s="1"/>
  <c r="P32" i="29" s="1"/>
  <c r="BF49" i="30"/>
  <c r="AD34" i="29" s="1"/>
  <c r="P34" i="29" s="1"/>
  <c r="AQ49" i="30"/>
  <c r="AD18" i="29" s="1"/>
  <c r="P18" i="29" s="1"/>
  <c r="AS49" i="30"/>
  <c r="AD20" i="29" s="1"/>
  <c r="P20" i="29" s="1"/>
  <c r="AU49" i="30"/>
  <c r="AW49" i="30"/>
  <c r="AD24" i="29" s="1"/>
  <c r="P24" i="29" s="1"/>
  <c r="AY49" i="30"/>
  <c r="AD26" i="29" s="1"/>
  <c r="P26" i="29" s="1"/>
  <c r="BA49" i="30"/>
  <c r="AD29" i="29" s="1"/>
  <c r="P29" i="29" s="1"/>
  <c r="BC49" i="30"/>
  <c r="AD31" i="29" s="1"/>
  <c r="P31" i="29" s="1"/>
  <c r="BE49" i="30"/>
  <c r="AD33" i="29" s="1"/>
  <c r="P33" i="29" s="1"/>
  <c r="AV59" i="12"/>
  <c r="AD22" i="18" s="1"/>
  <c r="P22" i="18" s="1"/>
  <c r="M26" i="4"/>
  <c r="S151" i="29" s="1"/>
  <c r="M25" i="4"/>
  <c r="S148" i="18" s="1"/>
  <c r="AD22" i="29" l="1"/>
  <c r="P22" i="29" s="1"/>
  <c r="AA123" i="29"/>
  <c r="AB123" i="29" s="1"/>
  <c r="Q123" i="29" s="1"/>
  <c r="T123" i="29" s="1"/>
  <c r="AA122" i="29"/>
  <c r="AB122" i="29" s="1"/>
  <c r="Q122" i="29" s="1"/>
  <c r="T122" i="29" s="1"/>
  <c r="AA120" i="29"/>
  <c r="AB120" i="29" s="1"/>
  <c r="Q120" i="29" s="1"/>
  <c r="T120" i="29" s="1"/>
  <c r="AA118" i="29"/>
  <c r="AB118" i="29" s="1"/>
  <c r="Q118" i="29" s="1"/>
  <c r="T118" i="29" s="1"/>
  <c r="AA117" i="29"/>
  <c r="AB117" i="29" s="1"/>
  <c r="Q117" i="29" s="1"/>
  <c r="T117" i="29" s="1"/>
  <c r="AA94" i="29"/>
  <c r="AB94" i="29" s="1"/>
  <c r="Q94" i="29" s="1"/>
  <c r="T94" i="29" s="1"/>
  <c r="AA93" i="29"/>
  <c r="AB93" i="29" s="1"/>
  <c r="Q93" i="29" s="1"/>
  <c r="T93" i="29" s="1"/>
  <c r="AA91" i="29"/>
  <c r="AA89" i="29"/>
  <c r="AB89" i="29" s="1"/>
  <c r="Q89" i="29" s="1"/>
  <c r="T89" i="29" s="1"/>
  <c r="AA88" i="29"/>
  <c r="AB88" i="29" s="1"/>
  <c r="Q88" i="29" s="1"/>
  <c r="T88" i="29" s="1"/>
  <c r="AA34" i="29"/>
  <c r="AB34" i="29" s="1"/>
  <c r="O34" i="29" s="1"/>
  <c r="AA33" i="29"/>
  <c r="AB33" i="29" s="1"/>
  <c r="O33" i="29" s="1"/>
  <c r="AA32" i="29"/>
  <c r="AB32" i="29" s="1"/>
  <c r="O32" i="29" s="1"/>
  <c r="AA31" i="29"/>
  <c r="AB31" i="29" s="1"/>
  <c r="O31" i="29" s="1"/>
  <c r="AA30" i="29"/>
  <c r="AB30" i="29" s="1"/>
  <c r="O30" i="29" s="1"/>
  <c r="AA29" i="29"/>
  <c r="AB29" i="29" s="1"/>
  <c r="O29" i="29" s="1"/>
  <c r="AA27" i="29"/>
  <c r="AB27" i="29" s="1"/>
  <c r="O27" i="29" s="1"/>
  <c r="AA26" i="29"/>
  <c r="AA25" i="29"/>
  <c r="AB25" i="29" s="1"/>
  <c r="O25" i="29" s="1"/>
  <c r="AA24" i="29"/>
  <c r="AB24" i="29" s="1"/>
  <c r="O24" i="29" s="1"/>
  <c r="AA23" i="29"/>
  <c r="AB23" i="29" s="1"/>
  <c r="O23" i="29" s="1"/>
  <c r="AA22" i="29"/>
  <c r="AB22" i="29" s="1"/>
  <c r="O22" i="29" s="1"/>
  <c r="AA21" i="29"/>
  <c r="AB21" i="29" s="1"/>
  <c r="O21" i="29" s="1"/>
  <c r="AA20" i="29"/>
  <c r="AB20" i="29" s="1"/>
  <c r="O20" i="29" s="1"/>
  <c r="AA19" i="29"/>
  <c r="AB19" i="29" s="1"/>
  <c r="O19" i="29" s="1"/>
  <c r="AA18" i="29"/>
  <c r="AB18" i="29" s="1"/>
  <c r="O18" i="29" s="1"/>
  <c r="AA17" i="29"/>
  <c r="AB17" i="29" s="1"/>
  <c r="O17" i="29" s="1"/>
  <c r="AB91" i="29"/>
  <c r="Q91" i="29" s="1"/>
  <c r="T91" i="29" s="1"/>
  <c r="AB26" i="29" l="1"/>
  <c r="O26" i="29" s="1"/>
  <c r="AA39" i="18"/>
  <c r="AB39" i="18" s="1"/>
  <c r="F39" i="18" s="1"/>
  <c r="AA41" i="18"/>
  <c r="AB41" i="18" s="1"/>
  <c r="F41" i="18" s="1"/>
  <c r="AA40" i="18"/>
  <c r="AB40" i="18" s="1"/>
  <c r="F40" i="18" s="1"/>
  <c r="N35" i="29" l="1"/>
  <c r="N36" i="29"/>
  <c r="AA120" i="18"/>
  <c r="AA119" i="18"/>
  <c r="AA117" i="18"/>
  <c r="AA115" i="18"/>
  <c r="AA114" i="18"/>
  <c r="AA91" i="18"/>
  <c r="AA90" i="18"/>
  <c r="AA88" i="18"/>
  <c r="AA86" i="18"/>
  <c r="AA85" i="18"/>
  <c r="AA33" i="18"/>
  <c r="AB33" i="18" s="1"/>
  <c r="AA32" i="18"/>
  <c r="AB32" i="18" s="1"/>
  <c r="AA31" i="18"/>
  <c r="AB31" i="18" s="1"/>
  <c r="AA30" i="18"/>
  <c r="AA29" i="18"/>
  <c r="AB29" i="18" s="1"/>
  <c r="AA27" i="18"/>
  <c r="AA26" i="18"/>
  <c r="AA25" i="18"/>
  <c r="AA24" i="18"/>
  <c r="AA23" i="18"/>
  <c r="AA22" i="18"/>
  <c r="AA21" i="18"/>
  <c r="AA20" i="18"/>
  <c r="AA19" i="18"/>
  <c r="AA18" i="18"/>
  <c r="I59" i="12"/>
  <c r="J59" i="12"/>
  <c r="K59" i="12"/>
  <c r="L59" i="12"/>
  <c r="M59" i="12"/>
  <c r="N59" i="12"/>
  <c r="O59" i="12"/>
  <c r="P59" i="12"/>
  <c r="Q59" i="12"/>
  <c r="R59" i="12"/>
  <c r="S59" i="12"/>
  <c r="T59" i="12"/>
  <c r="U59" i="12"/>
  <c r="V59" i="12"/>
  <c r="W59" i="12"/>
  <c r="X59" i="12"/>
  <c r="S56" i="29"/>
  <c r="N56" i="29"/>
  <c r="AB18" i="18" l="1"/>
  <c r="O18" i="18" s="1"/>
  <c r="R18" i="18" s="1"/>
  <c r="AB20" i="18"/>
  <c r="O20" i="18" s="1"/>
  <c r="R20" i="18" s="1"/>
  <c r="AB22" i="18"/>
  <c r="O22" i="18" s="1"/>
  <c r="R22" i="18" s="1"/>
  <c r="AB24" i="18"/>
  <c r="O24" i="18" s="1"/>
  <c r="R24" i="18" s="1"/>
  <c r="AB26" i="18"/>
  <c r="O26" i="18" s="1"/>
  <c r="R26" i="18" s="1"/>
  <c r="O29" i="18"/>
  <c r="R29" i="18" s="1"/>
  <c r="AB30" i="18"/>
  <c r="O30" i="18" s="1"/>
  <c r="R30" i="18" s="1"/>
  <c r="O32" i="18"/>
  <c r="R32" i="18" s="1"/>
  <c r="AB19" i="18"/>
  <c r="O19" i="18" s="1"/>
  <c r="R19" i="18" s="1"/>
  <c r="AB21" i="18"/>
  <c r="O21" i="18" s="1"/>
  <c r="R21" i="18" s="1"/>
  <c r="AB23" i="18"/>
  <c r="O23" i="18" s="1"/>
  <c r="R23" i="18" s="1"/>
  <c r="AB25" i="18"/>
  <c r="O25" i="18" s="1"/>
  <c r="R25" i="18" s="1"/>
  <c r="AB27" i="18"/>
  <c r="O27" i="18" s="1"/>
  <c r="R27" i="18" s="1"/>
  <c r="O31" i="18"/>
  <c r="R31" i="18" s="1"/>
  <c r="O33" i="18"/>
  <c r="R33" i="18" s="1"/>
  <c r="AB115" i="18"/>
  <c r="Q115" i="18" s="1"/>
  <c r="T115" i="18" s="1"/>
  <c r="AB119" i="18"/>
  <c r="Q119" i="18" s="1"/>
  <c r="T119" i="18" s="1"/>
  <c r="AB114" i="18"/>
  <c r="Q114" i="18" s="1"/>
  <c r="T114" i="18" s="1"/>
  <c r="AB117" i="18"/>
  <c r="Q117" i="18" s="1"/>
  <c r="T117" i="18" s="1"/>
  <c r="AB120" i="18"/>
  <c r="Q120" i="18" s="1"/>
  <c r="T120" i="18" s="1"/>
  <c r="AB86" i="18"/>
  <c r="Q86" i="18" s="1"/>
  <c r="T86" i="18" s="1"/>
  <c r="AB90" i="18"/>
  <c r="Q90" i="18" s="1"/>
  <c r="T90" i="18" s="1"/>
  <c r="AB85" i="18"/>
  <c r="Q85" i="18" s="1"/>
  <c r="T85" i="18" s="1"/>
  <c r="AB88" i="18"/>
  <c r="Q88" i="18" s="1"/>
  <c r="T88" i="18" s="1"/>
  <c r="AB91" i="18"/>
  <c r="Q91" i="18" s="1"/>
  <c r="T91" i="18" s="1"/>
  <c r="O17" i="18"/>
  <c r="R34" i="29"/>
  <c r="T27" i="29"/>
  <c r="N27" i="29"/>
  <c r="S27" i="29" s="1"/>
  <c r="H27" i="29"/>
  <c r="W59" i="29"/>
  <c r="N35" i="18" l="1"/>
  <c r="Q35" i="18" s="1"/>
  <c r="N34" i="18"/>
  <c r="Q34" i="18" s="1"/>
  <c r="R17" i="18"/>
  <c r="R49" i="30"/>
  <c r="Q27" i="29" s="1"/>
  <c r="S49" i="30"/>
  <c r="Q29" i="29" s="1"/>
  <c r="T49" i="30"/>
  <c r="U49" i="30"/>
  <c r="V49" i="30"/>
  <c r="W49" i="30"/>
  <c r="X49" i="30"/>
  <c r="R4" i="30"/>
  <c r="P4" i="30"/>
  <c r="O4" i="30"/>
  <c r="N4" i="30"/>
  <c r="M4" i="30"/>
  <c r="Q4" i="30"/>
  <c r="R2" i="30"/>
  <c r="AZ1" i="30" s="1"/>
  <c r="T27" i="18" l="1"/>
  <c r="N27" i="18"/>
  <c r="S27" i="18" s="1"/>
  <c r="H27" i="18"/>
  <c r="Q27" i="18"/>
  <c r="R4" i="12"/>
  <c r="Q4" i="12"/>
  <c r="P4" i="12"/>
  <c r="O4" i="12"/>
  <c r="N4" i="12"/>
  <c r="M4" i="12"/>
  <c r="R2" i="12"/>
  <c r="BA1" i="12" s="1"/>
  <c r="R18" i="29" l="1"/>
  <c r="J12" i="29"/>
  <c r="Q49" i="30"/>
  <c r="P49" i="30"/>
  <c r="Q25" i="29" s="1"/>
  <c r="O49" i="30"/>
  <c r="Q24" i="29" s="1"/>
  <c r="N49" i="30"/>
  <c r="Q23" i="29" s="1"/>
  <c r="M49" i="30"/>
  <c r="L49" i="30"/>
  <c r="Q21" i="29" s="1"/>
  <c r="K49" i="30"/>
  <c r="Q20" i="29" s="1"/>
  <c r="J49" i="30"/>
  <c r="Q19" i="29" s="1"/>
  <c r="I49" i="30"/>
  <c r="H49" i="30"/>
  <c r="Q17" i="29" s="1"/>
  <c r="AM48" i="30"/>
  <c r="AN48" i="30" s="1"/>
  <c r="AK48" i="30"/>
  <c r="AL48" i="30" s="1"/>
  <c r="AI48" i="30"/>
  <c r="AJ48" i="30" s="1"/>
  <c r="AG48" i="30"/>
  <c r="AH48" i="30" s="1"/>
  <c r="AE48" i="30"/>
  <c r="AF48" i="30" s="1"/>
  <c r="AC48" i="30"/>
  <c r="AD48" i="30" s="1"/>
  <c r="AA48" i="30"/>
  <c r="AB48" i="30" s="1"/>
  <c r="Z48" i="30"/>
  <c r="Y48" i="30"/>
  <c r="G48" i="30"/>
  <c r="AM47" i="30"/>
  <c r="AN47" i="30" s="1"/>
  <c r="AK47" i="30"/>
  <c r="AL47" i="30" s="1"/>
  <c r="AI47" i="30"/>
  <c r="AJ47" i="30" s="1"/>
  <c r="AG47" i="30"/>
  <c r="AH47" i="30" s="1"/>
  <c r="AE47" i="30"/>
  <c r="AF47" i="30" s="1"/>
  <c r="AC47" i="30"/>
  <c r="AD47" i="30" s="1"/>
  <c r="AA47" i="30"/>
  <c r="AB47" i="30" s="1"/>
  <c r="Z47" i="30"/>
  <c r="Y47" i="30"/>
  <c r="G47" i="30"/>
  <c r="AM46" i="30"/>
  <c r="AN46" i="30" s="1"/>
  <c r="AK46" i="30"/>
  <c r="AL46" i="30" s="1"/>
  <c r="AI46" i="30"/>
  <c r="AJ46" i="30" s="1"/>
  <c r="AG46" i="30"/>
  <c r="AH46" i="30" s="1"/>
  <c r="AE46" i="30"/>
  <c r="AF46" i="30" s="1"/>
  <c r="AC46" i="30"/>
  <c r="AD46" i="30" s="1"/>
  <c r="AA46" i="30"/>
  <c r="AB46" i="30" s="1"/>
  <c r="Z46" i="30"/>
  <c r="Y46" i="30"/>
  <c r="G46" i="30"/>
  <c r="AM45" i="30"/>
  <c r="AN45" i="30" s="1"/>
  <c r="AK45" i="30"/>
  <c r="AL45" i="30" s="1"/>
  <c r="AI45" i="30"/>
  <c r="AJ45" i="30" s="1"/>
  <c r="AG45" i="30"/>
  <c r="AH45" i="30" s="1"/>
  <c r="AE45" i="30"/>
  <c r="AF45" i="30" s="1"/>
  <c r="AC45" i="30"/>
  <c r="AD45" i="30" s="1"/>
  <c r="AA45" i="30"/>
  <c r="AB45" i="30" s="1"/>
  <c r="Z45" i="30"/>
  <c r="Y45" i="30"/>
  <c r="G45" i="30"/>
  <c r="AM44" i="30"/>
  <c r="AN44" i="30" s="1"/>
  <c r="AK44" i="30"/>
  <c r="AL44" i="30" s="1"/>
  <c r="AI44" i="30"/>
  <c r="AJ44" i="30" s="1"/>
  <c r="AG44" i="30"/>
  <c r="AH44" i="30" s="1"/>
  <c r="AE44" i="30"/>
  <c r="AF44" i="30" s="1"/>
  <c r="AC44" i="30"/>
  <c r="AD44" i="30" s="1"/>
  <c r="AA44" i="30"/>
  <c r="AB44" i="30" s="1"/>
  <c r="Z44" i="30"/>
  <c r="Y44" i="30"/>
  <c r="G44" i="30"/>
  <c r="AM43" i="30"/>
  <c r="AN43" i="30" s="1"/>
  <c r="AK43" i="30"/>
  <c r="AL43" i="30" s="1"/>
  <c r="AI43" i="30"/>
  <c r="AJ43" i="30" s="1"/>
  <c r="AG43" i="30"/>
  <c r="AH43" i="30" s="1"/>
  <c r="AE43" i="30"/>
  <c r="AF43" i="30" s="1"/>
  <c r="AC43" i="30"/>
  <c r="AD43" i="30" s="1"/>
  <c r="AA43" i="30"/>
  <c r="AB43" i="30" s="1"/>
  <c r="Z43" i="30"/>
  <c r="Y43" i="30"/>
  <c r="G43" i="30"/>
  <c r="AM42" i="30"/>
  <c r="AN42" i="30" s="1"/>
  <c r="AK42" i="30"/>
  <c r="AL42" i="30" s="1"/>
  <c r="AI42" i="30"/>
  <c r="AJ42" i="30" s="1"/>
  <c r="AG42" i="30"/>
  <c r="AH42" i="30" s="1"/>
  <c r="AE42" i="30"/>
  <c r="AF42" i="30" s="1"/>
  <c r="AC42" i="30"/>
  <c r="AD42" i="30" s="1"/>
  <c r="AA42" i="30"/>
  <c r="AB42" i="30" s="1"/>
  <c r="Z42" i="30"/>
  <c r="Y42" i="30"/>
  <c r="AA35" i="29" s="1"/>
  <c r="G42" i="30"/>
  <c r="AM41" i="30"/>
  <c r="AN41" i="30" s="1"/>
  <c r="AK41" i="30"/>
  <c r="AL41" i="30" s="1"/>
  <c r="AI41" i="30"/>
  <c r="AJ41" i="30" s="1"/>
  <c r="AG41" i="30"/>
  <c r="AH41" i="30" s="1"/>
  <c r="AE41" i="30"/>
  <c r="AF41" i="30" s="1"/>
  <c r="AC41" i="30"/>
  <c r="AD41" i="30" s="1"/>
  <c r="AA41" i="30"/>
  <c r="AB41" i="30" s="1"/>
  <c r="Z41" i="30"/>
  <c r="Y41" i="30"/>
  <c r="G41" i="30"/>
  <c r="AM40" i="30"/>
  <c r="AN40" i="30" s="1"/>
  <c r="AK40" i="30"/>
  <c r="AL40" i="30" s="1"/>
  <c r="AI40" i="30"/>
  <c r="AJ40" i="30" s="1"/>
  <c r="AG40" i="30"/>
  <c r="AH40" i="30" s="1"/>
  <c r="AE40" i="30"/>
  <c r="AF40" i="30" s="1"/>
  <c r="AC40" i="30"/>
  <c r="AD40" i="30" s="1"/>
  <c r="AA40" i="30"/>
  <c r="AB40" i="30" s="1"/>
  <c r="Z40" i="30"/>
  <c r="Y40" i="30"/>
  <c r="G40" i="30"/>
  <c r="AM39" i="30"/>
  <c r="AN39" i="30" s="1"/>
  <c r="AK39" i="30"/>
  <c r="AL39" i="30" s="1"/>
  <c r="AI39" i="30"/>
  <c r="AJ39" i="30" s="1"/>
  <c r="AG39" i="30"/>
  <c r="AH39" i="30" s="1"/>
  <c r="AE39" i="30"/>
  <c r="AF39" i="30" s="1"/>
  <c r="AC39" i="30"/>
  <c r="AD39" i="30" s="1"/>
  <c r="AA39" i="30"/>
  <c r="AB39" i="30" s="1"/>
  <c r="Z39" i="30"/>
  <c r="Y39" i="30"/>
  <c r="G39" i="30"/>
  <c r="AM38" i="30"/>
  <c r="AN38" i="30" s="1"/>
  <c r="AK38" i="30"/>
  <c r="AL38" i="30" s="1"/>
  <c r="AI38" i="30"/>
  <c r="AJ38" i="30" s="1"/>
  <c r="AG38" i="30"/>
  <c r="AH38" i="30" s="1"/>
  <c r="AE38" i="30"/>
  <c r="AF38" i="30" s="1"/>
  <c r="AC38" i="30"/>
  <c r="AD38" i="30" s="1"/>
  <c r="AA38" i="30"/>
  <c r="AB38" i="30" s="1"/>
  <c r="Z38" i="30"/>
  <c r="Y38" i="30"/>
  <c r="G38" i="30"/>
  <c r="AM37" i="30"/>
  <c r="AN37" i="30" s="1"/>
  <c r="AK37" i="30"/>
  <c r="AL37" i="30" s="1"/>
  <c r="AI37" i="30"/>
  <c r="AJ37" i="30" s="1"/>
  <c r="AG37" i="30"/>
  <c r="AH37" i="30" s="1"/>
  <c r="AE37" i="30"/>
  <c r="AF37" i="30" s="1"/>
  <c r="AC37" i="30"/>
  <c r="AD37" i="30" s="1"/>
  <c r="AA37" i="30"/>
  <c r="AB37" i="30" s="1"/>
  <c r="Z37" i="30"/>
  <c r="Y37" i="30"/>
  <c r="G37" i="30"/>
  <c r="AM36" i="30"/>
  <c r="AN36" i="30" s="1"/>
  <c r="AK36" i="30"/>
  <c r="AL36" i="30" s="1"/>
  <c r="AI36" i="30"/>
  <c r="AJ36" i="30" s="1"/>
  <c r="AG36" i="30"/>
  <c r="AH36" i="30" s="1"/>
  <c r="AE36" i="30"/>
  <c r="AF36" i="30" s="1"/>
  <c r="AC36" i="30"/>
  <c r="AD36" i="30" s="1"/>
  <c r="AA36" i="30"/>
  <c r="AB36" i="30" s="1"/>
  <c r="Z36" i="30"/>
  <c r="Y36" i="30"/>
  <c r="G36" i="30"/>
  <c r="AM35" i="30"/>
  <c r="AN35" i="30" s="1"/>
  <c r="AK35" i="30"/>
  <c r="AL35" i="30" s="1"/>
  <c r="AI35" i="30"/>
  <c r="AJ35" i="30" s="1"/>
  <c r="AG35" i="30"/>
  <c r="AH35" i="30" s="1"/>
  <c r="AE35" i="30"/>
  <c r="AF35" i="30" s="1"/>
  <c r="AC35" i="30"/>
  <c r="AD35" i="30" s="1"/>
  <c r="AA35" i="30"/>
  <c r="AB35" i="30" s="1"/>
  <c r="Z35" i="30"/>
  <c r="Y35" i="30"/>
  <c r="G35" i="30"/>
  <c r="AM34" i="30"/>
  <c r="AN34" i="30" s="1"/>
  <c r="AK34" i="30"/>
  <c r="AL34" i="30" s="1"/>
  <c r="AI34" i="30"/>
  <c r="AJ34" i="30" s="1"/>
  <c r="AG34" i="30"/>
  <c r="AH34" i="30" s="1"/>
  <c r="AE34" i="30"/>
  <c r="AF34" i="30" s="1"/>
  <c r="AC34" i="30"/>
  <c r="AD34" i="30" s="1"/>
  <c r="AA34" i="30"/>
  <c r="AB34" i="30" s="1"/>
  <c r="Z34" i="30"/>
  <c r="Y34" i="30"/>
  <c r="G34" i="30"/>
  <c r="AM33" i="30"/>
  <c r="AN33" i="30" s="1"/>
  <c r="AK33" i="30"/>
  <c r="AL33" i="30" s="1"/>
  <c r="AI33" i="30"/>
  <c r="AJ33" i="30" s="1"/>
  <c r="AG33" i="30"/>
  <c r="AH33" i="30" s="1"/>
  <c r="AE33" i="30"/>
  <c r="AF33" i="30" s="1"/>
  <c r="AC33" i="30"/>
  <c r="AD33" i="30" s="1"/>
  <c r="AA33" i="30"/>
  <c r="AB33" i="30" s="1"/>
  <c r="Z33" i="30"/>
  <c r="Y33" i="30"/>
  <c r="G33" i="30"/>
  <c r="AM32" i="30"/>
  <c r="AN32" i="30" s="1"/>
  <c r="AK32" i="30"/>
  <c r="AL32" i="30" s="1"/>
  <c r="AI32" i="30"/>
  <c r="AJ32" i="30" s="1"/>
  <c r="AG32" i="30"/>
  <c r="AH32" i="30" s="1"/>
  <c r="AE32" i="30"/>
  <c r="AF32" i="30" s="1"/>
  <c r="AC32" i="30"/>
  <c r="AD32" i="30" s="1"/>
  <c r="AA32" i="30"/>
  <c r="AB32" i="30" s="1"/>
  <c r="Z32" i="30"/>
  <c r="Y32" i="30"/>
  <c r="G32" i="30"/>
  <c r="AM31" i="30"/>
  <c r="AN31" i="30" s="1"/>
  <c r="AK31" i="30"/>
  <c r="AL31" i="30" s="1"/>
  <c r="AI31" i="30"/>
  <c r="AJ31" i="30" s="1"/>
  <c r="AG31" i="30"/>
  <c r="AH31" i="30" s="1"/>
  <c r="AE31" i="30"/>
  <c r="AF31" i="30" s="1"/>
  <c r="AC31" i="30"/>
  <c r="AD31" i="30" s="1"/>
  <c r="AA31" i="30"/>
  <c r="AB31" i="30" s="1"/>
  <c r="Z31" i="30"/>
  <c r="Y31" i="30"/>
  <c r="G31" i="30"/>
  <c r="AM30" i="30"/>
  <c r="AN30" i="30" s="1"/>
  <c r="AK30" i="30"/>
  <c r="AL30" i="30" s="1"/>
  <c r="AI30" i="30"/>
  <c r="AJ30" i="30" s="1"/>
  <c r="AG30" i="30"/>
  <c r="AH30" i="30" s="1"/>
  <c r="AE30" i="30"/>
  <c r="AF30" i="30" s="1"/>
  <c r="AC30" i="30"/>
  <c r="AD30" i="30" s="1"/>
  <c r="AA30" i="30"/>
  <c r="AB30" i="30" s="1"/>
  <c r="Z30" i="30"/>
  <c r="Y30" i="30"/>
  <c r="G30" i="30"/>
  <c r="AM29" i="30"/>
  <c r="AN29" i="30" s="1"/>
  <c r="AK29" i="30"/>
  <c r="AL29" i="30" s="1"/>
  <c r="AI29" i="30"/>
  <c r="AJ29" i="30" s="1"/>
  <c r="AG29" i="30"/>
  <c r="AH29" i="30" s="1"/>
  <c r="AE29" i="30"/>
  <c r="AF29" i="30" s="1"/>
  <c r="AC29" i="30"/>
  <c r="AD29" i="30" s="1"/>
  <c r="AA29" i="30"/>
  <c r="AB29" i="30" s="1"/>
  <c r="Z29" i="30"/>
  <c r="Y29" i="30"/>
  <c r="G29" i="30"/>
  <c r="AM28" i="30"/>
  <c r="AK28" i="30"/>
  <c r="AI28" i="30"/>
  <c r="AG28" i="30"/>
  <c r="AE28" i="30"/>
  <c r="AC28" i="30"/>
  <c r="AA28" i="30"/>
  <c r="Z28" i="30"/>
  <c r="Y28" i="30"/>
  <c r="G28" i="30"/>
  <c r="AM27" i="30"/>
  <c r="AN27" i="30" s="1"/>
  <c r="AK27" i="30"/>
  <c r="AL27" i="30" s="1"/>
  <c r="AI27" i="30"/>
  <c r="AJ27" i="30" s="1"/>
  <c r="AG27" i="30"/>
  <c r="AH27" i="30" s="1"/>
  <c r="AE27" i="30"/>
  <c r="AF27" i="30" s="1"/>
  <c r="AC27" i="30"/>
  <c r="AD27" i="30" s="1"/>
  <c r="AA27" i="30"/>
  <c r="AB27" i="30" s="1"/>
  <c r="Z27" i="30"/>
  <c r="Y27" i="30"/>
  <c r="G27" i="30"/>
  <c r="AM26" i="30"/>
  <c r="AN26" i="30" s="1"/>
  <c r="AK26" i="30"/>
  <c r="AL26" i="30" s="1"/>
  <c r="AI26" i="30"/>
  <c r="AJ26" i="30" s="1"/>
  <c r="AG26" i="30"/>
  <c r="AH26" i="30" s="1"/>
  <c r="AE26" i="30"/>
  <c r="AF26" i="30" s="1"/>
  <c r="AC26" i="30"/>
  <c r="AD26" i="30" s="1"/>
  <c r="AA26" i="30"/>
  <c r="AB26" i="30" s="1"/>
  <c r="Z26" i="30"/>
  <c r="Y26" i="30"/>
  <c r="G26" i="30"/>
  <c r="AM25" i="30"/>
  <c r="AA114" i="29" s="1"/>
  <c r="AB114" i="29" s="1"/>
  <c r="Q114" i="29" s="1"/>
  <c r="AK25" i="30"/>
  <c r="AA113" i="29" s="1"/>
  <c r="AB113" i="29" s="1"/>
  <c r="Q113" i="29" s="1"/>
  <c r="AI25" i="30"/>
  <c r="AA112" i="29" s="1"/>
  <c r="AB112" i="29" s="1"/>
  <c r="Q112" i="29" s="1"/>
  <c r="AG25" i="30"/>
  <c r="AA111" i="29" s="1"/>
  <c r="AB111" i="29" s="1"/>
  <c r="Q111" i="29" s="1"/>
  <c r="AE25" i="30"/>
  <c r="AA110" i="29" s="1"/>
  <c r="AB110" i="29" s="1"/>
  <c r="Q110" i="29" s="1"/>
  <c r="AC25" i="30"/>
  <c r="AA25" i="30"/>
  <c r="Z25" i="30"/>
  <c r="Y25" i="30"/>
  <c r="G25" i="30"/>
  <c r="AM24" i="30"/>
  <c r="AN24" i="30" s="1"/>
  <c r="AK24" i="30"/>
  <c r="AL24" i="30" s="1"/>
  <c r="AI24" i="30"/>
  <c r="AJ24" i="30" s="1"/>
  <c r="AG24" i="30"/>
  <c r="AH24" i="30" s="1"/>
  <c r="AE24" i="30"/>
  <c r="AF24" i="30" s="1"/>
  <c r="AC24" i="30"/>
  <c r="AD24" i="30" s="1"/>
  <c r="AA24" i="30"/>
  <c r="AB24" i="30" s="1"/>
  <c r="Z24" i="30"/>
  <c r="Y24" i="30"/>
  <c r="G24" i="30"/>
  <c r="AM23" i="30"/>
  <c r="AN23" i="30" s="1"/>
  <c r="AK23" i="30"/>
  <c r="AL23" i="30" s="1"/>
  <c r="AI23" i="30"/>
  <c r="AJ23" i="30" s="1"/>
  <c r="AG23" i="30"/>
  <c r="AH23" i="30" s="1"/>
  <c r="AE23" i="30"/>
  <c r="AF23" i="30" s="1"/>
  <c r="AC23" i="30"/>
  <c r="AD23" i="30" s="1"/>
  <c r="AA23" i="30"/>
  <c r="AB23" i="30" s="1"/>
  <c r="Z23" i="30"/>
  <c r="Y23" i="30"/>
  <c r="G23" i="30"/>
  <c r="AM22" i="30"/>
  <c r="AN22" i="30" s="1"/>
  <c r="AK22" i="30"/>
  <c r="AL22" i="30" s="1"/>
  <c r="AI22" i="30"/>
  <c r="AJ22" i="30" s="1"/>
  <c r="AG22" i="30"/>
  <c r="AH22" i="30" s="1"/>
  <c r="AE22" i="30"/>
  <c r="AF22" i="30" s="1"/>
  <c r="AC22" i="30"/>
  <c r="AD22" i="30" s="1"/>
  <c r="AA22" i="30"/>
  <c r="AB22" i="30" s="1"/>
  <c r="Z22" i="30"/>
  <c r="Y22" i="30"/>
  <c r="G22" i="30"/>
  <c r="AM21" i="30"/>
  <c r="AN21" i="30" s="1"/>
  <c r="AK21" i="30"/>
  <c r="AL21" i="30" s="1"/>
  <c r="AI21" i="30"/>
  <c r="AJ21" i="30" s="1"/>
  <c r="AG21" i="30"/>
  <c r="AH21" i="30" s="1"/>
  <c r="AE21" i="30"/>
  <c r="AF21" i="30" s="1"/>
  <c r="AC21" i="30"/>
  <c r="AD21" i="30" s="1"/>
  <c r="AA21" i="30"/>
  <c r="AB21" i="30" s="1"/>
  <c r="Z21" i="30"/>
  <c r="Y21" i="30"/>
  <c r="G21" i="30"/>
  <c r="AM20" i="30"/>
  <c r="AN20" i="30" s="1"/>
  <c r="AK20" i="30"/>
  <c r="AL20" i="30" s="1"/>
  <c r="AI20" i="30"/>
  <c r="AJ20" i="30" s="1"/>
  <c r="AG20" i="30"/>
  <c r="AH20" i="30" s="1"/>
  <c r="AE20" i="30"/>
  <c r="AF20" i="30" s="1"/>
  <c r="AC20" i="30"/>
  <c r="AD20" i="30" s="1"/>
  <c r="AA20" i="30"/>
  <c r="AB20" i="30" s="1"/>
  <c r="Z20" i="30"/>
  <c r="Y20" i="30"/>
  <c r="G20" i="30"/>
  <c r="AM19" i="30"/>
  <c r="AN19" i="30" s="1"/>
  <c r="AK19" i="30"/>
  <c r="AL19" i="30" s="1"/>
  <c r="AI19" i="30"/>
  <c r="AJ19" i="30" s="1"/>
  <c r="AG19" i="30"/>
  <c r="AH19" i="30" s="1"/>
  <c r="AE19" i="30"/>
  <c r="AF19" i="30" s="1"/>
  <c r="AC19" i="30"/>
  <c r="AD19" i="30" s="1"/>
  <c r="AA19" i="30"/>
  <c r="AB19" i="30" s="1"/>
  <c r="Z19" i="30"/>
  <c r="Y19" i="30"/>
  <c r="G19" i="30"/>
  <c r="AM18" i="30"/>
  <c r="AN18" i="30" s="1"/>
  <c r="AK18" i="30"/>
  <c r="AL18" i="30" s="1"/>
  <c r="AI18" i="30"/>
  <c r="AJ18" i="30" s="1"/>
  <c r="AG18" i="30"/>
  <c r="AH18" i="30" s="1"/>
  <c r="AE18" i="30"/>
  <c r="AF18" i="30" s="1"/>
  <c r="AC18" i="30"/>
  <c r="AD18" i="30" s="1"/>
  <c r="AA18" i="30"/>
  <c r="AB18" i="30" s="1"/>
  <c r="Z18" i="30"/>
  <c r="Y18" i="30"/>
  <c r="G18" i="30"/>
  <c r="AM17" i="30"/>
  <c r="AN17" i="30" s="1"/>
  <c r="AK17" i="30"/>
  <c r="AL17" i="30" s="1"/>
  <c r="AI17" i="30"/>
  <c r="AJ17" i="30" s="1"/>
  <c r="AG17" i="30"/>
  <c r="AH17" i="30" s="1"/>
  <c r="AE17" i="30"/>
  <c r="AF17" i="30" s="1"/>
  <c r="AC17" i="30"/>
  <c r="AD17" i="30" s="1"/>
  <c r="AA17" i="30"/>
  <c r="AB17" i="30" s="1"/>
  <c r="Z17" i="30"/>
  <c r="Y17" i="30"/>
  <c r="G17" i="30"/>
  <c r="AM16" i="30"/>
  <c r="AN16" i="30" s="1"/>
  <c r="AK16" i="30"/>
  <c r="AL16" i="30" s="1"/>
  <c r="AI16" i="30"/>
  <c r="AJ16" i="30" s="1"/>
  <c r="AG16" i="30"/>
  <c r="AH16" i="30" s="1"/>
  <c r="AE16" i="30"/>
  <c r="AF16" i="30" s="1"/>
  <c r="AC16" i="30"/>
  <c r="AD16" i="30" s="1"/>
  <c r="AA16" i="30"/>
  <c r="AB16" i="30" s="1"/>
  <c r="Z16" i="30"/>
  <c r="Y16" i="30"/>
  <c r="G16" i="30"/>
  <c r="AM15" i="30"/>
  <c r="AN15" i="30" s="1"/>
  <c r="AK15" i="30"/>
  <c r="AL15" i="30" s="1"/>
  <c r="AI15" i="30"/>
  <c r="AJ15" i="30" s="1"/>
  <c r="AG15" i="30"/>
  <c r="AH15" i="30" s="1"/>
  <c r="AE15" i="30"/>
  <c r="AF15" i="30" s="1"/>
  <c r="AC15" i="30"/>
  <c r="AD15" i="30" s="1"/>
  <c r="AA15" i="30"/>
  <c r="AB15" i="30" s="1"/>
  <c r="Z15" i="30"/>
  <c r="Y15" i="30"/>
  <c r="G15" i="30"/>
  <c r="AM14" i="30"/>
  <c r="AN14" i="30" s="1"/>
  <c r="AK14" i="30"/>
  <c r="AL14" i="30" s="1"/>
  <c r="AI14" i="30"/>
  <c r="AJ14" i="30" s="1"/>
  <c r="AG14" i="30"/>
  <c r="AH14" i="30" s="1"/>
  <c r="AE14" i="30"/>
  <c r="AF14" i="30" s="1"/>
  <c r="AC14" i="30"/>
  <c r="AD14" i="30" s="1"/>
  <c r="AA14" i="30"/>
  <c r="AB14" i="30" s="1"/>
  <c r="Z14" i="30"/>
  <c r="Y14" i="30"/>
  <c r="G14" i="30"/>
  <c r="AM13" i="30"/>
  <c r="AN13" i="30" s="1"/>
  <c r="AK13" i="30"/>
  <c r="AL13" i="30" s="1"/>
  <c r="AI13" i="30"/>
  <c r="AJ13" i="30" s="1"/>
  <c r="AG13" i="30"/>
  <c r="AH13" i="30" s="1"/>
  <c r="AE13" i="30"/>
  <c r="AF13" i="30" s="1"/>
  <c r="AC13" i="30"/>
  <c r="AD13" i="30" s="1"/>
  <c r="AA13" i="30"/>
  <c r="AB13" i="30" s="1"/>
  <c r="Z13" i="30"/>
  <c r="Y13" i="30"/>
  <c r="G13" i="30"/>
  <c r="AM12" i="30"/>
  <c r="AN12" i="30" s="1"/>
  <c r="AK12" i="30"/>
  <c r="AL12" i="30" s="1"/>
  <c r="AI12" i="30"/>
  <c r="AJ12" i="30" s="1"/>
  <c r="AG12" i="30"/>
  <c r="AH12" i="30" s="1"/>
  <c r="AE12" i="30"/>
  <c r="AF12" i="30" s="1"/>
  <c r="AC12" i="30"/>
  <c r="AD12" i="30" s="1"/>
  <c r="AA12" i="30"/>
  <c r="AB12" i="30" s="1"/>
  <c r="Z12" i="30"/>
  <c r="Y12" i="30"/>
  <c r="G12" i="30"/>
  <c r="AM11" i="30"/>
  <c r="AN11" i="30" s="1"/>
  <c r="AK11" i="30"/>
  <c r="AL11" i="30" s="1"/>
  <c r="AI11" i="30"/>
  <c r="AJ11" i="30" s="1"/>
  <c r="AG11" i="30"/>
  <c r="AH11" i="30" s="1"/>
  <c r="AE11" i="30"/>
  <c r="AF11" i="30" s="1"/>
  <c r="AC11" i="30"/>
  <c r="AD11" i="30" s="1"/>
  <c r="AA11" i="30"/>
  <c r="AB11" i="30" s="1"/>
  <c r="Z11" i="30"/>
  <c r="Y11" i="30"/>
  <c r="G11" i="30"/>
  <c r="AM10" i="30"/>
  <c r="AN10" i="30" s="1"/>
  <c r="AK10" i="30"/>
  <c r="AL10" i="30" s="1"/>
  <c r="AI10" i="30"/>
  <c r="AJ10" i="30" s="1"/>
  <c r="AG10" i="30"/>
  <c r="AH10" i="30" s="1"/>
  <c r="AE10" i="30"/>
  <c r="AF10" i="30" s="1"/>
  <c r="AC10" i="30"/>
  <c r="AD10" i="30" s="1"/>
  <c r="AA10" i="30"/>
  <c r="AB10" i="30" s="1"/>
  <c r="Z10" i="30"/>
  <c r="Y10" i="30"/>
  <c r="G10" i="30"/>
  <c r="AM9" i="30"/>
  <c r="AN9" i="30" s="1"/>
  <c r="AK9" i="30"/>
  <c r="AL9" i="30" s="1"/>
  <c r="AI9" i="30"/>
  <c r="AJ9" i="30" s="1"/>
  <c r="AG9" i="30"/>
  <c r="AH9" i="30" s="1"/>
  <c r="AE9" i="30"/>
  <c r="AF9" i="30" s="1"/>
  <c r="AC9" i="30"/>
  <c r="AD9" i="30" s="1"/>
  <c r="AA9" i="30"/>
  <c r="AB9" i="30" s="1"/>
  <c r="Z9" i="30"/>
  <c r="Y9" i="30"/>
  <c r="G9" i="30"/>
  <c r="X4" i="30"/>
  <c r="W4" i="30"/>
  <c r="AM4" i="30" s="1"/>
  <c r="V4" i="30"/>
  <c r="AK4" i="30" s="1"/>
  <c r="U4" i="30"/>
  <c r="AI4" i="30" s="1"/>
  <c r="T4" i="30"/>
  <c r="AG4" i="30" s="1"/>
  <c r="S4" i="30"/>
  <c r="AE4" i="30" s="1"/>
  <c r="L4" i="30"/>
  <c r="K4" i="30"/>
  <c r="J4" i="30"/>
  <c r="AA4" i="30" s="1"/>
  <c r="I4" i="30"/>
  <c r="H4" i="30"/>
  <c r="AC4" i="30" s="1"/>
  <c r="AM2" i="30"/>
  <c r="AK2" i="30"/>
  <c r="AI2" i="30"/>
  <c r="AG2" i="30"/>
  <c r="AE2" i="30"/>
  <c r="AC2" i="30"/>
  <c r="AA2" i="30"/>
  <c r="X2" i="30"/>
  <c r="BF1" i="30" s="1"/>
  <c r="W2" i="30"/>
  <c r="V2" i="30"/>
  <c r="U2" i="30"/>
  <c r="T2" i="30"/>
  <c r="S2" i="30"/>
  <c r="Q2" i="30"/>
  <c r="AY1" i="30" s="1"/>
  <c r="P2" i="30"/>
  <c r="AX1" i="30" s="1"/>
  <c r="O2" i="30"/>
  <c r="AW1" i="30" s="1"/>
  <c r="N2" i="30"/>
  <c r="AV1" i="30" s="1"/>
  <c r="M2" i="30"/>
  <c r="AU1" i="30" s="1"/>
  <c r="L2" i="30"/>
  <c r="AT1" i="30" s="1"/>
  <c r="K2" i="30"/>
  <c r="AS1" i="30" s="1"/>
  <c r="J2" i="30"/>
  <c r="I2" i="30"/>
  <c r="AQ1" i="30" s="1"/>
  <c r="H2" i="30"/>
  <c r="F161" i="29"/>
  <c r="S154" i="29"/>
  <c r="P94" i="29"/>
  <c r="P123" i="29" s="1"/>
  <c r="O94" i="29"/>
  <c r="O123" i="29" s="1"/>
  <c r="H94" i="29"/>
  <c r="H123" i="29" s="1"/>
  <c r="P93" i="29"/>
  <c r="P122" i="29" s="1"/>
  <c r="O93" i="29"/>
  <c r="O122" i="29" s="1"/>
  <c r="H93" i="29"/>
  <c r="H122" i="29" s="1"/>
  <c r="H92" i="29"/>
  <c r="H121" i="29" s="1"/>
  <c r="P91" i="29"/>
  <c r="P120" i="29" s="1"/>
  <c r="O91" i="29"/>
  <c r="O120" i="29" s="1"/>
  <c r="H91" i="29"/>
  <c r="H120" i="29" s="1"/>
  <c r="P89" i="29"/>
  <c r="P118" i="29" s="1"/>
  <c r="O89" i="29"/>
  <c r="O118" i="29" s="1"/>
  <c r="H89" i="29"/>
  <c r="H118" i="29" s="1"/>
  <c r="P88" i="29"/>
  <c r="P117" i="29" s="1"/>
  <c r="O88" i="29"/>
  <c r="O117" i="29" s="1"/>
  <c r="H88" i="29"/>
  <c r="H117" i="29" s="1"/>
  <c r="P85" i="29"/>
  <c r="P114" i="29" s="1"/>
  <c r="O85" i="29"/>
  <c r="O114" i="29" s="1"/>
  <c r="H85" i="29"/>
  <c r="H114" i="29" s="1"/>
  <c r="P84" i="29"/>
  <c r="P113" i="29" s="1"/>
  <c r="O84" i="29"/>
  <c r="O113" i="29" s="1"/>
  <c r="H84" i="29"/>
  <c r="H113" i="29" s="1"/>
  <c r="P83" i="29"/>
  <c r="P112" i="29" s="1"/>
  <c r="O83" i="29"/>
  <c r="O112" i="29" s="1"/>
  <c r="H83" i="29"/>
  <c r="H112" i="29" s="1"/>
  <c r="P82" i="29"/>
  <c r="P111" i="29" s="1"/>
  <c r="O82" i="29"/>
  <c r="O111" i="29" s="1"/>
  <c r="H82" i="29"/>
  <c r="H111" i="29" s="1"/>
  <c r="P81" i="29"/>
  <c r="P110" i="29" s="1"/>
  <c r="O81" i="29"/>
  <c r="O110" i="29" s="1"/>
  <c r="H81" i="29"/>
  <c r="H110" i="29" s="1"/>
  <c r="P80" i="29"/>
  <c r="P109" i="29" s="1"/>
  <c r="O80" i="29"/>
  <c r="O109" i="29" s="1"/>
  <c r="H80" i="29"/>
  <c r="H109" i="29" s="1"/>
  <c r="P79" i="29"/>
  <c r="P108" i="29" s="1"/>
  <c r="O79" i="29"/>
  <c r="O108" i="29" s="1"/>
  <c r="H79" i="29"/>
  <c r="H108" i="29" s="1"/>
  <c r="W60" i="29"/>
  <c r="W98" i="29" s="1"/>
  <c r="W133" i="29" s="1"/>
  <c r="W97" i="29"/>
  <c r="W132" i="29" s="1"/>
  <c r="W58" i="29"/>
  <c r="W96" i="29" s="1"/>
  <c r="W131" i="29" s="1"/>
  <c r="N58" i="29"/>
  <c r="N96" i="29" s="1"/>
  <c r="N131" i="29" s="1"/>
  <c r="N57" i="29"/>
  <c r="N95" i="29" s="1"/>
  <c r="N130" i="29" s="1"/>
  <c r="N37" i="29"/>
  <c r="Q37" i="29" s="1"/>
  <c r="Q35" i="29"/>
  <c r="T34" i="29"/>
  <c r="Q34" i="29"/>
  <c r="R33" i="29"/>
  <c r="N34" i="29"/>
  <c r="S34" i="29" s="1"/>
  <c r="H34" i="29"/>
  <c r="T33" i="29"/>
  <c r="Q33" i="29"/>
  <c r="R32" i="29"/>
  <c r="N33" i="29"/>
  <c r="S33" i="29" s="1"/>
  <c r="H33" i="29"/>
  <c r="T32" i="29"/>
  <c r="Q32" i="29"/>
  <c r="R31" i="29"/>
  <c r="N32" i="29"/>
  <c r="S32" i="29" s="1"/>
  <c r="H32" i="29"/>
  <c r="T31" i="29"/>
  <c r="Q31" i="29"/>
  <c r="R30" i="29"/>
  <c r="N31" i="29"/>
  <c r="S31" i="29" s="1"/>
  <c r="H31" i="29"/>
  <c r="T30" i="29"/>
  <c r="Q30" i="29"/>
  <c r="R29" i="29"/>
  <c r="N30" i="29"/>
  <c r="S30" i="29" s="1"/>
  <c r="H30" i="29"/>
  <c r="T29" i="29"/>
  <c r="N29" i="29"/>
  <c r="S29" i="29" s="1"/>
  <c r="H29" i="29"/>
  <c r="T26" i="29"/>
  <c r="Q26" i="29"/>
  <c r="R26" i="29"/>
  <c r="N26" i="29"/>
  <c r="S26" i="29" s="1"/>
  <c r="H26" i="29"/>
  <c r="T25" i="29"/>
  <c r="R25" i="29"/>
  <c r="N25" i="29"/>
  <c r="S25" i="29" s="1"/>
  <c r="H25" i="29"/>
  <c r="T24" i="29"/>
  <c r="R24" i="29"/>
  <c r="N24" i="29"/>
  <c r="S24" i="29" s="1"/>
  <c r="H24" i="29"/>
  <c r="T23" i="29"/>
  <c r="R23" i="29"/>
  <c r="N23" i="29"/>
  <c r="S23" i="29" s="1"/>
  <c r="H23" i="29"/>
  <c r="T22" i="29"/>
  <c r="Q22" i="29"/>
  <c r="R22" i="29"/>
  <c r="N22" i="29"/>
  <c r="S22" i="29" s="1"/>
  <c r="H22" i="29"/>
  <c r="T21" i="29"/>
  <c r="R21" i="29"/>
  <c r="N21" i="29"/>
  <c r="S21" i="29" s="1"/>
  <c r="H21" i="29"/>
  <c r="T20" i="29"/>
  <c r="R20" i="29"/>
  <c r="N20" i="29"/>
  <c r="S20" i="29" s="1"/>
  <c r="H20" i="29"/>
  <c r="T19" i="29"/>
  <c r="R19" i="29"/>
  <c r="N19" i="29"/>
  <c r="S19" i="29" s="1"/>
  <c r="H19" i="29"/>
  <c r="T18" i="29"/>
  <c r="Q18" i="29"/>
  <c r="N18" i="29"/>
  <c r="S18" i="29" s="1"/>
  <c r="H18" i="29"/>
  <c r="T17" i="29"/>
  <c r="R17" i="29"/>
  <c r="N17" i="29"/>
  <c r="S17" i="29" s="1"/>
  <c r="H17" i="29"/>
  <c r="T13" i="29"/>
  <c r="J13" i="29"/>
  <c r="S11" i="29"/>
  <c r="N62" i="29" s="1"/>
  <c r="N100" i="29" s="1"/>
  <c r="N135" i="29" s="1"/>
  <c r="T10" i="29"/>
  <c r="N61" i="29" s="1"/>
  <c r="N99" i="29" s="1"/>
  <c r="N134" i="29" s="1"/>
  <c r="J11" i="29"/>
  <c r="AF25" i="30" l="1"/>
  <c r="AA82" i="29" s="1"/>
  <c r="AB82" i="29" s="1"/>
  <c r="Q82" i="29" s="1"/>
  <c r="T82" i="29" s="1"/>
  <c r="AH25" i="30"/>
  <c r="AA83" i="29" s="1"/>
  <c r="AB83" i="29" s="1"/>
  <c r="Q83" i="29" s="1"/>
  <c r="R83" i="29" s="1"/>
  <c r="W83" i="29" s="1"/>
  <c r="AJ25" i="30"/>
  <c r="AA84" i="29" s="1"/>
  <c r="AB84" i="29" s="1"/>
  <c r="Q84" i="29" s="1"/>
  <c r="R84" i="29" s="1"/>
  <c r="W84" i="29" s="1"/>
  <c r="AL25" i="30"/>
  <c r="AA85" i="29" s="1"/>
  <c r="AB85" i="29" s="1"/>
  <c r="Q85" i="29" s="1"/>
  <c r="R85" i="29" s="1"/>
  <c r="W85" i="29" s="1"/>
  <c r="AN25" i="30"/>
  <c r="AC3" i="30"/>
  <c r="AP1" i="30"/>
  <c r="AA3" i="30"/>
  <c r="AR1" i="30"/>
  <c r="AE3" i="30"/>
  <c r="BA1" i="30"/>
  <c r="AI3" i="30"/>
  <c r="BC1" i="30"/>
  <c r="AM3" i="30"/>
  <c r="BE1" i="30"/>
  <c r="AG3" i="30"/>
  <c r="BB1" i="30"/>
  <c r="AK3" i="30"/>
  <c r="BD1" i="30"/>
  <c r="AA36" i="29"/>
  <c r="AA79" i="29"/>
  <c r="AB79" i="29" s="1"/>
  <c r="Q79" i="29" s="1"/>
  <c r="AD25" i="30"/>
  <c r="AA81" i="29" s="1"/>
  <c r="AB81" i="29" s="1"/>
  <c r="Q81" i="29" s="1"/>
  <c r="AA109" i="29"/>
  <c r="AB109" i="29" s="1"/>
  <c r="Q109" i="29" s="1"/>
  <c r="T83" i="29"/>
  <c r="AB25" i="30"/>
  <c r="AA80" i="29" s="1"/>
  <c r="AB80" i="29" s="1"/>
  <c r="Q80" i="29" s="1"/>
  <c r="AA108" i="29"/>
  <c r="AB108" i="29" s="1"/>
  <c r="Q108" i="29" s="1"/>
  <c r="T110" i="29"/>
  <c r="R110" i="29"/>
  <c r="W110" i="29" s="1"/>
  <c r="R111" i="29"/>
  <c r="W111" i="29" s="1"/>
  <c r="T111" i="29"/>
  <c r="T112" i="29"/>
  <c r="R112" i="29"/>
  <c r="W112" i="29" s="1"/>
  <c r="R113" i="29"/>
  <c r="W113" i="29" s="1"/>
  <c r="T113" i="29"/>
  <c r="T114" i="29"/>
  <c r="R114" i="29"/>
  <c r="W114" i="29" s="1"/>
  <c r="AH28" i="30"/>
  <c r="AL28" i="30"/>
  <c r="AB28" i="30"/>
  <c r="AF28" i="30"/>
  <c r="AJ28" i="30"/>
  <c r="AN28" i="30"/>
  <c r="AD28" i="30"/>
  <c r="R27" i="29"/>
  <c r="T85" i="29" l="1"/>
  <c r="T84" i="29"/>
  <c r="R82" i="29"/>
  <c r="W82" i="29" s="1"/>
  <c r="T108" i="29"/>
  <c r="R108" i="29"/>
  <c r="W108" i="29" s="1"/>
  <c r="R109" i="29"/>
  <c r="W109" i="29" s="1"/>
  <c r="T109" i="29"/>
  <c r="T79" i="29"/>
  <c r="R79" i="29"/>
  <c r="W79" i="29" s="1"/>
  <c r="T80" i="29"/>
  <c r="R80" i="29"/>
  <c r="W80" i="29" s="1"/>
  <c r="T81" i="29"/>
  <c r="R81" i="29"/>
  <c r="W81" i="29" s="1"/>
  <c r="L17" i="8"/>
  <c r="N55" i="18" l="1"/>
  <c r="N93" i="18" s="1"/>
  <c r="N128" i="18" s="1"/>
  <c r="Z9" i="12" l="1"/>
  <c r="Q36" i="18"/>
  <c r="AA44" i="18"/>
  <c r="AB44" i="18" s="1"/>
  <c r="F44" i="18" s="1"/>
  <c r="AA43" i="18"/>
  <c r="AB43" i="18" s="1"/>
  <c r="F43" i="18" s="1"/>
  <c r="AC44" i="18"/>
  <c r="AD44" i="18" s="1"/>
  <c r="I44" i="18" s="1"/>
  <c r="AD43" i="18"/>
  <c r="I43" i="18" s="1"/>
  <c r="Q44" i="18"/>
  <c r="Q43" i="18"/>
  <c r="Q41" i="18"/>
  <c r="Q40" i="18"/>
  <c r="Q39" i="18"/>
  <c r="Q33" i="18" l="1"/>
  <c r="Q32" i="18"/>
  <c r="Q31" i="18"/>
  <c r="Q30" i="18"/>
  <c r="Q29" i="18"/>
  <c r="Y9" i="12"/>
  <c r="Q18" i="18"/>
  <c r="Q19" i="18"/>
  <c r="Q20" i="18"/>
  <c r="Q21" i="18"/>
  <c r="Q22" i="18"/>
  <c r="Q23" i="18"/>
  <c r="Q24" i="18"/>
  <c r="Q25" i="18"/>
  <c r="Q26" i="18"/>
  <c r="X2" i="12"/>
  <c r="BG1" i="12" s="1"/>
  <c r="W2" i="12"/>
  <c r="BF1" i="12" s="1"/>
  <c r="V2" i="12"/>
  <c r="BE1" i="12" s="1"/>
  <c r="U2" i="12"/>
  <c r="BD1" i="12" s="1"/>
  <c r="T2" i="12"/>
  <c r="BC1" i="12" s="1"/>
  <c r="S2" i="12"/>
  <c r="BB1" i="12" s="1"/>
  <c r="Q2" i="12"/>
  <c r="AZ1" i="12" s="1"/>
  <c r="P2" i="12"/>
  <c r="AY1" i="12" s="1"/>
  <c r="O2" i="12"/>
  <c r="AX1" i="12" s="1"/>
  <c r="N2" i="12"/>
  <c r="AW1" i="12" s="1"/>
  <c r="M2" i="12"/>
  <c r="AV1" i="12" s="1"/>
  <c r="L2" i="12"/>
  <c r="AU1" i="12" s="1"/>
  <c r="L4" i="12"/>
  <c r="S4" i="12"/>
  <c r="N30" i="18"/>
  <c r="S30" i="18" s="1"/>
  <c r="N31" i="18"/>
  <c r="S31" i="18" s="1"/>
  <c r="N32" i="18"/>
  <c r="S32" i="18" s="1"/>
  <c r="N33" i="18"/>
  <c r="S33" i="18" s="1"/>
  <c r="N29" i="18"/>
  <c r="S29" i="18" s="1"/>
  <c r="N18" i="18"/>
  <c r="S18" i="18" s="1"/>
  <c r="N19" i="18"/>
  <c r="S19" i="18" s="1"/>
  <c r="N20" i="18"/>
  <c r="S20" i="18" s="1"/>
  <c r="N21" i="18"/>
  <c r="S21" i="18" s="1"/>
  <c r="N22" i="18"/>
  <c r="S22" i="18" s="1"/>
  <c r="N23" i="18"/>
  <c r="S23" i="18" s="1"/>
  <c r="N24" i="18"/>
  <c r="S24" i="18" s="1"/>
  <c r="N25" i="18"/>
  <c r="S25" i="18" s="1"/>
  <c r="N26" i="18"/>
  <c r="S26" i="18" s="1"/>
  <c r="N17" i="18"/>
  <c r="S17" i="18" s="1"/>
  <c r="H4" i="12"/>
  <c r="T30" i="18"/>
  <c r="T31" i="18"/>
  <c r="T32" i="18"/>
  <c r="T33" i="18"/>
  <c r="T29" i="18"/>
  <c r="T18" i="18"/>
  <c r="T19" i="18"/>
  <c r="T20" i="18"/>
  <c r="T21" i="18"/>
  <c r="T22" i="18"/>
  <c r="T23" i="18"/>
  <c r="T24" i="18"/>
  <c r="T25" i="18"/>
  <c r="T26" i="18"/>
  <c r="T17" i="18"/>
  <c r="H17" i="18"/>
  <c r="H33" i="18"/>
  <c r="H30" i="18"/>
  <c r="H31" i="18"/>
  <c r="H32" i="18"/>
  <c r="H29" i="18"/>
  <c r="H20" i="18"/>
  <c r="H21" i="18"/>
  <c r="H23" i="18"/>
  <c r="H24" i="18"/>
  <c r="H25" i="18"/>
  <c r="H26" i="18"/>
  <c r="H18" i="18"/>
  <c r="H19" i="18"/>
  <c r="I4" i="12"/>
  <c r="I2" i="12"/>
  <c r="AR1" i="12" s="1"/>
  <c r="H2" i="12"/>
  <c r="AQ1" i="12" s="1"/>
  <c r="W55" i="18"/>
  <c r="W56" i="18"/>
  <c r="W57" i="18"/>
  <c r="S11" i="18"/>
  <c r="AA76" i="18" l="1"/>
  <c r="AB76" i="18" s="1"/>
  <c r="Q76" i="18" s="1"/>
  <c r="Q36" i="29"/>
  <c r="W95" i="18"/>
  <c r="W130" i="18" s="1"/>
  <c r="W93" i="18"/>
  <c r="W128" i="18" s="1"/>
  <c r="W94" i="18"/>
  <c r="W129" i="18" s="1"/>
  <c r="N59" i="18"/>
  <c r="N97" i="18" s="1"/>
  <c r="N132" i="18" s="1"/>
  <c r="X4" i="12"/>
  <c r="R76" i="18" l="1"/>
  <c r="W76" i="18" s="1"/>
  <c r="T76" i="18"/>
  <c r="G27" i="22"/>
  <c r="S76" i="18" l="1"/>
  <c r="X76" i="18" s="1"/>
  <c r="N60" i="9"/>
  <c r="N59" i="9"/>
  <c r="F46" i="18" l="1"/>
  <c r="G30" i="9" l="1"/>
  <c r="F143" i="18" l="1"/>
  <c r="Q140" i="18"/>
  <c r="H140" i="18"/>
  <c r="Q139" i="18"/>
  <c r="H139" i="18"/>
  <c r="Q138" i="18"/>
  <c r="H138" i="18"/>
  <c r="R126" i="18"/>
  <c r="P126" i="18"/>
  <c r="H126" i="18"/>
  <c r="R125" i="18"/>
  <c r="P125" i="18"/>
  <c r="H125" i="18"/>
  <c r="R124" i="18"/>
  <c r="P124" i="18"/>
  <c r="H124" i="18"/>
  <c r="L23" i="8"/>
  <c r="L20" i="8"/>
  <c r="L18" i="8"/>
  <c r="F174" i="27"/>
  <c r="R169" i="27"/>
  <c r="F161" i="27"/>
  <c r="P158" i="27"/>
  <c r="H158" i="27"/>
  <c r="P157" i="27"/>
  <c r="Q144" i="27"/>
  <c r="P144" i="27"/>
  <c r="H144" i="27"/>
  <c r="Q143" i="27"/>
  <c r="P143" i="27"/>
  <c r="H143" i="27"/>
  <c r="Q142" i="27"/>
  <c r="P142" i="27"/>
  <c r="H142" i="27"/>
  <c r="Q109" i="27"/>
  <c r="P109" i="27"/>
  <c r="P138" i="27" s="1"/>
  <c r="O109" i="27"/>
  <c r="O138" i="27" s="1"/>
  <c r="H109" i="27"/>
  <c r="H138" i="27" s="1"/>
  <c r="Q108" i="27"/>
  <c r="Q137" i="27" s="1"/>
  <c r="U137" i="27" s="1"/>
  <c r="P108" i="27"/>
  <c r="P137" i="27" s="1"/>
  <c r="O108" i="27"/>
  <c r="O137" i="27" s="1"/>
  <c r="H108" i="27"/>
  <c r="H137" i="27" s="1"/>
  <c r="H107" i="27"/>
  <c r="H136" i="27" s="1"/>
  <c r="Q106" i="27"/>
  <c r="U106" i="27" s="1"/>
  <c r="P106" i="27"/>
  <c r="P135" i="27" s="1"/>
  <c r="O106" i="27"/>
  <c r="O135" i="27" s="1"/>
  <c r="H106" i="27"/>
  <c r="H135" i="27" s="1"/>
  <c r="Q104" i="27"/>
  <c r="P104" i="27"/>
  <c r="P133" i="27" s="1"/>
  <c r="O104" i="27"/>
  <c r="O133" i="27" s="1"/>
  <c r="H104" i="27"/>
  <c r="H133" i="27" s="1"/>
  <c r="Q103" i="27"/>
  <c r="Q132" i="27" s="1"/>
  <c r="U132" i="27" s="1"/>
  <c r="P103" i="27"/>
  <c r="P132" i="27" s="1"/>
  <c r="O103" i="27"/>
  <c r="O132" i="27" s="1"/>
  <c r="H103" i="27"/>
  <c r="H132" i="27" s="1"/>
  <c r="P100" i="27"/>
  <c r="P129" i="27" s="1"/>
  <c r="O100" i="27"/>
  <c r="O129" i="27" s="1"/>
  <c r="H100" i="27"/>
  <c r="H129" i="27" s="1"/>
  <c r="P99" i="27"/>
  <c r="P128" i="27" s="1"/>
  <c r="O99" i="27"/>
  <c r="O128" i="27" s="1"/>
  <c r="H99" i="27"/>
  <c r="H128" i="27" s="1"/>
  <c r="P98" i="27"/>
  <c r="P127" i="27" s="1"/>
  <c r="O98" i="27"/>
  <c r="O127" i="27" s="1"/>
  <c r="H98" i="27"/>
  <c r="H127" i="27" s="1"/>
  <c r="P97" i="27"/>
  <c r="P126" i="27" s="1"/>
  <c r="O97" i="27"/>
  <c r="O126" i="27" s="1"/>
  <c r="H97" i="27"/>
  <c r="H126" i="27" s="1"/>
  <c r="P96" i="27"/>
  <c r="P125" i="27" s="1"/>
  <c r="O96" i="27"/>
  <c r="O125" i="27" s="1"/>
  <c r="H96" i="27"/>
  <c r="H125" i="27" s="1"/>
  <c r="P95" i="27"/>
  <c r="P124" i="27" s="1"/>
  <c r="O95" i="27"/>
  <c r="O124" i="27" s="1"/>
  <c r="H95" i="27"/>
  <c r="H124" i="27" s="1"/>
  <c r="P94" i="27"/>
  <c r="P123" i="27" s="1"/>
  <c r="O94" i="27"/>
  <c r="O123" i="27" s="1"/>
  <c r="H94" i="27"/>
  <c r="H123" i="27" s="1"/>
  <c r="F75" i="27"/>
  <c r="V67" i="27"/>
  <c r="W113" i="27" s="1"/>
  <c r="W148" i="27" s="1"/>
  <c r="V66" i="27"/>
  <c r="W112" i="27" s="1"/>
  <c r="W147" i="27" s="1"/>
  <c r="V65" i="27"/>
  <c r="W111" i="27" s="1"/>
  <c r="W146" i="27" s="1"/>
  <c r="N65" i="27"/>
  <c r="N111" i="27" s="1"/>
  <c r="N146" i="27" s="1"/>
  <c r="N64" i="27"/>
  <c r="N110" i="27" s="1"/>
  <c r="N145" i="27" s="1"/>
  <c r="S63" i="27"/>
  <c r="O63" i="27"/>
  <c r="O52" i="27"/>
  <c r="H52" i="27"/>
  <c r="O51" i="27"/>
  <c r="H51" i="27"/>
  <c r="O50" i="27"/>
  <c r="H50" i="27"/>
  <c r="T48" i="27"/>
  <c r="N47" i="27"/>
  <c r="T46" i="27"/>
  <c r="N46" i="27"/>
  <c r="W43" i="27"/>
  <c r="N43" i="27"/>
  <c r="W42" i="27"/>
  <c r="N42" i="27"/>
  <c r="W41" i="27"/>
  <c r="N41" i="27"/>
  <c r="O36" i="27"/>
  <c r="P36" i="27" s="1"/>
  <c r="H36" i="27"/>
  <c r="O35" i="27"/>
  <c r="P35" i="27" s="1"/>
  <c r="H35" i="27"/>
  <c r="O34" i="27"/>
  <c r="P34" i="27" s="1"/>
  <c r="H34" i="27"/>
  <c r="O33" i="27"/>
  <c r="P33" i="27" s="1"/>
  <c r="H33" i="27"/>
  <c r="O32" i="27"/>
  <c r="P32" i="27" s="1"/>
  <c r="H32" i="27"/>
  <c r="O30" i="27"/>
  <c r="P30" i="27" s="1"/>
  <c r="H30" i="27"/>
  <c r="O29" i="27"/>
  <c r="P29" i="27" s="1"/>
  <c r="H29" i="27"/>
  <c r="O28" i="27"/>
  <c r="P28" i="27" s="1"/>
  <c r="H28" i="27"/>
  <c r="O27" i="27"/>
  <c r="P27" i="27" s="1"/>
  <c r="H27" i="27"/>
  <c r="O26" i="27"/>
  <c r="P26" i="27" s="1"/>
  <c r="H26" i="27"/>
  <c r="O25" i="27"/>
  <c r="P25" i="27" s="1"/>
  <c r="H25" i="27"/>
  <c r="O24" i="27"/>
  <c r="P24" i="27" s="1"/>
  <c r="H24" i="27"/>
  <c r="O23" i="27"/>
  <c r="P23" i="27" s="1"/>
  <c r="H23" i="27"/>
  <c r="V18" i="27"/>
  <c r="AA17" i="27"/>
  <c r="V17" i="27"/>
  <c r="L17" i="27"/>
  <c r="AA16" i="27"/>
  <c r="V16" i="27"/>
  <c r="L16" i="27"/>
  <c r="N68" i="27" s="1"/>
  <c r="N114" i="27" s="1"/>
  <c r="N149" i="27" s="1"/>
  <c r="N69" i="27" l="1"/>
  <c r="N115" i="27" s="1"/>
  <c r="N150" i="27" s="1"/>
  <c r="U103" i="27"/>
  <c r="Q135" i="27"/>
  <c r="U135" i="27" s="1"/>
  <c r="U108" i="27"/>
  <c r="Q133" i="27"/>
  <c r="U133" i="27" s="1"/>
  <c r="U104" i="27"/>
  <c r="Q138" i="27"/>
  <c r="U138" i="27" s="1"/>
  <c r="U109" i="27"/>
  <c r="G9" i="12"/>
  <c r="N58" i="18"/>
  <c r="N96" i="18" s="1"/>
  <c r="N131" i="18" s="1"/>
  <c r="J13" i="18" l="1"/>
  <c r="J12" i="18"/>
  <c r="J11" i="18"/>
  <c r="AP14" i="19" l="1"/>
  <c r="AQ14" i="19" s="1"/>
  <c r="AP15" i="19"/>
  <c r="AQ15" i="19" s="1"/>
  <c r="AP16" i="19"/>
  <c r="AP17" i="19"/>
  <c r="AQ17" i="19" s="1"/>
  <c r="AP18" i="19"/>
  <c r="AQ18" i="19" s="1"/>
  <c r="AP19" i="19"/>
  <c r="AQ19" i="19" s="1"/>
  <c r="AP20" i="19"/>
  <c r="AP21" i="19"/>
  <c r="AQ21" i="19" s="1"/>
  <c r="AP22" i="19"/>
  <c r="AQ22" i="19" s="1"/>
  <c r="AP23" i="19"/>
  <c r="AQ23" i="19" s="1"/>
  <c r="AP24" i="19"/>
  <c r="AP25" i="19"/>
  <c r="AQ25" i="19" s="1"/>
  <c r="AP26" i="19"/>
  <c r="AQ26" i="19" s="1"/>
  <c r="AP27" i="19"/>
  <c r="AQ27" i="19" s="1"/>
  <c r="AP28" i="19"/>
  <c r="AQ28" i="19" s="1"/>
  <c r="AP29" i="19"/>
  <c r="AQ29" i="19" s="1"/>
  <c r="AP30" i="19"/>
  <c r="AQ30" i="19" s="1"/>
  <c r="AP31" i="19"/>
  <c r="AQ31" i="19" s="1"/>
  <c r="AP32" i="19"/>
  <c r="AP33" i="19"/>
  <c r="AQ33" i="19" s="1"/>
  <c r="AP34" i="19"/>
  <c r="AQ34" i="19" s="1"/>
  <c r="AP35" i="19"/>
  <c r="AQ35" i="19" s="1"/>
  <c r="AP36" i="19"/>
  <c r="AQ36" i="19" s="1"/>
  <c r="AP37" i="19"/>
  <c r="AQ37" i="19" s="1"/>
  <c r="AP38" i="19"/>
  <c r="AQ38" i="19" s="1"/>
  <c r="AP39" i="19"/>
  <c r="AQ39" i="19" s="1"/>
  <c r="AP40" i="19"/>
  <c r="AP52" i="19"/>
  <c r="AQ52" i="19" s="1"/>
  <c r="AP53" i="19"/>
  <c r="AP54" i="19"/>
  <c r="AQ54" i="19" s="1"/>
  <c r="AQ16" i="19"/>
  <c r="AQ20" i="19"/>
  <c r="AQ24" i="19"/>
  <c r="AQ32" i="19"/>
  <c r="AQ40" i="19"/>
  <c r="AQ53" i="19"/>
  <c r="AP6" i="19"/>
  <c r="AQ6" i="19" s="1"/>
  <c r="AP7" i="19"/>
  <c r="AQ7" i="19" s="1"/>
  <c r="AP8" i="19"/>
  <c r="AQ8" i="19" s="1"/>
  <c r="AP9" i="19"/>
  <c r="AQ9" i="19" s="1"/>
  <c r="AP10" i="19"/>
  <c r="AQ10" i="19" s="1"/>
  <c r="AP11" i="19"/>
  <c r="AQ11" i="19" s="1"/>
  <c r="AP12" i="19"/>
  <c r="AQ12" i="19" s="1"/>
  <c r="AP13" i="19"/>
  <c r="AQ13" i="19" s="1"/>
  <c r="P5" i="19"/>
  <c r="AP5" i="19"/>
  <c r="T50" i="27" s="1"/>
  <c r="AQ5" i="19" l="1"/>
  <c r="AE9" i="12"/>
  <c r="AA9" i="12"/>
  <c r="AC9" i="12"/>
  <c r="AF9" i="12" l="1"/>
  <c r="AB9" i="12"/>
  <c r="AA77" i="18" s="1"/>
  <c r="AA105" i="18"/>
  <c r="AD9" i="12"/>
  <c r="AA78" i="18" s="1"/>
  <c r="AA106" i="18"/>
  <c r="W50" i="27"/>
  <c r="O37" i="27"/>
  <c r="P37" i="27" s="1"/>
  <c r="O38" i="27"/>
  <c r="P38" i="27" s="1"/>
  <c r="L22" i="8"/>
  <c r="L9" i="8"/>
  <c r="L8" i="8"/>
  <c r="AB105" i="18" l="1"/>
  <c r="Q105" i="18" s="1"/>
  <c r="AB77" i="18"/>
  <c r="Q77" i="18" s="1"/>
  <c r="AB78" i="18"/>
  <c r="Q78" i="18" s="1"/>
  <c r="AB106" i="18"/>
  <c r="Q106" i="18" s="1"/>
  <c r="S151" i="18"/>
  <c r="R78" i="18" l="1"/>
  <c r="S78" i="18" s="1"/>
  <c r="X78" i="18" s="1"/>
  <c r="T78" i="18"/>
  <c r="R77" i="18"/>
  <c r="S77" i="18" s="1"/>
  <c r="X77" i="18" s="1"/>
  <c r="T77" i="18"/>
  <c r="R105" i="18"/>
  <c r="T105" i="18"/>
  <c r="R106" i="18"/>
  <c r="T106" i="18"/>
  <c r="N151" i="9"/>
  <c r="W78" i="18" l="1"/>
  <c r="W77" i="18"/>
  <c r="S106" i="18"/>
  <c r="X106" i="18" s="1"/>
  <c r="W106" i="18"/>
  <c r="S105" i="18"/>
  <c r="X105" i="18" s="1"/>
  <c r="W105" i="18"/>
  <c r="P13" i="19"/>
  <c r="N86" i="9" l="1"/>
  <c r="N84" i="9"/>
  <c r="N83" i="9"/>
  <c r="N82" i="9"/>
  <c r="N80" i="9"/>
  <c r="N79" i="9"/>
  <c r="N77" i="9"/>
  <c r="N75" i="9"/>
  <c r="N74" i="9"/>
  <c r="N73" i="9"/>
  <c r="N71" i="9"/>
  <c r="N70" i="9"/>
  <c r="N67" i="9"/>
  <c r="N65" i="9"/>
  <c r="N64" i="9"/>
  <c r="N63" i="9"/>
  <c r="N61" i="9"/>
  <c r="G126" i="9"/>
  <c r="G9" i="22" l="1"/>
  <c r="U44" i="22" l="1"/>
  <c r="V44" i="22" s="1"/>
  <c r="T44" i="22"/>
  <c r="Q44" i="22"/>
  <c r="R44" i="22" s="1"/>
  <c r="P44" i="22"/>
  <c r="G44" i="22"/>
  <c r="U43" i="22"/>
  <c r="V43" i="22" s="1"/>
  <c r="T43" i="22"/>
  <c r="Q43" i="22"/>
  <c r="R43" i="22" s="1"/>
  <c r="P43" i="22"/>
  <c r="G43" i="22"/>
  <c r="U42" i="22"/>
  <c r="V42" i="22" s="1"/>
  <c r="T42" i="22"/>
  <c r="Q42" i="22"/>
  <c r="R42" i="22" s="1"/>
  <c r="P42" i="22"/>
  <c r="G42" i="22"/>
  <c r="U41" i="22"/>
  <c r="V41" i="22" s="1"/>
  <c r="T41" i="22"/>
  <c r="Q41" i="22"/>
  <c r="R41" i="22" s="1"/>
  <c r="P41" i="22"/>
  <c r="G41" i="22"/>
  <c r="U40" i="22"/>
  <c r="V40" i="22" s="1"/>
  <c r="T40" i="22"/>
  <c r="Q40" i="22"/>
  <c r="R40" i="22" s="1"/>
  <c r="P40" i="22"/>
  <c r="G40" i="22"/>
  <c r="U39" i="22"/>
  <c r="V39" i="22" s="1"/>
  <c r="T39" i="22"/>
  <c r="Q39" i="22"/>
  <c r="R39" i="22" s="1"/>
  <c r="P39" i="22"/>
  <c r="G39" i="22"/>
  <c r="U38" i="22"/>
  <c r="T38" i="22"/>
  <c r="F73" i="29" s="1"/>
  <c r="Q38" i="22"/>
  <c r="P38" i="22"/>
  <c r="F69" i="29" s="1"/>
  <c r="G38" i="22"/>
  <c r="U37" i="22"/>
  <c r="T37" i="22"/>
  <c r="Q37" i="22"/>
  <c r="P37" i="22"/>
  <c r="G37" i="22"/>
  <c r="U36" i="22"/>
  <c r="T36" i="22"/>
  <c r="Q36" i="22"/>
  <c r="P36" i="22"/>
  <c r="G36" i="22"/>
  <c r="U35" i="22"/>
  <c r="T35" i="22"/>
  <c r="Q35" i="22"/>
  <c r="P35" i="22"/>
  <c r="G35" i="22"/>
  <c r="U34" i="22"/>
  <c r="T34" i="22"/>
  <c r="Q34" i="22"/>
  <c r="P34" i="22"/>
  <c r="G34" i="22"/>
  <c r="U33" i="22"/>
  <c r="T33" i="22"/>
  <c r="Q33" i="22"/>
  <c r="P33" i="22"/>
  <c r="G33" i="22"/>
  <c r="U32" i="22"/>
  <c r="T32" i="22"/>
  <c r="Q32" i="22"/>
  <c r="P32" i="22"/>
  <c r="G32" i="22"/>
  <c r="U31" i="22"/>
  <c r="T31" i="22"/>
  <c r="Q31" i="22"/>
  <c r="P31" i="22"/>
  <c r="G31" i="22"/>
  <c r="U30" i="22"/>
  <c r="T30" i="22"/>
  <c r="Q30" i="22"/>
  <c r="P30" i="22"/>
  <c r="G30" i="22"/>
  <c r="U29" i="22"/>
  <c r="T29" i="22"/>
  <c r="Q29" i="22"/>
  <c r="P29" i="22"/>
  <c r="G29" i="22"/>
  <c r="U28" i="22"/>
  <c r="T28" i="22"/>
  <c r="Q28" i="22"/>
  <c r="P28" i="22"/>
  <c r="G28" i="22"/>
  <c r="U27" i="22"/>
  <c r="V27" i="22" s="1"/>
  <c r="T27" i="22"/>
  <c r="Q27" i="22"/>
  <c r="R27" i="22" s="1"/>
  <c r="P27" i="22"/>
  <c r="U26" i="22"/>
  <c r="T26" i="22"/>
  <c r="Q26" i="22"/>
  <c r="P26" i="22"/>
  <c r="G26" i="22"/>
  <c r="U25" i="22"/>
  <c r="T25" i="22"/>
  <c r="Q25" i="22"/>
  <c r="P25" i="22"/>
  <c r="G25" i="22"/>
  <c r="U24" i="22"/>
  <c r="T24" i="22"/>
  <c r="Q24" i="22"/>
  <c r="P24" i="22"/>
  <c r="G24" i="22"/>
  <c r="U23" i="22"/>
  <c r="T23" i="22"/>
  <c r="Q23" i="22"/>
  <c r="P23" i="22"/>
  <c r="G23" i="22"/>
  <c r="U22" i="22"/>
  <c r="T22" i="22"/>
  <c r="Q22" i="22"/>
  <c r="P22" i="22"/>
  <c r="G22" i="22"/>
  <c r="U21" i="22"/>
  <c r="T21" i="22"/>
  <c r="Q21" i="22"/>
  <c r="P21" i="22"/>
  <c r="G21" i="22"/>
  <c r="U20" i="22"/>
  <c r="T20" i="22"/>
  <c r="Q20" i="22"/>
  <c r="P20" i="22"/>
  <c r="G20" i="22"/>
  <c r="U19" i="22"/>
  <c r="T19" i="22"/>
  <c r="Q19" i="22"/>
  <c r="P19" i="22"/>
  <c r="G19" i="22"/>
  <c r="U18" i="22"/>
  <c r="T18" i="22"/>
  <c r="Q18" i="22"/>
  <c r="P18" i="22"/>
  <c r="G18" i="22"/>
  <c r="U17" i="22"/>
  <c r="T17" i="22"/>
  <c r="Q17" i="22"/>
  <c r="P17" i="22"/>
  <c r="G17" i="22"/>
  <c r="U16" i="22"/>
  <c r="T16" i="22"/>
  <c r="Q16" i="22"/>
  <c r="P16" i="22"/>
  <c r="G16" i="22"/>
  <c r="U15" i="22"/>
  <c r="T15" i="22"/>
  <c r="Q15" i="22"/>
  <c r="P15" i="22"/>
  <c r="G15" i="22"/>
  <c r="U14" i="22"/>
  <c r="T14" i="22"/>
  <c r="Q14" i="22"/>
  <c r="P14" i="22"/>
  <c r="G14" i="22"/>
  <c r="U13" i="22"/>
  <c r="T13" i="22"/>
  <c r="Q13" i="22"/>
  <c r="P13" i="22"/>
  <c r="G13" i="22"/>
  <c r="U12" i="22"/>
  <c r="T12" i="22"/>
  <c r="Q12" i="22"/>
  <c r="P12" i="22"/>
  <c r="G12" i="22"/>
  <c r="U11" i="22"/>
  <c r="T11" i="22"/>
  <c r="Q11" i="22"/>
  <c r="P11" i="22"/>
  <c r="G11" i="22"/>
  <c r="U10" i="22"/>
  <c r="T10" i="22"/>
  <c r="Q10" i="22"/>
  <c r="P10" i="22"/>
  <c r="G10" i="22"/>
  <c r="U9" i="22"/>
  <c r="V9" i="22" s="1"/>
  <c r="T9" i="22"/>
  <c r="Q9" i="22"/>
  <c r="R9" i="22" s="1"/>
  <c r="P9" i="22"/>
  <c r="U8" i="22"/>
  <c r="T8" i="22"/>
  <c r="Q8" i="22"/>
  <c r="P8" i="22"/>
  <c r="G8" i="22"/>
  <c r="U7" i="22"/>
  <c r="T7" i="22"/>
  <c r="Q7" i="22"/>
  <c r="P7" i="22"/>
  <c r="G7" i="22"/>
  <c r="U6" i="22"/>
  <c r="T6" i="22"/>
  <c r="Q6" i="22"/>
  <c r="P6" i="22"/>
  <c r="G6" i="22"/>
  <c r="U5" i="22"/>
  <c r="T5" i="22"/>
  <c r="Q5" i="22"/>
  <c r="P5" i="22"/>
  <c r="G5" i="22"/>
  <c r="V5" i="22" s="1"/>
  <c r="P91" i="18"/>
  <c r="P120" i="18" s="1"/>
  <c r="P90" i="18"/>
  <c r="P119" i="18" s="1"/>
  <c r="P88" i="18"/>
  <c r="P117" i="18" s="1"/>
  <c r="P86" i="18"/>
  <c r="P115" i="18" s="1"/>
  <c r="P85" i="18"/>
  <c r="P114" i="18" s="1"/>
  <c r="O91" i="18"/>
  <c r="O120" i="18" s="1"/>
  <c r="O90" i="18"/>
  <c r="O119" i="18" s="1"/>
  <c r="O88" i="18"/>
  <c r="O117" i="18" s="1"/>
  <c r="O86" i="18"/>
  <c r="O115" i="18" s="1"/>
  <c r="O85" i="18"/>
  <c r="O114" i="18" s="1"/>
  <c r="O82" i="18"/>
  <c r="O111" i="18" s="1"/>
  <c r="P77" i="18"/>
  <c r="P106" i="18" s="1"/>
  <c r="P78" i="18"/>
  <c r="P107" i="18" s="1"/>
  <c r="P79" i="18"/>
  <c r="P108" i="18" s="1"/>
  <c r="P80" i="18"/>
  <c r="P109" i="18" s="1"/>
  <c r="P81" i="18"/>
  <c r="P110" i="18" s="1"/>
  <c r="P82" i="18"/>
  <c r="P111" i="18" s="1"/>
  <c r="P76" i="18"/>
  <c r="P105" i="18" s="1"/>
  <c r="O78" i="18"/>
  <c r="O107" i="18" s="1"/>
  <c r="O79" i="18"/>
  <c r="O108" i="18" s="1"/>
  <c r="O80" i="18"/>
  <c r="O109" i="18" s="1"/>
  <c r="O81" i="18"/>
  <c r="O110" i="18" s="1"/>
  <c r="O77" i="18"/>
  <c r="O106" i="18" s="1"/>
  <c r="O76" i="18"/>
  <c r="O105" i="18" s="1"/>
  <c r="F158" i="18"/>
  <c r="F155" i="18"/>
  <c r="N3" i="4"/>
  <c r="H91" i="18"/>
  <c r="H120" i="18" s="1"/>
  <c r="H90" i="18"/>
  <c r="H119" i="18" s="1"/>
  <c r="H89" i="18"/>
  <c r="H118" i="18" s="1"/>
  <c r="H88" i="18"/>
  <c r="H117" i="18" s="1"/>
  <c r="H86" i="18"/>
  <c r="H115" i="18" s="1"/>
  <c r="H85" i="18"/>
  <c r="H114" i="18" s="1"/>
  <c r="H80" i="18"/>
  <c r="H109" i="18" s="1"/>
  <c r="H81" i="18"/>
  <c r="H110" i="18" s="1"/>
  <c r="H82" i="18"/>
  <c r="H111" i="18" s="1"/>
  <c r="H79" i="18"/>
  <c r="H108" i="18" s="1"/>
  <c r="H78" i="18"/>
  <c r="H107" i="18" s="1"/>
  <c r="H77" i="18"/>
  <c r="H106" i="18" s="1"/>
  <c r="H76" i="18"/>
  <c r="H105" i="18" s="1"/>
  <c r="R29" i="22" l="1"/>
  <c r="V29" i="22"/>
  <c r="R31" i="22"/>
  <c r="V31" i="22"/>
  <c r="R33" i="22"/>
  <c r="V33" i="22"/>
  <c r="R35" i="22"/>
  <c r="V35" i="22"/>
  <c r="R37" i="22"/>
  <c r="V37" i="22"/>
  <c r="R28" i="22"/>
  <c r="V28" i="22"/>
  <c r="R30" i="22"/>
  <c r="V30" i="22"/>
  <c r="R32" i="22"/>
  <c r="V32" i="22"/>
  <c r="R34" i="22"/>
  <c r="V34" i="22"/>
  <c r="R36" i="22"/>
  <c r="V36" i="22"/>
  <c r="R38" i="22"/>
  <c r="L69" i="29" s="1"/>
  <c r="V38" i="22"/>
  <c r="L73" i="29" s="1"/>
  <c r="F158" i="29"/>
  <c r="F171" i="27"/>
  <c r="R6" i="22"/>
  <c r="V6" i="22"/>
  <c r="R8" i="22"/>
  <c r="V8" i="22"/>
  <c r="R11" i="22"/>
  <c r="V11" i="22"/>
  <c r="R13" i="22"/>
  <c r="V13" i="22"/>
  <c r="R15" i="22"/>
  <c r="V15" i="22"/>
  <c r="R17" i="22"/>
  <c r="V17" i="22"/>
  <c r="R19" i="22"/>
  <c r="V19" i="22"/>
  <c r="R21" i="22"/>
  <c r="V21" i="22"/>
  <c r="R23" i="22"/>
  <c r="V23" i="22"/>
  <c r="R25" i="22"/>
  <c r="V25" i="22"/>
  <c r="R7" i="22"/>
  <c r="V7" i="22"/>
  <c r="R10" i="22"/>
  <c r="V10" i="22"/>
  <c r="R12" i="22"/>
  <c r="V12" i="22"/>
  <c r="R14" i="22"/>
  <c r="V14" i="22"/>
  <c r="R16" i="22"/>
  <c r="V16" i="22"/>
  <c r="R18" i="22"/>
  <c r="V18" i="22"/>
  <c r="R20" i="22"/>
  <c r="V20" i="22"/>
  <c r="R22" i="22"/>
  <c r="V22" i="22"/>
  <c r="R24" i="22"/>
  <c r="V24" i="22"/>
  <c r="R26" i="22"/>
  <c r="V26" i="22"/>
  <c r="R5" i="22"/>
  <c r="N54" i="18"/>
  <c r="U38" i="19"/>
  <c r="T38" i="19"/>
  <c r="U37" i="19"/>
  <c r="T37" i="19"/>
  <c r="U36" i="19"/>
  <c r="T36" i="19"/>
  <c r="U35" i="19"/>
  <c r="T35" i="19"/>
  <c r="U34" i="19"/>
  <c r="T34" i="19"/>
  <c r="U33" i="19"/>
  <c r="T33" i="19"/>
  <c r="U32" i="19"/>
  <c r="T32" i="19"/>
  <c r="U31" i="19"/>
  <c r="T31" i="19"/>
  <c r="U30" i="19"/>
  <c r="T30" i="19"/>
  <c r="U29" i="19"/>
  <c r="T29" i="19"/>
  <c r="U28" i="19"/>
  <c r="T28" i="19"/>
  <c r="U27" i="19"/>
  <c r="T27" i="19"/>
  <c r="U26" i="19"/>
  <c r="T26" i="19"/>
  <c r="U25" i="19"/>
  <c r="T25" i="19"/>
  <c r="U24" i="19"/>
  <c r="T24" i="19"/>
  <c r="U23" i="19"/>
  <c r="T23" i="19"/>
  <c r="U22" i="19"/>
  <c r="T22" i="19"/>
  <c r="U21" i="19"/>
  <c r="T21" i="19"/>
  <c r="U20" i="19"/>
  <c r="T20" i="19"/>
  <c r="U19" i="19"/>
  <c r="T19" i="19"/>
  <c r="U18" i="19"/>
  <c r="T18" i="19"/>
  <c r="U17" i="19"/>
  <c r="T17" i="19"/>
  <c r="U16" i="19"/>
  <c r="T16" i="19"/>
  <c r="U15" i="19"/>
  <c r="T15" i="19"/>
  <c r="U14" i="19"/>
  <c r="T14" i="19"/>
  <c r="U13" i="19"/>
  <c r="T13" i="19"/>
  <c r="U12" i="19"/>
  <c r="T12" i="19"/>
  <c r="U11" i="19"/>
  <c r="T11" i="19"/>
  <c r="U10" i="19"/>
  <c r="T10" i="19"/>
  <c r="U9" i="19"/>
  <c r="V9" i="19" s="1"/>
  <c r="T9" i="19"/>
  <c r="U8" i="19"/>
  <c r="T8" i="19"/>
  <c r="U7" i="19"/>
  <c r="T7" i="19"/>
  <c r="U6" i="19"/>
  <c r="T6" i="19"/>
  <c r="U5" i="19"/>
  <c r="P156" i="27" s="1"/>
  <c r="T5" i="19"/>
  <c r="Q6" i="19"/>
  <c r="Q7" i="19"/>
  <c r="Q8" i="19"/>
  <c r="Q9" i="19"/>
  <c r="R9" i="19" s="1"/>
  <c r="Q10" i="19"/>
  <c r="Q11" i="19"/>
  <c r="Q12" i="19"/>
  <c r="Q13" i="19"/>
  <c r="Q14" i="19"/>
  <c r="Q15" i="19"/>
  <c r="Q16" i="19"/>
  <c r="Q17" i="19"/>
  <c r="Q18" i="19"/>
  <c r="Q19" i="19"/>
  <c r="Q20" i="19"/>
  <c r="Q21" i="19"/>
  <c r="Q22" i="19"/>
  <c r="Q23" i="19"/>
  <c r="Q24" i="19"/>
  <c r="Q25" i="19"/>
  <c r="Q26" i="19"/>
  <c r="Q27" i="19"/>
  <c r="Q28" i="19"/>
  <c r="Q29" i="19"/>
  <c r="Q30" i="19"/>
  <c r="Q31" i="19"/>
  <c r="Q32" i="19"/>
  <c r="Q33" i="19"/>
  <c r="Q34" i="19"/>
  <c r="Q35" i="19"/>
  <c r="Q36" i="19"/>
  <c r="Q37" i="19"/>
  <c r="Q38" i="19"/>
  <c r="Q5" i="19"/>
  <c r="F83" i="27" s="1"/>
  <c r="M23" i="4"/>
  <c r="P6" i="19"/>
  <c r="P7" i="19"/>
  <c r="P8" i="19"/>
  <c r="P9" i="19"/>
  <c r="P10" i="19"/>
  <c r="P11" i="19"/>
  <c r="P12" i="19"/>
  <c r="P14" i="19"/>
  <c r="P15" i="19"/>
  <c r="P16" i="19"/>
  <c r="P17" i="19"/>
  <c r="P18" i="19"/>
  <c r="P19" i="19"/>
  <c r="P20" i="19"/>
  <c r="P21" i="19"/>
  <c r="P22" i="19"/>
  <c r="P23" i="19"/>
  <c r="P24" i="19"/>
  <c r="P25" i="19"/>
  <c r="P26" i="19"/>
  <c r="P27" i="19"/>
  <c r="P28" i="19"/>
  <c r="P29" i="19"/>
  <c r="P30" i="19"/>
  <c r="P31" i="19"/>
  <c r="P32" i="19"/>
  <c r="P33" i="19"/>
  <c r="P34" i="19"/>
  <c r="P35" i="19"/>
  <c r="P36" i="19"/>
  <c r="P37" i="19"/>
  <c r="P38" i="19"/>
  <c r="F66" i="18" l="1"/>
  <c r="N92" i="18"/>
  <c r="N127" i="18" s="1"/>
  <c r="R166" i="27"/>
  <c r="S58" i="27"/>
  <c r="F70" i="18"/>
  <c r="H156" i="27"/>
  <c r="R38" i="19"/>
  <c r="V37" i="19"/>
  <c r="R36" i="19"/>
  <c r="V35" i="19"/>
  <c r="V34" i="19"/>
  <c r="V33" i="19"/>
  <c r="R32" i="19"/>
  <c r="V31" i="19"/>
  <c r="V30" i="19"/>
  <c r="V29" i="19"/>
  <c r="R28" i="19"/>
  <c r="R27" i="19"/>
  <c r="R26" i="19"/>
  <c r="R25" i="19"/>
  <c r="R24" i="19"/>
  <c r="V23" i="19"/>
  <c r="R22" i="19"/>
  <c r="R21" i="19"/>
  <c r="R20" i="19"/>
  <c r="V19" i="19"/>
  <c r="R18" i="19"/>
  <c r="R17" i="19"/>
  <c r="R16" i="19"/>
  <c r="V15" i="19"/>
  <c r="R14" i="19"/>
  <c r="R13" i="19"/>
  <c r="R12" i="19"/>
  <c r="V11" i="19"/>
  <c r="R10" i="19"/>
  <c r="R8" i="19"/>
  <c r="V7" i="19"/>
  <c r="R6" i="19"/>
  <c r="G5" i="19"/>
  <c r="V5" i="19" s="1"/>
  <c r="S53" i="18"/>
  <c r="S48" i="18"/>
  <c r="M24" i="4"/>
  <c r="S50" i="29" s="1"/>
  <c r="V32" i="19" l="1"/>
  <c r="R30" i="19"/>
  <c r="V27" i="19"/>
  <c r="V36" i="19"/>
  <c r="V38" i="19"/>
  <c r="R31" i="19"/>
  <c r="R37" i="19"/>
  <c r="R29" i="19"/>
  <c r="R33" i="19"/>
  <c r="V28" i="19"/>
  <c r="R34" i="19"/>
  <c r="R35" i="19"/>
  <c r="Q17" i="18"/>
  <c r="V26" i="19"/>
  <c r="V24" i="19"/>
  <c r="V22" i="19"/>
  <c r="V20" i="19"/>
  <c r="V18" i="19"/>
  <c r="V16" i="19"/>
  <c r="V14" i="19"/>
  <c r="V12" i="19"/>
  <c r="V10" i="19"/>
  <c r="R11" i="19"/>
  <c r="R15" i="19"/>
  <c r="R19" i="19"/>
  <c r="R23" i="19"/>
  <c r="V8" i="19"/>
  <c r="V6" i="19"/>
  <c r="V25" i="19"/>
  <c r="V21" i="19"/>
  <c r="V17" i="19"/>
  <c r="V13" i="19"/>
  <c r="R7" i="19"/>
  <c r="V23" i="27"/>
  <c r="V35" i="27"/>
  <c r="V33" i="27"/>
  <c r="V28" i="27"/>
  <c r="V24" i="27"/>
  <c r="V36" i="27"/>
  <c r="V34" i="27"/>
  <c r="V32" i="27"/>
  <c r="V29" i="27"/>
  <c r="V27" i="27"/>
  <c r="V25" i="27"/>
  <c r="L70" i="18"/>
  <c r="H157" i="27"/>
  <c r="V30" i="27"/>
  <c r="V26" i="27"/>
  <c r="R5" i="19"/>
  <c r="K2" i="12"/>
  <c r="AT1" i="12" s="1"/>
  <c r="AM9" i="12"/>
  <c r="AK9" i="12"/>
  <c r="AI9" i="12"/>
  <c r="AG9" i="12"/>
  <c r="AC3" i="12"/>
  <c r="J2" i="12"/>
  <c r="AE3" i="12"/>
  <c r="AG3" i="12"/>
  <c r="AI3" i="12"/>
  <c r="AK3" i="12"/>
  <c r="AM3" i="12"/>
  <c r="AM2" i="12"/>
  <c r="AK2" i="12"/>
  <c r="AI2" i="12"/>
  <c r="AG2" i="12"/>
  <c r="AE2" i="12"/>
  <c r="AC2" i="12"/>
  <c r="AA3" i="12" l="1"/>
  <c r="AS1" i="12"/>
  <c r="AA79" i="18"/>
  <c r="AB79" i="18" s="1"/>
  <c r="Q79" i="18" s="1"/>
  <c r="AA107" i="18"/>
  <c r="AB107" i="18" s="1"/>
  <c r="Q107" i="18" s="1"/>
  <c r="AN9" i="12"/>
  <c r="AH9" i="12"/>
  <c r="AA80" i="18" s="1"/>
  <c r="AA108" i="18"/>
  <c r="AJ9" i="12"/>
  <c r="AA81" i="18" s="1"/>
  <c r="AA109" i="18"/>
  <c r="AL9" i="12"/>
  <c r="AA82" i="18" s="1"/>
  <c r="AA110" i="18"/>
  <c r="L66" i="18"/>
  <c r="Q124" i="27"/>
  <c r="T124" i="27" s="1"/>
  <c r="U124" i="27" s="1"/>
  <c r="Q95" i="27"/>
  <c r="T95" i="27" s="1"/>
  <c r="U95" i="27" s="1"/>
  <c r="Q94" i="27"/>
  <c r="Q123" i="27"/>
  <c r="Q96" i="27"/>
  <c r="Q125" i="27"/>
  <c r="AA2" i="12"/>
  <c r="T107" i="18" l="1"/>
  <c r="R107" i="18"/>
  <c r="S107" i="18" s="1"/>
  <c r="X107" i="18" s="1"/>
  <c r="R79" i="18"/>
  <c r="T79" i="18"/>
  <c r="AB110" i="18"/>
  <c r="Q110" i="18" s="1"/>
  <c r="AB109" i="18"/>
  <c r="Q109" i="18" s="1"/>
  <c r="AB108" i="18"/>
  <c r="Q108" i="18" s="1"/>
  <c r="Q111" i="18"/>
  <c r="AB82" i="18"/>
  <c r="Q82" i="18" s="1"/>
  <c r="AB81" i="18"/>
  <c r="Q81" i="18" s="1"/>
  <c r="AB80" i="18"/>
  <c r="Q80" i="18" s="1"/>
  <c r="Q129" i="27"/>
  <c r="T129" i="27" s="1"/>
  <c r="U129" i="27" s="1"/>
  <c r="R124" i="27"/>
  <c r="S124" i="27" s="1"/>
  <c r="R95" i="27"/>
  <c r="S95" i="27" s="1"/>
  <c r="Q127" i="27"/>
  <c r="T127" i="27" s="1"/>
  <c r="U127" i="27" s="1"/>
  <c r="Q126" i="27"/>
  <c r="T126" i="27" s="1"/>
  <c r="U126" i="27" s="1"/>
  <c r="Q98" i="27"/>
  <c r="T98" i="27" s="1"/>
  <c r="U98" i="27" s="1"/>
  <c r="Q97" i="27"/>
  <c r="R97" i="27" s="1"/>
  <c r="S97" i="27" s="1"/>
  <c r="T94" i="27"/>
  <c r="U94" i="27" s="1"/>
  <c r="R94" i="27"/>
  <c r="S94" i="27" s="1"/>
  <c r="Q128" i="27"/>
  <c r="R128" i="27" s="1"/>
  <c r="S128" i="27" s="1"/>
  <c r="Q100" i="27"/>
  <c r="Q99" i="27"/>
  <c r="R99" i="27" s="1"/>
  <c r="S99" i="27" s="1"/>
  <c r="R125" i="27"/>
  <c r="S125" i="27" s="1"/>
  <c r="T125" i="27"/>
  <c r="U125" i="27" s="1"/>
  <c r="R123" i="27"/>
  <c r="S123" i="27" s="1"/>
  <c r="T123" i="27"/>
  <c r="U123" i="27" s="1"/>
  <c r="T96" i="27"/>
  <c r="U96" i="27" s="1"/>
  <c r="R96" i="27"/>
  <c r="S96" i="27" s="1"/>
  <c r="W4" i="12"/>
  <c r="V4" i="12"/>
  <c r="U4" i="12"/>
  <c r="T4" i="12"/>
  <c r="K4" i="12"/>
  <c r="J4" i="12"/>
  <c r="W107" i="18" l="1"/>
  <c r="S79" i="18"/>
  <c r="X79" i="18" s="1"/>
  <c r="W79" i="18"/>
  <c r="R81" i="18"/>
  <c r="S81" i="18" s="1"/>
  <c r="X81" i="18" s="1"/>
  <c r="T81" i="18"/>
  <c r="T111" i="18"/>
  <c r="R111" i="18"/>
  <c r="T109" i="18"/>
  <c r="R109" i="18"/>
  <c r="R80" i="18"/>
  <c r="S80" i="18" s="1"/>
  <c r="X80" i="18" s="1"/>
  <c r="T80" i="18"/>
  <c r="R82" i="18"/>
  <c r="S82" i="18" s="1"/>
  <c r="X82" i="18" s="1"/>
  <c r="T82" i="18"/>
  <c r="R108" i="18"/>
  <c r="T108" i="18"/>
  <c r="R110" i="18"/>
  <c r="T110" i="18"/>
  <c r="W80" i="18"/>
  <c r="R129" i="27"/>
  <c r="S129" i="27" s="1"/>
  <c r="R127" i="27"/>
  <c r="S127" i="27" s="1"/>
  <c r="R126" i="27"/>
  <c r="S126" i="27" s="1"/>
  <c r="T97" i="27"/>
  <c r="U97" i="27" s="1"/>
  <c r="R98" i="27"/>
  <c r="S98" i="27" s="1"/>
  <c r="T99" i="27"/>
  <c r="U99" i="27" s="1"/>
  <c r="T128" i="27"/>
  <c r="U128" i="27" s="1"/>
  <c r="T100" i="27"/>
  <c r="U100" i="27" s="1"/>
  <c r="R100" i="27"/>
  <c r="S100" i="27" s="1"/>
  <c r="N35" i="27"/>
  <c r="N33" i="27"/>
  <c r="N32" i="27"/>
  <c r="N34" i="27"/>
  <c r="N36" i="27"/>
  <c r="N30" i="27"/>
  <c r="N24" i="27"/>
  <c r="N26" i="27"/>
  <c r="N28" i="27"/>
  <c r="N25" i="27"/>
  <c r="N27" i="27"/>
  <c r="N29" i="27"/>
  <c r="N23" i="27"/>
  <c r="AA4" i="12"/>
  <c r="AE4" i="12"/>
  <c r="AI4" i="12"/>
  <c r="AM4" i="12"/>
  <c r="AC4" i="12"/>
  <c r="AG4" i="12"/>
  <c r="AK4" i="12"/>
  <c r="N58" i="9"/>
  <c r="N220" i="9"/>
  <c r="N219" i="9"/>
  <c r="N218" i="9"/>
  <c r="N217" i="9"/>
  <c r="N216" i="9"/>
  <c r="N215" i="9"/>
  <c r="N214" i="9"/>
  <c r="N213" i="9"/>
  <c r="N212" i="9"/>
  <c r="N211" i="9"/>
  <c r="W82" i="18" l="1"/>
  <c r="W81" i="18"/>
  <c r="S110" i="18"/>
  <c r="X110" i="18" s="1"/>
  <c r="W110" i="18"/>
  <c r="S108" i="18"/>
  <c r="X108" i="18" s="1"/>
  <c r="W108" i="18"/>
  <c r="S109" i="18"/>
  <c r="X109" i="18" s="1"/>
  <c r="W109" i="18"/>
  <c r="S111" i="18"/>
  <c r="X111" i="18" s="1"/>
  <c r="W111" i="18"/>
  <c r="N172" i="9"/>
  <c r="N154" i="9"/>
  <c r="N178" i="9"/>
  <c r="N176" i="9"/>
  <c r="N175" i="9"/>
  <c r="N174" i="9"/>
  <c r="N171" i="9"/>
  <c r="N169" i="9"/>
  <c r="N167" i="9"/>
  <c r="N166" i="9"/>
  <c r="N165" i="9"/>
  <c r="N68" i="9"/>
  <c r="N160" i="9" s="1"/>
  <c r="N159" i="9"/>
  <c r="N163" i="9" l="1"/>
  <c r="N162" i="9"/>
  <c r="N156" i="9"/>
  <c r="N155" i="9"/>
  <c r="N153" i="9"/>
  <c r="N152" i="9"/>
  <c r="N150" i="9"/>
  <c r="N157" i="9"/>
  <c r="G123" i="9"/>
  <c r="N187" i="9"/>
  <c r="N94" i="9"/>
  <c r="L14" i="8" l="1"/>
  <c r="L13" i="8"/>
  <c r="L12" i="8"/>
  <c r="L11" i="8"/>
  <c r="L10" i="8"/>
  <c r="J16" i="8"/>
  <c r="J19" i="8" s="1"/>
</calcChain>
</file>

<file path=xl/sharedStrings.xml><?xml version="1.0" encoding="utf-8"?>
<sst xmlns="http://schemas.openxmlformats.org/spreadsheetml/2006/main" count="6463" uniqueCount="3060">
  <si>
    <t>Nama PKBM</t>
  </si>
  <si>
    <t>:</t>
  </si>
  <si>
    <t>SWASTA</t>
  </si>
  <si>
    <t>Kelurahan</t>
  </si>
  <si>
    <t>Kecamatan</t>
  </si>
  <si>
    <t>Kabupaten</t>
  </si>
  <si>
    <t>Provinsi</t>
  </si>
  <si>
    <t>Tahun Pelajaran</t>
  </si>
  <si>
    <t>Website</t>
  </si>
  <si>
    <t>Twitter</t>
  </si>
  <si>
    <t>Tgl Bagi Raport 1</t>
  </si>
  <si>
    <t>Tanggal</t>
  </si>
  <si>
    <t>Bulan</t>
  </si>
  <si>
    <t>Tahun</t>
  </si>
  <si>
    <t>Tempat</t>
  </si>
  <si>
    <t>Catatan</t>
  </si>
  <si>
    <t>Tgl Bagi Raport 2</t>
  </si>
  <si>
    <t>DATA SEKOLAH</t>
  </si>
  <si>
    <t>Nama Pondok</t>
  </si>
  <si>
    <t>PKBM GENERASI BANGSA</t>
  </si>
  <si>
    <t xml:space="preserve">Alamat </t>
  </si>
  <si>
    <t>Status  :</t>
  </si>
  <si>
    <t>Limbangan Wetan</t>
  </si>
  <si>
    <t>Brebes</t>
  </si>
  <si>
    <t>Jawa Tengah</t>
  </si>
  <si>
    <t>Telepon :</t>
  </si>
  <si>
    <t>0822-4264-7384</t>
  </si>
  <si>
    <t>Nama Pimpinan Pondok</t>
  </si>
  <si>
    <t>Nama Kepala Pengajaran</t>
  </si>
  <si>
    <t>Nama Kepala PKBM</t>
  </si>
  <si>
    <t>Kelas</t>
  </si>
  <si>
    <t>DATA KELAS</t>
  </si>
  <si>
    <t>Nama Wali kelas</t>
  </si>
  <si>
    <t>E-mail</t>
  </si>
  <si>
    <t>Facebook, Instagram</t>
  </si>
  <si>
    <t>Youtube Channel</t>
  </si>
  <si>
    <t>P1781946</t>
  </si>
  <si>
    <t>1212 3322 0005</t>
  </si>
  <si>
    <t>NSPP , NSS, NPSN</t>
  </si>
  <si>
    <t>NO</t>
  </si>
  <si>
    <t>NAMA PERTA DIDIK</t>
  </si>
  <si>
    <t>NISN</t>
  </si>
  <si>
    <t>JK</t>
  </si>
  <si>
    <t>TEMPAT LAHIR</t>
  </si>
  <si>
    <t>TGL LAHIR</t>
  </si>
  <si>
    <t>ANAK KE</t>
  </si>
  <si>
    <t>STATUS DALAM KELUARGA</t>
  </si>
  <si>
    <t>ALAMAT PERTA DIDIK</t>
  </si>
  <si>
    <t>DITERIMA DI SEKOLAH INI</t>
  </si>
  <si>
    <t>SEKOLAH ASAL</t>
  </si>
  <si>
    <t>IJAZAH</t>
  </si>
  <si>
    <t>NAMA ORANG TUA</t>
  </si>
  <si>
    <t>ALAMAT ORANG TUA</t>
  </si>
  <si>
    <t>NO TELP ORTU</t>
  </si>
  <si>
    <t>PEKERJAAN ORTU</t>
  </si>
  <si>
    <t>WALI PERTA DIDIK</t>
  </si>
  <si>
    <t>DI KELAS</t>
  </si>
  <si>
    <t>TANGAL</t>
  </si>
  <si>
    <t>NAMA SEKOLAH</t>
  </si>
  <si>
    <t>ALAMAT</t>
  </si>
  <si>
    <t>TAHUN</t>
  </si>
  <si>
    <t>NOMOR</t>
  </si>
  <si>
    <t>AYAH</t>
  </si>
  <si>
    <t>IBU</t>
  </si>
  <si>
    <t>NAMA</t>
  </si>
  <si>
    <t>TELEPON</t>
  </si>
  <si>
    <t>JENIS</t>
  </si>
  <si>
    <t>SEMESTER/TINGKATAN</t>
  </si>
  <si>
    <t>SETARA KELAS 7</t>
  </si>
  <si>
    <t>No</t>
  </si>
  <si>
    <t>Mata Pelajaran</t>
  </si>
  <si>
    <t>SKK</t>
  </si>
  <si>
    <t>KKM</t>
  </si>
  <si>
    <t>Kelompok Umum</t>
  </si>
  <si>
    <t>Pendidikan Agama</t>
  </si>
  <si>
    <t>Bahasa Indonesia</t>
  </si>
  <si>
    <t>Bahasa Inggris</t>
  </si>
  <si>
    <t>Matematika</t>
  </si>
  <si>
    <t>Ilmu Pengetahuan Alam</t>
  </si>
  <si>
    <t>Ilmu Pengetahuan Sosial</t>
  </si>
  <si>
    <t xml:space="preserve">Kelompok Khusus </t>
  </si>
  <si>
    <t>a. Keterampilan Wajib</t>
  </si>
  <si>
    <t>PENGATURAN SKK (Jumlah Jam) &amp; KKM</t>
  </si>
  <si>
    <t>PELAJARAN PKBM - (KONVERSI DARI PELAJARAN PONDOK)</t>
  </si>
  <si>
    <t>PENGATURAN KKM</t>
  </si>
  <si>
    <t>KELAS 7 SMP</t>
  </si>
  <si>
    <t>Hadits</t>
  </si>
  <si>
    <t>الدروس</t>
  </si>
  <si>
    <t>Konversi</t>
  </si>
  <si>
    <t>Tahfizh Al-Qur'an</t>
  </si>
  <si>
    <t>Keasramaan</t>
  </si>
  <si>
    <t>Pemberdayaan:</t>
  </si>
  <si>
    <t>Keterampilan:</t>
  </si>
  <si>
    <t xml:space="preserve">    2) Olahraga</t>
  </si>
  <si>
    <t>IDENTITAS PESERTA DIDIK</t>
  </si>
  <si>
    <t>Nama Lengkap Peserta Didik</t>
  </si>
  <si>
    <t>NIS dan NISN</t>
  </si>
  <si>
    <t>Tempat, Tanggal Lahir</t>
  </si>
  <si>
    <t>Jenis Kelamin</t>
  </si>
  <si>
    <t>Agama</t>
  </si>
  <si>
    <t>Status dalam Keluarga</t>
  </si>
  <si>
    <t>Anak ke</t>
  </si>
  <si>
    <t>Alamat Peserta Didik</t>
  </si>
  <si>
    <t>Nomor Telepon Rumah</t>
  </si>
  <si>
    <t>Satuan Pendidikan Asal</t>
  </si>
  <si>
    <t>a. Tingkatan/Kelas</t>
  </si>
  <si>
    <t>b. Pada tanggal</t>
  </si>
  <si>
    <t>Orang Tua</t>
  </si>
  <si>
    <t>a. Nama Ayah</t>
  </si>
  <si>
    <t>b. Nama Ibu</t>
  </si>
  <si>
    <t>c. Alamat</t>
  </si>
  <si>
    <t>d. Nomor Telepon/HP</t>
  </si>
  <si>
    <t>Pekerjaan Orang Tua</t>
  </si>
  <si>
    <t>a. Ayah</t>
  </si>
  <si>
    <t>b. Ibu</t>
  </si>
  <si>
    <t>Wali Peserta Didik</t>
  </si>
  <si>
    <t>a. Nama</t>
  </si>
  <si>
    <t>b. Nomor Telepon/HP</t>
  </si>
  <si>
    <t>NAMA PESERTA DIDIK:</t>
  </si>
  <si>
    <t>d. Pekerjaan</t>
  </si>
  <si>
    <t>Nama Satuan Pendidikan</t>
  </si>
  <si>
    <t>NPSN</t>
  </si>
  <si>
    <t>Alamat Satuan Pendidikan</t>
  </si>
  <si>
    <t>Kabupaten/Kota</t>
  </si>
  <si>
    <t>Email</t>
  </si>
  <si>
    <t>Facebook</t>
  </si>
  <si>
    <t>Cetak Cover (Pilih Nama) :</t>
  </si>
  <si>
    <t>LAPORAN 
HASIL BELAJAR PESERTA DIDIK</t>
  </si>
  <si>
    <t>Diterima di PONPES ini</t>
  </si>
  <si>
    <t xml:space="preserve">Brebes, </t>
  </si>
  <si>
    <t>Kepala PKBM Generasi Bangsa</t>
  </si>
  <si>
    <t>Diterima di PKBM ini</t>
  </si>
  <si>
    <t>PETUNJUK PENGGUNAAN RAPOR</t>
  </si>
  <si>
    <t>ISLAM</t>
  </si>
  <si>
    <t>Nomor Telepon /HP</t>
  </si>
  <si>
    <t>PEKERJAAN</t>
  </si>
  <si>
    <t>Cetak Dari Santri Ke :</t>
  </si>
  <si>
    <t>Sampai Santri Ke:</t>
  </si>
  <si>
    <t>PELAJARAN</t>
  </si>
  <si>
    <t>Nama Peserta Didik</t>
  </si>
  <si>
    <t>Psi</t>
  </si>
  <si>
    <t>Kog</t>
  </si>
  <si>
    <t>Modul 1</t>
  </si>
  <si>
    <t>Modul 2</t>
  </si>
  <si>
    <t>Modul 3</t>
  </si>
  <si>
    <t>Nilai Pelajaran Pondok - Kognitif/Pengetahuan</t>
  </si>
  <si>
    <t>Nilai Pelajaran PKBM (Terisi Otomatis)</t>
  </si>
  <si>
    <t>Gasal</t>
  </si>
  <si>
    <t>Genap</t>
  </si>
  <si>
    <t>Cetak Rapor (Pilih Nama) :</t>
  </si>
  <si>
    <t>MATA PELAJARAN</t>
  </si>
  <si>
    <t>Jumlah Nilai</t>
  </si>
  <si>
    <t>Rata-rata</t>
  </si>
  <si>
    <t>Nilai Rata-rata</t>
  </si>
  <si>
    <t>Ketidakhadiran</t>
  </si>
  <si>
    <t>Kesantrian</t>
  </si>
  <si>
    <t>Kerajinan</t>
  </si>
  <si>
    <t>Sakit</t>
  </si>
  <si>
    <t>Izin</t>
  </si>
  <si>
    <t>Alpa</t>
  </si>
  <si>
    <t>Hari</t>
  </si>
  <si>
    <t>Wali Kelas</t>
  </si>
  <si>
    <t>Mengetahui,</t>
  </si>
  <si>
    <t>………………………………………</t>
  </si>
  <si>
    <t>Rata-rata Kelas</t>
  </si>
  <si>
    <t>Presensi</t>
  </si>
  <si>
    <t xml:space="preserve">Catatan </t>
  </si>
  <si>
    <t>Prestasi</t>
  </si>
  <si>
    <t>Catatan untuk hasil 1 semester</t>
  </si>
  <si>
    <t>Ekstrakulikuler</t>
  </si>
  <si>
    <t>Deskripsi</t>
  </si>
  <si>
    <t>Sikap Spiritual</t>
  </si>
  <si>
    <t>Sikap Sosial</t>
  </si>
  <si>
    <t>Nilai</t>
  </si>
  <si>
    <t>Predikat</t>
  </si>
  <si>
    <t>B</t>
  </si>
  <si>
    <t>Keg 1</t>
  </si>
  <si>
    <t>Prestasi 1</t>
  </si>
  <si>
    <t>Keg 2</t>
  </si>
  <si>
    <t>Prestasi 2</t>
  </si>
  <si>
    <t>Keg 3</t>
  </si>
  <si>
    <t>Prestasi 3</t>
  </si>
  <si>
    <t>Ekskul 1</t>
  </si>
  <si>
    <t>Nilai 1</t>
  </si>
  <si>
    <t>Deskripsi 1</t>
  </si>
  <si>
    <t>Ekskul 2</t>
  </si>
  <si>
    <t>Nilai 2</t>
  </si>
  <si>
    <t>Deskripsi 2</t>
  </si>
  <si>
    <t>Ekskul 3</t>
  </si>
  <si>
    <t>Nilai 3</t>
  </si>
  <si>
    <t>Deskripsi 3</t>
  </si>
  <si>
    <t>Paket B Setara SMP</t>
  </si>
  <si>
    <t>Alamat</t>
  </si>
  <si>
    <t>Paket Kompetensi</t>
  </si>
  <si>
    <t>Nomor Induk/NISN</t>
  </si>
  <si>
    <t>Tingkatan/Setara Kls</t>
  </si>
  <si>
    <t>Jl. Terusan Islamic Center - Sigempol KM 03 , Limbangan Wetan Brebes Jawa Tengah</t>
  </si>
  <si>
    <t>3.1</t>
  </si>
  <si>
    <t>3/VII</t>
  </si>
  <si>
    <t>CAPAIAN HASIL BELAJAR</t>
  </si>
  <si>
    <t>A. SIKAP</t>
  </si>
  <si>
    <t>1. SIKAP SPIRITUAL</t>
  </si>
  <si>
    <t>2. SIKAP SOSIAL</t>
  </si>
  <si>
    <t>B. PENGETAHUAN</t>
  </si>
  <si>
    <t>Kelompok Khusus</t>
  </si>
  <si>
    <t>Pemberdayaan</t>
  </si>
  <si>
    <t>Keterampilan</t>
  </si>
  <si>
    <t>3.2</t>
  </si>
  <si>
    <t>Paket Kompetensi I</t>
  </si>
  <si>
    <t>Paket Kompetensi II</t>
  </si>
  <si>
    <t>Pendidikan Pancasila dan Kewarganegaraan (PPKN)</t>
  </si>
  <si>
    <t>b. Keterampilan Pilihan :</t>
  </si>
  <si>
    <t>C. KETERAMPILAN</t>
  </si>
  <si>
    <t>D. EKSTRAKULIKULER</t>
  </si>
  <si>
    <t>Kegiatan Ekstrakulikuler</t>
  </si>
  <si>
    <t>E. KEGIATAN</t>
  </si>
  <si>
    <t>Jenis Kegiatan</t>
  </si>
  <si>
    <t>F. Catatan Penanggung jawab Rombel</t>
  </si>
  <si>
    <t>G. Tanggapan Orang Tua/Wali</t>
  </si>
  <si>
    <t>Penanggung jawab Rombel</t>
  </si>
  <si>
    <t>Mengetahui, Orang Tua/Wali</t>
  </si>
  <si>
    <t>…………………………………………………………</t>
  </si>
  <si>
    <t>B.Kelompok Pelajaran Umum</t>
  </si>
  <si>
    <t>Tingkatan/ Kls</t>
  </si>
  <si>
    <t>NO INDUK PKBM</t>
  </si>
  <si>
    <t>NO INDUK PONDOK</t>
  </si>
  <si>
    <t>NIK</t>
  </si>
  <si>
    <t>PUSAT KEGIATAN BELAJAR MASYARAKAT
GENERASI BANGSA</t>
  </si>
  <si>
    <t>NAMA PESERTA DIDIK</t>
  </si>
  <si>
    <t>Alhamdulillah</t>
  </si>
  <si>
    <t>sikap sosial</t>
  </si>
  <si>
    <t xml:space="preserve">Alhamdulillah, </t>
  </si>
  <si>
    <t>Penanggung Jawab Rombel :</t>
  </si>
  <si>
    <t>Juni</t>
  </si>
  <si>
    <t>NISN:</t>
  </si>
  <si>
    <t>Alamat : 
Jalan Terusan Islamic Center-Sigempol Km.03 Limbangan Wetan, Brebes Jawa Tengah</t>
  </si>
  <si>
    <t>PONPES IMAM SYAFI'I PUTRA BREBES</t>
  </si>
  <si>
    <t>Akhlaq</t>
  </si>
  <si>
    <t>Fiqih</t>
  </si>
  <si>
    <t>Tajwid</t>
  </si>
  <si>
    <t>Tafsir</t>
  </si>
  <si>
    <t xml:space="preserve">    1) Public Speaking</t>
  </si>
  <si>
    <t xml:space="preserve">PONDOK PESANTREN
IMAM SYAFI'I PUTRA BREBES </t>
  </si>
  <si>
    <t>Mudir Ponpes Imam Syafi'i Putra Brebes</t>
  </si>
  <si>
    <t>Karekter Santri</t>
  </si>
  <si>
    <t>Tanggung Jawab</t>
  </si>
  <si>
    <t>Santun</t>
  </si>
  <si>
    <t>Kredit Point</t>
  </si>
  <si>
    <t>Poin Pelanggaran</t>
  </si>
  <si>
    <t>Reward</t>
  </si>
  <si>
    <t>Total</t>
  </si>
  <si>
    <t xml:space="preserve">A = lebih dari 100 </t>
  </si>
  <si>
    <t>B = 0 s/d 99</t>
  </si>
  <si>
    <t>C = -1 s/d -100</t>
  </si>
  <si>
    <t>D = -101 s/d -249</t>
  </si>
  <si>
    <t>E = -250 lebih</t>
  </si>
  <si>
    <t>بمعهد الإمام الشافعي (للطلاب) - بربس جاوى الوسطى</t>
  </si>
  <si>
    <t>كشف الدرجات - للمرحلة المتوسطة</t>
  </si>
  <si>
    <t>LAPORAN PENILAIAN HASIL BELAJAR SANTRI</t>
  </si>
  <si>
    <t>PONDOK PESANTREN TAHFIZH AL-QURAN IMAM SYAFI'I BREBES</t>
  </si>
  <si>
    <t>Nama Siswa</t>
  </si>
  <si>
    <t>Nomor Induk</t>
  </si>
  <si>
    <t>Semester</t>
  </si>
  <si>
    <t>Nama Sekolah</t>
  </si>
  <si>
    <t>PPTQ Imam Syafi'i Brebes</t>
  </si>
  <si>
    <t>Alamat Sekolah</t>
  </si>
  <si>
    <t>Jalan Terusan Islamic Center Sigempol Km 03 Limbangan Wetan Brebes Jawa Tengah</t>
  </si>
  <si>
    <t>VII (Tujuh)</t>
  </si>
  <si>
    <t>Nilai Hasil Belajar</t>
  </si>
  <si>
    <t>Angka</t>
  </si>
  <si>
    <t>Huruf</t>
  </si>
  <si>
    <t>Rata-Rata Kelas</t>
  </si>
  <si>
    <t>A.</t>
  </si>
  <si>
    <t>Kelompok Mata Pelajaran Diniyah</t>
  </si>
  <si>
    <t>Kepribadian</t>
  </si>
  <si>
    <t>Sikap</t>
  </si>
  <si>
    <t>Kebersihan dan Kerapihan</t>
  </si>
  <si>
    <t>Tanpa Keterangan</t>
  </si>
  <si>
    <t>Kelompok Mata Pelajaran Umum</t>
  </si>
  <si>
    <t>B.</t>
  </si>
  <si>
    <t>Nilai (Predikat)</t>
  </si>
  <si>
    <t>C.</t>
  </si>
  <si>
    <t>D.</t>
  </si>
  <si>
    <t>Ekstrakurikuler</t>
  </si>
  <si>
    <t>Kegiatan</t>
  </si>
  <si>
    <t>Karakter Santri</t>
  </si>
  <si>
    <t>Bertanggung Jawab</t>
  </si>
  <si>
    <t>Poin dan Reward</t>
  </si>
  <si>
    <t>Catatan Wali Kelas</t>
  </si>
  <si>
    <t>Keputusan</t>
  </si>
  <si>
    <t>Berdasarkan hasil yang dicapai pada semester 1 dan 2 peserta didik ditetapkan 
Naik Kelas VIII (Delapan)</t>
  </si>
  <si>
    <t>E.</t>
  </si>
  <si>
    <t>Catatan wali Kelas dan Keputusan  Kenaikan / Kelulusan</t>
  </si>
  <si>
    <t>Jumlah Poin Pelanggaran</t>
  </si>
  <si>
    <t>Jumlah Reward</t>
  </si>
  <si>
    <t>Pimpinan Pondok</t>
  </si>
  <si>
    <t>Total Poin dan Reward</t>
  </si>
  <si>
    <t>Nol</t>
  </si>
  <si>
    <t xml:space="preserve">Satu  </t>
  </si>
  <si>
    <t xml:space="preserve">Dua  </t>
  </si>
  <si>
    <t xml:space="preserve">Tiga  </t>
  </si>
  <si>
    <t xml:space="preserve">Empat  </t>
  </si>
  <si>
    <t xml:space="preserve">Lima  </t>
  </si>
  <si>
    <t xml:space="preserve">Enam  </t>
  </si>
  <si>
    <t xml:space="preserve">Tujuh  </t>
  </si>
  <si>
    <t xml:space="preserve">Delapan  </t>
  </si>
  <si>
    <t xml:space="preserve">Sembilan  </t>
  </si>
  <si>
    <t xml:space="preserve">Sepuluh  </t>
  </si>
  <si>
    <t xml:space="preserve">Sebelas  </t>
  </si>
  <si>
    <t xml:space="preserve">Dua belas  </t>
  </si>
  <si>
    <t xml:space="preserve">Tiga belas  </t>
  </si>
  <si>
    <t xml:space="preserve">Empat belas  </t>
  </si>
  <si>
    <t xml:space="preserve">Lima belas  </t>
  </si>
  <si>
    <t xml:space="preserve">Enam belas  </t>
  </si>
  <si>
    <t xml:space="preserve">Tujuh belas  </t>
  </si>
  <si>
    <t xml:space="preserve">Delapan belas  </t>
  </si>
  <si>
    <t xml:space="preserve">Sembilan belas  </t>
  </si>
  <si>
    <t xml:space="preserve">Dua puluh  </t>
  </si>
  <si>
    <t xml:space="preserve">Dua puluh satu  </t>
  </si>
  <si>
    <t xml:space="preserve">Dua puluh dua  </t>
  </si>
  <si>
    <t xml:space="preserve">Dua puluh tiga  </t>
  </si>
  <si>
    <t xml:space="preserve">Dua puluh empat  </t>
  </si>
  <si>
    <t xml:space="preserve">Dua puluh lima  </t>
  </si>
  <si>
    <t xml:space="preserve">Dua puluh enam  </t>
  </si>
  <si>
    <t xml:space="preserve">Dua puluh tujuh  </t>
  </si>
  <si>
    <t xml:space="preserve">Dua puluh delapan  </t>
  </si>
  <si>
    <t xml:space="preserve">Dua puluh sembilan  </t>
  </si>
  <si>
    <t xml:space="preserve">Tiga puluh  </t>
  </si>
  <si>
    <t xml:space="preserve">Tiga puluh satu  </t>
  </si>
  <si>
    <t xml:space="preserve">Tiga puluh dua  </t>
  </si>
  <si>
    <t xml:space="preserve">Tiga puluh tiga  </t>
  </si>
  <si>
    <t xml:space="preserve">Tiga puluh empat  </t>
  </si>
  <si>
    <t xml:space="preserve">Tiga puluh lima  </t>
  </si>
  <si>
    <t xml:space="preserve">Tiga puluh enam  </t>
  </si>
  <si>
    <t xml:space="preserve">Tiga puluh tujuh  </t>
  </si>
  <si>
    <t xml:space="preserve">Tiga puluh delapan  </t>
  </si>
  <si>
    <t xml:space="preserve">Tiga puluh sembilan  </t>
  </si>
  <si>
    <t xml:space="preserve">Empat puluh  </t>
  </si>
  <si>
    <t xml:space="preserve">Empat puluh satu  </t>
  </si>
  <si>
    <t xml:space="preserve">Empat puluh dua  </t>
  </si>
  <si>
    <t xml:space="preserve">Empat puluh tiga  </t>
  </si>
  <si>
    <t xml:space="preserve">Empat puluh empat  </t>
  </si>
  <si>
    <t xml:space="preserve">Empat puluh lima  </t>
  </si>
  <si>
    <t xml:space="preserve">Empat puluh enam  </t>
  </si>
  <si>
    <t xml:space="preserve">Empat puluh tujuh  </t>
  </si>
  <si>
    <t xml:space="preserve">Empat puluh delapan  </t>
  </si>
  <si>
    <t xml:space="preserve">Empat puluh sembilan  </t>
  </si>
  <si>
    <t xml:space="preserve">Lima puluh  </t>
  </si>
  <si>
    <t xml:space="preserve">Lima puluh satu  </t>
  </si>
  <si>
    <t xml:space="preserve">Lima puluh dua  </t>
  </si>
  <si>
    <t xml:space="preserve">Lima puluh tiga  </t>
  </si>
  <si>
    <t xml:space="preserve">Lima puluh empat  </t>
  </si>
  <si>
    <t xml:space="preserve">Lima puluh lima  </t>
  </si>
  <si>
    <t xml:space="preserve">Lima puluh enam  </t>
  </si>
  <si>
    <t xml:space="preserve">Lima puluh tujuh  </t>
  </si>
  <si>
    <t xml:space="preserve">Lima puluh delapan  </t>
  </si>
  <si>
    <t xml:space="preserve">Lima puluh sembilan  </t>
  </si>
  <si>
    <t xml:space="preserve">Enam puluh  </t>
  </si>
  <si>
    <t xml:space="preserve">Enam puluh satu  </t>
  </si>
  <si>
    <t xml:space="preserve">Enam puluh dua  </t>
  </si>
  <si>
    <t xml:space="preserve">Enam puluh tiga  </t>
  </si>
  <si>
    <t xml:space="preserve">Enam puluh empat  </t>
  </si>
  <si>
    <t xml:space="preserve">Enam puluh lima  </t>
  </si>
  <si>
    <t xml:space="preserve">Enam puluh enam  </t>
  </si>
  <si>
    <t xml:space="preserve">Enam puluh tujuh  </t>
  </si>
  <si>
    <t xml:space="preserve">Enam puluh delapan  </t>
  </si>
  <si>
    <t xml:space="preserve">Enam puluh sembilan  </t>
  </si>
  <si>
    <t xml:space="preserve">Tujuh puluh  </t>
  </si>
  <si>
    <t xml:space="preserve">Tujuh puluh satu  </t>
  </si>
  <si>
    <t xml:space="preserve">Tujuh puluh dua  </t>
  </si>
  <si>
    <t xml:space="preserve">Tujuh puluh tiga  </t>
  </si>
  <si>
    <t xml:space="preserve">Tujuh puluh empat  </t>
  </si>
  <si>
    <t xml:space="preserve">Tujuh puluh lima  </t>
  </si>
  <si>
    <t xml:space="preserve">Tujuh puluh enam  </t>
  </si>
  <si>
    <t xml:space="preserve">Tujuh puluh tujuh  </t>
  </si>
  <si>
    <t xml:space="preserve">Tujuh puluh delapan  </t>
  </si>
  <si>
    <t xml:space="preserve">Tujuh puluh sembilan  </t>
  </si>
  <si>
    <t xml:space="preserve">Delapan puluh  </t>
  </si>
  <si>
    <t xml:space="preserve">Delapan puluh satu  </t>
  </si>
  <si>
    <t xml:space="preserve">Delapan puluh dua  </t>
  </si>
  <si>
    <t xml:space="preserve">Delapan puluh tiga  </t>
  </si>
  <si>
    <t xml:space="preserve">Delapan puluh empat  </t>
  </si>
  <si>
    <t xml:space="preserve">Delapan puluh lima  </t>
  </si>
  <si>
    <t xml:space="preserve">Delapan puluh enam  </t>
  </si>
  <si>
    <t xml:space="preserve">Delapan puluh tujuh  </t>
  </si>
  <si>
    <t xml:space="preserve">Delapan puluh delapan  </t>
  </si>
  <si>
    <t xml:space="preserve">Delapan puluh sembilan  </t>
  </si>
  <si>
    <t xml:space="preserve">Sembilan puluh  </t>
  </si>
  <si>
    <t xml:space="preserve">Sembilan puluh satu  </t>
  </si>
  <si>
    <t xml:space="preserve">Sembilan puluh dua  </t>
  </si>
  <si>
    <t xml:space="preserve">Sembilan puluh tiga  </t>
  </si>
  <si>
    <t xml:space="preserve">Sembilan puluh empat  </t>
  </si>
  <si>
    <t xml:space="preserve">Sembilan puluh lima  </t>
  </si>
  <si>
    <t xml:space="preserve">Sembilan puluh enam  </t>
  </si>
  <si>
    <t xml:space="preserve">Sembilan puluh tujuh  </t>
  </si>
  <si>
    <t xml:space="preserve">Sembilan puluh delapan  </t>
  </si>
  <si>
    <t xml:space="preserve">Sembilan puluh sembilan  </t>
  </si>
  <si>
    <t xml:space="preserve">Seratus  </t>
  </si>
  <si>
    <t>Seratus satu</t>
  </si>
  <si>
    <t>Seratus dua</t>
  </si>
  <si>
    <t>Seratus tiga</t>
  </si>
  <si>
    <t>Seratus empat</t>
  </si>
  <si>
    <t>Seratus lima</t>
  </si>
  <si>
    <t>Seratus enam</t>
  </si>
  <si>
    <t>Seratus tujuh</t>
  </si>
  <si>
    <t>Seratus delapan</t>
  </si>
  <si>
    <t>Seratus sembilan</t>
  </si>
  <si>
    <t>Seratus sepuluh</t>
  </si>
  <si>
    <t>Seratus sebelas</t>
  </si>
  <si>
    <t>Seratus dua belas</t>
  </si>
  <si>
    <t>Seratus tiga belas</t>
  </si>
  <si>
    <t>Seratus empat belas</t>
  </si>
  <si>
    <t>Seratus lima belas</t>
  </si>
  <si>
    <t>Seratus enam belas</t>
  </si>
  <si>
    <t>Seratus tujuh belas</t>
  </si>
  <si>
    <t>Seratus delapan belas</t>
  </si>
  <si>
    <t>Seratus sembilan belas</t>
  </si>
  <si>
    <t>Seratus dua puluh</t>
  </si>
  <si>
    <t>Seratus dua puluh satu</t>
  </si>
  <si>
    <t>Seratus dua puluh dua</t>
  </si>
  <si>
    <t>Seratus dua puluh tiga</t>
  </si>
  <si>
    <t>Seratus dua puluh empat</t>
  </si>
  <si>
    <t>Seratus dua puluh lima</t>
  </si>
  <si>
    <t>Seratus dua puluh enam</t>
  </si>
  <si>
    <t>Seratus dua puluh tujuh</t>
  </si>
  <si>
    <t>Seratus dua puluh delapan</t>
  </si>
  <si>
    <t>Seratus dua puluh sembilan</t>
  </si>
  <si>
    <t>Seratus tiga puluh</t>
  </si>
  <si>
    <t>Seratus tiga puluh satu</t>
  </si>
  <si>
    <t>Seratus tiga puluh dua</t>
  </si>
  <si>
    <t>Seratus tiga puluh tiga</t>
  </si>
  <si>
    <t>Seratus tiga puluh empat</t>
  </si>
  <si>
    <t>Seratus tiga puluh lima</t>
  </si>
  <si>
    <t>Seratus tiga puluh enam</t>
  </si>
  <si>
    <t>Seratus tiga puluh tujuh</t>
  </si>
  <si>
    <t>Seratus tiga puluh delapan</t>
  </si>
  <si>
    <t>Seratus tiga puluh sembilan</t>
  </si>
  <si>
    <t>Seratus empat puluh</t>
  </si>
  <si>
    <t>Seratus empat puluh satu</t>
  </si>
  <si>
    <t>Seratus empat puluh dua</t>
  </si>
  <si>
    <t>Seratus empat puluh tiga</t>
  </si>
  <si>
    <t>Seratus empat puluh empat</t>
  </si>
  <si>
    <t>Seratus empat puluh lima</t>
  </si>
  <si>
    <t>Seratus empat puluh enam</t>
  </si>
  <si>
    <t>Seratus empat puluh tujuh</t>
  </si>
  <si>
    <t>Seratus empat puluh delapan</t>
  </si>
  <si>
    <t>Seratus empat puluh sembilan</t>
  </si>
  <si>
    <t>Seratus lima puluh</t>
  </si>
  <si>
    <t>Seratus lima puluh satu</t>
  </si>
  <si>
    <t>Seratus lima puluh dua</t>
  </si>
  <si>
    <t>Seratus lima puluh tiga</t>
  </si>
  <si>
    <t>Seratus lima puluh empat</t>
  </si>
  <si>
    <t>Seratus lima puluh lima</t>
  </si>
  <si>
    <t>Seratus lima puluh enam</t>
  </si>
  <si>
    <t>Seratus lima puluh tujuh</t>
  </si>
  <si>
    <t>Seratus lima puluh delapan</t>
  </si>
  <si>
    <t>Seratus lima puluh sembilan</t>
  </si>
  <si>
    <t>Seratus enam puluh</t>
  </si>
  <si>
    <t>Seratus enam puluh satu</t>
  </si>
  <si>
    <t>Seratus enam puluh dua</t>
  </si>
  <si>
    <t>Seratus enam puluh tiga</t>
  </si>
  <si>
    <t>Seratus enam puluh empat</t>
  </si>
  <si>
    <t>Seratus enam puluh lima</t>
  </si>
  <si>
    <t>Seratus enam puluh enam</t>
  </si>
  <si>
    <t>Seratus enam puluh tujuh</t>
  </si>
  <si>
    <t>Seratus enam puluh delapan</t>
  </si>
  <si>
    <t>Seratus enam puluh sembilan</t>
  </si>
  <si>
    <t>Seratus tujuh puluh</t>
  </si>
  <si>
    <t>Seratus tujuh puluh satu</t>
  </si>
  <si>
    <t>Seratus tujuh puluh dua</t>
  </si>
  <si>
    <t>Seratus tujuh puluh tiga</t>
  </si>
  <si>
    <t>Seratus tujuh puluh empat</t>
  </si>
  <si>
    <t>Seratus tujuh puluh lima</t>
  </si>
  <si>
    <t>Seratus tujuh puluh enam</t>
  </si>
  <si>
    <t>Seratus tujuh puluh tujuh</t>
  </si>
  <si>
    <t>Seratus tujuh puluh delapan</t>
  </si>
  <si>
    <t>Seratus tujuh puluh sembilan</t>
  </si>
  <si>
    <t>Seratus delapan puluh</t>
  </si>
  <si>
    <t>Seratus delapan puluh satu</t>
  </si>
  <si>
    <t>Seratus delapan puluh dua</t>
  </si>
  <si>
    <t>Seratus delapan puluh tiga</t>
  </si>
  <si>
    <t>Seratus delapan puluh empat</t>
  </si>
  <si>
    <t>Seratus delapan puluh lima</t>
  </si>
  <si>
    <t>Seratus delapan puluh enam</t>
  </si>
  <si>
    <t>Seratus delapan puluh tujuh</t>
  </si>
  <si>
    <t>Seratus delapan puluh delapan</t>
  </si>
  <si>
    <t>Seratus delapan puluh sembilan</t>
  </si>
  <si>
    <t>Seratus sembilan puluh</t>
  </si>
  <si>
    <t>Seratus sembilan puluh satu</t>
  </si>
  <si>
    <t>Seratus sembilan puluh dua</t>
  </si>
  <si>
    <t>Seratus sembilan puluh tiga</t>
  </si>
  <si>
    <t>Seratus sembilan puluh empat</t>
  </si>
  <si>
    <t>Seratus sembilan puluh lima</t>
  </si>
  <si>
    <t>Seratus sembilan puluh enam</t>
  </si>
  <si>
    <t>Seratus sembilan puluh tujuh</t>
  </si>
  <si>
    <t>Seratus sembilan puluh delapan</t>
  </si>
  <si>
    <t>Seratus sembilan puluh sembilan</t>
  </si>
  <si>
    <t>Dua ratus</t>
  </si>
  <si>
    <t>Dua ratus satu</t>
  </si>
  <si>
    <t>Dua ratus dua</t>
  </si>
  <si>
    <t>Dua ratus tiga</t>
  </si>
  <si>
    <t>Dua ratus empat</t>
  </si>
  <si>
    <t>Dua ratus lima</t>
  </si>
  <si>
    <t>Dua ratus enam</t>
  </si>
  <si>
    <t>Dua ratus tujuh</t>
  </si>
  <si>
    <t>Dua ratus delapan</t>
  </si>
  <si>
    <t>Dua ratus sembilan</t>
  </si>
  <si>
    <t>Dua ratus sepuluh</t>
  </si>
  <si>
    <t>Dua ratus sebelas</t>
  </si>
  <si>
    <t>Dua ratus dua belas</t>
  </si>
  <si>
    <t>Dua ratus tiga belas</t>
  </si>
  <si>
    <t>Dua ratus empat belas</t>
  </si>
  <si>
    <t>Dua ratus lima belas</t>
  </si>
  <si>
    <t>Dua ratus enam belas</t>
  </si>
  <si>
    <t>Dua ratus tujuh belas</t>
  </si>
  <si>
    <t>Dua ratus delapan belas</t>
  </si>
  <si>
    <t>Dua ratus sembilan belas</t>
  </si>
  <si>
    <t>Dua ratus dua puluh</t>
  </si>
  <si>
    <t>Dua ratus dua puluh satu</t>
  </si>
  <si>
    <t>Dua ratus dua puluh dua</t>
  </si>
  <si>
    <t>Dua ratus dua puluh tiga</t>
  </si>
  <si>
    <t>Dua ratus dua puluh empat</t>
  </si>
  <si>
    <t>Dua ratus dua puluh lima</t>
  </si>
  <si>
    <t>Dua ratus dua puluh enam</t>
  </si>
  <si>
    <t>Dua ratus dua puluh tujuh</t>
  </si>
  <si>
    <t>Dua ratus dua puluh delapan</t>
  </si>
  <si>
    <t>Dua ratus dua puluh sembilan</t>
  </si>
  <si>
    <t>Dua ratus tiga puluh</t>
  </si>
  <si>
    <t>Dua ratus tiga puluh satu</t>
  </si>
  <si>
    <t>Dua ratus tiga puluh dua</t>
  </si>
  <si>
    <t>Dua ratus tiga puluh tiga</t>
  </si>
  <si>
    <t>Dua ratus tiga puluh empat</t>
  </si>
  <si>
    <t>Dua ratus tiga puluh lima</t>
  </si>
  <si>
    <t>Dua ratus tiga puluh enam</t>
  </si>
  <si>
    <t>Dua ratus tiga puluh tujuh</t>
  </si>
  <si>
    <t>Dua ratus tiga puluh delapan</t>
  </si>
  <si>
    <t>Dua ratus tiga puluh sembilan</t>
  </si>
  <si>
    <t>Dua ratus empat puluh</t>
  </si>
  <si>
    <t>Dua ratus empat puluh satu</t>
  </si>
  <si>
    <t>Dua ratus empat puluh dua</t>
  </si>
  <si>
    <t>Dua ratus empat puluh tiga</t>
  </si>
  <si>
    <t>Dua ratus empat puluh empat</t>
  </si>
  <si>
    <t>Dua ratus empat puluh lima</t>
  </si>
  <si>
    <t>Dua ratus empat puluh enam</t>
  </si>
  <si>
    <t>Dua ratus empat puluh tujuh</t>
  </si>
  <si>
    <t>Dua ratus empat puluh delapan</t>
  </si>
  <si>
    <t>Dua ratus empat puluh sembilan</t>
  </si>
  <si>
    <t>Dua ratus lima puluh</t>
  </si>
  <si>
    <t>Dua ratus lima puluh satu</t>
  </si>
  <si>
    <t>Dua ratus lima puluh dua</t>
  </si>
  <si>
    <t>Dua ratus lima puluh tiga</t>
  </si>
  <si>
    <t>Dua ratus lima puluh empat</t>
  </si>
  <si>
    <t>Dua ratus lima puluh lima</t>
  </si>
  <si>
    <t>Dua ratus lima puluh enam</t>
  </si>
  <si>
    <t>Dua ratus lima puluh tujuh</t>
  </si>
  <si>
    <t>Dua ratus lima puluh delapan</t>
  </si>
  <si>
    <t>Dua ratus lima puluh sembilan</t>
  </si>
  <si>
    <t>Dua ratus enam puluh</t>
  </si>
  <si>
    <t>Dua ratus enam puluh satu</t>
  </si>
  <si>
    <t>Dua ratus enam puluh dua</t>
  </si>
  <si>
    <t>Dua ratus enam puluh tiga</t>
  </si>
  <si>
    <t>Dua ratus enam puluh empat</t>
  </si>
  <si>
    <t>Dua ratus enam puluh lima</t>
  </si>
  <si>
    <t>Dua ratus enam puluh enam</t>
  </si>
  <si>
    <t>Dua ratus enam puluh tujuh</t>
  </si>
  <si>
    <t>Dua ratus enam puluh delapan</t>
  </si>
  <si>
    <t>Dua ratus enam puluh sembilan</t>
  </si>
  <si>
    <t>Dua ratus tujuh puluh</t>
  </si>
  <si>
    <t>Dua ratus tujuh puluh satu</t>
  </si>
  <si>
    <t>Dua ratus tujuh puluh dua</t>
  </si>
  <si>
    <t>Dua ratus tujuh puluh tiga</t>
  </si>
  <si>
    <t>Dua ratus tujuh puluh empat</t>
  </si>
  <si>
    <t>Dua ratus tujuh puluh lima</t>
  </si>
  <si>
    <t>Dua ratus tujuh puluh enam</t>
  </si>
  <si>
    <t>Dua ratus tujuh puluh tujuh</t>
  </si>
  <si>
    <t>Dua ratus tujuh puluh delapan</t>
  </si>
  <si>
    <t>Dua ratus tujuh puluh sembilan</t>
  </si>
  <si>
    <t>Dua ratus delapan puluh</t>
  </si>
  <si>
    <t>Dua ratus delapan puluh satu</t>
  </si>
  <si>
    <t>Dua ratus delapan puluh dua</t>
  </si>
  <si>
    <t>Dua ratus delapan puluh tiga</t>
  </si>
  <si>
    <t>Dua ratus delapan puluh empat</t>
  </si>
  <si>
    <t>Dua ratus delapan puluh lima</t>
  </si>
  <si>
    <t>Dua ratus delapan puluh enam</t>
  </si>
  <si>
    <t>Dua ratus delapan puluh tujuh</t>
  </si>
  <si>
    <t>Dua ratus delapan puluh delapan</t>
  </si>
  <si>
    <t>Dua ratus delapan puluh sembilan</t>
  </si>
  <si>
    <t>Dua ratus sembilan puluh</t>
  </si>
  <si>
    <t>Dua ratus sembilan puluh satu</t>
  </si>
  <si>
    <t>Dua ratus sembilan puluh dua</t>
  </si>
  <si>
    <t>Dua ratus sembilan puluh tiga</t>
  </si>
  <si>
    <t>Dua ratus sembilan puluh empat</t>
  </si>
  <si>
    <t>Dua ratus sembilan puluh lima</t>
  </si>
  <si>
    <t>Dua ratus sembilan puluh enam</t>
  </si>
  <si>
    <t>Dua ratus sembilan puluh tujuh</t>
  </si>
  <si>
    <t>Dua ratus sembilan puluh delapan</t>
  </si>
  <si>
    <t>Dua ratus sembilan puluh sembilan</t>
  </si>
  <si>
    <t>Tiga ratus</t>
  </si>
  <si>
    <t>Tiga ratus satu</t>
  </si>
  <si>
    <t>Tiga ratus dua</t>
  </si>
  <si>
    <t>Tiga ratus tiga</t>
  </si>
  <si>
    <t>Tiga ratus empat</t>
  </si>
  <si>
    <t>Tiga ratus lima</t>
  </si>
  <si>
    <t>Tiga ratus enam</t>
  </si>
  <si>
    <t>Tiga ratus tujuh</t>
  </si>
  <si>
    <t>Tiga ratus delapan</t>
  </si>
  <si>
    <t>Tiga ratus sembilan</t>
  </si>
  <si>
    <t>Tiga ratus sepuluh</t>
  </si>
  <si>
    <t>Tiga ratus sebelas</t>
  </si>
  <si>
    <t>Tiga ratus dua belas</t>
  </si>
  <si>
    <t>Tiga ratus tiga belas</t>
  </si>
  <si>
    <t>Tiga ratus empat belas</t>
  </si>
  <si>
    <t>Tiga ratus lima belas</t>
  </si>
  <si>
    <t>Tiga ratus enam belas</t>
  </si>
  <si>
    <t>Tiga ratus tujuh belas</t>
  </si>
  <si>
    <t>Tiga ratus delapan belas</t>
  </si>
  <si>
    <t>Tiga ratus sembilan belas</t>
  </si>
  <si>
    <t>Tiga ratus dua puluh</t>
  </si>
  <si>
    <t>Tiga ratus dua puluh satu</t>
  </si>
  <si>
    <t>Tiga ratus dua puluh dua</t>
  </si>
  <si>
    <t>Tiga ratus dua puluh tiga</t>
  </si>
  <si>
    <t>Tiga ratus dua puluh empat</t>
  </si>
  <si>
    <t>Tiga ratus dua puluh lima</t>
  </si>
  <si>
    <t>Tiga ratus dua puluh enam</t>
  </si>
  <si>
    <t>Tiga ratus dua puluh tujuh</t>
  </si>
  <si>
    <t>Tiga ratus dua puluh delapan</t>
  </si>
  <si>
    <t>Tiga ratus dua puluh sembilan</t>
  </si>
  <si>
    <t>Tiga ratus tiga puluh</t>
  </si>
  <si>
    <t>Tiga ratus tiga puluh satu</t>
  </si>
  <si>
    <t>Tiga ratus tiga puluh dua</t>
  </si>
  <si>
    <t>Tiga ratus tiga puluh tiga</t>
  </si>
  <si>
    <t>Tiga ratus tiga puluh empat</t>
  </si>
  <si>
    <t>Tiga ratus tiga puluh lima</t>
  </si>
  <si>
    <t>Tiga ratus tiga puluh enam</t>
  </si>
  <si>
    <t>Tiga ratus tiga puluh tujuh</t>
  </si>
  <si>
    <t>Tiga ratus tiga puluh delapan</t>
  </si>
  <si>
    <t>Tiga ratus tiga puluh sembilan</t>
  </si>
  <si>
    <t>Tiga ratus empat puluh</t>
  </si>
  <si>
    <t>Tiga ratus empat puluh satu</t>
  </si>
  <si>
    <t>Tiga ratus empat puluh dua</t>
  </si>
  <si>
    <t>Tiga ratus empat puluh tiga</t>
  </si>
  <si>
    <t>Tiga ratus empat puluh empat</t>
  </si>
  <si>
    <t>Tiga ratus empat puluh lima</t>
  </si>
  <si>
    <t>Tiga ratus empat puluh enam</t>
  </si>
  <si>
    <t>Tiga ratus empat puluh tujuh</t>
  </si>
  <si>
    <t>Tiga ratus empat puluh delapan</t>
  </si>
  <si>
    <t>Tiga ratus empat puluh sembilan</t>
  </si>
  <si>
    <t>Tiga ratus lima puluh</t>
  </si>
  <si>
    <t>Tiga ratus lima puluh satu</t>
  </si>
  <si>
    <t>Tiga ratus lima puluh dua</t>
  </si>
  <si>
    <t>Tiga ratus lima puluh tiga</t>
  </si>
  <si>
    <t>Tiga ratus lima puluh empat</t>
  </si>
  <si>
    <t>Tiga ratus lima puluh lima</t>
  </si>
  <si>
    <t>Tiga ratus lima puluh enam</t>
  </si>
  <si>
    <t>Tiga ratus lima puluh tujuh</t>
  </si>
  <si>
    <t>Tiga ratus lima puluh delapan</t>
  </si>
  <si>
    <t>Tiga ratus lima puluh sembilan</t>
  </si>
  <si>
    <t>Tiga ratus enam puluh</t>
  </si>
  <si>
    <t>Tiga ratus enam puluh satu</t>
  </si>
  <si>
    <t>Tiga ratus enam puluh dua</t>
  </si>
  <si>
    <t>Tiga ratus enam puluh tiga</t>
  </si>
  <si>
    <t>Tiga ratus enam puluh empat</t>
  </si>
  <si>
    <t>Tiga ratus enam puluh lima</t>
  </si>
  <si>
    <t>Tiga ratus enam puluh enam</t>
  </si>
  <si>
    <t>Tiga ratus enam puluh tujuh</t>
  </si>
  <si>
    <t>Tiga ratus enam puluh delapan</t>
  </si>
  <si>
    <t>Tiga ratus enam puluh sembilan</t>
  </si>
  <si>
    <t>Tiga ratus tujuh puluh</t>
  </si>
  <si>
    <t>Tiga ratus tujuh puluh satu</t>
  </si>
  <si>
    <t>Tiga ratus tujuh puluh dua</t>
  </si>
  <si>
    <t>Tiga ratus tujuh puluh tiga</t>
  </si>
  <si>
    <t>Tiga ratus tujuh puluh empat</t>
  </si>
  <si>
    <t>Tiga ratus tujuh puluh lima</t>
  </si>
  <si>
    <t>Tiga ratus tujuh puluh enam</t>
  </si>
  <si>
    <t>Tiga ratus tujuh puluh tujuh</t>
  </si>
  <si>
    <t>Tiga ratus tujuh puluh delapan</t>
  </si>
  <si>
    <t>Tiga ratus tujuh puluh sembilan</t>
  </si>
  <si>
    <t>Tiga ratus delapan puluh</t>
  </si>
  <si>
    <t>Tiga ratus delapan puluh satu</t>
  </si>
  <si>
    <t>Tiga ratus delapan puluh dua</t>
  </si>
  <si>
    <t>Tiga ratus delapan puluh tiga</t>
  </si>
  <si>
    <t>Tiga ratus delapan puluh empat</t>
  </si>
  <si>
    <t>Tiga ratus delapan puluh lima</t>
  </si>
  <si>
    <t>Tiga ratus delapan puluh enam</t>
  </si>
  <si>
    <t>Tiga ratus delapan puluh tujuh</t>
  </si>
  <si>
    <t>Tiga ratus delapan puluh delapan</t>
  </si>
  <si>
    <t>Tiga ratus delapan puluh sembilan</t>
  </si>
  <si>
    <t>Tiga ratus sembilan puluh</t>
  </si>
  <si>
    <t>Tiga ratus sembilan puluh satu</t>
  </si>
  <si>
    <t>Tiga ratus sembilan puluh dua</t>
  </si>
  <si>
    <t>Tiga ratus sembilan puluh tiga</t>
  </si>
  <si>
    <t>Tiga ratus sembilan puluh empat</t>
  </si>
  <si>
    <t>Tiga ratus sembilan puluh lima</t>
  </si>
  <si>
    <t>Tiga ratus sembilan puluh enam</t>
  </si>
  <si>
    <t>Tiga ratus sembilan puluh tujuh</t>
  </si>
  <si>
    <t>Tiga ratus sembilan puluh delapan</t>
  </si>
  <si>
    <t>Tiga ratus sembilan puluh sembilan</t>
  </si>
  <si>
    <t>Empat ratus</t>
  </si>
  <si>
    <t>Empat ratus satu</t>
  </si>
  <si>
    <t>Empat ratus dua</t>
  </si>
  <si>
    <t>Empat ratus tiga</t>
  </si>
  <si>
    <t>Empat ratus empat</t>
  </si>
  <si>
    <t>Empat ratus lima</t>
  </si>
  <si>
    <t>Empat ratus enam</t>
  </si>
  <si>
    <t>Empat ratus tujuh</t>
  </si>
  <si>
    <t>Empat ratus delapan</t>
  </si>
  <si>
    <t>Empat ratus sembilan</t>
  </si>
  <si>
    <t>Empat ratus sepuluh</t>
  </si>
  <si>
    <t>Empat ratus sebelas</t>
  </si>
  <si>
    <t>Empat ratus dua belas</t>
  </si>
  <si>
    <t>Empat ratus tiga belas</t>
  </si>
  <si>
    <t>Empat ratus empat belas</t>
  </si>
  <si>
    <t>Empat ratus lima belas</t>
  </si>
  <si>
    <t>Empat ratus enam belas</t>
  </si>
  <si>
    <t>Empat ratus tujuh belas</t>
  </si>
  <si>
    <t>Empat ratus delapan belas</t>
  </si>
  <si>
    <t>Empat ratus sembilan belas</t>
  </si>
  <si>
    <t>Empat ratus dua puluh</t>
  </si>
  <si>
    <t>Empat ratus dua puluh satu</t>
  </si>
  <si>
    <t>Empat ratus dua puluh dua</t>
  </si>
  <si>
    <t>Empat ratus dua puluh tiga</t>
  </si>
  <si>
    <t>Empat ratus dua puluh empat</t>
  </si>
  <si>
    <t>Empat ratus dua puluh lima</t>
  </si>
  <si>
    <t>Empat ratus dua puluh enam</t>
  </si>
  <si>
    <t>Empat ratus dua puluh tujuh</t>
  </si>
  <si>
    <t>Empat ratus dua puluh delapan</t>
  </si>
  <si>
    <t>Empat ratus dua puluh sembilan</t>
  </si>
  <si>
    <t>Empat ratus tiga puluh</t>
  </si>
  <si>
    <t>Empat ratus tiga puluh satu</t>
  </si>
  <si>
    <t>Empat ratus tiga puluh dua</t>
  </si>
  <si>
    <t>Empat ratus tiga puluh tiga</t>
  </si>
  <si>
    <t>Empat ratus tiga puluh empat</t>
  </si>
  <si>
    <t>Empat ratus tiga puluh lima</t>
  </si>
  <si>
    <t>Empat ratus tiga puluh enam</t>
  </si>
  <si>
    <t>Empat ratus tiga puluh tujuh</t>
  </si>
  <si>
    <t>Empat ratus tiga puluh delapan</t>
  </si>
  <si>
    <t>Empat ratus tiga puluh sembilan</t>
  </si>
  <si>
    <t>Empat ratus empat puluh</t>
  </si>
  <si>
    <t>Empat ratus empat puluh satu</t>
  </si>
  <si>
    <t>Empat ratus empat puluh dua</t>
  </si>
  <si>
    <t>Empat ratus empat puluh tiga</t>
  </si>
  <si>
    <t>Empat ratus empat puluh empat</t>
  </si>
  <si>
    <t>Empat ratus empat puluh lima</t>
  </si>
  <si>
    <t>Empat ratus empat puluh enam</t>
  </si>
  <si>
    <t>Empat ratus empat puluh tujuh</t>
  </si>
  <si>
    <t>Empat ratus empat puluh delapan</t>
  </si>
  <si>
    <t>Empat ratus empat puluh sembilan</t>
  </si>
  <si>
    <t>Empat ratus lima puluh</t>
  </si>
  <si>
    <t>Empat ratus lima puluh satu</t>
  </si>
  <si>
    <t>Empat ratus lima puluh dua</t>
  </si>
  <si>
    <t>Empat ratus lima puluh tiga</t>
  </si>
  <si>
    <t>Empat ratus lima puluh empat</t>
  </si>
  <si>
    <t>Empat ratus lima puluh lima</t>
  </si>
  <si>
    <t>Empat ratus lima puluh enam</t>
  </si>
  <si>
    <t>Empat ratus lima puluh tujuh</t>
  </si>
  <si>
    <t>Empat ratus lima puluh delapan</t>
  </si>
  <si>
    <t>Empat ratus lima puluh sembilan</t>
  </si>
  <si>
    <t>Empat ratus enam puluh</t>
  </si>
  <si>
    <t>Empat ratus enam puluh satu</t>
  </si>
  <si>
    <t>Empat ratus enam puluh dua</t>
  </si>
  <si>
    <t>Empat ratus enam puluh tiga</t>
  </si>
  <si>
    <t>Empat ratus enam puluh empat</t>
  </si>
  <si>
    <t>Empat ratus enam puluh lima</t>
  </si>
  <si>
    <t>Empat ratus enam puluh enam</t>
  </si>
  <si>
    <t>Empat ratus enam puluh tujuh</t>
  </si>
  <si>
    <t>Empat ratus enam puluh delapan</t>
  </si>
  <si>
    <t>Empat ratus enam puluh sembilan</t>
  </si>
  <si>
    <t>Empat ratus tujuh puluh</t>
  </si>
  <si>
    <t>Empat ratus tujuh puluh satu</t>
  </si>
  <si>
    <t>Empat ratus tujuh puluh dua</t>
  </si>
  <si>
    <t>Empat ratus tujuh puluh tiga</t>
  </si>
  <si>
    <t>Empat ratus tujuh puluh empat</t>
  </si>
  <si>
    <t>Empat ratus tujuh puluh lima</t>
  </si>
  <si>
    <t>Empat ratus tujuh puluh enam</t>
  </si>
  <si>
    <t>Empat ratus tujuh puluh tujuh</t>
  </si>
  <si>
    <t>Empat ratus tujuh puluh delapan</t>
  </si>
  <si>
    <t>Empat ratus tujuh puluh sembilan</t>
  </si>
  <si>
    <t>Empat ratus delapan puluh</t>
  </si>
  <si>
    <t>Empat ratus delapan puluh satu</t>
  </si>
  <si>
    <t>Empat ratus delapan puluh dua</t>
  </si>
  <si>
    <t>Empat ratus delapan puluh tiga</t>
  </si>
  <si>
    <t>Empat ratus delapan puluh empat</t>
  </si>
  <si>
    <t>Empat ratus delapan puluh lima</t>
  </si>
  <si>
    <t>Empat ratus delapan puluh enam</t>
  </si>
  <si>
    <t>Empat ratus delapan puluh tujuh</t>
  </si>
  <si>
    <t>Empat ratus delapan puluh delapan</t>
  </si>
  <si>
    <t>Empat ratus delapan puluh sembilan</t>
  </si>
  <si>
    <t>Empat ratus sembilan puluh</t>
  </si>
  <si>
    <t>Empat ratus sembilan puluh satu</t>
  </si>
  <si>
    <t>Empat ratus sembilan puluh dua</t>
  </si>
  <si>
    <t>Empat ratus sembilan puluh tiga</t>
  </si>
  <si>
    <t>Empat ratus sembilan puluh empat</t>
  </si>
  <si>
    <t>Empat ratus sembilan puluh lima</t>
  </si>
  <si>
    <t>Empat ratus sembilan puluh enam</t>
  </si>
  <si>
    <t>Empat ratus sembilan puluh tujuh</t>
  </si>
  <si>
    <t>Empat ratus sembilan puluh delapan</t>
  </si>
  <si>
    <t>Empat ratus sembilan puluh sembilan</t>
  </si>
  <si>
    <t>Lima ratus</t>
  </si>
  <si>
    <t>Lima ratus satu</t>
  </si>
  <si>
    <t>Lima ratus dua</t>
  </si>
  <si>
    <t>Lima ratus tiga</t>
  </si>
  <si>
    <t>Lima ratus empat</t>
  </si>
  <si>
    <t>Lima ratus lima</t>
  </si>
  <si>
    <t>Lima ratus enam</t>
  </si>
  <si>
    <t>Lima ratus tujuh</t>
  </si>
  <si>
    <t>Lima ratus delapan</t>
  </si>
  <si>
    <t>Lima ratus sembilan</t>
  </si>
  <si>
    <t>Lima ratus sepuluh</t>
  </si>
  <si>
    <t>Lima ratus sebelas</t>
  </si>
  <si>
    <t>Lima ratus dua belas</t>
  </si>
  <si>
    <t>Lima ratus tiga belas</t>
  </si>
  <si>
    <t>Lima ratus empat belas</t>
  </si>
  <si>
    <t>Lima ratus lima belas</t>
  </si>
  <si>
    <t>Lima ratus enam belas</t>
  </si>
  <si>
    <t>Lima ratus tujuh belas</t>
  </si>
  <si>
    <t>Lima ratus delapan belas</t>
  </si>
  <si>
    <t>Lima ratus sembilan belas</t>
  </si>
  <si>
    <t>Lima ratus dua puluh</t>
  </si>
  <si>
    <t>Lima ratus dua puluh satu</t>
  </si>
  <si>
    <t>Lima ratus dua puluh dua</t>
  </si>
  <si>
    <t>Lima ratus dua puluh tiga</t>
  </si>
  <si>
    <t>Lima ratus dua puluh empat</t>
  </si>
  <si>
    <t>Lima ratus dua puluh lima</t>
  </si>
  <si>
    <t>Lima ratus dua puluh enam</t>
  </si>
  <si>
    <t>Lima ratus dua puluh tujuh</t>
  </si>
  <si>
    <t>Lima ratus dua puluh delapan</t>
  </si>
  <si>
    <t>Lima ratus dua puluh sembilan</t>
  </si>
  <si>
    <t>Lima ratus tiga puluh</t>
  </si>
  <si>
    <t>Lima ratus tiga puluh satu</t>
  </si>
  <si>
    <t>Lima ratus tiga puluh dua</t>
  </si>
  <si>
    <t>Lima ratus tiga puluh tiga</t>
  </si>
  <si>
    <t>Lima ratus tiga puluh empat</t>
  </si>
  <si>
    <t>Lima ratus tiga puluh lima</t>
  </si>
  <si>
    <t>Lima ratus tiga puluh enam</t>
  </si>
  <si>
    <t>Lima ratus tiga puluh tujuh</t>
  </si>
  <si>
    <t>Lima ratus tiga puluh delapan</t>
  </si>
  <si>
    <t>Lima ratus tiga puluh sembilan</t>
  </si>
  <si>
    <t>Lima ratus empat puluh</t>
  </si>
  <si>
    <t>Lima ratus empat puluh satu</t>
  </si>
  <si>
    <t>Lima ratus empat puluh dua</t>
  </si>
  <si>
    <t>Lima ratus empat puluh tiga</t>
  </si>
  <si>
    <t>Lima ratus empat puluh empat</t>
  </si>
  <si>
    <t>Lima ratus empat puluh lima</t>
  </si>
  <si>
    <t>Lima ratus empat puluh enam</t>
  </si>
  <si>
    <t>Lima ratus empat puluh tujuh</t>
  </si>
  <si>
    <t>Lima ratus empat puluh delapan</t>
  </si>
  <si>
    <t>Lima ratus empat puluh sembilan</t>
  </si>
  <si>
    <t>Lima ratus lima puluh</t>
  </si>
  <si>
    <t>Lima ratus lima puluh satu</t>
  </si>
  <si>
    <t>Lima ratus lima puluh dua</t>
  </si>
  <si>
    <t>Lima ratus lima puluh tiga</t>
  </si>
  <si>
    <t>Lima ratus lima puluh empat</t>
  </si>
  <si>
    <t>Lima ratus lima puluh lima</t>
  </si>
  <si>
    <t>Lima ratus lima puluh enam</t>
  </si>
  <si>
    <t>Lima ratus lima puluh tujuh</t>
  </si>
  <si>
    <t>Lima ratus lima puluh delapan</t>
  </si>
  <si>
    <t>Lima ratus lima puluh sembilan</t>
  </si>
  <si>
    <t>Lima ratus enam puluh</t>
  </si>
  <si>
    <t>Lima ratus enam puluh satu</t>
  </si>
  <si>
    <t>Lima ratus enam puluh dua</t>
  </si>
  <si>
    <t>Lima ratus enam puluh tiga</t>
  </si>
  <si>
    <t>Lima ratus enam puluh empat</t>
  </si>
  <si>
    <t>Lima ratus enam puluh lima</t>
  </si>
  <si>
    <t>Lima ratus enam puluh enam</t>
  </si>
  <si>
    <t>Lima ratus enam puluh tujuh</t>
  </si>
  <si>
    <t>Lima ratus enam puluh delapan</t>
  </si>
  <si>
    <t>Lima ratus enam puluh sembilan</t>
  </si>
  <si>
    <t>Lima ratus tujuh puluh</t>
  </si>
  <si>
    <t>Lima ratus tujuh puluh satu</t>
  </si>
  <si>
    <t>Lima ratus tujuh puluh dua</t>
  </si>
  <si>
    <t>Lima ratus tujuh puluh tiga</t>
  </si>
  <si>
    <t>Lima ratus tujuh puluh empat</t>
  </si>
  <si>
    <t>Lima ratus tujuh puluh lima</t>
  </si>
  <si>
    <t>Lima ratus tujuh puluh enam</t>
  </si>
  <si>
    <t>Lima ratus tujuh puluh tujuh</t>
  </si>
  <si>
    <t>Lima ratus tujuh puluh delapan</t>
  </si>
  <si>
    <t>Lima ratus tujuh puluh sembilan</t>
  </si>
  <si>
    <t>Lima ratus delapan puluh</t>
  </si>
  <si>
    <t>Lima ratus delapan puluh satu</t>
  </si>
  <si>
    <t>Lima ratus delapan puluh dua</t>
  </si>
  <si>
    <t>Lima ratus delapan puluh tiga</t>
  </si>
  <si>
    <t>Lima ratus delapan puluh empat</t>
  </si>
  <si>
    <t>Lima ratus delapan puluh lima</t>
  </si>
  <si>
    <t>Lima ratus delapan puluh enam</t>
  </si>
  <si>
    <t>Lima ratus delapan puluh tujuh</t>
  </si>
  <si>
    <t>Lima ratus delapan puluh delapan</t>
  </si>
  <si>
    <t>Lima ratus delapan puluh sembilan</t>
  </si>
  <si>
    <t>Lima ratus sembilan puluh</t>
  </si>
  <si>
    <t>Lima ratus sembilan puluh satu</t>
  </si>
  <si>
    <t>Lima ratus sembilan puluh dua</t>
  </si>
  <si>
    <t>Lima ratus sembilan puluh tiga</t>
  </si>
  <si>
    <t>Lima ratus sembilan puluh empat</t>
  </si>
  <si>
    <t>Lima ratus sembilan puluh lima</t>
  </si>
  <si>
    <t>Lima ratus sembilan puluh enam</t>
  </si>
  <si>
    <t>Lima ratus sembilan puluh tujuh</t>
  </si>
  <si>
    <t>Lima ratus sembilan puluh delapan</t>
  </si>
  <si>
    <t>Lima ratus sembilan puluh sembilan</t>
  </si>
  <si>
    <t>Enam ratus</t>
  </si>
  <si>
    <t>Enam ratus satu</t>
  </si>
  <si>
    <t>Enam ratus dua</t>
  </si>
  <si>
    <t>Enam ratus tiga</t>
  </si>
  <si>
    <t>Enam ratus empat</t>
  </si>
  <si>
    <t>Enam ratus lima</t>
  </si>
  <si>
    <t>Enam ratus enam</t>
  </si>
  <si>
    <t>Enam ratus tujuh</t>
  </si>
  <si>
    <t>Enam ratus delapan</t>
  </si>
  <si>
    <t>Enam ratus sembilan</t>
  </si>
  <si>
    <t>Enam ratus sepuluh</t>
  </si>
  <si>
    <t>Enam ratus sebelas</t>
  </si>
  <si>
    <t>Enam ratus dua belas</t>
  </si>
  <si>
    <t>Enam ratus tiga belas</t>
  </si>
  <si>
    <t>Enam ratus empat belas</t>
  </si>
  <si>
    <t>Enam ratus lima belas</t>
  </si>
  <si>
    <t>Enam ratus enam belas</t>
  </si>
  <si>
    <t>Enam ratus tujuh belas</t>
  </si>
  <si>
    <t>Enam ratus delapan belas</t>
  </si>
  <si>
    <t>Enam ratus sembilan belas</t>
  </si>
  <si>
    <t>Enam ratus dua puluh</t>
  </si>
  <si>
    <t>Enam ratus dua puluh satu</t>
  </si>
  <si>
    <t>Enam ratus dua puluh dua</t>
  </si>
  <si>
    <t>Enam ratus dua puluh tiga</t>
  </si>
  <si>
    <t>Enam ratus dua puluh empat</t>
  </si>
  <si>
    <t>Enam ratus dua puluh lima</t>
  </si>
  <si>
    <t>Enam ratus dua puluh enam</t>
  </si>
  <si>
    <t>Enam ratus dua puluh tujuh</t>
  </si>
  <si>
    <t>Enam ratus dua puluh delapan</t>
  </si>
  <si>
    <t>Enam ratus dua puluh sembilan</t>
  </si>
  <si>
    <t>Enam ratus tiga puluh</t>
  </si>
  <si>
    <t>Enam ratus tiga puluh satu</t>
  </si>
  <si>
    <t>Enam ratus tiga puluh dua</t>
  </si>
  <si>
    <t>Enam ratus tiga puluh tiga</t>
  </si>
  <si>
    <t>Enam ratus tiga puluh empat</t>
  </si>
  <si>
    <t>Enam ratus tiga puluh lima</t>
  </si>
  <si>
    <t>Enam ratus tiga puluh enam</t>
  </si>
  <si>
    <t>Enam ratus tiga puluh tujuh</t>
  </si>
  <si>
    <t>Enam ratus tiga puluh delapan</t>
  </si>
  <si>
    <t>Enam ratus tiga puluh sembilan</t>
  </si>
  <si>
    <t>Enam ratus empat puluh</t>
  </si>
  <si>
    <t>Enam ratus empat puluh satu</t>
  </si>
  <si>
    <t>Enam ratus empat puluh dua</t>
  </si>
  <si>
    <t>Enam ratus empat puluh tiga</t>
  </si>
  <si>
    <t>Enam ratus empat puluh empat</t>
  </si>
  <si>
    <t>Enam ratus empat puluh lima</t>
  </si>
  <si>
    <t>Enam ratus empat puluh enam</t>
  </si>
  <si>
    <t>Enam ratus empat puluh tujuh</t>
  </si>
  <si>
    <t>Enam ratus empat puluh delapan</t>
  </si>
  <si>
    <t>Enam ratus empat puluh sembilan</t>
  </si>
  <si>
    <t>Enam ratus lima puluh</t>
  </si>
  <si>
    <t>Enam ratus lima puluh satu</t>
  </si>
  <si>
    <t>Enam ratus lima puluh dua</t>
  </si>
  <si>
    <t>Enam ratus lima puluh tiga</t>
  </si>
  <si>
    <t>Enam ratus lima puluh empat</t>
  </si>
  <si>
    <t>Enam ratus lima puluh lima</t>
  </si>
  <si>
    <t>Enam ratus lima puluh enam</t>
  </si>
  <si>
    <t>Enam ratus lima puluh tujuh</t>
  </si>
  <si>
    <t>Enam ratus lima puluh delapan</t>
  </si>
  <si>
    <t>Enam ratus lima puluh sembilan</t>
  </si>
  <si>
    <t>Enam ratus enam puluh</t>
  </si>
  <si>
    <t>Enam ratus enam puluh satu</t>
  </si>
  <si>
    <t>Enam ratus enam puluh dua</t>
  </si>
  <si>
    <t>Enam ratus enam puluh tiga</t>
  </si>
  <si>
    <t>Enam ratus enam puluh empat</t>
  </si>
  <si>
    <t>Enam ratus enam puluh lima</t>
  </si>
  <si>
    <t>Enam ratus enam puluh enam</t>
  </si>
  <si>
    <t>Enam ratus enam puluh tujuh</t>
  </si>
  <si>
    <t>Enam ratus enam puluh delapan</t>
  </si>
  <si>
    <t>Enam ratus enam puluh sembilan</t>
  </si>
  <si>
    <t>Enam ratus tujuh puluh</t>
  </si>
  <si>
    <t>Enam ratus tujuh puluh satu</t>
  </si>
  <si>
    <t>Enam ratus tujuh puluh dua</t>
  </si>
  <si>
    <t>Enam ratus tujuh puluh tiga</t>
  </si>
  <si>
    <t>Enam ratus tujuh puluh empat</t>
  </si>
  <si>
    <t>Enam ratus tujuh puluh lima</t>
  </si>
  <si>
    <t>Enam ratus tujuh puluh enam</t>
  </si>
  <si>
    <t>Enam ratus tujuh puluh tujuh</t>
  </si>
  <si>
    <t>Enam ratus tujuh puluh delapan</t>
  </si>
  <si>
    <t>Enam ratus tujuh puluh sembilan</t>
  </si>
  <si>
    <t>Enam ratus delapan puluh</t>
  </si>
  <si>
    <t>Enam ratus delapan puluh satu</t>
  </si>
  <si>
    <t>Enam ratus delapan puluh dua</t>
  </si>
  <si>
    <t>Enam ratus delapan puluh tiga</t>
  </si>
  <si>
    <t>Enam ratus delapan puluh empat</t>
  </si>
  <si>
    <t>Enam ratus delapan puluh lima</t>
  </si>
  <si>
    <t>Enam ratus delapan puluh enam</t>
  </si>
  <si>
    <t>Enam ratus delapan puluh tujuh</t>
  </si>
  <si>
    <t>Enam ratus delapan puluh delapan</t>
  </si>
  <si>
    <t>Enam ratus delapan puluh sembilan</t>
  </si>
  <si>
    <t>Enam ratus sembilan puluh</t>
  </si>
  <si>
    <t>Enam ratus sembilan puluh satu</t>
  </si>
  <si>
    <t>Enam ratus sembilan puluh dua</t>
  </si>
  <si>
    <t>Enam ratus sembilan puluh tiga</t>
  </si>
  <si>
    <t>Enam ratus sembilan puluh empat</t>
  </si>
  <si>
    <t>Enam ratus sembilan puluh lima</t>
  </si>
  <si>
    <t>Enam ratus sembilan puluh enam</t>
  </si>
  <si>
    <t>Enam ratus sembilan puluh tujuh</t>
  </si>
  <si>
    <t>Enam ratus sembilan puluh delapan</t>
  </si>
  <si>
    <t>Enam ratus sembilan puluh sembilan</t>
  </si>
  <si>
    <t>Tujuh ratus</t>
  </si>
  <si>
    <t>Tujuh ratus satu</t>
  </si>
  <si>
    <t>Tujuh ratus dua</t>
  </si>
  <si>
    <t>Tujuh ratus tiga</t>
  </si>
  <si>
    <t>Tujuh ratus empat</t>
  </si>
  <si>
    <t>Tujuh ratus lima</t>
  </si>
  <si>
    <t>Tujuh ratus enam</t>
  </si>
  <si>
    <t>Tujuh ratus tujuh</t>
  </si>
  <si>
    <t>Tujuh ratus delapan</t>
  </si>
  <si>
    <t>Tujuh ratus sembilan</t>
  </si>
  <si>
    <t>Tujuh ratus sepuluh</t>
  </si>
  <si>
    <t>Tujuh ratus sebelas</t>
  </si>
  <si>
    <t>Tujuh ratus dua belas</t>
  </si>
  <si>
    <t>Tujuh ratus tiga belas</t>
  </si>
  <si>
    <t>Tujuh ratus empat belas</t>
  </si>
  <si>
    <t>Tujuh ratus lima belas</t>
  </si>
  <si>
    <t>Tujuh ratus enam belas</t>
  </si>
  <si>
    <t>Tujuh ratus tujuh belas</t>
  </si>
  <si>
    <t>Tujuh ratus delapan belas</t>
  </si>
  <si>
    <t>Tujuh ratus sembilan belas</t>
  </si>
  <si>
    <t>Tujuh ratus dua puluh</t>
  </si>
  <si>
    <t>Tujuh ratus dua puluh satu</t>
  </si>
  <si>
    <t>Tujuh ratus dua puluh dua</t>
  </si>
  <si>
    <t>Tujuh ratus dua puluh tiga</t>
  </si>
  <si>
    <t>Tujuh ratus dua puluh empat</t>
  </si>
  <si>
    <t>Tujuh ratus dua puluh lima</t>
  </si>
  <si>
    <t>Tujuh ratus dua puluh enam</t>
  </si>
  <si>
    <t>Tujuh ratus dua puluh tujuh</t>
  </si>
  <si>
    <t>Tujuh ratus dua puluh delapan</t>
  </si>
  <si>
    <t>Tujuh ratus dua puluh sembilan</t>
  </si>
  <si>
    <t>Tujuh ratus tiga puluh</t>
  </si>
  <si>
    <t>Tujuh ratus tiga puluh satu</t>
  </si>
  <si>
    <t>Tujuh ratus tiga puluh dua</t>
  </si>
  <si>
    <t>Tujuh ratus tiga puluh tiga</t>
  </si>
  <si>
    <t>Tujuh ratus tiga puluh empat</t>
  </si>
  <si>
    <t>Tujuh ratus tiga puluh lima</t>
  </si>
  <si>
    <t>Tujuh ratus tiga puluh enam</t>
  </si>
  <si>
    <t>Tujuh ratus tiga puluh tujuh</t>
  </si>
  <si>
    <t>Tujuh ratus tiga puluh delapan</t>
  </si>
  <si>
    <t>Tujuh ratus tiga puluh sembilan</t>
  </si>
  <si>
    <t>Tujuh ratus empat puluh</t>
  </si>
  <si>
    <t>Tujuh ratus empat puluh satu</t>
  </si>
  <si>
    <t>Tujuh ratus empat puluh dua</t>
  </si>
  <si>
    <t>Tujuh ratus empat puluh tiga</t>
  </si>
  <si>
    <t>Tujuh ratus empat puluh empat</t>
  </si>
  <si>
    <t>Tujuh ratus empat puluh lima</t>
  </si>
  <si>
    <t>Tujuh ratus empat puluh enam</t>
  </si>
  <si>
    <t>Tujuh ratus empat puluh tujuh</t>
  </si>
  <si>
    <t>Tujuh ratus empat puluh delapan</t>
  </si>
  <si>
    <t>Tujuh ratus empat puluh sembilan</t>
  </si>
  <si>
    <t>Tujuh ratus lima puluh</t>
  </si>
  <si>
    <t>Tujuh ratus lima puluh satu</t>
  </si>
  <si>
    <t>Tujuh ratus lima puluh dua</t>
  </si>
  <si>
    <t>Tujuh ratus lima puluh tiga</t>
  </si>
  <si>
    <t>Tujuh ratus lima puluh empat</t>
  </si>
  <si>
    <t>Tujuh ratus lima puluh lima</t>
  </si>
  <si>
    <t>Tujuh ratus lima puluh enam</t>
  </si>
  <si>
    <t>Tujuh ratus lima puluh tujuh</t>
  </si>
  <si>
    <t>Tujuh ratus lima puluh delapan</t>
  </si>
  <si>
    <t>Tujuh ratus lima puluh sembilan</t>
  </si>
  <si>
    <t>Tujuh ratus enam puluh</t>
  </si>
  <si>
    <t>Tujuh ratus enam puluh satu</t>
  </si>
  <si>
    <t>Tujuh ratus enam puluh dua</t>
  </si>
  <si>
    <t>Tujuh ratus enam puluh tiga</t>
  </si>
  <si>
    <t>Tujuh ratus enam puluh empat</t>
  </si>
  <si>
    <t>Tujuh ratus enam puluh lima</t>
  </si>
  <si>
    <t>Tujuh ratus enam puluh enam</t>
  </si>
  <si>
    <t>Tujuh ratus enam puluh tujuh</t>
  </si>
  <si>
    <t>Tujuh ratus enam puluh delapan</t>
  </si>
  <si>
    <t>Tujuh ratus enam puluh sembilan</t>
  </si>
  <si>
    <t>Tujuh ratus tujuh puluh</t>
  </si>
  <si>
    <t>Tujuh ratus tujuh puluh satu</t>
  </si>
  <si>
    <t>Tujuh ratus tujuh puluh dua</t>
  </si>
  <si>
    <t>Tujuh ratus tujuh puluh tiga</t>
  </si>
  <si>
    <t>Tujuh ratus tujuh puluh empat</t>
  </si>
  <si>
    <t>Tujuh ratus tujuh puluh lima</t>
  </si>
  <si>
    <t>Tujuh ratus tujuh puluh enam</t>
  </si>
  <si>
    <t>Tujuh ratus tujuh puluh tujuh</t>
  </si>
  <si>
    <t>Tujuh ratus tujuh puluh delapan</t>
  </si>
  <si>
    <t>Tujuh ratus tujuh puluh sembilan</t>
  </si>
  <si>
    <t>Tujuh ratus delapan puluh</t>
  </si>
  <si>
    <t>Tujuh ratus delapan puluh satu</t>
  </si>
  <si>
    <t>Tujuh ratus delapan puluh dua</t>
  </si>
  <si>
    <t>Tujuh ratus delapan puluh tiga</t>
  </si>
  <si>
    <t>Tujuh ratus delapan puluh empat</t>
  </si>
  <si>
    <t>Tujuh ratus delapan puluh lima</t>
  </si>
  <si>
    <t>Tujuh ratus delapan puluh enam</t>
  </si>
  <si>
    <t>Tujuh ratus delapan puluh tujuh</t>
  </si>
  <si>
    <t>Tujuh ratus delapan puluh delapan</t>
  </si>
  <si>
    <t>Tujuh ratus delapan puluh sembilan</t>
  </si>
  <si>
    <t>Tujuh ratus sembilan puluh</t>
  </si>
  <si>
    <t>Tujuh ratus sembilan puluh satu</t>
  </si>
  <si>
    <t>Tujuh ratus sembilan puluh dua</t>
  </si>
  <si>
    <t>Tujuh ratus sembilan puluh tiga</t>
  </si>
  <si>
    <t>Tujuh ratus sembilan puluh empat</t>
  </si>
  <si>
    <t>Tujuh ratus sembilan puluh lima</t>
  </si>
  <si>
    <t>Tujuh ratus sembilan puluh enam</t>
  </si>
  <si>
    <t>Tujuh ratus sembilan puluh tujuh</t>
  </si>
  <si>
    <t>Tujuh ratus sembilan puluh delapan</t>
  </si>
  <si>
    <t>Tujuh ratus sembilan puluh sembilan</t>
  </si>
  <si>
    <t>Delapan ratus</t>
  </si>
  <si>
    <t>Delapan ratus satu</t>
  </si>
  <si>
    <t>Delapan ratus dua</t>
  </si>
  <si>
    <t>Delapan ratus tiga</t>
  </si>
  <si>
    <t>Delapan ratus empat</t>
  </si>
  <si>
    <t>Delapan ratus lima</t>
  </si>
  <si>
    <t>Delapan ratus enam</t>
  </si>
  <si>
    <t>Delapan ratus tujuh</t>
  </si>
  <si>
    <t>Delapan ratus delapan</t>
  </si>
  <si>
    <t>Delapan ratus sembilan</t>
  </si>
  <si>
    <t>Delapan ratus sepuluh</t>
  </si>
  <si>
    <t>Delapan ratus sebelas</t>
  </si>
  <si>
    <t>Delapan ratus dua belas</t>
  </si>
  <si>
    <t>Delapan ratus tiga belas</t>
  </si>
  <si>
    <t>Delapan ratus empat belas</t>
  </si>
  <si>
    <t>Delapan ratus lima belas</t>
  </si>
  <si>
    <t>Delapan ratus enam belas</t>
  </si>
  <si>
    <t>Delapan ratus tujuh belas</t>
  </si>
  <si>
    <t>Delapan ratus delapan belas</t>
  </si>
  <si>
    <t>Delapan ratus sembilan belas</t>
  </si>
  <si>
    <t>Delapan ratus dua puluh</t>
  </si>
  <si>
    <t>Delapan ratus dua puluh satu</t>
  </si>
  <si>
    <t>Delapan ratus dua puluh dua</t>
  </si>
  <si>
    <t>Delapan ratus dua puluh tiga</t>
  </si>
  <si>
    <t>Delapan ratus dua puluh empat</t>
  </si>
  <si>
    <t>Delapan ratus dua puluh lima</t>
  </si>
  <si>
    <t>Delapan ratus dua puluh enam</t>
  </si>
  <si>
    <t>Delapan ratus dua puluh tujuh</t>
  </si>
  <si>
    <t>Delapan ratus dua puluh delapan</t>
  </si>
  <si>
    <t>Delapan ratus dua puluh sembilan</t>
  </si>
  <si>
    <t>Delapan ratus tiga puluh</t>
  </si>
  <si>
    <t>Delapan ratus tiga puluh satu</t>
  </si>
  <si>
    <t>Delapan ratus tiga puluh dua</t>
  </si>
  <si>
    <t>Delapan ratus tiga puluh tiga</t>
  </si>
  <si>
    <t>Delapan ratus tiga puluh empat</t>
  </si>
  <si>
    <t>Delapan ratus tiga puluh lima</t>
  </si>
  <si>
    <t>Delapan ratus tiga puluh enam</t>
  </si>
  <si>
    <t>Delapan ratus tiga puluh tujuh</t>
  </si>
  <si>
    <t>Delapan ratus tiga puluh delapan</t>
  </si>
  <si>
    <t>Delapan ratus tiga puluh sembilan</t>
  </si>
  <si>
    <t>Delapan ratus empat puluh</t>
  </si>
  <si>
    <t>Delapan ratus empat puluh satu</t>
  </si>
  <si>
    <t>Delapan ratus empat puluh dua</t>
  </si>
  <si>
    <t>Delapan ratus empat puluh tiga</t>
  </si>
  <si>
    <t>Delapan ratus empat puluh empat</t>
  </si>
  <si>
    <t>Delapan ratus empat puluh lima</t>
  </si>
  <si>
    <t>Delapan ratus empat puluh enam</t>
  </si>
  <si>
    <t>Delapan ratus empat puluh tujuh</t>
  </si>
  <si>
    <t>Delapan ratus empat puluh delapan</t>
  </si>
  <si>
    <t>Delapan ratus empat puluh sembilan</t>
  </si>
  <si>
    <t>Delapan ratus lima puluh</t>
  </si>
  <si>
    <t>Delapan ratus lima puluh satu</t>
  </si>
  <si>
    <t>Delapan ratus lima puluh dua</t>
  </si>
  <si>
    <t>Delapan ratus lima puluh tiga</t>
  </si>
  <si>
    <t>Delapan ratus lima puluh empat</t>
  </si>
  <si>
    <t>Delapan ratus lima puluh lima</t>
  </si>
  <si>
    <t>Delapan ratus lima puluh enam</t>
  </si>
  <si>
    <t>Delapan ratus lima puluh tujuh</t>
  </si>
  <si>
    <t>Delapan ratus lima puluh delapan</t>
  </si>
  <si>
    <t>Delapan ratus lima puluh sembilan</t>
  </si>
  <si>
    <t>Delapan ratus enam puluh</t>
  </si>
  <si>
    <t>Delapan ratus enam puluh satu</t>
  </si>
  <si>
    <t>Delapan ratus enam puluh dua</t>
  </si>
  <si>
    <t>Delapan ratus enam puluh tiga</t>
  </si>
  <si>
    <t>Delapan ratus enam puluh empat</t>
  </si>
  <si>
    <t>Delapan ratus enam puluh lima</t>
  </si>
  <si>
    <t>Delapan ratus enam puluh enam</t>
  </si>
  <si>
    <t>Delapan ratus enam puluh tujuh</t>
  </si>
  <si>
    <t>Delapan ratus enam puluh delapan</t>
  </si>
  <si>
    <t>Delapan ratus enam puluh sembilan</t>
  </si>
  <si>
    <t>Delapan ratus tujuh puluh</t>
  </si>
  <si>
    <t>Delapan ratus tujuh puluh satu</t>
  </si>
  <si>
    <t>Delapan ratus tujuh puluh dua</t>
  </si>
  <si>
    <t>Delapan ratus tujuh puluh tiga</t>
  </si>
  <si>
    <t>Delapan ratus tujuh puluh empat</t>
  </si>
  <si>
    <t>Delapan ratus tujuh puluh lima</t>
  </si>
  <si>
    <t>Delapan ratus tujuh puluh enam</t>
  </si>
  <si>
    <t>Delapan ratus tujuh puluh tujuh</t>
  </si>
  <si>
    <t>Delapan ratus tujuh puluh delapan</t>
  </si>
  <si>
    <t>Delapan ratus tujuh puluh sembilan</t>
  </si>
  <si>
    <t>Delapan ratus delapan puluh</t>
  </si>
  <si>
    <t>Delapan ratus delapan puluh satu</t>
  </si>
  <si>
    <t>Delapan ratus delapan puluh dua</t>
  </si>
  <si>
    <t>Delapan ratus delapan puluh tiga</t>
  </si>
  <si>
    <t>Delapan ratus delapan puluh empat</t>
  </si>
  <si>
    <t>Delapan ratus delapan puluh lima</t>
  </si>
  <si>
    <t>Delapan ratus delapan puluh enam</t>
  </si>
  <si>
    <t>Delapan ratus delapan puluh tujuh</t>
  </si>
  <si>
    <t>Delapan ratus delapan puluh delapan</t>
  </si>
  <si>
    <t>Delapan ratus delapan puluh sembilan</t>
  </si>
  <si>
    <t>Delapan ratus sembilan puluh</t>
  </si>
  <si>
    <t>Delapan ratus sembilan puluh satu</t>
  </si>
  <si>
    <t>Delapan ratus sembilan puluh dua</t>
  </si>
  <si>
    <t>Delapan ratus sembilan puluh tiga</t>
  </si>
  <si>
    <t>Delapan ratus sembilan puluh empat</t>
  </si>
  <si>
    <t>Delapan ratus sembilan puluh lima</t>
  </si>
  <si>
    <t>Delapan ratus sembilan puluh enam</t>
  </si>
  <si>
    <t>Delapan ratus sembilan puluh tujuh</t>
  </si>
  <si>
    <t>Delapan ratus sembilan puluh delapan</t>
  </si>
  <si>
    <t>Delapan ratus sembilan puluh sembilan</t>
  </si>
  <si>
    <t>Sembilan ratus</t>
  </si>
  <si>
    <t>Sembilan ratus satu</t>
  </si>
  <si>
    <t>Sembilan ratus dua</t>
  </si>
  <si>
    <t>Sembilan ratus tiga</t>
  </si>
  <si>
    <t>Sembilan ratus empat</t>
  </si>
  <si>
    <t>Sembilan ratus lima</t>
  </si>
  <si>
    <t>Sembilan ratus enam</t>
  </si>
  <si>
    <t>Sembilan ratus tujuh</t>
  </si>
  <si>
    <t>Sembilan ratus delapan</t>
  </si>
  <si>
    <t>Sembilan ratus sembilan</t>
  </si>
  <si>
    <t>Sembilan ratus sepuluh</t>
  </si>
  <si>
    <t>Sembilan ratus sebelas</t>
  </si>
  <si>
    <t>Sembilan ratus dua belas</t>
  </si>
  <si>
    <t>Sembilan ratus tiga belas</t>
  </si>
  <si>
    <t>Sembilan ratus empat belas</t>
  </si>
  <si>
    <t>Sembilan ratus lima belas</t>
  </si>
  <si>
    <t>Sembilan ratus enam belas</t>
  </si>
  <si>
    <t>Sembilan ratus tujuh belas</t>
  </si>
  <si>
    <t>Sembilan ratus delapan belas</t>
  </si>
  <si>
    <t>Sembilan ratus sembilan belas</t>
  </si>
  <si>
    <t>Sembilan ratus dua puluh</t>
  </si>
  <si>
    <t>Sembilan ratus dua puluh satu</t>
  </si>
  <si>
    <t>Sembilan ratus dua puluh dua</t>
  </si>
  <si>
    <t>Sembilan ratus dua puluh tiga</t>
  </si>
  <si>
    <t>Sembilan ratus dua puluh empat</t>
  </si>
  <si>
    <t>Sembilan ratus dua puluh lima</t>
  </si>
  <si>
    <t>Sembilan ratus dua puluh enam</t>
  </si>
  <si>
    <t>Sembilan ratus dua puluh tujuh</t>
  </si>
  <si>
    <t>Sembilan ratus dua puluh delapan</t>
  </si>
  <si>
    <t>Sembilan ratus dua puluh sembilan</t>
  </si>
  <si>
    <t>Sembilan ratus tiga puluh</t>
  </si>
  <si>
    <t>Sembilan ratus tiga puluh satu</t>
  </si>
  <si>
    <t>Sembilan ratus tiga puluh dua</t>
  </si>
  <si>
    <t>Sembilan ratus tiga puluh tiga</t>
  </si>
  <si>
    <t>Sembilan ratus tiga puluh empat</t>
  </si>
  <si>
    <t>Sembilan ratus tiga puluh lima</t>
  </si>
  <si>
    <t>Sembilan ratus tiga puluh enam</t>
  </si>
  <si>
    <t>Sembilan ratus tiga puluh tujuh</t>
  </si>
  <si>
    <t>Sembilan ratus tiga puluh delapan</t>
  </si>
  <si>
    <t>Sembilan ratus tiga puluh sembilan</t>
  </si>
  <si>
    <t>Sembilan ratus empat puluh</t>
  </si>
  <si>
    <t>Sembilan ratus empat puluh satu</t>
  </si>
  <si>
    <t>Sembilan ratus empat puluh dua</t>
  </si>
  <si>
    <t>Sembilan ratus empat puluh tiga</t>
  </si>
  <si>
    <t>Sembilan ratus empat puluh empat</t>
  </si>
  <si>
    <t>Sembilan ratus empat puluh lima</t>
  </si>
  <si>
    <t>Sembilan ratus empat puluh enam</t>
  </si>
  <si>
    <t>Sembilan ratus empat puluh tujuh</t>
  </si>
  <si>
    <t>Sembilan ratus empat puluh delapan</t>
  </si>
  <si>
    <t>Sembilan ratus empat puluh sembilan</t>
  </si>
  <si>
    <t>Sembilan ratus lima puluh</t>
  </si>
  <si>
    <t>Sembilan ratus lima puluh satu</t>
  </si>
  <si>
    <t>Sembilan ratus lima puluh dua</t>
  </si>
  <si>
    <t>Sembilan ratus lima puluh tiga</t>
  </si>
  <si>
    <t>Sembilan ratus lima puluh empat</t>
  </si>
  <si>
    <t>Sembilan ratus lima puluh lima</t>
  </si>
  <si>
    <t>Sembilan ratus lima puluh enam</t>
  </si>
  <si>
    <t>Sembilan ratus lima puluh tujuh</t>
  </si>
  <si>
    <t>Sembilan ratus lima puluh delapan</t>
  </si>
  <si>
    <t>Sembilan ratus lima puluh sembilan</t>
  </si>
  <si>
    <t>Sembilan ratus enam puluh</t>
  </si>
  <si>
    <t>Sembilan ratus enam puluh satu</t>
  </si>
  <si>
    <t>Sembilan ratus enam puluh dua</t>
  </si>
  <si>
    <t>Sembilan ratus enam puluh tiga</t>
  </si>
  <si>
    <t>Sembilan ratus enam puluh empat</t>
  </si>
  <si>
    <t>Sembilan ratus enam puluh lima</t>
  </si>
  <si>
    <t>Sembilan ratus enam puluh enam</t>
  </si>
  <si>
    <t>Sembilan ratus enam puluh tujuh</t>
  </si>
  <si>
    <t>Sembilan ratus enam puluh delapan</t>
  </si>
  <si>
    <t>Sembilan ratus enam puluh sembilan</t>
  </si>
  <si>
    <t>Sembilan ratus tujuh puluh</t>
  </si>
  <si>
    <t>Sembilan ratus tujuh puluh satu</t>
  </si>
  <si>
    <t>Sembilan ratus tujuh puluh dua</t>
  </si>
  <si>
    <t>Sembilan ratus tujuh puluh tiga</t>
  </si>
  <si>
    <t>Sembilan ratus tujuh puluh empat</t>
  </si>
  <si>
    <t>Sembilan ratus tujuh puluh lima</t>
  </si>
  <si>
    <t>Sembilan ratus tujuh puluh enam</t>
  </si>
  <si>
    <t>Sembilan ratus tujuh puluh tujuh</t>
  </si>
  <si>
    <t>Sembilan ratus tujuh puluh delapan</t>
  </si>
  <si>
    <t>Sembilan ratus tujuh puluh sembilan</t>
  </si>
  <si>
    <t>Sembilan ratus delapan puluh</t>
  </si>
  <si>
    <t>Sembilan ratus delapan puluh satu</t>
  </si>
  <si>
    <t>Sembilan ratus delapan puluh dua</t>
  </si>
  <si>
    <t>Sembilan ratus delapan puluh tiga</t>
  </si>
  <si>
    <t>Sembilan ratus delapan puluh empat</t>
  </si>
  <si>
    <t>Sembilan ratus delapan puluh lima</t>
  </si>
  <si>
    <t>Sembilan ratus delapan puluh enam</t>
  </si>
  <si>
    <t>Sembilan ratus delapan puluh tujuh</t>
  </si>
  <si>
    <t>Sembilan ratus delapan puluh delapan</t>
  </si>
  <si>
    <t>Sembilan ratus delapan puluh sembilan</t>
  </si>
  <si>
    <t>Sembilan ratus sembilan puluh</t>
  </si>
  <si>
    <t>Sembilan ratus sembilan puluh satu</t>
  </si>
  <si>
    <t>Sembilan ratus sembilan puluh dua</t>
  </si>
  <si>
    <t>Sembilan ratus sembilan puluh tiga</t>
  </si>
  <si>
    <t>Sembilan ratus sembilan puluh empat</t>
  </si>
  <si>
    <t>Sembilan ratus sembilan puluh lima</t>
  </si>
  <si>
    <t>Sembilan ratus sembilan puluh enam</t>
  </si>
  <si>
    <t>Sembilan ratus sembilan puluh tujuh</t>
  </si>
  <si>
    <t>Sembilan ratus sembilan puluh delapan</t>
  </si>
  <si>
    <t>Sembilan ratus sembilan puluh sembilan</t>
  </si>
  <si>
    <t>Seribu</t>
  </si>
  <si>
    <t>Seribu satu</t>
  </si>
  <si>
    <t>Seribu dua</t>
  </si>
  <si>
    <t>Seribu tiga</t>
  </si>
  <si>
    <t>Seribu empat</t>
  </si>
  <si>
    <t>Seribu lima</t>
  </si>
  <si>
    <t>Seribu enam</t>
  </si>
  <si>
    <t>Seribu tujuh</t>
  </si>
  <si>
    <t>Seribu delapan</t>
  </si>
  <si>
    <t>Seribu sembilan</t>
  </si>
  <si>
    <t>Seribu sepuluh</t>
  </si>
  <si>
    <t>Seribu sebelas</t>
  </si>
  <si>
    <t>Seribu dua belas</t>
  </si>
  <si>
    <t>Seribu tiga belas</t>
  </si>
  <si>
    <t>Seribu empat belas</t>
  </si>
  <si>
    <t>Seribu lima belas</t>
  </si>
  <si>
    <t>Seribu enam belas</t>
  </si>
  <si>
    <t>Seribu tujuh belas</t>
  </si>
  <si>
    <t>Seribu delapan belas</t>
  </si>
  <si>
    <t>Seribu sembilan belas</t>
  </si>
  <si>
    <t>Seribu dua puluh</t>
  </si>
  <si>
    <t>Seribu dua puluh satu</t>
  </si>
  <si>
    <t>Seribu dua puluh dua</t>
  </si>
  <si>
    <t>Seribu dua puluh tiga</t>
  </si>
  <si>
    <t>Seribu dua puluh empat</t>
  </si>
  <si>
    <t>Seribu dua puluh lima</t>
  </si>
  <si>
    <t>Seribu dua puluh enam</t>
  </si>
  <si>
    <t>Seribu dua puluh tujuh</t>
  </si>
  <si>
    <t>Seribu dua puluh delapan</t>
  </si>
  <si>
    <t>Seribu dua puluh sembilan</t>
  </si>
  <si>
    <t>Seribu tiga puluh</t>
  </si>
  <si>
    <t>Seribu tiga puluh satu</t>
  </si>
  <si>
    <t>Seribu tiga puluh dua</t>
  </si>
  <si>
    <t>Seribu tiga puluh tiga</t>
  </si>
  <si>
    <t>Seribu tiga puluh empat</t>
  </si>
  <si>
    <t>Seribu tiga puluh lima</t>
  </si>
  <si>
    <t>Seribu tiga puluh enam</t>
  </si>
  <si>
    <t>Seribu tiga puluh tujuh</t>
  </si>
  <si>
    <t>Seribu tiga puluh delapan</t>
  </si>
  <si>
    <t>Seribu tiga puluh sembilan</t>
  </si>
  <si>
    <t>Seribu empat puluh</t>
  </si>
  <si>
    <t>Seribu empat puluh satu</t>
  </si>
  <si>
    <t>Seribu empat puluh dua</t>
  </si>
  <si>
    <t>Seribu empat puluh tiga</t>
  </si>
  <si>
    <t>Seribu empat puluh empat</t>
  </si>
  <si>
    <t>Seribu empat puluh lima</t>
  </si>
  <si>
    <t>Seribu empat puluh enam</t>
  </si>
  <si>
    <t>Seribu empat puluh tujuh</t>
  </si>
  <si>
    <t>Seribu empat puluh delapan</t>
  </si>
  <si>
    <t>Seribu empat puluh sembilan</t>
  </si>
  <si>
    <t>Seribu lima puluh</t>
  </si>
  <si>
    <t>Seribu lima puluh satu</t>
  </si>
  <si>
    <t>Seribu lima puluh dua</t>
  </si>
  <si>
    <t>Seribu lima puluh tiga</t>
  </si>
  <si>
    <t>Seribu lima puluh empat</t>
  </si>
  <si>
    <t>Seribu lima puluh lima</t>
  </si>
  <si>
    <t>Seribu lima puluh enam</t>
  </si>
  <si>
    <t>Seribu lima puluh tujuh</t>
  </si>
  <si>
    <t>Seribu lima puluh delapan</t>
  </si>
  <si>
    <t>Seribu lima puluh sembilan</t>
  </si>
  <si>
    <t>Seribu enam puluh</t>
  </si>
  <si>
    <t>Seribu enam puluh satu</t>
  </si>
  <si>
    <t>Seribu enam puluh dua</t>
  </si>
  <si>
    <t>Seribu enam puluh tiga</t>
  </si>
  <si>
    <t>Seribu enam puluh empat</t>
  </si>
  <si>
    <t>Seribu enam puluh lima</t>
  </si>
  <si>
    <t>Seribu enam puluh enam</t>
  </si>
  <si>
    <t>Seribu enam puluh tujuh</t>
  </si>
  <si>
    <t>Seribu enam puluh delapan</t>
  </si>
  <si>
    <t>Seribu enam puluh sembilan</t>
  </si>
  <si>
    <t>Seribu tujuh puluh</t>
  </si>
  <si>
    <t>Seribu tujuh puluh satu</t>
  </si>
  <si>
    <t>Seribu tujuh puluh dua</t>
  </si>
  <si>
    <t>Seribu tujuh puluh tiga</t>
  </si>
  <si>
    <t>Seribu tujuh puluh empat</t>
  </si>
  <si>
    <t>Seribu tujuh puluh lima</t>
  </si>
  <si>
    <t>Seribu tujuh puluh enam</t>
  </si>
  <si>
    <t>Seribu tujuh puluh tujuh</t>
  </si>
  <si>
    <t>Seribu tujuh puluh delapan</t>
  </si>
  <si>
    <t>Seribu tujuh puluh sembilan</t>
  </si>
  <si>
    <t>Seribu delapan puluh</t>
  </si>
  <si>
    <t>Seribu delapan puluh satu</t>
  </si>
  <si>
    <t>Seribu delapan puluh dua</t>
  </si>
  <si>
    <t>Seribu delapan puluh tiga</t>
  </si>
  <si>
    <t>Seribu delapan puluh empat</t>
  </si>
  <si>
    <t>Seribu delapan puluh lima</t>
  </si>
  <si>
    <t>Seribu delapan puluh enam</t>
  </si>
  <si>
    <t>Seribu delapan puluh tujuh</t>
  </si>
  <si>
    <t>Seribu delapan puluh delapan</t>
  </si>
  <si>
    <t>Seribu delapan puluh sembilan</t>
  </si>
  <si>
    <t>Seribu sembilan puluh</t>
  </si>
  <si>
    <t>Seribu sembilan puluh satu</t>
  </si>
  <si>
    <t>Seribu sembilan puluh dua</t>
  </si>
  <si>
    <t>Seribu sembilan puluh tiga</t>
  </si>
  <si>
    <t>Seribu sembilan puluh empat</t>
  </si>
  <si>
    <t>Seribu sembilan puluh lima</t>
  </si>
  <si>
    <t>Seribu sembilan puluh enam</t>
  </si>
  <si>
    <t>Seribu sembilan puluh tujuh</t>
  </si>
  <si>
    <t>Seribu sembilan puluh delapan</t>
  </si>
  <si>
    <t>Seribu sembilan puluh sembilan</t>
  </si>
  <si>
    <t>Seribu seratus</t>
  </si>
  <si>
    <t>Seribu seratus satu</t>
  </si>
  <si>
    <t>Seribu seratus dua</t>
  </si>
  <si>
    <t>Seribu seratus tiga</t>
  </si>
  <si>
    <t>Seribu seratus empat</t>
  </si>
  <si>
    <t>Seribu seratus lima</t>
  </si>
  <si>
    <t>Seribu seratus enam</t>
  </si>
  <si>
    <t>Seribu seratus tujuh</t>
  </si>
  <si>
    <t>Seribu seratus delapan</t>
  </si>
  <si>
    <t>Seribu seratus sembilan</t>
  </si>
  <si>
    <t>Seribu seratus sepuluh</t>
  </si>
  <si>
    <t>Seribu seratus sebelas</t>
  </si>
  <si>
    <t>Seribu seratus dua belas</t>
  </si>
  <si>
    <t>Seribu seratus tiga belas</t>
  </si>
  <si>
    <t>Seribu seratus empat belas</t>
  </si>
  <si>
    <t>Seribu seratus lima belas</t>
  </si>
  <si>
    <t>Seribu seratus enam belas</t>
  </si>
  <si>
    <t>Seribu seratus tujuh belas</t>
  </si>
  <si>
    <t>Seribu seratus delapan belas</t>
  </si>
  <si>
    <t>Seribu seratus sembilan belas</t>
  </si>
  <si>
    <t>Seribu seratus dua puluh</t>
  </si>
  <si>
    <t>Seribu seratus dua puluh satu</t>
  </si>
  <si>
    <t>Seribu seratus dua puluh dua</t>
  </si>
  <si>
    <t>Seribu seratus dua puluh tiga</t>
  </si>
  <si>
    <t>Seribu seratus dua puluh empat</t>
  </si>
  <si>
    <t>Seribu seratus dua puluh lima</t>
  </si>
  <si>
    <t>Seribu seratus dua puluh enam</t>
  </si>
  <si>
    <t>Seribu seratus dua puluh tujuh</t>
  </si>
  <si>
    <t>Seribu seratus dua puluh delapan</t>
  </si>
  <si>
    <t>Seribu seratus dua puluh sembilan</t>
  </si>
  <si>
    <t>Seribu seratus tiga puluh</t>
  </si>
  <si>
    <t>Seribu seratus tiga puluh satu</t>
  </si>
  <si>
    <t>Seribu seratus tiga puluh dua</t>
  </si>
  <si>
    <t>Seribu seratus tiga puluh tiga</t>
  </si>
  <si>
    <t>Seribu seratus tiga puluh empat</t>
  </si>
  <si>
    <t>Seribu seratus tiga puluh lima</t>
  </si>
  <si>
    <t>Seribu seratus tiga puluh enam</t>
  </si>
  <si>
    <t>Seribu seratus tiga puluh tujuh</t>
  </si>
  <si>
    <t>Seribu seratus tiga puluh delapan</t>
  </si>
  <si>
    <t>Seribu seratus tiga puluh sembilan</t>
  </si>
  <si>
    <t>Seribu seratus empat puluh</t>
  </si>
  <si>
    <t>Seribu seratus empat puluh satu</t>
  </si>
  <si>
    <t>Seribu seratus empat puluh dua</t>
  </si>
  <si>
    <t>Seribu seratus empat puluh tiga</t>
  </si>
  <si>
    <t>Seribu seratus empat puluh empat</t>
  </si>
  <si>
    <t>Seribu seratus empat puluh lima</t>
  </si>
  <si>
    <t>Seribu seratus empat puluh enam</t>
  </si>
  <si>
    <t>Seribu seratus empat puluh tujuh</t>
  </si>
  <si>
    <t>Seribu seratus empat puluh delapan</t>
  </si>
  <si>
    <t>Seribu seratus empat puluh sembilan</t>
  </si>
  <si>
    <t>Seribu seratus lima puluh</t>
  </si>
  <si>
    <t xml:space="preserve">Seribu seratus lima puluh satu  </t>
  </si>
  <si>
    <t xml:space="preserve">Seribu seratus lima puluh dua  </t>
  </si>
  <si>
    <t xml:space="preserve">Seribu seratus lima puluh tiga  </t>
  </si>
  <si>
    <t xml:space="preserve">Seribu seratus lima puluh empat  </t>
  </si>
  <si>
    <t xml:space="preserve">Seribu seratus lima puluh lima  </t>
  </si>
  <si>
    <t xml:space="preserve">Seribu seratus lima puluh enam  </t>
  </si>
  <si>
    <t xml:space="preserve">Seribu seratus lima puluh tujuh  </t>
  </si>
  <si>
    <t xml:space="preserve">Seribu seratus lima puluh delapan  </t>
  </si>
  <si>
    <t xml:space="preserve">Seribu seratus lima puluh sembilan  </t>
  </si>
  <si>
    <t xml:space="preserve">Seribu seratus enam puluh  </t>
  </si>
  <si>
    <t xml:space="preserve">Seribu seratus enam puluh satu  </t>
  </si>
  <si>
    <t xml:space="preserve">Seribu seratus enam puluh dua  </t>
  </si>
  <si>
    <t xml:space="preserve">Seribu seratus enam puluh tiga  </t>
  </si>
  <si>
    <t xml:space="preserve">Seribu seratus enam puluh empat  </t>
  </si>
  <si>
    <t xml:space="preserve">Seribu seratus enam puluh lima  </t>
  </si>
  <si>
    <t xml:space="preserve">Seribu seratus enam puluh enam  </t>
  </si>
  <si>
    <t xml:space="preserve">Seribu seratus enam puluh tujuh  </t>
  </si>
  <si>
    <t xml:space="preserve">Seribu seratus enam puluh delapan  </t>
  </si>
  <si>
    <t xml:space="preserve">Seribu seratus enam puluh sembilan  </t>
  </si>
  <si>
    <t xml:space="preserve">Seribu seratus tujuh puluh  </t>
  </si>
  <si>
    <t xml:space="preserve">Seribu seratus tujuh puluh satu  </t>
  </si>
  <si>
    <t xml:space="preserve">Seribu seratus tujuh puluh dua  </t>
  </si>
  <si>
    <t xml:space="preserve">Seribu seratus tujuh puluh tiga  </t>
  </si>
  <si>
    <t xml:space="preserve">Seribu seratus tujuh puluh empat  </t>
  </si>
  <si>
    <t xml:space="preserve">Seribu seratus tujuh puluh lima  </t>
  </si>
  <si>
    <t xml:space="preserve">Seribu seratus tujuh puluh enam  </t>
  </si>
  <si>
    <t xml:space="preserve">Seribu seratus tujuh puluh tujuh  </t>
  </si>
  <si>
    <t xml:space="preserve">Seribu seratus tujuh puluh delapan  </t>
  </si>
  <si>
    <t xml:space="preserve">Seribu seratus tujuh puluh sembilan  </t>
  </si>
  <si>
    <t xml:space="preserve">Seribu seratus delapan puluh  </t>
  </si>
  <si>
    <t xml:space="preserve">Seribu seratus delapan puluh satu  </t>
  </si>
  <si>
    <t xml:space="preserve">Seribu seratus delapan puluh dua  </t>
  </si>
  <si>
    <t xml:space="preserve">Seribu seratus delapan puluh tiga  </t>
  </si>
  <si>
    <t xml:space="preserve">Seribu seratus delapan puluh empat  </t>
  </si>
  <si>
    <t xml:space="preserve">Seribu seratus delapan puluh lima  </t>
  </si>
  <si>
    <t xml:space="preserve">Seribu seratus delapan puluh enam  </t>
  </si>
  <si>
    <t xml:space="preserve">Seribu seratus delapan puluh tujuh  </t>
  </si>
  <si>
    <t xml:space="preserve">Seribu seratus delapan puluh delapan  </t>
  </si>
  <si>
    <t xml:space="preserve">Seribu seratus delapan puluh sembilan  </t>
  </si>
  <si>
    <t xml:space="preserve">Seribu seratus sembilan puluh  </t>
  </si>
  <si>
    <t xml:space="preserve">Seribu seratus sembilan puluh satu  </t>
  </si>
  <si>
    <t xml:space="preserve">Seribu seratus sembilan puluh dua  </t>
  </si>
  <si>
    <t xml:space="preserve">Seribu seratus sembilan puluh tiga  </t>
  </si>
  <si>
    <t xml:space="preserve">Seribu seratus sembilan puluh empat  </t>
  </si>
  <si>
    <t xml:space="preserve">Seribu seratus sembilan puluh lima  </t>
  </si>
  <si>
    <t xml:space="preserve">Seribu seratus sembilan puluh enam  </t>
  </si>
  <si>
    <t xml:space="preserve">Seribu seratus sembilan puluh tujuh  </t>
  </si>
  <si>
    <t xml:space="preserve">Seribu seratus sembilan puluh delapan  </t>
  </si>
  <si>
    <t xml:space="preserve">Seribu seratus sembilan puluh sembilan  </t>
  </si>
  <si>
    <t xml:space="preserve">Seribu dua ratus  </t>
  </si>
  <si>
    <t xml:space="preserve">Seribu dua ratus satu  </t>
  </si>
  <si>
    <t xml:space="preserve">Seribu dua ratus dua  </t>
  </si>
  <si>
    <t xml:space="preserve">Seribu dua ratus tiga  </t>
  </si>
  <si>
    <t xml:space="preserve">Seribu dua ratus empat  </t>
  </si>
  <si>
    <t xml:space="preserve">Seribu dua ratus lima  </t>
  </si>
  <si>
    <t xml:space="preserve">Seribu dua ratus enam  </t>
  </si>
  <si>
    <t xml:space="preserve">Seribu dua ratus tujuh  </t>
  </si>
  <si>
    <t xml:space="preserve">Seribu dua ratus delapan  </t>
  </si>
  <si>
    <t xml:space="preserve">Seribu dua ratus sembilan  </t>
  </si>
  <si>
    <t xml:space="preserve">Seribu dua ratus sepuluh  </t>
  </si>
  <si>
    <t xml:space="preserve">Seribu dua ratus sebelas  </t>
  </si>
  <si>
    <t xml:space="preserve">Seribu dua ratus dua belas  </t>
  </si>
  <si>
    <t xml:space="preserve">Seribu dua ratus tiga belas  </t>
  </si>
  <si>
    <t xml:space="preserve">Seribu dua ratus empat belas  </t>
  </si>
  <si>
    <t xml:space="preserve">Seribu dua ratus lima belas  </t>
  </si>
  <si>
    <t xml:space="preserve">Seribu dua ratus enam belas  </t>
  </si>
  <si>
    <t xml:space="preserve">Seribu dua ratus tujuh belas  </t>
  </si>
  <si>
    <t xml:space="preserve">Seribu dua ratus delapan belas  </t>
  </si>
  <si>
    <t xml:space="preserve">Seribu dua ratus sembilan belas  </t>
  </si>
  <si>
    <t xml:space="preserve">Seribu dua ratus dua puluh  </t>
  </si>
  <si>
    <t xml:space="preserve">Seribu dua ratus dua puluh satu  </t>
  </si>
  <si>
    <t xml:space="preserve">Seribu dua ratus dua puluh dua  </t>
  </si>
  <si>
    <t xml:space="preserve">Seribu dua ratus dua puluh tiga  </t>
  </si>
  <si>
    <t xml:space="preserve">Seribu dua ratus dua puluh empat  </t>
  </si>
  <si>
    <t xml:space="preserve">Seribu dua ratus dua puluh lima  </t>
  </si>
  <si>
    <t xml:space="preserve">Seribu dua ratus dua puluh enam  </t>
  </si>
  <si>
    <t xml:space="preserve">Seribu dua ratus dua puluh tujuh  </t>
  </si>
  <si>
    <t xml:space="preserve">Seribu dua ratus dua puluh delapan  </t>
  </si>
  <si>
    <t xml:space="preserve">Seribu dua ratus dua puluh sembilan  </t>
  </si>
  <si>
    <t xml:space="preserve">Seribu dua ratus tiga puluh  </t>
  </si>
  <si>
    <t xml:space="preserve">Seribu dua ratus tiga puluh satu  </t>
  </si>
  <si>
    <t xml:space="preserve">Seribu dua ratus tiga puluh dua  </t>
  </si>
  <si>
    <t xml:space="preserve">Seribu dua ratus tiga puluh tiga  </t>
  </si>
  <si>
    <t xml:space="preserve">Seribu dua ratus tiga puluh empat  </t>
  </si>
  <si>
    <t xml:space="preserve">Seribu dua ratus tiga puluh lima  </t>
  </si>
  <si>
    <t xml:space="preserve">Seribu dua ratus tiga puluh enam  </t>
  </si>
  <si>
    <t xml:space="preserve">Seribu dua ratus tiga puluh tujuh  </t>
  </si>
  <si>
    <t xml:space="preserve">Seribu dua ratus tiga puluh delapan  </t>
  </si>
  <si>
    <t xml:space="preserve">Seribu dua ratus tiga puluh sembilan  </t>
  </si>
  <si>
    <t xml:space="preserve">Seribu dua ratus empat puluh  </t>
  </si>
  <si>
    <t xml:space="preserve">Seribu dua ratus empat puluh satu  </t>
  </si>
  <si>
    <t xml:space="preserve">Seribu dua ratus empat puluh dua  </t>
  </si>
  <si>
    <t xml:space="preserve">Seribu dua ratus empat puluh tiga  </t>
  </si>
  <si>
    <t xml:space="preserve">Seribu dua ratus empat puluh empat  </t>
  </si>
  <si>
    <t xml:space="preserve">Seribu dua ratus empat puluh lima  </t>
  </si>
  <si>
    <t xml:space="preserve">Seribu dua ratus empat puluh enam  </t>
  </si>
  <si>
    <t xml:space="preserve">Seribu dua ratus empat puluh tujuh  </t>
  </si>
  <si>
    <t xml:space="preserve">Seribu dua ratus empat puluh delapan  </t>
  </si>
  <si>
    <t xml:space="preserve">Seribu dua ratus empat puluh sembilan  </t>
  </si>
  <si>
    <t xml:space="preserve">Seribu dua ratus lima puluh  </t>
  </si>
  <si>
    <t xml:space="preserve">Seribu dua ratus lima puluh satu  </t>
  </si>
  <si>
    <t xml:space="preserve">Seribu dua ratus lima puluh dua  </t>
  </si>
  <si>
    <t xml:space="preserve">Seribu dua ratus lima puluh tiga  </t>
  </si>
  <si>
    <t xml:space="preserve">Seribu dua ratus lima puluh empat  </t>
  </si>
  <si>
    <t xml:space="preserve">Seribu dua ratus lima puluh lima  </t>
  </si>
  <si>
    <t xml:space="preserve">Seribu dua ratus lima puluh enam  </t>
  </si>
  <si>
    <t xml:space="preserve">Seribu dua ratus lima puluh tujuh  </t>
  </si>
  <si>
    <t xml:space="preserve">Seribu dua ratus lima puluh delapan  </t>
  </si>
  <si>
    <t xml:space="preserve">Seribu dua ratus lima puluh sembilan  </t>
  </si>
  <si>
    <t xml:space="preserve">Seribu dua ratus enam puluh  </t>
  </si>
  <si>
    <t xml:space="preserve">Seribu dua ratus enam puluh satu  </t>
  </si>
  <si>
    <t xml:space="preserve">Seribu dua ratus enam puluh dua  </t>
  </si>
  <si>
    <t xml:space="preserve">Seribu dua ratus enam puluh tiga  </t>
  </si>
  <si>
    <t xml:space="preserve">Seribu dua ratus enam puluh empat  </t>
  </si>
  <si>
    <t xml:space="preserve">Seribu dua ratus enam puluh lima  </t>
  </si>
  <si>
    <t xml:space="preserve">Seribu dua ratus enam puluh enam  </t>
  </si>
  <si>
    <t xml:space="preserve">Seribu dua ratus enam puluh tujuh  </t>
  </si>
  <si>
    <t xml:space="preserve">Seribu dua ratus enam puluh delapan  </t>
  </si>
  <si>
    <t xml:space="preserve">Seribu dua ratus enam puluh sembilan  </t>
  </si>
  <si>
    <t xml:space="preserve">Seribu dua ratus tujuh puluh  </t>
  </si>
  <si>
    <t xml:space="preserve">Seribu dua ratus tujuh puluh satu  </t>
  </si>
  <si>
    <t xml:space="preserve">Seribu dua ratus tujuh puluh dua  </t>
  </si>
  <si>
    <t xml:space="preserve">Seribu dua ratus tujuh puluh tiga  </t>
  </si>
  <si>
    <t xml:space="preserve">Seribu dua ratus tujuh puluh empat  </t>
  </si>
  <si>
    <t xml:space="preserve">Seribu dua ratus tujuh puluh lima  </t>
  </si>
  <si>
    <t xml:space="preserve">Seribu dua ratus tujuh puluh enam  </t>
  </si>
  <si>
    <t xml:space="preserve">Seribu dua ratus tujuh puluh tujuh  </t>
  </si>
  <si>
    <t xml:space="preserve">Seribu dua ratus tujuh puluh delapan  </t>
  </si>
  <si>
    <t xml:space="preserve">Seribu dua ratus tujuh puluh sembilan  </t>
  </si>
  <si>
    <t xml:space="preserve">Seribu dua ratus delapan puluh  </t>
  </si>
  <si>
    <t xml:space="preserve">Seribu dua ratus delapan puluh satu  </t>
  </si>
  <si>
    <t xml:space="preserve">Seribu dua ratus delapan puluh dua  </t>
  </si>
  <si>
    <t xml:space="preserve">Seribu dua ratus delapan puluh tiga  </t>
  </si>
  <si>
    <t xml:space="preserve">Seribu dua ratus delapan puluh empat  </t>
  </si>
  <si>
    <t xml:space="preserve">Seribu dua ratus delapan puluh lima  </t>
  </si>
  <si>
    <t xml:space="preserve">Seribu dua ratus delapan puluh enam  </t>
  </si>
  <si>
    <t xml:space="preserve">Seribu dua ratus delapan puluh tujuh  </t>
  </si>
  <si>
    <t xml:space="preserve">Seribu dua ratus delapan puluh delapan  </t>
  </si>
  <si>
    <t xml:space="preserve">Seribu dua ratus delapan puluh sembilan  </t>
  </si>
  <si>
    <t xml:space="preserve">Seribu dua ratus sembilan puluh  </t>
  </si>
  <si>
    <t xml:space="preserve">Seribu dua ratus sembilan puluh satu  </t>
  </si>
  <si>
    <t xml:space="preserve">Seribu dua ratus sembilan puluh dua  </t>
  </si>
  <si>
    <t xml:space="preserve">Seribu dua ratus sembilan puluh tiga  </t>
  </si>
  <si>
    <t xml:space="preserve">Seribu dua ratus sembilan puluh empat  </t>
  </si>
  <si>
    <t xml:space="preserve">Seribu dua ratus sembilan puluh lima  </t>
  </si>
  <si>
    <t xml:space="preserve">Seribu dua ratus sembilan puluh enam  </t>
  </si>
  <si>
    <t xml:space="preserve">Seribu dua ratus sembilan puluh tujuh  </t>
  </si>
  <si>
    <t xml:space="preserve">Seribu dua ratus sembilan puluh delapan  </t>
  </si>
  <si>
    <t xml:space="preserve">Seribu dua ratus sembilan puluh sembilan  </t>
  </si>
  <si>
    <t xml:space="preserve">Seribu tiga ratus  </t>
  </si>
  <si>
    <t xml:space="preserve">Seribu tiga ratus satu  </t>
  </si>
  <si>
    <t xml:space="preserve">Seribu tiga ratus dua  </t>
  </si>
  <si>
    <t xml:space="preserve">Seribu tiga ratus tiga  </t>
  </si>
  <si>
    <t xml:space="preserve">Seribu tiga ratus empat  </t>
  </si>
  <si>
    <t xml:space="preserve">Seribu tiga ratus lima  </t>
  </si>
  <si>
    <t xml:space="preserve">Seribu tiga ratus enam  </t>
  </si>
  <si>
    <t xml:space="preserve">Seribu tiga ratus tujuh  </t>
  </si>
  <si>
    <t xml:space="preserve">Seribu tiga ratus delapan  </t>
  </si>
  <si>
    <t xml:space="preserve">Seribu tiga ratus sembilan  </t>
  </si>
  <si>
    <t xml:space="preserve">Seribu tiga ratus sepuluh  </t>
  </si>
  <si>
    <t xml:space="preserve">Seribu tiga ratus sebelas  </t>
  </si>
  <si>
    <t xml:space="preserve">Seribu tiga ratus dua belas  </t>
  </si>
  <si>
    <t xml:space="preserve">Seribu tiga ratus tiga belas  </t>
  </si>
  <si>
    <t xml:space="preserve">Seribu tiga ratus empat belas  </t>
  </si>
  <si>
    <t xml:space="preserve">Seribu tiga ratus lima belas  </t>
  </si>
  <si>
    <t xml:space="preserve">Seribu tiga ratus enam belas  </t>
  </si>
  <si>
    <t xml:space="preserve">Seribu tiga ratus tujuh belas  </t>
  </si>
  <si>
    <t xml:space="preserve">Seribu tiga ratus delapan belas  </t>
  </si>
  <si>
    <t xml:space="preserve">Seribu tiga ratus sembilan belas  </t>
  </si>
  <si>
    <t xml:space="preserve">Seribu tiga ratus dua puluh  </t>
  </si>
  <si>
    <t xml:space="preserve">Seribu tiga ratus dua puluh satu  </t>
  </si>
  <si>
    <t xml:space="preserve">Seribu tiga ratus dua puluh dua  </t>
  </si>
  <si>
    <t xml:space="preserve">Seribu tiga ratus dua puluh tiga  </t>
  </si>
  <si>
    <t xml:space="preserve">Seribu tiga ratus dua puluh empat  </t>
  </si>
  <si>
    <t xml:space="preserve">Seribu tiga ratus dua puluh lima  </t>
  </si>
  <si>
    <t xml:space="preserve">Seribu tiga ratus dua puluh enam  </t>
  </si>
  <si>
    <t xml:space="preserve">Seribu tiga ratus dua puluh tujuh  </t>
  </si>
  <si>
    <t xml:space="preserve">Seribu tiga ratus dua puluh delapan  </t>
  </si>
  <si>
    <t xml:space="preserve">Seribu tiga ratus dua puluh sembilan  </t>
  </si>
  <si>
    <t xml:space="preserve">Seribu tiga ratus tiga puluh  </t>
  </si>
  <si>
    <t xml:space="preserve">Seribu tiga ratus tiga puluh satu  </t>
  </si>
  <si>
    <t xml:space="preserve">Seribu tiga ratus tiga puluh dua  </t>
  </si>
  <si>
    <t xml:space="preserve">Seribu tiga ratus tiga puluh tiga  </t>
  </si>
  <si>
    <t xml:space="preserve">Seribu tiga ratus tiga puluh empat  </t>
  </si>
  <si>
    <t xml:space="preserve">Seribu tiga ratus tiga puluh lima  </t>
  </si>
  <si>
    <t xml:space="preserve">Seribu tiga ratus tiga puluh enam  </t>
  </si>
  <si>
    <t xml:space="preserve">Seribu tiga ratus tiga puluh tujuh  </t>
  </si>
  <si>
    <t xml:space="preserve">Seribu tiga ratus tiga puluh delapan  </t>
  </si>
  <si>
    <t xml:space="preserve">Seribu tiga ratus tiga puluh sembilan  </t>
  </si>
  <si>
    <t xml:space="preserve">Seribu tiga ratus empat puluh  </t>
  </si>
  <si>
    <t xml:space="preserve">Seribu tiga ratus empat puluh satu  </t>
  </si>
  <si>
    <t xml:space="preserve">Seribu tiga ratus empat puluh dua  </t>
  </si>
  <si>
    <t xml:space="preserve">Seribu tiga ratus empat puluh tiga  </t>
  </si>
  <si>
    <t xml:space="preserve">Seribu tiga ratus empat puluh empat  </t>
  </si>
  <si>
    <t xml:space="preserve">Seribu tiga ratus empat puluh lima  </t>
  </si>
  <si>
    <t xml:space="preserve">Seribu tiga ratus empat puluh enam  </t>
  </si>
  <si>
    <t xml:space="preserve">Seribu tiga ratus empat puluh tujuh  </t>
  </si>
  <si>
    <t xml:space="preserve">Seribu tiga ratus empat puluh delapan  </t>
  </si>
  <si>
    <t xml:space="preserve">Seribu tiga ratus empat puluh sembilan  </t>
  </si>
  <si>
    <t xml:space="preserve">Seribu tiga ratus lima puluh  </t>
  </si>
  <si>
    <t xml:space="preserve">Seribu tiga ratus lima puluh satu  </t>
  </si>
  <si>
    <t xml:space="preserve">Seribu tiga ratus lima puluh dua  </t>
  </si>
  <si>
    <t xml:space="preserve">Seribu tiga ratus lima puluh tiga  </t>
  </si>
  <si>
    <t xml:space="preserve">Seribu tiga ratus lima puluh empat  </t>
  </si>
  <si>
    <t xml:space="preserve">Seribu tiga ratus lima puluh lima  </t>
  </si>
  <si>
    <t xml:space="preserve">Seribu tiga ratus lima puluh enam  </t>
  </si>
  <si>
    <t xml:space="preserve">Seribu tiga ratus lima puluh tujuh  </t>
  </si>
  <si>
    <t xml:space="preserve">Seribu tiga ratus lima puluh delapan  </t>
  </si>
  <si>
    <t xml:space="preserve">Seribu tiga ratus lima puluh sembilan  </t>
  </si>
  <si>
    <t xml:space="preserve">Seribu tiga ratus enam puluh  </t>
  </si>
  <si>
    <t xml:space="preserve">Seribu tiga ratus enam puluh satu  </t>
  </si>
  <si>
    <t xml:space="preserve">Seribu tiga ratus enam puluh dua  </t>
  </si>
  <si>
    <t xml:space="preserve">Seribu tiga ratus enam puluh tiga  </t>
  </si>
  <si>
    <t xml:space="preserve">Seribu tiga ratus enam puluh empat  </t>
  </si>
  <si>
    <t xml:space="preserve">Seribu tiga ratus enam puluh lima  </t>
  </si>
  <si>
    <t xml:space="preserve">Seribu tiga ratus enam puluh enam  </t>
  </si>
  <si>
    <t xml:space="preserve">Seribu tiga ratus enam puluh tujuh  </t>
  </si>
  <si>
    <t xml:space="preserve">Seribu tiga ratus enam puluh delapan  </t>
  </si>
  <si>
    <t xml:space="preserve">Seribu tiga ratus enam puluh sembilan  </t>
  </si>
  <si>
    <t xml:space="preserve">Seribu tiga ratus tujuh puluh  </t>
  </si>
  <si>
    <t xml:space="preserve">Seribu tiga ratus tujuh puluh satu  </t>
  </si>
  <si>
    <t xml:space="preserve">Seribu tiga ratus tujuh puluh dua  </t>
  </si>
  <si>
    <t xml:space="preserve">Seribu tiga ratus tujuh puluh tiga  </t>
  </si>
  <si>
    <t xml:space="preserve">Seribu tiga ratus tujuh puluh empat  </t>
  </si>
  <si>
    <t xml:space="preserve">Seribu tiga ratus tujuh puluh lima  </t>
  </si>
  <si>
    <t xml:space="preserve">Seribu tiga ratus tujuh puluh enam  </t>
  </si>
  <si>
    <t xml:space="preserve">Seribu tiga ratus tujuh puluh tujuh  </t>
  </si>
  <si>
    <t xml:space="preserve">Seribu tiga ratus tujuh puluh delapan  </t>
  </si>
  <si>
    <t xml:space="preserve">Seribu tiga ratus tujuh puluh sembilan  </t>
  </si>
  <si>
    <t xml:space="preserve">Seribu tiga ratus delapan puluh  </t>
  </si>
  <si>
    <t xml:space="preserve">Seribu tiga ratus delapan puluh satu  </t>
  </si>
  <si>
    <t xml:space="preserve">Seribu tiga ratus delapan puluh dua  </t>
  </si>
  <si>
    <t xml:space="preserve">Seribu tiga ratus delapan puluh tiga  </t>
  </si>
  <si>
    <t xml:space="preserve">Seribu tiga ratus delapan puluh empat  </t>
  </si>
  <si>
    <t xml:space="preserve">Seribu tiga ratus delapan puluh lima  </t>
  </si>
  <si>
    <t xml:space="preserve">Seribu tiga ratus delapan puluh enam  </t>
  </si>
  <si>
    <t xml:space="preserve">Seribu tiga ratus delapan puluh tujuh  </t>
  </si>
  <si>
    <t xml:space="preserve">Seribu tiga ratus delapan puluh delapan  </t>
  </si>
  <si>
    <t xml:space="preserve">Seribu tiga ratus delapan puluh sembilan  </t>
  </si>
  <si>
    <t xml:space="preserve">Seribu tiga ratus sembilan puluh  </t>
  </si>
  <si>
    <t xml:space="preserve">Seribu tiga ratus sembilan puluh satu  </t>
  </si>
  <si>
    <t xml:space="preserve">Seribu tiga ratus sembilan puluh dua  </t>
  </si>
  <si>
    <t xml:space="preserve">Seribu tiga ratus sembilan puluh tiga  </t>
  </si>
  <si>
    <t xml:space="preserve">Seribu tiga ratus sembilan puluh empat  </t>
  </si>
  <si>
    <t xml:space="preserve">Seribu tiga ratus sembilan puluh lima  </t>
  </si>
  <si>
    <t xml:space="preserve">Seribu tiga ratus sembilan puluh enam  </t>
  </si>
  <si>
    <t xml:space="preserve">Seribu tiga ratus sembilan puluh tujuh  </t>
  </si>
  <si>
    <t xml:space="preserve">Seribu tiga ratus sembilan puluh delapan  </t>
  </si>
  <si>
    <t xml:space="preserve">Seribu tiga ratus sembilan puluh sembilan  </t>
  </si>
  <si>
    <t xml:space="preserve">Seribu empat ratus  </t>
  </si>
  <si>
    <t xml:space="preserve">Seribu empat ratus satu  </t>
  </si>
  <si>
    <t xml:space="preserve">Seribu empat ratus dua  </t>
  </si>
  <si>
    <t xml:space="preserve">Seribu empat ratus tiga  </t>
  </si>
  <si>
    <t xml:space="preserve">Seribu empat ratus empat  </t>
  </si>
  <si>
    <t xml:space="preserve">Seribu empat ratus lima  </t>
  </si>
  <si>
    <t xml:space="preserve">Seribu empat ratus enam  </t>
  </si>
  <si>
    <t xml:space="preserve">Seribu empat ratus tujuh  </t>
  </si>
  <si>
    <t xml:space="preserve">Seribu empat ratus delapan  </t>
  </si>
  <si>
    <t xml:space="preserve">Seribu empat ratus sembilan  </t>
  </si>
  <si>
    <t xml:space="preserve">Seribu empat ratus sepuluh  </t>
  </si>
  <si>
    <t xml:space="preserve">Seribu empat ratus sebelas  </t>
  </si>
  <si>
    <t xml:space="preserve">Seribu empat ratus dua belas  </t>
  </si>
  <si>
    <t xml:space="preserve">Seribu empat ratus tiga belas  </t>
  </si>
  <si>
    <t xml:space="preserve">Seribu empat ratus empat belas  </t>
  </si>
  <si>
    <t xml:space="preserve">Seribu empat ratus lima belas  </t>
  </si>
  <si>
    <t xml:space="preserve">Seribu empat ratus enam belas  </t>
  </si>
  <si>
    <t xml:space="preserve">Seribu empat ratus tujuh belas  </t>
  </si>
  <si>
    <t xml:space="preserve">Seribu empat ratus delapan belas  </t>
  </si>
  <si>
    <t xml:space="preserve">Seribu empat ratus sembilan belas  </t>
  </si>
  <si>
    <t xml:space="preserve">Seribu empat ratus dua puluh  </t>
  </si>
  <si>
    <t xml:space="preserve">Seribu empat ratus dua puluh satu  </t>
  </si>
  <si>
    <t xml:space="preserve">Seribu empat ratus dua puluh dua  </t>
  </si>
  <si>
    <t xml:space="preserve">Seribu empat ratus dua puluh tiga  </t>
  </si>
  <si>
    <t xml:space="preserve">Seribu empat ratus dua puluh empat  </t>
  </si>
  <si>
    <t xml:space="preserve">Seribu empat ratus dua puluh lima  </t>
  </si>
  <si>
    <t xml:space="preserve">Seribu empat ratus dua puluh enam  </t>
  </si>
  <si>
    <t xml:space="preserve">Seribu empat ratus dua puluh tujuh  </t>
  </si>
  <si>
    <t xml:space="preserve">Seribu empat ratus dua puluh delapan  </t>
  </si>
  <si>
    <t xml:space="preserve">Seribu empat ratus dua puluh sembilan  </t>
  </si>
  <si>
    <t xml:space="preserve">Seribu empat ratus tiga puluh  </t>
  </si>
  <si>
    <t xml:space="preserve">Seribu empat ratus tiga puluh satu  </t>
  </si>
  <si>
    <t xml:space="preserve">Seribu empat ratus tiga puluh dua  </t>
  </si>
  <si>
    <t xml:space="preserve">Seribu empat ratus tiga puluh tiga  </t>
  </si>
  <si>
    <t xml:space="preserve">Seribu empat ratus tiga puluh empat  </t>
  </si>
  <si>
    <t xml:space="preserve">Seribu empat ratus tiga puluh lima  </t>
  </si>
  <si>
    <t xml:space="preserve">Seribu empat ratus tiga puluh enam  </t>
  </si>
  <si>
    <t xml:space="preserve">Seribu empat ratus tiga puluh tujuh  </t>
  </si>
  <si>
    <t xml:space="preserve">Seribu empat ratus tiga puluh delapan  </t>
  </si>
  <si>
    <t xml:space="preserve">Seribu empat ratus tiga puluh sembilan  </t>
  </si>
  <si>
    <t xml:space="preserve">Seribu empat ratus empat puluh  </t>
  </si>
  <si>
    <t xml:space="preserve">Seribu empat ratus empat puluh satu  </t>
  </si>
  <si>
    <t xml:space="preserve">Seribu empat ratus empat puluh dua  </t>
  </si>
  <si>
    <t xml:space="preserve">Seribu empat ratus empat puluh tiga  </t>
  </si>
  <si>
    <t xml:space="preserve">Seribu empat ratus empat puluh empat  </t>
  </si>
  <si>
    <t xml:space="preserve">Seribu empat ratus empat puluh lima  </t>
  </si>
  <si>
    <t xml:space="preserve">Seribu empat ratus empat puluh enam  </t>
  </si>
  <si>
    <t xml:space="preserve">Seribu empat ratus empat puluh tujuh  </t>
  </si>
  <si>
    <t xml:space="preserve">Seribu empat ratus empat puluh delapan  </t>
  </si>
  <si>
    <t xml:space="preserve">Seribu empat ratus empat puluh sembilan  </t>
  </si>
  <si>
    <t xml:space="preserve">Seribu empat ratus lima puluh  </t>
  </si>
  <si>
    <t xml:space="preserve">Seribu empat ratus lima puluh satu  </t>
  </si>
  <si>
    <t xml:space="preserve">Seribu empat ratus lima puluh dua  </t>
  </si>
  <si>
    <t xml:space="preserve">Seribu empat ratus lima puluh tiga  </t>
  </si>
  <si>
    <t xml:space="preserve">Seribu empat ratus lima puluh empat  </t>
  </si>
  <si>
    <t xml:space="preserve">Seribu empat ratus lima puluh lima  </t>
  </si>
  <si>
    <t xml:space="preserve">Seribu empat ratus lima puluh enam  </t>
  </si>
  <si>
    <t xml:space="preserve">Seribu empat ratus lima puluh tujuh  </t>
  </si>
  <si>
    <t xml:space="preserve">Seribu empat ratus lima puluh delapan  </t>
  </si>
  <si>
    <t xml:space="preserve">Seribu empat ratus lima puluh sembilan  </t>
  </si>
  <si>
    <t xml:space="preserve">Seribu empat ratus enam puluh  </t>
  </si>
  <si>
    <t xml:space="preserve">Seribu empat ratus enam puluh satu  </t>
  </si>
  <si>
    <t xml:space="preserve">Seribu empat ratus enam puluh dua  </t>
  </si>
  <si>
    <t xml:space="preserve">Seribu empat ratus enam puluh tiga  </t>
  </si>
  <si>
    <t xml:space="preserve">Seribu empat ratus enam puluh empat  </t>
  </si>
  <si>
    <t xml:space="preserve">Seribu empat ratus enam puluh lima  </t>
  </si>
  <si>
    <t xml:space="preserve">Seribu empat ratus enam puluh enam  </t>
  </si>
  <si>
    <t xml:space="preserve">Seribu empat ratus enam puluh tujuh  </t>
  </si>
  <si>
    <t xml:space="preserve">Seribu empat ratus enam puluh delapan  </t>
  </si>
  <si>
    <t xml:space="preserve">Seribu empat ratus enam puluh sembilan  </t>
  </si>
  <si>
    <t xml:space="preserve">Seribu empat ratus tujuh puluh  </t>
  </si>
  <si>
    <t xml:space="preserve">Seribu empat ratus tujuh puluh satu  </t>
  </si>
  <si>
    <t xml:space="preserve">Seribu empat ratus tujuh puluh dua  </t>
  </si>
  <si>
    <t xml:space="preserve">Seribu empat ratus tujuh puluh tiga  </t>
  </si>
  <si>
    <t xml:space="preserve">Seribu empat ratus tujuh puluh empat  </t>
  </si>
  <si>
    <t xml:space="preserve">Seribu empat ratus tujuh puluh lima  </t>
  </si>
  <si>
    <t xml:space="preserve">Seribu empat ratus tujuh puluh enam  </t>
  </si>
  <si>
    <t xml:space="preserve">Seribu empat ratus tujuh puluh tujuh  </t>
  </si>
  <si>
    <t xml:space="preserve">Seribu empat ratus tujuh puluh delapan  </t>
  </si>
  <si>
    <t xml:space="preserve">Seribu empat ratus tujuh puluh sembilan  </t>
  </si>
  <si>
    <t xml:space="preserve">Seribu empat ratus delapan puluh  </t>
  </si>
  <si>
    <t xml:space="preserve">Seribu empat ratus delapan puluh satu  </t>
  </si>
  <si>
    <t xml:space="preserve">Seribu empat ratus delapan puluh dua  </t>
  </si>
  <si>
    <t xml:space="preserve">Seribu empat ratus delapan puluh tiga  </t>
  </si>
  <si>
    <t xml:space="preserve">Seribu empat ratus delapan puluh empat  </t>
  </si>
  <si>
    <t xml:space="preserve">Seribu empat ratus delapan puluh lima  </t>
  </si>
  <si>
    <t xml:space="preserve">Seribu empat ratus delapan puluh enam  </t>
  </si>
  <si>
    <t xml:space="preserve">Seribu empat ratus delapan puluh tujuh  </t>
  </si>
  <si>
    <t xml:space="preserve">Seribu empat ratus delapan puluh delapan  </t>
  </si>
  <si>
    <t xml:space="preserve">Seribu empat ratus delapan puluh sembilan  </t>
  </si>
  <si>
    <t xml:space="preserve">Seribu empat ratus sembilan puluh  </t>
  </si>
  <si>
    <t xml:space="preserve">Seribu empat ratus sembilan puluh satu  </t>
  </si>
  <si>
    <t xml:space="preserve">Seribu empat ratus sembilan puluh dua  </t>
  </si>
  <si>
    <t xml:space="preserve">Seribu empat ratus sembilan puluh tiga  </t>
  </si>
  <si>
    <t xml:space="preserve">Seribu empat ratus sembilan puluh empat  </t>
  </si>
  <si>
    <t xml:space="preserve">Seribu empat ratus sembilan puluh lima  </t>
  </si>
  <si>
    <t xml:space="preserve">Seribu empat ratus sembilan puluh enam  </t>
  </si>
  <si>
    <t xml:space="preserve">Seribu empat ratus sembilan puluh tujuh  </t>
  </si>
  <si>
    <t xml:space="preserve">Seribu empat ratus sembilan puluh delapan  </t>
  </si>
  <si>
    <t xml:space="preserve">Seribu empat ratus sembilan puluh sembilan  </t>
  </si>
  <si>
    <t xml:space="preserve">Seribu lima ratus  </t>
  </si>
  <si>
    <t xml:space="preserve">Seribu lima ratus satu  </t>
  </si>
  <si>
    <t xml:space="preserve">Seribu lima ratus dua  </t>
  </si>
  <si>
    <t xml:space="preserve">Seribu lima ratus tiga  </t>
  </si>
  <si>
    <t xml:space="preserve">Seribu lima ratus empat  </t>
  </si>
  <si>
    <t xml:space="preserve">Seribu lima ratus lima  </t>
  </si>
  <si>
    <t xml:space="preserve">Seribu lima ratus enam  </t>
  </si>
  <si>
    <t xml:space="preserve">Seribu lima ratus tujuh  </t>
  </si>
  <si>
    <t xml:space="preserve">Seribu lima ratus delapan  </t>
  </si>
  <si>
    <t xml:space="preserve">Seribu lima ratus sembilan  </t>
  </si>
  <si>
    <t xml:space="preserve">Seribu lima ratus sepuluh  </t>
  </si>
  <si>
    <t xml:space="preserve">Seribu lima ratus sebelas  </t>
  </si>
  <si>
    <t xml:space="preserve">Seribu lima ratus dua belas  </t>
  </si>
  <si>
    <t xml:space="preserve">Seribu lima ratus tiga belas  </t>
  </si>
  <si>
    <t xml:space="preserve">Seribu lima ratus empat belas  </t>
  </si>
  <si>
    <t xml:space="preserve">Seribu lima ratus lima belas  </t>
  </si>
  <si>
    <t xml:space="preserve">Seribu lima ratus enam belas  </t>
  </si>
  <si>
    <t xml:space="preserve">Seribu lima ratus tujuh belas  </t>
  </si>
  <si>
    <t xml:space="preserve">Seribu lima ratus delapan belas  </t>
  </si>
  <si>
    <t xml:space="preserve">Seribu lima ratus sembilan belas  </t>
  </si>
  <si>
    <t xml:space="preserve">Seribu lima ratus dua puluh  </t>
  </si>
  <si>
    <t xml:space="preserve">Seribu lima ratus dua puluh satu  </t>
  </si>
  <si>
    <t xml:space="preserve">Seribu lima ratus dua puluh dua  </t>
  </si>
  <si>
    <t xml:space="preserve">Seribu lima ratus dua puluh tiga  </t>
  </si>
  <si>
    <t xml:space="preserve">Seribu lima ratus dua puluh empat  </t>
  </si>
  <si>
    <t xml:space="preserve">Seribu lima ratus dua puluh lima  </t>
  </si>
  <si>
    <t xml:space="preserve">Seribu lima ratus dua puluh enam  </t>
  </si>
  <si>
    <t xml:space="preserve">Seribu lima ratus dua puluh tujuh  </t>
  </si>
  <si>
    <t xml:space="preserve">Seribu lima ratus dua puluh delapan  </t>
  </si>
  <si>
    <t xml:space="preserve">Seribu lima ratus dua puluh sembilan  </t>
  </si>
  <si>
    <t xml:space="preserve">Seribu lima ratus tiga puluh  </t>
  </si>
  <si>
    <t xml:space="preserve">Seribu lima ratus tiga puluh satu  </t>
  </si>
  <si>
    <t xml:space="preserve">Seribu lima ratus tiga puluh dua  </t>
  </si>
  <si>
    <t xml:space="preserve">Seribu lima ratus tiga puluh tiga  </t>
  </si>
  <si>
    <t xml:space="preserve">Seribu lima ratus tiga puluh empat  </t>
  </si>
  <si>
    <t xml:space="preserve">Seribu lima ratus tiga puluh lima  </t>
  </si>
  <si>
    <t xml:space="preserve">Seribu lima ratus tiga puluh enam  </t>
  </si>
  <si>
    <t xml:space="preserve">Seribu lima ratus tiga puluh tujuh  </t>
  </si>
  <si>
    <t xml:space="preserve">Seribu lima ratus tiga puluh delapan  </t>
  </si>
  <si>
    <t xml:space="preserve">Seribu lima ratus tiga puluh sembilan  </t>
  </si>
  <si>
    <t xml:space="preserve">Seribu lima ratus empat puluh  </t>
  </si>
  <si>
    <t xml:space="preserve">Seribu lima ratus empat puluh satu  </t>
  </si>
  <si>
    <t xml:space="preserve">Seribu lima ratus empat puluh dua  </t>
  </si>
  <si>
    <t xml:space="preserve">Seribu lima ratus empat puluh tiga  </t>
  </si>
  <si>
    <t xml:space="preserve">Seribu lima ratus empat puluh empat  </t>
  </si>
  <si>
    <t xml:space="preserve">Seribu lima ratus empat puluh lima  </t>
  </si>
  <si>
    <t xml:space="preserve">Seribu lima ratus empat puluh enam  </t>
  </si>
  <si>
    <t xml:space="preserve">Seribu lima ratus empat puluh tujuh  </t>
  </si>
  <si>
    <t xml:space="preserve">Seribu lima ratus empat puluh delapan  </t>
  </si>
  <si>
    <t xml:space="preserve">Seribu lima ratus empat puluh sembilan  </t>
  </si>
  <si>
    <t xml:space="preserve">Seribu lima ratus lima puluh  </t>
  </si>
  <si>
    <t xml:space="preserve">Seribu lima ratus lima puluh satu  </t>
  </si>
  <si>
    <t xml:space="preserve">Seribu lima ratus lima puluh dua  </t>
  </si>
  <si>
    <t xml:space="preserve">Seribu lima ratus lima puluh tiga  </t>
  </si>
  <si>
    <t xml:space="preserve">Seribu lima ratus lima puluh empat  </t>
  </si>
  <si>
    <t xml:space="preserve">Seribu lima ratus lima puluh lima  </t>
  </si>
  <si>
    <t xml:space="preserve">Seribu lima ratus lima puluh enam  </t>
  </si>
  <si>
    <t xml:space="preserve">Seribu lima ratus lima puluh tujuh  </t>
  </si>
  <si>
    <t xml:space="preserve">Seribu lima ratus lima puluh delapan  </t>
  </si>
  <si>
    <t xml:space="preserve">Seribu lima ratus lima puluh sembilan  </t>
  </si>
  <si>
    <t xml:space="preserve">Seribu lima ratus enam puluh  </t>
  </si>
  <si>
    <t xml:space="preserve">Seribu lima ratus enam puluh satu  </t>
  </si>
  <si>
    <t xml:space="preserve">Seribu lima ratus enam puluh dua  </t>
  </si>
  <si>
    <t xml:space="preserve">Seribu lima ratus enam puluh tiga  </t>
  </si>
  <si>
    <t xml:space="preserve">Seribu lima ratus enam puluh empat  </t>
  </si>
  <si>
    <t xml:space="preserve">Seribu lima ratus enam puluh lima  </t>
  </si>
  <si>
    <t xml:space="preserve">Seribu lima ratus enam puluh enam  </t>
  </si>
  <si>
    <t xml:space="preserve">Seribu lima ratus enam puluh tujuh  </t>
  </si>
  <si>
    <t xml:space="preserve">Seribu lima ratus enam puluh delapan  </t>
  </si>
  <si>
    <t xml:space="preserve">Seribu lima ratus enam puluh sembilan  </t>
  </si>
  <si>
    <t xml:space="preserve">Seribu lima ratus tujuh puluh  </t>
  </si>
  <si>
    <t xml:space="preserve">Seribu lima ratus tujuh puluh satu  </t>
  </si>
  <si>
    <t xml:space="preserve">Seribu lima ratus tujuh puluh dua  </t>
  </si>
  <si>
    <t xml:space="preserve">Seribu lima ratus tujuh puluh tiga  </t>
  </si>
  <si>
    <t xml:space="preserve">Seribu lima ratus tujuh puluh empat  </t>
  </si>
  <si>
    <t xml:space="preserve">Seribu lima ratus tujuh puluh lima  </t>
  </si>
  <si>
    <t xml:space="preserve">Seribu lima ratus tujuh puluh enam  </t>
  </si>
  <si>
    <t xml:space="preserve">Seribu lima ratus tujuh puluh tujuh  </t>
  </si>
  <si>
    <t xml:space="preserve">Seribu lima ratus tujuh puluh delapan  </t>
  </si>
  <si>
    <t xml:space="preserve">Seribu lima ratus tujuh puluh sembilan  </t>
  </si>
  <si>
    <t xml:space="preserve">Seribu lima ratus delapan puluh  </t>
  </si>
  <si>
    <t xml:space="preserve">Seribu lima ratus delapan puluh satu  </t>
  </si>
  <si>
    <t xml:space="preserve">Seribu lima ratus delapan puluh dua  </t>
  </si>
  <si>
    <t xml:space="preserve">Seribu lima ratus delapan puluh tiga  </t>
  </si>
  <si>
    <t xml:space="preserve">Seribu lima ratus delapan puluh empat  </t>
  </si>
  <si>
    <t xml:space="preserve">Seribu lima ratus delapan puluh lima  </t>
  </si>
  <si>
    <t xml:space="preserve">Seribu lima ratus delapan puluh enam  </t>
  </si>
  <si>
    <t xml:space="preserve">Seribu lima ratus delapan puluh tujuh  </t>
  </si>
  <si>
    <t xml:space="preserve">Seribu lima ratus delapan puluh delapan  </t>
  </si>
  <si>
    <t xml:space="preserve">Seribu lima ratus delapan puluh sembilan  </t>
  </si>
  <si>
    <t xml:space="preserve">Seribu lima ratus sembilan puluh  </t>
  </si>
  <si>
    <t xml:space="preserve">Seribu lima ratus sembilan puluh satu  </t>
  </si>
  <si>
    <t xml:space="preserve">Seribu lima ratus sembilan puluh dua  </t>
  </si>
  <si>
    <t xml:space="preserve">Seribu lima ratus sembilan puluh tiga  </t>
  </si>
  <si>
    <t xml:space="preserve">Seribu lima ratus sembilan puluh empat  </t>
  </si>
  <si>
    <t xml:space="preserve">Seribu lima ratus sembilan puluh lima  </t>
  </si>
  <si>
    <t xml:space="preserve">Seribu lima ratus sembilan puluh enam  </t>
  </si>
  <si>
    <t xml:space="preserve">Seribu lima ratus sembilan puluh tujuh  </t>
  </si>
  <si>
    <t xml:space="preserve">Seribu lima ratus sembilan puluh delapan  </t>
  </si>
  <si>
    <t xml:space="preserve">Seribu lima ratus sembilan puluh sembilan  </t>
  </si>
  <si>
    <t xml:space="preserve">Seribu enam ratus  </t>
  </si>
  <si>
    <t xml:space="preserve">Seribu enam ratus satu  </t>
  </si>
  <si>
    <t xml:space="preserve">Seribu enam ratus dua  </t>
  </si>
  <si>
    <t xml:space="preserve">Seribu enam ratus tiga  </t>
  </si>
  <si>
    <t xml:space="preserve">Seribu enam ratus empat  </t>
  </si>
  <si>
    <t xml:space="preserve">Seribu enam ratus lima  </t>
  </si>
  <si>
    <t xml:space="preserve">Seribu enam ratus enam  </t>
  </si>
  <si>
    <t xml:space="preserve">Seribu enam ratus tujuh  </t>
  </si>
  <si>
    <t xml:space="preserve">Seribu enam ratus delapan  </t>
  </si>
  <si>
    <t xml:space="preserve">Seribu enam ratus sembilan  </t>
  </si>
  <si>
    <t xml:space="preserve">Seribu enam ratus sepuluh  </t>
  </si>
  <si>
    <t xml:space="preserve">Seribu enam ratus sebelas  </t>
  </si>
  <si>
    <t xml:space="preserve">Seribu enam ratus dua belas  </t>
  </si>
  <si>
    <t xml:space="preserve">Seribu enam ratus tiga belas  </t>
  </si>
  <si>
    <t xml:space="preserve">Seribu enam ratus empat belas  </t>
  </si>
  <si>
    <t xml:space="preserve">Seribu enam ratus lima belas  </t>
  </si>
  <si>
    <t xml:space="preserve">Seribu enam ratus enam belas  </t>
  </si>
  <si>
    <t xml:space="preserve">Seribu enam ratus tujuh belas  </t>
  </si>
  <si>
    <t xml:space="preserve">Seribu enam ratus delapan belas  </t>
  </si>
  <si>
    <t xml:space="preserve">Seribu enam ratus sembilan belas  </t>
  </si>
  <si>
    <t xml:space="preserve">Seribu enam ratus dua puluh  </t>
  </si>
  <si>
    <t xml:space="preserve">Seribu enam ratus dua puluh satu  </t>
  </si>
  <si>
    <t xml:space="preserve">Seribu enam ratus dua puluh dua  </t>
  </si>
  <si>
    <t xml:space="preserve">Seribu enam ratus dua puluh tiga  </t>
  </si>
  <si>
    <t xml:space="preserve">Seribu enam ratus dua puluh empat  </t>
  </si>
  <si>
    <t xml:space="preserve">Seribu enam ratus dua puluh lima  </t>
  </si>
  <si>
    <t xml:space="preserve">Seribu enam ratus dua puluh enam  </t>
  </si>
  <si>
    <t xml:space="preserve">Seribu enam ratus dua puluh tujuh  </t>
  </si>
  <si>
    <t xml:space="preserve">Seribu enam ratus dua puluh delapan  </t>
  </si>
  <si>
    <t xml:space="preserve">Seribu enam ratus dua puluh sembilan  </t>
  </si>
  <si>
    <t xml:space="preserve">Seribu enam ratus tiga puluh  </t>
  </si>
  <si>
    <t xml:space="preserve">Seribu enam ratus tiga puluh satu  </t>
  </si>
  <si>
    <t xml:space="preserve">Seribu enam ratus tiga puluh dua  </t>
  </si>
  <si>
    <t xml:space="preserve">Seribu enam ratus tiga puluh tiga  </t>
  </si>
  <si>
    <t xml:space="preserve">Seribu enam ratus tiga puluh empat  </t>
  </si>
  <si>
    <t xml:space="preserve">Seribu enam ratus tiga puluh lima  </t>
  </si>
  <si>
    <t xml:space="preserve">Seribu enam ratus tiga puluh enam  </t>
  </si>
  <si>
    <t xml:space="preserve">Seribu enam ratus tiga puluh tujuh  </t>
  </si>
  <si>
    <t xml:space="preserve">Seribu enam ratus tiga puluh delapan  </t>
  </si>
  <si>
    <t xml:space="preserve">Seribu enam ratus tiga puluh sembilan  </t>
  </si>
  <si>
    <t xml:space="preserve">Seribu enam ratus empat puluh  </t>
  </si>
  <si>
    <t xml:space="preserve">Seribu enam ratus empat puluh satu  </t>
  </si>
  <si>
    <t xml:space="preserve">Seribu enam ratus empat puluh dua  </t>
  </si>
  <si>
    <t xml:space="preserve">Seribu enam ratus empat puluh tiga  </t>
  </si>
  <si>
    <t xml:space="preserve">Seribu enam ratus empat puluh empat  </t>
  </si>
  <si>
    <t xml:space="preserve">Seribu enam ratus empat puluh lima  </t>
  </si>
  <si>
    <t xml:space="preserve">Seribu enam ratus empat puluh enam  </t>
  </si>
  <si>
    <t xml:space="preserve">Seribu enam ratus empat puluh tujuh  </t>
  </si>
  <si>
    <t xml:space="preserve">Seribu enam ratus empat puluh delapan  </t>
  </si>
  <si>
    <t xml:space="preserve">Seribu enam ratus empat puluh sembilan  </t>
  </si>
  <si>
    <t xml:space="preserve">Seribu enam ratus lima puluh  </t>
  </si>
  <si>
    <t xml:space="preserve">Seribu enam ratus lima puluh satu  </t>
  </si>
  <si>
    <t xml:space="preserve">Seribu enam ratus lima puluh dua  </t>
  </si>
  <si>
    <t xml:space="preserve">Seribu enam ratus lima puluh tiga  </t>
  </si>
  <si>
    <t xml:space="preserve">Seribu enam ratus lima puluh empat  </t>
  </si>
  <si>
    <t xml:space="preserve">Seribu enam ratus lima puluh lima  </t>
  </si>
  <si>
    <t xml:space="preserve">Seribu enam ratus lima puluh enam  </t>
  </si>
  <si>
    <t xml:space="preserve">Seribu enam ratus lima puluh tujuh  </t>
  </si>
  <si>
    <t xml:space="preserve">Seribu enam ratus lima puluh delapan  </t>
  </si>
  <si>
    <t xml:space="preserve">Seribu enam ratus lima puluh sembilan  </t>
  </si>
  <si>
    <t xml:space="preserve">Seribu enam ratus enam puluh  </t>
  </si>
  <si>
    <t xml:space="preserve">Seribu enam ratus enam puluh satu  </t>
  </si>
  <si>
    <t xml:space="preserve">Seribu enam ratus enam puluh dua  </t>
  </si>
  <si>
    <t xml:space="preserve">Seribu enam ratus enam puluh tiga  </t>
  </si>
  <si>
    <t xml:space="preserve">Seribu enam ratus enam puluh empat  </t>
  </si>
  <si>
    <t xml:space="preserve">Seribu enam ratus enam puluh lima  </t>
  </si>
  <si>
    <t xml:space="preserve">Seribu enam ratus enam puluh enam  </t>
  </si>
  <si>
    <t xml:space="preserve">Seribu enam ratus enam puluh tujuh  </t>
  </si>
  <si>
    <t xml:space="preserve">Seribu enam ratus enam puluh delapan  </t>
  </si>
  <si>
    <t xml:space="preserve">Seribu enam ratus enam puluh sembilan  </t>
  </si>
  <si>
    <t xml:space="preserve">Seribu enam ratus tujuh puluh  </t>
  </si>
  <si>
    <t xml:space="preserve">Seribu enam ratus tujuh puluh satu  </t>
  </si>
  <si>
    <t xml:space="preserve">Seribu enam ratus tujuh puluh dua  </t>
  </si>
  <si>
    <t xml:space="preserve">Seribu enam ratus tujuh puluh tiga  </t>
  </si>
  <si>
    <t xml:space="preserve">Seribu enam ratus tujuh puluh empat  </t>
  </si>
  <si>
    <t xml:space="preserve">Seribu enam ratus tujuh puluh lima  </t>
  </si>
  <si>
    <t xml:space="preserve">Seribu enam ratus tujuh puluh enam  </t>
  </si>
  <si>
    <t xml:space="preserve">Seribu enam ratus tujuh puluh tujuh  </t>
  </si>
  <si>
    <t xml:space="preserve">Seribu enam ratus tujuh puluh delapan  </t>
  </si>
  <si>
    <t xml:space="preserve">Seribu enam ratus tujuh puluh sembilan  </t>
  </si>
  <si>
    <t xml:space="preserve">Seribu enam ratus delapan puluh  </t>
  </si>
  <si>
    <t xml:space="preserve">Seribu enam ratus delapan puluh satu  </t>
  </si>
  <si>
    <t xml:space="preserve">Seribu enam ratus delapan puluh dua  </t>
  </si>
  <si>
    <t xml:space="preserve">Seribu enam ratus delapan puluh tiga  </t>
  </si>
  <si>
    <t xml:space="preserve">Seribu enam ratus delapan puluh empat  </t>
  </si>
  <si>
    <t xml:space="preserve">Seribu enam ratus delapan puluh lima  </t>
  </si>
  <si>
    <t xml:space="preserve">Seribu enam ratus delapan puluh enam  </t>
  </si>
  <si>
    <t xml:space="preserve">Seribu enam ratus delapan puluh tujuh  </t>
  </si>
  <si>
    <t xml:space="preserve">Seribu enam ratus delapan puluh delapan  </t>
  </si>
  <si>
    <t xml:space="preserve">Seribu enam ratus delapan puluh sembilan  </t>
  </si>
  <si>
    <t xml:space="preserve">Seribu enam ratus sembilan puluh  </t>
  </si>
  <si>
    <t xml:space="preserve">Seribu enam ratus sembilan puluh satu  </t>
  </si>
  <si>
    <t xml:space="preserve">Seribu enam ratus sembilan puluh dua  </t>
  </si>
  <si>
    <t xml:space="preserve">Seribu enam ratus sembilan puluh tiga  </t>
  </si>
  <si>
    <t xml:space="preserve">Seribu enam ratus sembilan puluh empat  </t>
  </si>
  <si>
    <t xml:space="preserve">Seribu enam ratus sembilan puluh lima  </t>
  </si>
  <si>
    <t xml:space="preserve">Seribu enam ratus sembilan puluh enam  </t>
  </si>
  <si>
    <t xml:space="preserve">Seribu enam ratus sembilan puluh tujuh  </t>
  </si>
  <si>
    <t xml:space="preserve">Seribu enam ratus sembilan puluh delapan  </t>
  </si>
  <si>
    <t xml:space="preserve">Seribu enam ratus sembilan puluh sembilan  </t>
  </si>
  <si>
    <t xml:space="preserve">Seribu tujuh ratus  </t>
  </si>
  <si>
    <t xml:space="preserve">Seribu tujuh ratus satu  </t>
  </si>
  <si>
    <t xml:space="preserve">Seribu tujuh ratus dua  </t>
  </si>
  <si>
    <t xml:space="preserve">Seribu tujuh ratus tiga  </t>
  </si>
  <si>
    <t xml:space="preserve">Seribu tujuh ratus empat  </t>
  </si>
  <si>
    <t xml:space="preserve">Seribu tujuh ratus lima  </t>
  </si>
  <si>
    <t xml:space="preserve">Seribu tujuh ratus enam  </t>
  </si>
  <si>
    <t xml:space="preserve">Seribu tujuh ratus tujuh  </t>
  </si>
  <si>
    <t xml:space="preserve">Seribu tujuh ratus delapan  </t>
  </si>
  <si>
    <t xml:space="preserve">Seribu tujuh ratus sembilan  </t>
  </si>
  <si>
    <t xml:space="preserve">Seribu tujuh ratus sepuluh  </t>
  </si>
  <si>
    <t xml:space="preserve">Seribu tujuh ratus sebelas  </t>
  </si>
  <si>
    <t xml:space="preserve">Seribu tujuh ratus dua belas  </t>
  </si>
  <si>
    <t xml:space="preserve">Seribu tujuh ratus tiga belas  </t>
  </si>
  <si>
    <t xml:space="preserve">Seribu tujuh ratus empat belas  </t>
  </si>
  <si>
    <t xml:space="preserve">Seribu tujuh ratus lima belas  </t>
  </si>
  <si>
    <t xml:space="preserve">Seribu tujuh ratus enam belas  </t>
  </si>
  <si>
    <t xml:space="preserve">Seribu tujuh ratus tujuh belas  </t>
  </si>
  <si>
    <t xml:space="preserve">Seribu tujuh ratus delapan belas  </t>
  </si>
  <si>
    <t xml:space="preserve">Seribu tujuh ratus sembilan belas  </t>
  </si>
  <si>
    <t xml:space="preserve">Seribu tujuh ratus dua puluh  </t>
  </si>
  <si>
    <t xml:space="preserve">Seribu tujuh ratus dua puluh satu  </t>
  </si>
  <si>
    <t xml:space="preserve">Seribu tujuh ratus dua puluh dua  </t>
  </si>
  <si>
    <t xml:space="preserve">Seribu tujuh ratus dua puluh tiga  </t>
  </si>
  <si>
    <t xml:space="preserve">Seribu tujuh ratus dua puluh empat  </t>
  </si>
  <si>
    <t xml:space="preserve">Seribu tujuh ratus dua puluh lima  </t>
  </si>
  <si>
    <t xml:space="preserve">Seribu tujuh ratus dua puluh enam  </t>
  </si>
  <si>
    <t xml:space="preserve">Seribu tujuh ratus dua puluh tujuh  </t>
  </si>
  <si>
    <t xml:space="preserve">Seribu tujuh ratus dua puluh delapan  </t>
  </si>
  <si>
    <t xml:space="preserve">Seribu tujuh ratus dua puluh sembilan  </t>
  </si>
  <si>
    <t xml:space="preserve">Seribu tujuh ratus tiga puluh  </t>
  </si>
  <si>
    <t xml:space="preserve">Seribu tujuh ratus tiga puluh satu  </t>
  </si>
  <si>
    <t xml:space="preserve">Seribu tujuh ratus tiga puluh dua  </t>
  </si>
  <si>
    <t xml:space="preserve">Seribu tujuh ratus tiga puluh tiga  </t>
  </si>
  <si>
    <t xml:space="preserve">Seribu tujuh ratus tiga puluh empat  </t>
  </si>
  <si>
    <t xml:space="preserve">Seribu tujuh ratus tiga puluh lima  </t>
  </si>
  <si>
    <t xml:space="preserve">Seribu tujuh ratus tiga puluh enam  </t>
  </si>
  <si>
    <t xml:space="preserve">Seribu tujuh ratus tiga puluh tujuh  </t>
  </si>
  <si>
    <t xml:space="preserve">Seribu tujuh ratus tiga puluh delapan  </t>
  </si>
  <si>
    <t xml:space="preserve">Seribu tujuh ratus tiga puluh sembilan  </t>
  </si>
  <si>
    <t xml:space="preserve">Seribu tujuh ratus empat puluh  </t>
  </si>
  <si>
    <t xml:space="preserve">Seribu tujuh ratus empat puluh satu  </t>
  </si>
  <si>
    <t xml:space="preserve">Seribu tujuh ratus empat puluh dua  </t>
  </si>
  <si>
    <t xml:space="preserve">Seribu tujuh ratus empat puluh tiga  </t>
  </si>
  <si>
    <t xml:space="preserve">Seribu tujuh ratus empat puluh empat  </t>
  </si>
  <si>
    <t xml:space="preserve">Seribu tujuh ratus empat puluh lima  </t>
  </si>
  <si>
    <t xml:space="preserve">Seribu tujuh ratus empat puluh enam  </t>
  </si>
  <si>
    <t xml:space="preserve">Seribu tujuh ratus empat puluh tujuh  </t>
  </si>
  <si>
    <t xml:space="preserve">Seribu tujuh ratus empat puluh delapan  </t>
  </si>
  <si>
    <t xml:space="preserve">Seribu tujuh ratus empat puluh sembilan  </t>
  </si>
  <si>
    <t xml:space="preserve">Seribu tujuh ratus lima puluh  </t>
  </si>
  <si>
    <t xml:space="preserve">Seribu tujuh ratus lima puluh satu  </t>
  </si>
  <si>
    <t xml:space="preserve">Seribu tujuh ratus lima puluh dua  </t>
  </si>
  <si>
    <t xml:space="preserve">Seribu tujuh ratus lima puluh tiga  </t>
  </si>
  <si>
    <t xml:space="preserve">Seribu tujuh ratus lima puluh empat  </t>
  </si>
  <si>
    <t xml:space="preserve">Seribu tujuh ratus lima puluh lima  </t>
  </si>
  <si>
    <t xml:space="preserve">Seribu tujuh ratus lima puluh enam  </t>
  </si>
  <si>
    <t xml:space="preserve">Seribu tujuh ratus lima puluh tujuh  </t>
  </si>
  <si>
    <t xml:space="preserve">Seribu tujuh ratus lima puluh delapan  </t>
  </si>
  <si>
    <t xml:space="preserve">Seribu tujuh ratus lima puluh sembilan  </t>
  </si>
  <si>
    <t xml:space="preserve">Seribu tujuh ratus enam puluh  </t>
  </si>
  <si>
    <t xml:space="preserve">Seribu tujuh ratus enam puluh satu  </t>
  </si>
  <si>
    <t xml:space="preserve">Seribu tujuh ratus enam puluh dua  </t>
  </si>
  <si>
    <t xml:space="preserve">Seribu tujuh ratus enam puluh tiga  </t>
  </si>
  <si>
    <t xml:space="preserve">Seribu tujuh ratus enam puluh empat  </t>
  </si>
  <si>
    <t xml:space="preserve">Seribu tujuh ratus enam puluh lima  </t>
  </si>
  <si>
    <t xml:space="preserve">Seribu tujuh ratus enam puluh enam  </t>
  </si>
  <si>
    <t xml:space="preserve">Seribu tujuh ratus enam puluh tujuh  </t>
  </si>
  <si>
    <t xml:space="preserve">Seribu tujuh ratus enam puluh delapan  </t>
  </si>
  <si>
    <t xml:space="preserve">Seribu tujuh ratus enam puluh sembilan  </t>
  </si>
  <si>
    <t xml:space="preserve">Seribu tujuh ratus tujuh puluh  </t>
  </si>
  <si>
    <t xml:space="preserve">Seribu tujuh ratus tujuh puluh satu  </t>
  </si>
  <si>
    <t xml:space="preserve">Seribu tujuh ratus tujuh puluh dua  </t>
  </si>
  <si>
    <t xml:space="preserve">Seribu tujuh ratus tujuh puluh tiga  </t>
  </si>
  <si>
    <t xml:space="preserve">Seribu tujuh ratus tujuh puluh empat  </t>
  </si>
  <si>
    <t xml:space="preserve">Seribu tujuh ratus tujuh puluh lima  </t>
  </si>
  <si>
    <t xml:space="preserve">Seribu tujuh ratus tujuh puluh enam  </t>
  </si>
  <si>
    <t xml:space="preserve">Seribu tujuh ratus tujuh puluh tujuh  </t>
  </si>
  <si>
    <t xml:space="preserve">Seribu tujuh ratus tujuh puluh delapan  </t>
  </si>
  <si>
    <t xml:space="preserve">Seribu tujuh ratus tujuh puluh sembilan  </t>
  </si>
  <si>
    <t xml:space="preserve">Seribu tujuh ratus delapan puluh  </t>
  </si>
  <si>
    <t xml:space="preserve">Seribu tujuh ratus delapan puluh satu  </t>
  </si>
  <si>
    <t xml:space="preserve">Seribu tujuh ratus delapan puluh dua  </t>
  </si>
  <si>
    <t xml:space="preserve">Seribu tujuh ratus delapan puluh tiga  </t>
  </si>
  <si>
    <t xml:space="preserve">Seribu tujuh ratus delapan puluh empat  </t>
  </si>
  <si>
    <t xml:space="preserve">Seribu tujuh ratus delapan puluh lima  </t>
  </si>
  <si>
    <t xml:space="preserve">Seribu tujuh ratus delapan puluh enam  </t>
  </si>
  <si>
    <t xml:space="preserve">Seribu tujuh ratus delapan puluh tujuh  </t>
  </si>
  <si>
    <t xml:space="preserve">Seribu tujuh ratus delapan puluh delapan  </t>
  </si>
  <si>
    <t xml:space="preserve">Seribu tujuh ratus delapan puluh sembilan  </t>
  </si>
  <si>
    <t xml:space="preserve">Seribu tujuh ratus sembilan puluh  </t>
  </si>
  <si>
    <t xml:space="preserve">Seribu tujuh ratus sembilan puluh satu  </t>
  </si>
  <si>
    <t xml:space="preserve">Seribu tujuh ratus sembilan puluh dua  </t>
  </si>
  <si>
    <t xml:space="preserve">Seribu tujuh ratus sembilan puluh tiga  </t>
  </si>
  <si>
    <t xml:space="preserve">Seribu tujuh ratus sembilan puluh empat  </t>
  </si>
  <si>
    <t xml:space="preserve">Seribu tujuh ratus sembilan puluh lima  </t>
  </si>
  <si>
    <t xml:space="preserve">Seribu tujuh ratus sembilan puluh enam  </t>
  </si>
  <si>
    <t xml:space="preserve">Seribu tujuh ratus sembilan puluh tujuh  </t>
  </si>
  <si>
    <t xml:space="preserve">Seribu tujuh ratus sembilan puluh delapan  </t>
  </si>
  <si>
    <t xml:space="preserve">Seribu tujuh ratus sembilan puluh sembilan  </t>
  </si>
  <si>
    <t xml:space="preserve">Seribu delapan ratus  </t>
  </si>
  <si>
    <t xml:space="preserve">Seribu delapan ratus satu  </t>
  </si>
  <si>
    <t xml:space="preserve">Seribu delapan ratus dua  </t>
  </si>
  <si>
    <t xml:space="preserve">Seribu delapan ratus tiga  </t>
  </si>
  <si>
    <t xml:space="preserve">Seribu delapan ratus empat  </t>
  </si>
  <si>
    <t xml:space="preserve">Seribu delapan ratus lima  </t>
  </si>
  <si>
    <t xml:space="preserve">Seribu delapan ratus enam  </t>
  </si>
  <si>
    <t xml:space="preserve">Seribu delapan ratus tujuh  </t>
  </si>
  <si>
    <t xml:space="preserve">Seribu delapan ratus delapan  </t>
  </si>
  <si>
    <t xml:space="preserve">Seribu delapan ratus sembilan  </t>
  </si>
  <si>
    <t xml:space="preserve">Seribu delapan ratus sepuluh  </t>
  </si>
  <si>
    <t xml:space="preserve">Seribu delapan ratus sebelas  </t>
  </si>
  <si>
    <t xml:space="preserve">Seribu delapan ratus dua belas  </t>
  </si>
  <si>
    <t xml:space="preserve">Seribu delapan ratus tiga belas  </t>
  </si>
  <si>
    <t xml:space="preserve">Seribu delapan ratus empat belas  </t>
  </si>
  <si>
    <t xml:space="preserve">Seribu delapan ratus lima belas  </t>
  </si>
  <si>
    <t xml:space="preserve">Seribu delapan ratus enam belas  </t>
  </si>
  <si>
    <t xml:space="preserve">Seribu delapan ratus tujuh belas  </t>
  </si>
  <si>
    <t xml:space="preserve">Seribu delapan ratus delapan belas  </t>
  </si>
  <si>
    <t xml:space="preserve">Seribu delapan ratus sembilan belas  </t>
  </si>
  <si>
    <t xml:space="preserve">Seribu delapan ratus dua puluh  </t>
  </si>
  <si>
    <t xml:space="preserve">Seribu delapan ratus dua puluh satu  </t>
  </si>
  <si>
    <t xml:space="preserve">Seribu delapan ratus dua puluh dua  </t>
  </si>
  <si>
    <t xml:space="preserve">Seribu delapan ratus dua puluh tiga  </t>
  </si>
  <si>
    <t xml:space="preserve">Seribu delapan ratus dua puluh empat  </t>
  </si>
  <si>
    <t xml:space="preserve">Seribu delapan ratus dua puluh lima  </t>
  </si>
  <si>
    <t xml:space="preserve">Seribu delapan ratus dua puluh enam  </t>
  </si>
  <si>
    <t xml:space="preserve">Seribu delapan ratus dua puluh tujuh  </t>
  </si>
  <si>
    <t xml:space="preserve">Seribu delapan ratus dua puluh delapan  </t>
  </si>
  <si>
    <t xml:space="preserve">Seribu delapan ratus dua puluh sembilan  </t>
  </si>
  <si>
    <t xml:space="preserve">Seribu delapan ratus tiga puluh  </t>
  </si>
  <si>
    <t xml:space="preserve">Seribu delapan ratus tiga puluh satu  </t>
  </si>
  <si>
    <t xml:space="preserve">Seribu delapan ratus tiga puluh dua  </t>
  </si>
  <si>
    <t xml:space="preserve">Seribu delapan ratus tiga puluh tiga  </t>
  </si>
  <si>
    <t xml:space="preserve">Seribu delapan ratus tiga puluh empat  </t>
  </si>
  <si>
    <t xml:space="preserve">Seribu delapan ratus tiga puluh lima  </t>
  </si>
  <si>
    <t xml:space="preserve">Seribu delapan ratus tiga puluh enam  </t>
  </si>
  <si>
    <t xml:space="preserve">Seribu delapan ratus tiga puluh tujuh  </t>
  </si>
  <si>
    <t xml:space="preserve">Seribu delapan ratus tiga puluh delapan  </t>
  </si>
  <si>
    <t xml:space="preserve">Seribu delapan ratus tiga puluh sembilan  </t>
  </si>
  <si>
    <t xml:space="preserve">Seribu delapan ratus empat puluh  </t>
  </si>
  <si>
    <t xml:space="preserve">Seribu delapan ratus empat puluh satu  </t>
  </si>
  <si>
    <t xml:space="preserve">Seribu delapan ratus empat puluh dua  </t>
  </si>
  <si>
    <t xml:space="preserve">Seribu delapan ratus empat puluh tiga  </t>
  </si>
  <si>
    <t xml:space="preserve">Seribu delapan ratus empat puluh empat  </t>
  </si>
  <si>
    <t xml:space="preserve">Seribu delapan ratus empat puluh lima  </t>
  </si>
  <si>
    <t xml:space="preserve">Seribu delapan ratus empat puluh enam  </t>
  </si>
  <si>
    <t xml:space="preserve">Seribu delapan ratus empat puluh tujuh  </t>
  </si>
  <si>
    <t xml:space="preserve">Seribu delapan ratus empat puluh delapan  </t>
  </si>
  <si>
    <t xml:space="preserve">Seribu delapan ratus empat puluh sembilan  </t>
  </si>
  <si>
    <t xml:space="preserve">Seribu delapan ratus lima puluh  </t>
  </si>
  <si>
    <t xml:space="preserve">Seribu delapan ratus lima puluh satu  </t>
  </si>
  <si>
    <t xml:space="preserve">Seribu delapan ratus lima puluh dua  </t>
  </si>
  <si>
    <t xml:space="preserve">Seribu delapan ratus lima puluh tiga  </t>
  </si>
  <si>
    <t xml:space="preserve">Seribu delapan ratus lima puluh empat  </t>
  </si>
  <si>
    <t xml:space="preserve">Seribu delapan ratus lima puluh lima  </t>
  </si>
  <si>
    <t xml:space="preserve">Seribu delapan ratus lima puluh enam  </t>
  </si>
  <si>
    <t xml:space="preserve">Seribu delapan ratus lima puluh tujuh  </t>
  </si>
  <si>
    <t xml:space="preserve">Seribu delapan ratus lima puluh delapan  </t>
  </si>
  <si>
    <t xml:space="preserve">Seribu delapan ratus lima puluh sembilan  </t>
  </si>
  <si>
    <t xml:space="preserve">Seribu delapan ratus enam puluh  </t>
  </si>
  <si>
    <t xml:space="preserve">Seribu delapan ratus enam puluh satu  </t>
  </si>
  <si>
    <t xml:space="preserve">Seribu delapan ratus enam puluh dua  </t>
  </si>
  <si>
    <t xml:space="preserve">Seribu delapan ratus enam puluh tiga  </t>
  </si>
  <si>
    <t xml:space="preserve">Seribu delapan ratus enam puluh empat  </t>
  </si>
  <si>
    <t xml:space="preserve">Seribu delapan ratus enam puluh lima  </t>
  </si>
  <si>
    <t xml:space="preserve">Seribu delapan ratus enam puluh enam  </t>
  </si>
  <si>
    <t xml:space="preserve">Seribu delapan ratus enam puluh tujuh  </t>
  </si>
  <si>
    <t xml:space="preserve">Seribu delapan ratus enam puluh delapan  </t>
  </si>
  <si>
    <t xml:space="preserve">Seribu delapan ratus enam puluh sembilan  </t>
  </si>
  <si>
    <t xml:space="preserve">Seribu delapan ratus tujuh puluh  </t>
  </si>
  <si>
    <t xml:space="preserve">Seribu delapan ratus tujuh puluh satu  </t>
  </si>
  <si>
    <t xml:space="preserve">Seribu delapan ratus tujuh puluh dua  </t>
  </si>
  <si>
    <t xml:space="preserve">Seribu delapan ratus tujuh puluh tiga  </t>
  </si>
  <si>
    <t xml:space="preserve">Seribu delapan ratus tujuh puluh empat  </t>
  </si>
  <si>
    <t xml:space="preserve">Seribu delapan ratus tujuh puluh lima  </t>
  </si>
  <si>
    <t xml:space="preserve">Seribu delapan ratus tujuh puluh enam  </t>
  </si>
  <si>
    <t xml:space="preserve">Seribu delapan ratus tujuh puluh tujuh  </t>
  </si>
  <si>
    <t xml:space="preserve">Seribu delapan ratus tujuh puluh delapan  </t>
  </si>
  <si>
    <t xml:space="preserve">Seribu delapan ratus tujuh puluh sembilan  </t>
  </si>
  <si>
    <t xml:space="preserve">Seribu delapan ratus delapan puluh  </t>
  </si>
  <si>
    <t xml:space="preserve">Seribu delapan ratus delapan puluh satu  </t>
  </si>
  <si>
    <t xml:space="preserve">Seribu delapan ratus delapan puluh dua  </t>
  </si>
  <si>
    <t xml:space="preserve">Seribu delapan ratus delapan puluh tiga  </t>
  </si>
  <si>
    <t xml:space="preserve">Seribu delapan ratus delapan puluh empat  </t>
  </si>
  <si>
    <t xml:space="preserve">Seribu delapan ratus delapan puluh lima  </t>
  </si>
  <si>
    <t xml:space="preserve">Seribu delapan ratus delapan puluh enam  </t>
  </si>
  <si>
    <t xml:space="preserve">Seribu delapan ratus delapan puluh tujuh  </t>
  </si>
  <si>
    <t xml:space="preserve">Seribu delapan ratus delapan puluh delapan  </t>
  </si>
  <si>
    <t xml:space="preserve">Seribu delapan ratus delapan puluh sembilan  </t>
  </si>
  <si>
    <t xml:space="preserve">Seribu delapan ratus sembilan puluh  </t>
  </si>
  <si>
    <t xml:space="preserve">Seribu delapan ratus sembilan puluh satu  </t>
  </si>
  <si>
    <t xml:space="preserve">Seribu delapan ratus sembilan puluh dua  </t>
  </si>
  <si>
    <t xml:space="preserve">Seribu delapan ratus sembilan puluh tiga  </t>
  </si>
  <si>
    <t xml:space="preserve">Seribu delapan ratus sembilan puluh empat  </t>
  </si>
  <si>
    <t xml:space="preserve">Seribu delapan ratus sembilan puluh lima  </t>
  </si>
  <si>
    <t xml:space="preserve">Seribu delapan ratus sembilan puluh enam  </t>
  </si>
  <si>
    <t xml:space="preserve">Seribu delapan ratus sembilan puluh tujuh  </t>
  </si>
  <si>
    <t xml:space="preserve">Seribu delapan ratus sembilan puluh delapan  </t>
  </si>
  <si>
    <t xml:space="preserve">Seribu delapan ratus sembilan puluh sembilan  </t>
  </si>
  <si>
    <t xml:space="preserve">Seribu sembilan ratus  </t>
  </si>
  <si>
    <t xml:space="preserve">Seribu sembilan ratus satu  </t>
  </si>
  <si>
    <t xml:space="preserve">Seribu sembilan ratus dua  </t>
  </si>
  <si>
    <t xml:space="preserve">Seribu sembilan ratus tiga  </t>
  </si>
  <si>
    <t xml:space="preserve">Seribu sembilan ratus empat  </t>
  </si>
  <si>
    <t xml:space="preserve">Seribu sembilan ratus lima  </t>
  </si>
  <si>
    <t xml:space="preserve">Seribu sembilan ratus enam  </t>
  </si>
  <si>
    <t xml:space="preserve">Seribu sembilan ratus tujuh  </t>
  </si>
  <si>
    <t xml:space="preserve">Seribu sembilan ratus delapan  </t>
  </si>
  <si>
    <t xml:space="preserve">Seribu sembilan ratus sembilan  </t>
  </si>
  <si>
    <t xml:space="preserve">Seribu sembilan ratus sepuluh  </t>
  </si>
  <si>
    <t xml:space="preserve">Seribu sembilan ratus sebelas  </t>
  </si>
  <si>
    <t xml:space="preserve">Seribu sembilan ratus dua belas  </t>
  </si>
  <si>
    <t xml:space="preserve">Seribu sembilan ratus tiga belas  </t>
  </si>
  <si>
    <t xml:space="preserve">Seribu sembilan ratus empat belas  </t>
  </si>
  <si>
    <t xml:space="preserve">Seribu sembilan ratus lima belas  </t>
  </si>
  <si>
    <t xml:space="preserve">Seribu sembilan ratus enam belas  </t>
  </si>
  <si>
    <t xml:space="preserve">Seribu sembilan ratus tujuh belas  </t>
  </si>
  <si>
    <t xml:space="preserve">Seribu sembilan ratus delapan belas  </t>
  </si>
  <si>
    <t xml:space="preserve">Seribu sembilan ratus sembilan belas  </t>
  </si>
  <si>
    <t xml:space="preserve">Seribu sembilan ratus dua puluh  </t>
  </si>
  <si>
    <t xml:space="preserve">Seribu sembilan ratus dua puluh satu  </t>
  </si>
  <si>
    <t xml:space="preserve">Seribu sembilan ratus dua puluh dua  </t>
  </si>
  <si>
    <t xml:space="preserve">Seribu sembilan ratus dua puluh tiga  </t>
  </si>
  <si>
    <t xml:space="preserve">Seribu sembilan ratus dua puluh empat  </t>
  </si>
  <si>
    <t xml:space="preserve">Seribu sembilan ratus dua puluh lima  </t>
  </si>
  <si>
    <t xml:space="preserve">Seribu sembilan ratus dua puluh enam  </t>
  </si>
  <si>
    <t xml:space="preserve">Seribu sembilan ratus dua puluh tujuh  </t>
  </si>
  <si>
    <t xml:space="preserve">Seribu sembilan ratus dua puluh delapan  </t>
  </si>
  <si>
    <t xml:space="preserve">Seribu sembilan ratus dua puluh sembilan  </t>
  </si>
  <si>
    <t xml:space="preserve">Seribu sembilan ratus tiga puluh  </t>
  </si>
  <si>
    <t xml:space="preserve">Seribu sembilan ratus tiga puluh satu  </t>
  </si>
  <si>
    <t xml:space="preserve">Seribu sembilan ratus tiga puluh dua  </t>
  </si>
  <si>
    <t xml:space="preserve">Seribu sembilan ratus tiga puluh tiga  </t>
  </si>
  <si>
    <t xml:space="preserve">Seribu sembilan ratus tiga puluh empat  </t>
  </si>
  <si>
    <t xml:space="preserve">Seribu sembilan ratus tiga puluh lima  </t>
  </si>
  <si>
    <t xml:space="preserve">Seribu sembilan ratus tiga puluh enam  </t>
  </si>
  <si>
    <t xml:space="preserve">Seribu sembilan ratus tiga puluh tujuh  </t>
  </si>
  <si>
    <t xml:space="preserve">Seribu sembilan ratus tiga puluh delapan  </t>
  </si>
  <si>
    <t xml:space="preserve">Seribu sembilan ratus tiga puluh sembilan  </t>
  </si>
  <si>
    <t xml:space="preserve">Seribu sembilan ratus empat puluh  </t>
  </si>
  <si>
    <t xml:space="preserve">Seribu sembilan ratus empat puluh satu  </t>
  </si>
  <si>
    <t xml:space="preserve">Seribu sembilan ratus empat puluh dua  </t>
  </si>
  <si>
    <t xml:space="preserve">Seribu sembilan ratus empat puluh tiga  </t>
  </si>
  <si>
    <t xml:space="preserve">Seribu sembilan ratus empat puluh empat  </t>
  </si>
  <si>
    <t xml:space="preserve">Seribu sembilan ratus empat puluh lima  </t>
  </si>
  <si>
    <t xml:space="preserve">Seribu sembilan ratus empat puluh enam  </t>
  </si>
  <si>
    <t xml:space="preserve">Seribu sembilan ratus empat puluh tujuh  </t>
  </si>
  <si>
    <t xml:space="preserve">Seribu sembilan ratus empat puluh delapan  </t>
  </si>
  <si>
    <t xml:space="preserve">Seribu sembilan ratus empat puluh sembilan  </t>
  </si>
  <si>
    <t xml:space="preserve">Seribu sembilan ratus lima puluh  </t>
  </si>
  <si>
    <t xml:space="preserve">Seribu sembilan ratus lima puluh satu  </t>
  </si>
  <si>
    <t xml:space="preserve">Seribu sembilan ratus lima puluh dua  </t>
  </si>
  <si>
    <t xml:space="preserve">Seribu sembilan ratus lima puluh tiga  </t>
  </si>
  <si>
    <t xml:space="preserve">Seribu sembilan ratus lima puluh empat  </t>
  </si>
  <si>
    <t xml:space="preserve">Seribu sembilan ratus lima puluh lima  </t>
  </si>
  <si>
    <t xml:space="preserve">Seribu sembilan ratus lima puluh enam  </t>
  </si>
  <si>
    <t xml:space="preserve">Seribu sembilan ratus lima puluh tujuh  </t>
  </si>
  <si>
    <t xml:space="preserve">Seribu sembilan ratus lima puluh delapan  </t>
  </si>
  <si>
    <t xml:space="preserve">Seribu sembilan ratus lima puluh sembilan  </t>
  </si>
  <si>
    <t xml:space="preserve">Seribu sembilan ratus enam puluh  </t>
  </si>
  <si>
    <t xml:space="preserve">Seribu sembilan ratus enam puluh satu  </t>
  </si>
  <si>
    <t xml:space="preserve">Seribu sembilan ratus enam puluh dua  </t>
  </si>
  <si>
    <t xml:space="preserve">Seribu sembilan ratus enam puluh tiga  </t>
  </si>
  <si>
    <t xml:space="preserve">Seribu sembilan ratus enam puluh empat  </t>
  </si>
  <si>
    <t xml:space="preserve">Seribu sembilan ratus enam puluh lima  </t>
  </si>
  <si>
    <t xml:space="preserve">Seribu sembilan ratus enam puluh enam  </t>
  </si>
  <si>
    <t xml:space="preserve">Seribu sembilan ratus enam puluh tujuh  </t>
  </si>
  <si>
    <t xml:space="preserve">Seribu sembilan ratus enam puluh delapan  </t>
  </si>
  <si>
    <t xml:space="preserve">Seribu sembilan ratus enam puluh sembilan  </t>
  </si>
  <si>
    <t xml:space="preserve">Seribu sembilan ratus tujuh puluh  </t>
  </si>
  <si>
    <t xml:space="preserve">Seribu sembilan ratus tujuh puluh satu  </t>
  </si>
  <si>
    <t xml:space="preserve">Seribu sembilan ratus tujuh puluh dua  </t>
  </si>
  <si>
    <t xml:space="preserve">Seribu sembilan ratus tujuh puluh tiga  </t>
  </si>
  <si>
    <t xml:space="preserve">Seribu sembilan ratus tujuh puluh empat  </t>
  </si>
  <si>
    <t xml:space="preserve">Seribu sembilan ratus tujuh puluh lima  </t>
  </si>
  <si>
    <t xml:space="preserve">Seribu sembilan ratus tujuh puluh enam  </t>
  </si>
  <si>
    <t xml:space="preserve">Seribu sembilan ratus tujuh puluh tujuh  </t>
  </si>
  <si>
    <t xml:space="preserve">Seribu sembilan ratus tujuh puluh delapan  </t>
  </si>
  <si>
    <t xml:space="preserve">Seribu sembilan ratus tujuh puluh sembilan  </t>
  </si>
  <si>
    <t xml:space="preserve">Seribu sembilan ratus delapan puluh  </t>
  </si>
  <si>
    <t xml:space="preserve">Seribu sembilan ratus delapan puluh satu  </t>
  </si>
  <si>
    <t xml:space="preserve">Seribu sembilan ratus delapan puluh dua  </t>
  </si>
  <si>
    <t xml:space="preserve">Seribu sembilan ratus delapan puluh tiga  </t>
  </si>
  <si>
    <t xml:space="preserve">Seribu sembilan ratus delapan puluh empat  </t>
  </si>
  <si>
    <t xml:space="preserve">Seribu sembilan ratus delapan puluh lima  </t>
  </si>
  <si>
    <t xml:space="preserve">Seribu sembilan ratus delapan puluh enam  </t>
  </si>
  <si>
    <t xml:space="preserve">Seribu sembilan ratus delapan puluh tujuh  </t>
  </si>
  <si>
    <t xml:space="preserve">Seribu sembilan ratus delapan puluh delapan  </t>
  </si>
  <si>
    <t xml:space="preserve">Seribu sembilan ratus delapan puluh sembilan  </t>
  </si>
  <si>
    <t xml:space="preserve">Seribu sembilan ratus sembilan puluh  </t>
  </si>
  <si>
    <t xml:space="preserve">Seribu sembilan ratus sembilan puluh satu  </t>
  </si>
  <si>
    <t xml:space="preserve">Seribu sembilan ratus sembilan puluh dua  </t>
  </si>
  <si>
    <t xml:space="preserve">Seribu sembilan ratus sembilan puluh tiga  </t>
  </si>
  <si>
    <t xml:space="preserve">Seribu sembilan ratus sembilan puluh empat  </t>
  </si>
  <si>
    <t xml:space="preserve">Seribu sembilan ratus sembilan puluh lima  </t>
  </si>
  <si>
    <t xml:space="preserve">Seribu sembilan ratus sembilan puluh enam  </t>
  </si>
  <si>
    <t xml:space="preserve">Seribu sembilan ratus sembilan puluh tujuh  </t>
  </si>
  <si>
    <t xml:space="preserve">Seribu sembilan ratus sembilan puluh delapan  </t>
  </si>
  <si>
    <t xml:space="preserve">Seribu sembilan ratus sembilan puluh sembilan  </t>
  </si>
  <si>
    <t xml:space="preserve">Dua ribu  </t>
  </si>
  <si>
    <t xml:space="preserve">Dua ribu satu  </t>
  </si>
  <si>
    <t xml:space="preserve">Dua ribu dua  </t>
  </si>
  <si>
    <t xml:space="preserve">Dua ribu tiga  </t>
  </si>
  <si>
    <t xml:space="preserve">Dua ribu empat  </t>
  </si>
  <si>
    <t xml:space="preserve">Dua ribu lima  </t>
  </si>
  <si>
    <t xml:space="preserve">Dua ribu enam  </t>
  </si>
  <si>
    <t xml:space="preserve">Dua ribu tujuh  </t>
  </si>
  <si>
    <t xml:space="preserve">Dua ribu delapan  </t>
  </si>
  <si>
    <t xml:space="preserve">Dua ribu sembilan  </t>
  </si>
  <si>
    <t xml:space="preserve">Dua ribu sepuluh  </t>
  </si>
  <si>
    <t xml:space="preserve">Dua ribu sebelas  </t>
  </si>
  <si>
    <t xml:space="preserve">Dua ribu dua belas  </t>
  </si>
  <si>
    <t xml:space="preserve">Dua ribu tiga belas  </t>
  </si>
  <si>
    <t xml:space="preserve">Dua ribu empat belas  </t>
  </si>
  <si>
    <t xml:space="preserve">Dua ribu lima belas  </t>
  </si>
  <si>
    <t xml:space="preserve">Dua ribu enam belas  </t>
  </si>
  <si>
    <t xml:space="preserve">Dua ribu tujuh belas  </t>
  </si>
  <si>
    <t xml:space="preserve">Dua ribu delapan belas  </t>
  </si>
  <si>
    <t xml:space="preserve">Dua ribu sembilan belas  </t>
  </si>
  <si>
    <t xml:space="preserve">Dua ribu dua puluh  </t>
  </si>
  <si>
    <t xml:space="preserve">Dua ribu dua puluh satu  </t>
  </si>
  <si>
    <t xml:space="preserve">Dua ribu dua puluh dua  </t>
  </si>
  <si>
    <t xml:space="preserve">Dua ribu dua puluh tiga  </t>
  </si>
  <si>
    <t xml:space="preserve">Dua ribu dua puluh empat  </t>
  </si>
  <si>
    <t xml:space="preserve">Dua ribu dua puluh lima  </t>
  </si>
  <si>
    <t xml:space="preserve">Dua ribu dua puluh enam  </t>
  </si>
  <si>
    <t xml:space="preserve">Dua ribu dua puluh tujuh  </t>
  </si>
  <si>
    <t xml:space="preserve">Dua ribu dua puluh delapan  </t>
  </si>
  <si>
    <t xml:space="preserve">Dua ribu dua puluh sembilan  </t>
  </si>
  <si>
    <t xml:space="preserve">Dua ribu tiga puluh  </t>
  </si>
  <si>
    <t xml:space="preserve">Dua ribu tiga puluh satu  </t>
  </si>
  <si>
    <t xml:space="preserve">Dua ribu tiga puluh dua  </t>
  </si>
  <si>
    <t xml:space="preserve">Dua ribu tiga puluh tiga  </t>
  </si>
  <si>
    <t xml:space="preserve">Dua ribu tiga puluh empat  </t>
  </si>
  <si>
    <t xml:space="preserve">Dua ribu tiga puluh lima  </t>
  </si>
  <si>
    <t xml:space="preserve">Dua ribu tiga puluh enam  </t>
  </si>
  <si>
    <t xml:space="preserve">Dua ribu tiga puluh tujuh  </t>
  </si>
  <si>
    <t xml:space="preserve">Dua ribu tiga puluh delapan  </t>
  </si>
  <si>
    <t xml:space="preserve">Dua ribu tiga puluh sembilan  </t>
  </si>
  <si>
    <t xml:space="preserve">Dua ribu empat puluh  </t>
  </si>
  <si>
    <t xml:space="preserve">Dua ribu empat puluh satu  </t>
  </si>
  <si>
    <t xml:space="preserve">Dua ribu empat puluh dua  </t>
  </si>
  <si>
    <t xml:space="preserve">Dua ribu empat puluh tiga  </t>
  </si>
  <si>
    <t xml:space="preserve">Dua ribu empat puluh empat  </t>
  </si>
  <si>
    <t xml:space="preserve">Dua ribu empat puluh lima  </t>
  </si>
  <si>
    <t xml:space="preserve">Dua ribu empat puluh enam  </t>
  </si>
  <si>
    <t xml:space="preserve">Dua ribu empat puluh tujuh  </t>
  </si>
  <si>
    <t xml:space="preserve">Dua ribu empat puluh delapan  </t>
  </si>
  <si>
    <t xml:space="preserve">Dua ribu empat puluh sembilan  </t>
  </si>
  <si>
    <t xml:space="preserve">Dua ribu lima puluh  </t>
  </si>
  <si>
    <t xml:space="preserve">Dua ribu lima puluh satu  </t>
  </si>
  <si>
    <t xml:space="preserve">Dua ribu lima puluh dua  </t>
  </si>
  <si>
    <t xml:space="preserve">Dua ribu lima puluh tiga  </t>
  </si>
  <si>
    <t xml:space="preserve">Dua ribu lima puluh empat  </t>
  </si>
  <si>
    <t xml:space="preserve">Dua ribu lima puluh lima  </t>
  </si>
  <si>
    <t xml:space="preserve">Dua ribu lima puluh enam  </t>
  </si>
  <si>
    <t xml:space="preserve">Dua ribu lima puluh tujuh  </t>
  </si>
  <si>
    <t xml:space="preserve">Dua ribu lima puluh delapan  </t>
  </si>
  <si>
    <t xml:space="preserve">Dua ribu lima puluh sembilan  </t>
  </si>
  <si>
    <t xml:space="preserve">Dua ribu enam puluh  </t>
  </si>
  <si>
    <t xml:space="preserve">Dua ribu enam puluh satu  </t>
  </si>
  <si>
    <t xml:space="preserve">Dua ribu enam puluh dua  </t>
  </si>
  <si>
    <t xml:space="preserve">Dua ribu enam puluh tiga  </t>
  </si>
  <si>
    <t xml:space="preserve">Dua ribu enam puluh empat  </t>
  </si>
  <si>
    <t xml:space="preserve">Dua ribu enam puluh lima  </t>
  </si>
  <si>
    <t xml:space="preserve">Dua ribu enam puluh enam  </t>
  </si>
  <si>
    <t xml:space="preserve">Dua ribu enam puluh tujuh  </t>
  </si>
  <si>
    <t xml:space="preserve">Dua ribu enam puluh delapan  </t>
  </si>
  <si>
    <t xml:space="preserve">Dua ribu enam puluh sembilan  </t>
  </si>
  <si>
    <t xml:space="preserve">Dua ribu tujuh puluh  </t>
  </si>
  <si>
    <t xml:space="preserve">Dua ribu tujuh puluh satu  </t>
  </si>
  <si>
    <t xml:space="preserve">Dua ribu tujuh puluh dua  </t>
  </si>
  <si>
    <t xml:space="preserve">Dua ribu tujuh puluh tiga  </t>
  </si>
  <si>
    <t xml:space="preserve">Dua ribu tujuh puluh empat  </t>
  </si>
  <si>
    <t xml:space="preserve">Dua ribu tujuh puluh lima  </t>
  </si>
  <si>
    <t xml:space="preserve">Dua ribu tujuh puluh enam  </t>
  </si>
  <si>
    <t xml:space="preserve">Dua ribu tujuh puluh tujuh  </t>
  </si>
  <si>
    <t xml:space="preserve">Dua ribu tujuh puluh delapan  </t>
  </si>
  <si>
    <t xml:space="preserve">Dua ribu tujuh puluh sembilan  </t>
  </si>
  <si>
    <t xml:space="preserve">Dua ribu delapan puluh  </t>
  </si>
  <si>
    <t xml:space="preserve">Dua ribu delapan puluh satu  </t>
  </si>
  <si>
    <t xml:space="preserve">Dua ribu delapan puluh dua  </t>
  </si>
  <si>
    <t xml:space="preserve">Dua ribu delapan puluh tiga  </t>
  </si>
  <si>
    <t xml:space="preserve">Dua ribu delapan puluh empat  </t>
  </si>
  <si>
    <t xml:space="preserve">Dua ribu delapan puluh lima  </t>
  </si>
  <si>
    <t>A</t>
  </si>
  <si>
    <t>Nilai  (Predikat)</t>
  </si>
  <si>
    <t>Kepribadian dan Kedisipilinan</t>
  </si>
  <si>
    <t>nis-pkbm</t>
  </si>
  <si>
    <t>nisn</t>
  </si>
  <si>
    <t>Ir. Abdul Aziz Ahmad, M.M.</t>
  </si>
  <si>
    <t>Futsal</t>
  </si>
  <si>
    <t>Alhamdulillah, Semoga ilmu yang dipelajari bermanfaat dan terus istiqomah dalam mengamalkan ilmu</t>
  </si>
  <si>
    <t>Desember</t>
  </si>
  <si>
    <t>A.Kelompok Pelajaran Syar'i dan Lughoh</t>
  </si>
  <si>
    <t>Komputer</t>
  </si>
  <si>
    <t>Bahasa Arab</t>
  </si>
  <si>
    <t>Nahwu dan Shorof</t>
  </si>
  <si>
    <t>Siroh</t>
  </si>
  <si>
    <t>Aqidah dan Manhaj</t>
  </si>
  <si>
    <t>الأخلاق</t>
  </si>
  <si>
    <t>العقيدة و المنهج</t>
  </si>
  <si>
    <t>الفقه</t>
  </si>
  <si>
    <t>اللغة العربية</t>
  </si>
  <si>
    <t>النحو و الصرف</t>
  </si>
  <si>
    <t>الحديث</t>
  </si>
  <si>
    <t>التجويد</t>
  </si>
  <si>
    <t>التفسير</t>
  </si>
  <si>
    <t>السيرة</t>
  </si>
  <si>
    <t>اللغة الإندونيسية</t>
  </si>
  <si>
    <t>اللغة الإنجليزية</t>
  </si>
  <si>
    <t>الرياضية</t>
  </si>
  <si>
    <t>العلوم الطبيعية</t>
  </si>
  <si>
    <t>العلوم الإجتماعية</t>
  </si>
  <si>
    <t>الحاسب الآلي</t>
  </si>
  <si>
    <t>بمعهد الإمام الشافعي (للبنين) - بريبس - جاوى الوسطى</t>
  </si>
  <si>
    <t>كشف الدرجات - للـمرحلة المتوسطة</t>
  </si>
  <si>
    <t xml:space="preserve">NILAI </t>
  </si>
  <si>
    <t>RATA-RATA KELAS</t>
  </si>
  <si>
    <t>المعدل التراكمي</t>
  </si>
  <si>
    <t>النتيجة</t>
  </si>
  <si>
    <t>الدرجة الصغرى</t>
  </si>
  <si>
    <t>المواد الدراسية</t>
  </si>
  <si>
    <t>الرقم</t>
  </si>
  <si>
    <t>A. ILMU SYAR'I</t>
  </si>
  <si>
    <t>أ. العلوم الشرعية</t>
  </si>
  <si>
    <t>تحفيظ القرآن</t>
  </si>
  <si>
    <t>B. ILMU PENGETAHUAN UMUM</t>
  </si>
  <si>
    <t>ب. العلوم العامة</t>
  </si>
  <si>
    <t>مجموع الدرجات</t>
  </si>
  <si>
    <t>Jumlah Peserta Didik</t>
  </si>
  <si>
    <t>عدد الطلاب</t>
  </si>
  <si>
    <t>ج. السلوك و المواظبة</t>
  </si>
  <si>
    <t>النظافة و الترتيب</t>
  </si>
  <si>
    <t>لإذن</t>
  </si>
  <si>
    <t>لمرض</t>
  </si>
  <si>
    <t>بلاعذر</t>
  </si>
  <si>
    <t>الدرجة</t>
  </si>
  <si>
    <t>C. KEPRIBADIAN DAN KEDISIPLINAN</t>
  </si>
  <si>
    <t>د. الملاحظات من ولي الفصل</t>
  </si>
  <si>
    <t>المسئولية</t>
  </si>
  <si>
    <t>D. CATATAN WALI KELAS</t>
  </si>
  <si>
    <t>………………………………</t>
  </si>
  <si>
    <r>
      <rPr>
        <b/>
        <sz val="10"/>
        <color theme="1"/>
        <rFont val="Calibri"/>
        <family val="2"/>
        <scheme val="minor"/>
      </rPr>
      <t>السلوك العامة</t>
    </r>
    <r>
      <rPr>
        <b/>
        <sz val="12"/>
        <color theme="1"/>
        <rFont val="Calibri"/>
        <family val="2"/>
        <scheme val="minor"/>
      </rPr>
      <t xml:space="preserve"> </t>
    </r>
    <r>
      <rPr>
        <b/>
        <sz val="10"/>
        <color theme="1"/>
        <rFont val="Times New Roman"/>
        <family val="1"/>
      </rPr>
      <t>(Kepribadian Umum)</t>
    </r>
  </si>
  <si>
    <r>
      <rPr>
        <b/>
        <sz val="10"/>
        <color theme="1"/>
        <rFont val="Calibri"/>
        <family val="2"/>
        <scheme val="minor"/>
      </rPr>
      <t>السلوك الخاصة</t>
    </r>
    <r>
      <rPr>
        <b/>
        <sz val="12"/>
        <color theme="1"/>
        <rFont val="Calibri"/>
        <family val="2"/>
        <scheme val="minor"/>
      </rPr>
      <t xml:space="preserve"> </t>
    </r>
    <r>
      <rPr>
        <b/>
        <sz val="10"/>
        <color theme="1"/>
        <rFont val="Times New Roman"/>
        <family val="1"/>
      </rPr>
      <t>(Kepribadian Khusus)</t>
    </r>
  </si>
  <si>
    <r>
      <rPr>
        <b/>
        <sz val="10"/>
        <color theme="1"/>
        <rFont val="Calibri"/>
        <family val="2"/>
        <scheme val="minor"/>
      </rPr>
      <t>الدروس الإضافية</t>
    </r>
    <r>
      <rPr>
        <b/>
        <sz val="12"/>
        <color theme="1"/>
        <rFont val="Calibri"/>
        <family val="2"/>
        <scheme val="minor"/>
      </rPr>
      <t xml:space="preserve"> </t>
    </r>
    <r>
      <rPr>
        <b/>
        <sz val="10"/>
        <color theme="1"/>
        <rFont val="Times New Roman"/>
        <family val="1"/>
      </rPr>
      <t>(Ekstrakurikuler)</t>
    </r>
  </si>
  <si>
    <r>
      <rPr>
        <b/>
        <sz val="10"/>
        <color theme="1"/>
        <rFont val="Calibri"/>
        <family val="2"/>
        <scheme val="minor"/>
      </rPr>
      <t>المواظبة</t>
    </r>
    <r>
      <rPr>
        <b/>
        <sz val="11"/>
        <color theme="1"/>
        <rFont val="Calibri"/>
        <family val="2"/>
        <scheme val="minor"/>
      </rPr>
      <t xml:space="preserve"> </t>
    </r>
    <r>
      <rPr>
        <b/>
        <sz val="10"/>
        <color theme="1"/>
        <rFont val="Times New Roman"/>
        <family val="1"/>
      </rPr>
      <t>(Kedisiplinan)</t>
    </r>
  </si>
  <si>
    <r>
      <rPr>
        <b/>
        <sz val="11"/>
        <color theme="1"/>
        <rFont val="Calibri"/>
        <family val="2"/>
        <scheme val="minor"/>
      </rPr>
      <t>اسم الطالب</t>
    </r>
    <r>
      <rPr>
        <b/>
        <sz val="10"/>
        <color theme="1"/>
        <rFont val="Times New Roman"/>
        <family val="1"/>
      </rPr>
      <t xml:space="preserve"> (Nama )</t>
    </r>
  </si>
  <si>
    <r>
      <rPr>
        <b/>
        <sz val="11"/>
        <color theme="1"/>
        <rFont val="Calibri"/>
        <family val="2"/>
        <scheme val="minor"/>
      </rPr>
      <t>رقم المدرسي</t>
    </r>
    <r>
      <rPr>
        <b/>
        <sz val="11"/>
        <color theme="1"/>
        <rFont val="Times New Roman"/>
        <family val="1"/>
      </rPr>
      <t xml:space="preserve"> </t>
    </r>
    <r>
      <rPr>
        <b/>
        <sz val="10"/>
        <color theme="1"/>
        <rFont val="Times New Roman"/>
        <family val="1"/>
      </rPr>
      <t>(NIS)</t>
    </r>
  </si>
  <si>
    <r>
      <rPr>
        <b/>
        <sz val="11"/>
        <color theme="1"/>
        <rFont val="Calibri"/>
        <family val="2"/>
        <scheme val="minor"/>
      </rPr>
      <t>رقم الوطني</t>
    </r>
    <r>
      <rPr>
        <b/>
        <sz val="10"/>
        <color theme="1"/>
        <rFont val="Times New Roman"/>
        <family val="1"/>
      </rPr>
      <t xml:space="preserve"> (NISN)</t>
    </r>
  </si>
  <si>
    <r>
      <rPr>
        <b/>
        <sz val="11"/>
        <color theme="1"/>
        <rFont val="Calibri"/>
        <family val="2"/>
        <scheme val="minor"/>
      </rPr>
      <t>الفصل</t>
    </r>
    <r>
      <rPr>
        <b/>
        <sz val="10"/>
        <color theme="1"/>
        <rFont val="Times New Roman"/>
        <family val="1"/>
      </rPr>
      <t xml:space="preserve"> (Kelas )</t>
    </r>
  </si>
  <si>
    <r>
      <rPr>
        <b/>
        <sz val="11"/>
        <color theme="1"/>
        <rFont val="Calibri"/>
        <family val="2"/>
        <scheme val="minor"/>
      </rPr>
      <t>الفصل الدراسي</t>
    </r>
    <r>
      <rPr>
        <b/>
        <sz val="10"/>
        <color theme="1"/>
        <rFont val="Times New Roman"/>
        <family val="1"/>
      </rPr>
      <t xml:space="preserve"> (Semester)</t>
    </r>
  </si>
  <si>
    <r>
      <rPr>
        <b/>
        <sz val="11"/>
        <color theme="1"/>
        <rFont val="Calibri"/>
        <family val="2"/>
        <scheme val="minor"/>
      </rPr>
      <t>العام الدراسي</t>
    </r>
    <r>
      <rPr>
        <b/>
        <sz val="10"/>
        <color theme="1"/>
        <rFont val="Times New Roman"/>
        <family val="1"/>
      </rPr>
      <t xml:space="preserve"> (Tahun Ajaran)</t>
    </r>
  </si>
  <si>
    <t>Modul 
1</t>
  </si>
  <si>
    <t>D. EKSTRAKURIKULER</t>
  </si>
  <si>
    <t>الإجتهاد</t>
  </si>
  <si>
    <t>Kedisiplinan</t>
  </si>
  <si>
    <t>الإنضباط</t>
  </si>
  <si>
    <t>D. CATATAN WALI KELAS ( الملاحظات من ولي الفصل)</t>
  </si>
  <si>
    <t>KEPUTUSAN:</t>
  </si>
  <si>
    <r>
      <rPr>
        <sz val="11"/>
        <color theme="1"/>
        <rFont val="Times New Roman"/>
        <family val="1"/>
      </rPr>
      <t>Berdasarkan hasil yang dicapai pada semester gasal dan genap, peserta didik ditetapkan :</t>
    </r>
    <r>
      <rPr>
        <i/>
        <sz val="11"/>
        <color theme="1"/>
        <rFont val="Times New Roman"/>
        <family val="1"/>
      </rPr>
      <t xml:space="preserve">
</t>
    </r>
    <r>
      <rPr>
        <b/>
        <i/>
        <u/>
        <sz val="11"/>
        <color theme="1"/>
        <rFont val="Times New Roman"/>
        <family val="1"/>
      </rPr>
      <t>Naik Kelas VIII (Delapan)</t>
    </r>
  </si>
  <si>
    <t>Mudir Pondok</t>
  </si>
  <si>
    <t>Modul 4</t>
  </si>
  <si>
    <t>Modul 5</t>
  </si>
  <si>
    <t>Modul 
4</t>
  </si>
  <si>
    <t>Arini Intan Rustriana, S.Pd., M.M.</t>
  </si>
  <si>
    <t>Modul 
3</t>
  </si>
  <si>
    <t xml:space="preserve">عدد الأيام  (Jml Hari) </t>
  </si>
  <si>
    <t>Tgl Bagi Raport 1 (PKBM)</t>
  </si>
  <si>
    <t>Tgl Bagi Raport 2 (PKBM)</t>
  </si>
  <si>
    <t>الحلم</t>
  </si>
  <si>
    <t>C</t>
  </si>
  <si>
    <t xml:space="preserve">Alhamdulillah, Semoga ilmu yang dipelajari bermanfaat dan terus berusaha lebih semangat dalam belajar </t>
  </si>
  <si>
    <r>
      <t xml:space="preserve">عدد الأيام  </t>
    </r>
    <r>
      <rPr>
        <b/>
        <sz val="10"/>
        <color theme="1"/>
        <rFont val="Times New Roman"/>
        <family val="1"/>
      </rPr>
      <t>(Jml Hari)</t>
    </r>
    <r>
      <rPr>
        <b/>
        <sz val="9"/>
        <color theme="1"/>
        <rFont val="Times New Roman"/>
        <family val="1"/>
      </rPr>
      <t xml:space="preserve"> </t>
    </r>
  </si>
  <si>
    <t xml:space="preserve"> Alhamdulillah, semoga ilmu yang dipelajari bermanfaat dan perlu diingat untuk lebih sungguh-sungguh dalam belajar dan lebih baik lagi mengatur waktu </t>
  </si>
  <si>
    <t xml:space="preserve"> Alhamdulillah, semoga ilmu yang dipelajari bermanfaat dan perlu diingat untuk lebih sungguh-sungguh dalam belajar dan berusaha untuk mencari cara belajar dengan baik </t>
  </si>
  <si>
    <t>Silat</t>
  </si>
  <si>
    <t>entrepreneur</t>
  </si>
  <si>
    <t>komputer</t>
  </si>
  <si>
    <t>Tibbun</t>
  </si>
  <si>
    <t>عملية العبادة و العربية</t>
  </si>
  <si>
    <t>Praktek Ibadah dan Bahasa Arab</t>
  </si>
  <si>
    <t>2022/2023</t>
  </si>
  <si>
    <t>Mustain Billah, S.Si</t>
  </si>
  <si>
    <t>ABDILLAH MUCHSIN AL ANSYORI</t>
  </si>
  <si>
    <t>ABDULLAH MUADZ</t>
  </si>
  <si>
    <t>ABYAN TSAQIB MUBAROK</t>
  </si>
  <si>
    <t>AHMAD WILDAN KHULUQIN AZHIM</t>
  </si>
  <si>
    <t>ANNAQI KHAIRULL AZZAM</t>
  </si>
  <si>
    <t>ARKANA AESAR AULAYAIN</t>
  </si>
  <si>
    <t>ASYAJJ QAIS AL-FAZAARY</t>
  </si>
  <si>
    <t>AZKA AZHAR RASYID</t>
  </si>
  <si>
    <t>BIYAN AKHTAR NAISYABURI</t>
  </si>
  <si>
    <t>CHAIRUL AZZAM RAMADHAN</t>
  </si>
  <si>
    <t>DEVARA ABDILLAH GHANI</t>
  </si>
  <si>
    <t>DYO GALIH PUTRAWAN J</t>
  </si>
  <si>
    <t>DZAKY ABDUL HAFIZ</t>
  </si>
  <si>
    <t>FADHIL MUHAMMAD ABID AL JABBAR</t>
  </si>
  <si>
    <t>FAISHAL SYARIF PUTRA AJI</t>
  </si>
  <si>
    <t>FAQIHUDDIN RAHMAN</t>
  </si>
  <si>
    <t>FARDAN ADITYA FAHRIZI</t>
  </si>
  <si>
    <t>FARHAN ISMAIL</t>
  </si>
  <si>
    <t>FATHLIH DHIFAN</t>
  </si>
  <si>
    <t>FATIH KAUTSAR PUTRA TOTI</t>
  </si>
  <si>
    <t>FAUZIE MAFTUH AHNAN CHANIAGO</t>
  </si>
  <si>
    <t>FERY FADLY</t>
  </si>
  <si>
    <t>GHOLIB AHMAD HARITSAH</t>
  </si>
  <si>
    <t>HAFIDZ RAFI RABBANI</t>
  </si>
  <si>
    <t>HAFIZ IHSAN MAHENDRA BARLI</t>
  </si>
  <si>
    <t>HAITSU YASYA AL FIRDAUS</t>
  </si>
  <si>
    <t>IBRAHIM MAJID</t>
  </si>
  <si>
    <t>IBRAHIM ZAKI MAULANA</t>
  </si>
  <si>
    <t>KENZIE ABHINAYA AL-HAFIZH</t>
  </si>
  <si>
    <t>KHADAFI AGISTA MUSYAFA</t>
  </si>
  <si>
    <t>KHOIRUL AZZAM</t>
  </si>
  <si>
    <t>LUQMAN ATHAILLAH ARTUNDAYA</t>
  </si>
  <si>
    <t>M. ARHAB FAIZ AZZAM</t>
  </si>
  <si>
    <t>M. NABHAN DZAKWAN</t>
  </si>
  <si>
    <t>MOH. DANENDRA RAJWA ABITAH</t>
  </si>
  <si>
    <t>MUH. ZAKI DZUMAYIL</t>
  </si>
  <si>
    <t>MUHAMAD RIZQI AKBAR</t>
  </si>
  <si>
    <t>MUHAMAD TEGAR BIMANTORO</t>
  </si>
  <si>
    <t>MUHAMMAD DENNIS</t>
  </si>
  <si>
    <t>MUHAMMAD ISA</t>
  </si>
  <si>
    <t>MUHAMMAD NAZRIEL AR-RIJAL</t>
  </si>
  <si>
    <t>MUHAMMAD SEPTIAN RAMADHANI</t>
  </si>
  <si>
    <t>RAYKHAN DWI FARDHANI</t>
  </si>
  <si>
    <t>ROZAN</t>
  </si>
  <si>
    <t>UMAIR ABDURROZZAQ</t>
  </si>
  <si>
    <t>YAHYA BIN ABU MUHAMMAD</t>
  </si>
  <si>
    <t>3204290812090004</t>
  </si>
  <si>
    <t>2084756211</t>
  </si>
  <si>
    <t>Laki-laki</t>
  </si>
  <si>
    <t>Bandung</t>
  </si>
  <si>
    <t>8 Desember 2009</t>
  </si>
  <si>
    <t>Anak Kandung</t>
  </si>
  <si>
    <t>Kp. Sukagalih RT 04 RW 06 Cikoneng,Ciparay,Bandung,Jawa Barat</t>
  </si>
  <si>
    <t>PKBM Mutiara Sahabat Tegal</t>
  </si>
  <si>
    <t>Jl. Gajah Mada No. 105 Pekauman Kota Tegal</t>
  </si>
  <si>
    <t>Atep Muchsin Ansyori</t>
  </si>
  <si>
    <t>Irma Maya Sofa</t>
  </si>
  <si>
    <t>085201422622</t>
  </si>
  <si>
    <t>Pengusaha/Wiraswasta</t>
  </si>
  <si>
    <t>Tidak bekerja (Di rumah saja)</t>
  </si>
  <si>
    <t>3376022904100001</t>
  </si>
  <si>
    <t>0109993926</t>
  </si>
  <si>
    <t>Tegal</t>
  </si>
  <si>
    <t>29 April 2010</t>
  </si>
  <si>
    <t>Jl. KH. Zaenal Arifin 49 RT 06 RW 03 Panggung,Tegal Timur,Tegal,Jawa Tengah</t>
  </si>
  <si>
    <t>SD Ihsaniyah 1 Pusaka</t>
  </si>
  <si>
    <t>Jl. Waringin No. 27 Mintaragen Kec. Tegal Timur Kota Tegal</t>
  </si>
  <si>
    <t>Johar Firdaus</t>
  </si>
  <si>
    <t>Nauroh Maemunah</t>
  </si>
  <si>
    <t>081532177155</t>
  </si>
  <si>
    <t>PNS Kementerian/Lembaga/Pemda</t>
  </si>
  <si>
    <t>Guru/Dosen</t>
  </si>
  <si>
    <t>3376011201100001</t>
  </si>
  <si>
    <t>2103996172</t>
  </si>
  <si>
    <t>12 Januari 2010</t>
  </si>
  <si>
    <t>Jl. Blimbing No. 94 RT 04 RW 05 Pekauman,Tegal Barat,Tegal,Jawa Tengah</t>
  </si>
  <si>
    <t>Ferry Hamdan</t>
  </si>
  <si>
    <t>Nur Asiyah Sholihah</t>
  </si>
  <si>
    <t>08159966666</t>
  </si>
  <si>
    <t>3216211912090004</t>
  </si>
  <si>
    <t>0095272470</t>
  </si>
  <si>
    <t>19 Desember 2009</t>
  </si>
  <si>
    <t>Perum Mega Regency Blok E8/31 RT 06 RW 13 Sukaragam,Serang Baru,Bekasi,Jawa Barat</t>
  </si>
  <si>
    <t>SD Islam Plus Al Hanif</t>
  </si>
  <si>
    <t>Kp. Setu RT 01 RW 04 Ds. Sindangmulya Kec. Cibarusih Bekasi</t>
  </si>
  <si>
    <t>Cahyono</t>
  </si>
  <si>
    <t>Khofiyanah</t>
  </si>
  <si>
    <t>081317035366</t>
  </si>
  <si>
    <t>3274050109090003</t>
  </si>
  <si>
    <t>3092858320</t>
  </si>
  <si>
    <t>Kuningan</t>
  </si>
  <si>
    <t>1 Agustus 2009</t>
  </si>
  <si>
    <t>Jl. Menara Suradinaya Utara RT 02 RW 06 Pekiringan,Kesambi,Cirebon,Jawa Barat</t>
  </si>
  <si>
    <t>MIS Nihayatul Amal</t>
  </si>
  <si>
    <t>Jl. Raya Gunung Sari</t>
  </si>
  <si>
    <t>Rudiyanto</t>
  </si>
  <si>
    <t>Rohimah</t>
  </si>
  <si>
    <t>089649778678</t>
  </si>
  <si>
    <t>Sopir/Masinis/Kondektur</t>
  </si>
  <si>
    <t>3328152603100003</t>
  </si>
  <si>
    <t>0109362818</t>
  </si>
  <si>
    <t>26 Maret 2010</t>
  </si>
  <si>
    <t>Dk. Lebak Agung RT 03 RW 03 Bongkok ,Kramat,Tegal,Jawa Tengah</t>
  </si>
  <si>
    <t>SD Aisyiyah Cahaya Insan Kota Tegal</t>
  </si>
  <si>
    <t>Tegal Timur Kota Tegal</t>
  </si>
  <si>
    <t>Syaiful Arif</t>
  </si>
  <si>
    <t>Ely Nurlistyani</t>
  </si>
  <si>
    <t>085742999942</t>
  </si>
  <si>
    <t>3216211610090001</t>
  </si>
  <si>
    <t>0095508454</t>
  </si>
  <si>
    <t>Bekasi</t>
  </si>
  <si>
    <t>16 Oktober 2009</t>
  </si>
  <si>
    <t>Perum Kota Serang Baru Blok D 36-32 RT 06 RW 16 Sukaragam,Serang Baru,Bekasi,Jawa Barat</t>
  </si>
  <si>
    <t>SDIT As Sabiquun Bekasi</t>
  </si>
  <si>
    <t>Kp. Tonjong Ds. Sukaragam Kec. Serang Baru Bekasi</t>
  </si>
  <si>
    <t>Awaludin</t>
  </si>
  <si>
    <t>Tri Utaminingsih</t>
  </si>
  <si>
    <t>087880298373</t>
  </si>
  <si>
    <t>Pegawai Swasta</t>
  </si>
  <si>
    <t>3328100406100002</t>
  </si>
  <si>
    <t>3107610645</t>
  </si>
  <si>
    <t>4 Juni 2010</t>
  </si>
  <si>
    <t>Kagok RT 03 RW 03,Slawi,Tegal,Jawa Tengah</t>
  </si>
  <si>
    <t>MI Luqman Al Hakim</t>
  </si>
  <si>
    <t>Jl. Gajah Mada 77 Desa Kalisapu Kecamatan Slawi Kabupaten Tegal</t>
  </si>
  <si>
    <t>Suriswo</t>
  </si>
  <si>
    <t>Rochimah</t>
  </si>
  <si>
    <t>085600078377</t>
  </si>
  <si>
    <t>3327080207100005</t>
  </si>
  <si>
    <t>0108180561</t>
  </si>
  <si>
    <t>Pemalang</t>
  </si>
  <si>
    <t>2 Juli 2010</t>
  </si>
  <si>
    <t>Desa Bojongnangka RT 02 RW 04,Pemalang,Pemalang,Jawa Tengah</t>
  </si>
  <si>
    <t>SD Al Irsyad Al Islamiyyah Pemalang</t>
  </si>
  <si>
    <t>Jl. Semeru No. 15 Mulyoharjo Pemalang</t>
  </si>
  <si>
    <t>Dedi Irianto</t>
  </si>
  <si>
    <t>Dwi Nunik Pujowati</t>
  </si>
  <si>
    <t>082322335107</t>
  </si>
  <si>
    <t>3175070309091011</t>
  </si>
  <si>
    <t>0093310219</t>
  </si>
  <si>
    <t>3 September 2009</t>
  </si>
  <si>
    <t>Kav DKI Blok K.13 / 30 - 31 RT 02 RW 09 Pondok Kelapa,Duren Sawit,Jakarta Timur,DKI Jakarta</t>
  </si>
  <si>
    <t>PKBM Karya Manfaat</t>
  </si>
  <si>
    <t>Jl. Mgr. Sugiyopranoto Km. 3 Ngampin Ambarawa Semarang</t>
  </si>
  <si>
    <t xml:space="preserve">Cindristian </t>
  </si>
  <si>
    <t>RA Anisa Lesmana Sari</t>
  </si>
  <si>
    <t>085640006056</t>
  </si>
  <si>
    <t>3328132107090001</t>
  </si>
  <si>
    <t>0094803680</t>
  </si>
  <si>
    <t>Semarang</t>
  </si>
  <si>
    <t>21 Juli 2009</t>
  </si>
  <si>
    <t>RT 01 RW 01 Ketanggungan,Dukuhturi,Tegal,Jawa Tengah</t>
  </si>
  <si>
    <t>SDIT Al Husna Pelemkerep Jepara</t>
  </si>
  <si>
    <t>Gg. Gapura Al Husna Pelemkerep RT 02 RW 03 Mayong Jepara</t>
  </si>
  <si>
    <t>Teguh Sukma Wibowo</t>
  </si>
  <si>
    <t>Inda Wulansari</t>
  </si>
  <si>
    <t>085742930028</t>
  </si>
  <si>
    <t>Dokter/Bidan/Perawat</t>
  </si>
  <si>
    <t>Sudah Meninggal</t>
  </si>
  <si>
    <t>3671042904090001</t>
  </si>
  <si>
    <t>0072116452</t>
  </si>
  <si>
    <t>Tangerang</t>
  </si>
  <si>
    <t>29 April 2009</t>
  </si>
  <si>
    <t>Dusun Kedungglagah RT 15 RW 05 Sumurkidang ,Bantarbolang,Pemalang,Jawa Tengah</t>
  </si>
  <si>
    <t>SDN 01 Sumurkidang</t>
  </si>
  <si>
    <t>Jalan Karangjati Sumurkidang Kec. Bantarbolang Kab. Pemalang</t>
  </si>
  <si>
    <t>Bambang Junaedi</t>
  </si>
  <si>
    <t>Ernawati</t>
  </si>
  <si>
    <t>082326108698</t>
  </si>
  <si>
    <t>Buruh (Tani/Pabrik/Bangunan)</t>
  </si>
  <si>
    <t>3376031409090001</t>
  </si>
  <si>
    <t>2093133217</t>
  </si>
  <si>
    <t>14 September 2009</t>
  </si>
  <si>
    <t>Jl. Dewi Sartika No. 36 RT 02 RW 01 Debong Kulon,Tegal Selatan,Tegal,Jawa Tengah</t>
  </si>
  <si>
    <t>Jeni Arif Suryono</t>
  </si>
  <si>
    <t>Dian Widiyaningrum</t>
  </si>
  <si>
    <t>087746999055</t>
  </si>
  <si>
    <t>3212140805100002</t>
  </si>
  <si>
    <t>0108394948</t>
  </si>
  <si>
    <t>Indramayu</t>
  </si>
  <si>
    <t>8 Mei 2010</t>
  </si>
  <si>
    <t>Taman Puri Cendana Blok B 12 No. 1 RT 11 RW 16 Tridayasakti,Tambun Selatan,Bekasi,Jawa Barat</t>
  </si>
  <si>
    <t>SDIT Nuur 'Alaa Nuur Bekasi</t>
  </si>
  <si>
    <t>Jl. Buwek Jaya No. 2B RT 02 RW 02 Sumber Jaya Kec. Tambun Selatan Bekasi</t>
  </si>
  <si>
    <t>Hadi Ismanto, ST</t>
  </si>
  <si>
    <t>Nurhasanah</t>
  </si>
  <si>
    <t>087888777911</t>
  </si>
  <si>
    <t>3325113001100004</t>
  </si>
  <si>
    <t>0101274663</t>
  </si>
  <si>
    <t>Batang</t>
  </si>
  <si>
    <t>30 Januari 2010</t>
  </si>
  <si>
    <t>Jl. Letejen Suprapto Matangan RT 05 RW 03 Kasepuhan,Batang,Batang,Jawa Tengah</t>
  </si>
  <si>
    <t>SDIH Luqman Al Hakim</t>
  </si>
  <si>
    <t xml:space="preserve">Jalan Tentara Pelajar Gg. Jeruk No. 1 Kalisalak Batang </t>
  </si>
  <si>
    <t>Tri Sapto Aji, SH</t>
  </si>
  <si>
    <t>Nidya Trismiati, SH</t>
  </si>
  <si>
    <t>085201117629</t>
  </si>
  <si>
    <t>3274050810090003</t>
  </si>
  <si>
    <t>0099176823</t>
  </si>
  <si>
    <t>Bogor</t>
  </si>
  <si>
    <t>8 Oktober 2009</t>
  </si>
  <si>
    <t>Jl. Kesambi gg Durian RT 07 RW 08 Drajat ,Kesambi,Cirebon,Jawa Barat</t>
  </si>
  <si>
    <t xml:space="preserve">SDIT Hudzaifah Ibnul Yaman </t>
  </si>
  <si>
    <t>Jl. Luwung Blok Kinaija Kec. Mundu Kab. Cirebon</t>
  </si>
  <si>
    <t xml:space="preserve">Fathul Rahman </t>
  </si>
  <si>
    <t>Rumsiti</t>
  </si>
  <si>
    <t>082319896567</t>
  </si>
  <si>
    <t>3328102106100004</t>
  </si>
  <si>
    <t>3108152118</t>
  </si>
  <si>
    <t>21 Juni 2010</t>
  </si>
  <si>
    <t>Jl. Johar RT 02 RW 03 Kagok,Slawi,Tegal,Jawa Tengah</t>
  </si>
  <si>
    <t>Syaefudin</t>
  </si>
  <si>
    <t>Mega Setyowati</t>
  </si>
  <si>
    <t>085642753803</t>
  </si>
  <si>
    <t>3376030312090001</t>
  </si>
  <si>
    <t>2092390268</t>
  </si>
  <si>
    <t>3 Desember 2009</t>
  </si>
  <si>
    <t>Jl. Mliwis gg. Alap-alap RT 02 RW 06 Pekauman,Tegal Barat,Tegal,Jawa Tengah</t>
  </si>
  <si>
    <t>Ismail</t>
  </si>
  <si>
    <t>Pia Ardila</t>
  </si>
  <si>
    <t>082217817208</t>
  </si>
  <si>
    <t>3328152609090005</t>
  </si>
  <si>
    <t>0094557108</t>
  </si>
  <si>
    <t>26 September 2009</t>
  </si>
  <si>
    <t>Jl. Pala Barat 2A No. 03 RT 02 RW 14 Mejasem Barat,Kramat,Tegal,Jawa Tengah</t>
  </si>
  <si>
    <t>SD Muhammadiyah 1 Kota Tegal</t>
  </si>
  <si>
    <t>Jl. Cempaka 67 Mangkukusuman Tegal Timur Kota Tegal</t>
  </si>
  <si>
    <t>Hadi Riswoyo</t>
  </si>
  <si>
    <t>Susana Maria Della</t>
  </si>
  <si>
    <t>085325852595</t>
  </si>
  <si>
    <t>3328152906100003</t>
  </si>
  <si>
    <t>0109707343</t>
  </si>
  <si>
    <t>29 Juni 2010</t>
  </si>
  <si>
    <t>RT 04 RW 03 Jatilawang,Kramat,Tegal,Jawa Tengah</t>
  </si>
  <si>
    <t>SD Al Irsyad Tegal</t>
  </si>
  <si>
    <t>Jl. Gajah Mada No. 108 Tegal</t>
  </si>
  <si>
    <t>Purwanto</t>
  </si>
  <si>
    <t>Sustiharni</t>
  </si>
  <si>
    <t>085869039758</t>
  </si>
  <si>
    <t>3603182208090007</t>
  </si>
  <si>
    <t>0091809232</t>
  </si>
  <si>
    <t xml:space="preserve">Tangerang </t>
  </si>
  <si>
    <t>22 Agustus 2009</t>
  </si>
  <si>
    <t>Kp. Kadu RT 08 RW 03 Sukamulya,Cikupa,Tangerang Selatan,Banten</t>
  </si>
  <si>
    <t>SD Negeri Cikupa 2</t>
  </si>
  <si>
    <t>Cikupa Kecamatan Cikupa Kabupaten Tangerang Banten</t>
  </si>
  <si>
    <t>Chani Thamani</t>
  </si>
  <si>
    <t>Nurlelasari</t>
  </si>
  <si>
    <t>085736866448</t>
  </si>
  <si>
    <t>3601061604100001</t>
  </si>
  <si>
    <t>0093832752</t>
  </si>
  <si>
    <t>Pandeglang</t>
  </si>
  <si>
    <t>16 April 2010</t>
  </si>
  <si>
    <t>Kp. Kebon RT 03 RW 04 Panimbangjaya,Panimbang,Pandeglang,Banten</t>
  </si>
  <si>
    <t>SDN Panimbangjaya 6</t>
  </si>
  <si>
    <t>Kp. Padahayu Sukajadi Panimbangjaya Pandeglang Banten</t>
  </si>
  <si>
    <t>Zaenudin</t>
  </si>
  <si>
    <t>Umayah Rohmatillah</t>
  </si>
  <si>
    <t>083890407196</t>
  </si>
  <si>
    <t>Pedagang</t>
  </si>
  <si>
    <t>3216070512090003</t>
  </si>
  <si>
    <t>3092551189</t>
  </si>
  <si>
    <t>5 Desember 2009</t>
  </si>
  <si>
    <t>Kartika Wanasari Blok G.1 / 10 RT 01 RW 35 Wanasari,Cibitung,Bekasi,Jawa Barat</t>
  </si>
  <si>
    <t>Suhardi</t>
  </si>
  <si>
    <t>Siti Mardiyah</t>
  </si>
  <si>
    <t>081514669311</t>
  </si>
  <si>
    <t>3175100711090002</t>
  </si>
  <si>
    <t>0097917993</t>
  </si>
  <si>
    <t>Jakarta</t>
  </si>
  <si>
    <t>7 November 2009</t>
  </si>
  <si>
    <t>Jl. Bambu Hitam RT 11 RW 01 Bambu Apus,Cipayung,Jakarta Timur,DKI Jakarta</t>
  </si>
  <si>
    <t>Rabbaniyyun Islamic School Jakarta Timur</t>
  </si>
  <si>
    <t xml:space="preserve">Jl. Asyafi'iyah Gh. H. Mus RT 05 RW 03 Kel. Cilangkap Kec. Cipayung Jakarta Timur </t>
  </si>
  <si>
    <t>Ari Oktavian</t>
  </si>
  <si>
    <t>Sulastri</t>
  </si>
  <si>
    <t>087877447172</t>
  </si>
  <si>
    <t>3674011108100004</t>
  </si>
  <si>
    <t>0103489300</t>
  </si>
  <si>
    <t>Tangerang Selatan</t>
  </si>
  <si>
    <t>11 Agustus 2010</t>
  </si>
  <si>
    <t>Bumi Serpong Residence Blok I-11 RT 02 RW 08 Buaran,Serpong,Tangerang Selatan,Banten</t>
  </si>
  <si>
    <t>SD Negeri 8 Suwawal Mlonggo Jepara</t>
  </si>
  <si>
    <t>Jl. Mambak-Pakis Adhi Km 1,5 Suwawal Mlonggo Jepara</t>
  </si>
  <si>
    <t>Barlianto</t>
  </si>
  <si>
    <t>Yenny Ambar</t>
  </si>
  <si>
    <t>081211044475</t>
  </si>
  <si>
    <t>3329141606100004</t>
  </si>
  <si>
    <t>0103181370</t>
  </si>
  <si>
    <t>16 Juni 2010</t>
  </si>
  <si>
    <t>Karangsari RT 02 RW 02,Bulakamba,Brebes,Jawa Tengah</t>
  </si>
  <si>
    <t>SDN Karangsari 01</t>
  </si>
  <si>
    <t>Jl. Desa 1 Karangsari RT 05 RW 02 Kec. Bulakamba Kab. Brebes</t>
  </si>
  <si>
    <t>Nahdudin</t>
  </si>
  <si>
    <t>Intan Saputri</t>
  </si>
  <si>
    <t>081393867442</t>
  </si>
  <si>
    <t>3378021301100002</t>
  </si>
  <si>
    <t>0108270535</t>
  </si>
  <si>
    <t>13 Januari 2010</t>
  </si>
  <si>
    <t>Jl. Teratai RT 05 RW 02 Mangkukusuman,Tegal Timur,Tegal,Jawa Tengah</t>
  </si>
  <si>
    <t>SD Muhammadiyah Sulang</t>
  </si>
  <si>
    <t>Jl. Raya Sulang No.33 Mejasem Timur Kramat Kab Tegal</t>
  </si>
  <si>
    <t>Hendra Sarwono</t>
  </si>
  <si>
    <t>Eni Khotimah</t>
  </si>
  <si>
    <t>085325289147</t>
  </si>
  <si>
    <t>3327092202090002</t>
  </si>
  <si>
    <t>22 Februari 2009</t>
  </si>
  <si>
    <t>Dusun Cibelok Timur RT 04 RW 02 Cibelok,Taman,Pemalang,Jawa Tengah</t>
  </si>
  <si>
    <t>MSUTQ Riyadhush Shalihin</t>
  </si>
  <si>
    <t>Jl. KH. Ahmad Dahlan Mulyoharjo Pemalang</t>
  </si>
  <si>
    <t>Agus Widodo</t>
  </si>
  <si>
    <t>Eka Ari Widyani</t>
  </si>
  <si>
    <t>082326455836</t>
  </si>
  <si>
    <t>3376020405100002</t>
  </si>
  <si>
    <t>3104088578</t>
  </si>
  <si>
    <t>4 Mei 2010</t>
  </si>
  <si>
    <t>Jl. Bali No. 97 RT 04 RW 11 Mintaragen,Tegal Timur,Tegal,Jawa Tengah</t>
  </si>
  <si>
    <t>MI Al Islamiyah Panggung Kota Tegal</t>
  </si>
  <si>
    <t>Jl. KH. Mukhlas Panggung Kota Tegal</t>
  </si>
  <si>
    <t>Sudirman</t>
  </si>
  <si>
    <t>Riski Amalia</t>
  </si>
  <si>
    <t>087730050074</t>
  </si>
  <si>
    <t>3328162305090002</t>
  </si>
  <si>
    <t>23 Mei 2009</t>
  </si>
  <si>
    <t>Karangmulya RT 01 RW 05,Suradadi ,Tegal,Jawa Tengah</t>
  </si>
  <si>
    <t>Aziz Amirulloh</t>
  </si>
  <si>
    <t>Sri Jayanti</t>
  </si>
  <si>
    <t>081329446066</t>
  </si>
  <si>
    <t>3215050508090002</t>
  </si>
  <si>
    <t>0097605184</t>
  </si>
  <si>
    <t>Karawang</t>
  </si>
  <si>
    <t>5 Agustus 2009</t>
  </si>
  <si>
    <t>Perum Terangsari Blok L9/06 RT 05 RW 07 Cibalongsari,Klari,Karawang,Jawa Barat</t>
  </si>
  <si>
    <t xml:space="preserve">SD Islam Ar Risalah Al Atsari </t>
  </si>
  <si>
    <t>Dusun Serang RT 12 RW 06 Desa Mekarjaya Kec. Purwasari Kab. Karawang</t>
  </si>
  <si>
    <t>Eko Suharto</t>
  </si>
  <si>
    <t>Siti Nina Affina</t>
  </si>
  <si>
    <t>082111018060</t>
  </si>
  <si>
    <t>3329081507100004</t>
  </si>
  <si>
    <t>0104502763</t>
  </si>
  <si>
    <t>15 Juli 2010</t>
  </si>
  <si>
    <t>RT 13 RW 01 Siasem,Wanasari,Brebes,Jawa Tengah</t>
  </si>
  <si>
    <t>SDIT Harapan Umat</t>
  </si>
  <si>
    <t>Jl. Yos Sudarso Pasarbatang Brebes</t>
  </si>
  <si>
    <t>Aris Lukmanto</t>
  </si>
  <si>
    <t>Sri Luwih Handayani</t>
  </si>
  <si>
    <t>081229626510</t>
  </si>
  <si>
    <t>3328100704100007</t>
  </si>
  <si>
    <t>3104724645</t>
  </si>
  <si>
    <t>7 April 2010</t>
  </si>
  <si>
    <t>RT 03 RW 01 Slawi Kulon,Slawi,Tegal,Jawa Tengah</t>
  </si>
  <si>
    <t>Muhammad Chanif</t>
  </si>
  <si>
    <t>Dewi Nur Isnainny</t>
  </si>
  <si>
    <t>082325274909</t>
  </si>
  <si>
    <t>3328102203100001</t>
  </si>
  <si>
    <t>3104238355</t>
  </si>
  <si>
    <t>22 Maret 2010</t>
  </si>
  <si>
    <t>Jl. Johar No. 07 RT 02 RW 04 Ds. Kagok,Slawi,Tegal,Jawa Tengah</t>
  </si>
  <si>
    <t>Bambang Widaryanto</t>
  </si>
  <si>
    <t>Indriani Widiastuti</t>
  </si>
  <si>
    <t>0895338328707</t>
  </si>
  <si>
    <t>3329110311100001</t>
  </si>
  <si>
    <t>0106769535</t>
  </si>
  <si>
    <t>3 November 2010</t>
  </si>
  <si>
    <t>RT 04 RW 03 Kersana,Kersana,Brebes,Jawa Tengah</t>
  </si>
  <si>
    <t>SD Negeri Kersana 04</t>
  </si>
  <si>
    <t>Jl. Apel N0. 8 Kersana</t>
  </si>
  <si>
    <t>Agus Purnomo</t>
  </si>
  <si>
    <t>Muthia Pravita Ranni</t>
  </si>
  <si>
    <t>082313995857</t>
  </si>
  <si>
    <t>3376011905100002</t>
  </si>
  <si>
    <t>0108211102</t>
  </si>
  <si>
    <t>19 Mei 2010</t>
  </si>
  <si>
    <t>Jl Salak Gg. Cerme No. 18 RT 02 RW 02 Keraton,Tegal Barat,Tegal,Jawa Tengah</t>
  </si>
  <si>
    <t>SD Ihsaniyah Gajah Mada Tegal</t>
  </si>
  <si>
    <t>Jl. Gajahmada No. 78 B Pekauman Tegal</t>
  </si>
  <si>
    <t>Tasro</t>
  </si>
  <si>
    <t>Fauziah</t>
  </si>
  <si>
    <t>087869128226</t>
  </si>
  <si>
    <t>3327081602090002</t>
  </si>
  <si>
    <t>092348087</t>
  </si>
  <si>
    <t>16 Februari 2009</t>
  </si>
  <si>
    <t>Jl. Jati IV No. 5 Griya Pelutan Indah RT 01 RW 03 Pelutan,Pemalang,Pemalang,Jawa Tengah</t>
  </si>
  <si>
    <t>Madrasah Salafiyatul Ula Tahfidzul Qur'an Riyadhus Sholihin</t>
  </si>
  <si>
    <t>Daniel Ardiansyah</t>
  </si>
  <si>
    <t>Dewi Suryaningsih</t>
  </si>
  <si>
    <t>087736087717</t>
  </si>
  <si>
    <t>Lainnya</t>
  </si>
  <si>
    <t>3175041312081004</t>
  </si>
  <si>
    <t>0089604062</t>
  </si>
  <si>
    <t>13 Desember 2008</t>
  </si>
  <si>
    <t>AnAK Angkat</t>
  </si>
  <si>
    <t>Jl. Damai RT 03 RW 01 Kelurahan Setu,Cipayung,Jakarta Timur,DKI Jakarta</t>
  </si>
  <si>
    <t>SDN Kalisapu 01</t>
  </si>
  <si>
    <t>Jl. Cut Nyak Dien Kec. Slawi Kab. Tegal</t>
  </si>
  <si>
    <t>Untung Rahardjo Supaat</t>
  </si>
  <si>
    <t>081282066277</t>
  </si>
  <si>
    <t xml:space="preserve">  </t>
  </si>
  <si>
    <t>,,,</t>
  </si>
  <si>
    <t>3328131704100009</t>
  </si>
  <si>
    <t>2108953053</t>
  </si>
  <si>
    <t>17 April 2010</t>
  </si>
  <si>
    <t>RT 02 RW 02 Kademangaran,Dukuhturi,Tegal,Jawa Tengah</t>
  </si>
  <si>
    <t>Rizal Budiman</t>
  </si>
  <si>
    <t>Robiatul Adawiyah</t>
  </si>
  <si>
    <t>081807251230</t>
  </si>
  <si>
    <t>3328130309090001</t>
  </si>
  <si>
    <t>2092448773</t>
  </si>
  <si>
    <t>RT 05 RW 01 Debong Wetan,Dukuhturi,Tegal,Jawa Tengah</t>
  </si>
  <si>
    <t>Nursidik</t>
  </si>
  <si>
    <t>Kusriyati</t>
  </si>
  <si>
    <t>085290407295</t>
  </si>
  <si>
    <t>'3328132301100003</t>
  </si>
  <si>
    <t>0104502132</t>
  </si>
  <si>
    <t>23 Januari 2010</t>
  </si>
  <si>
    <t>RT 03 RW 02 Kademangaran,Dukuhturi,Tegal,Jawa Tengah</t>
  </si>
  <si>
    <t>SDN Kademangaran 01</t>
  </si>
  <si>
    <t>Desa Kademangaran RT 05 RW 01  Kec. Dukuhturi Kab. Tegal</t>
  </si>
  <si>
    <t>Akhmad Feri Aruna</t>
  </si>
  <si>
    <t>Inda Setiawati</t>
  </si>
  <si>
    <t>085329982896</t>
  </si>
  <si>
    <t>3329091202100004</t>
  </si>
  <si>
    <t>3106875882</t>
  </si>
  <si>
    <t>12 Februari 2010</t>
  </si>
  <si>
    <t>Jl. Wahid Hasyim No. 14 RT 05 RW 09 Kelurahan Brebes,Brebes,Brebes,Jawa Tengah</t>
  </si>
  <si>
    <t>MIN 6 Brebes</t>
  </si>
  <si>
    <t>Jl. HOS Cokroaminoto No. 20 Kecamatan Brebes</t>
  </si>
  <si>
    <t>Salim Ali Seff</t>
  </si>
  <si>
    <t>Mufidah</t>
  </si>
  <si>
    <t>081803999995</t>
  </si>
  <si>
    <t>3216062104100008</t>
  </si>
  <si>
    <t>0107641271</t>
  </si>
  <si>
    <t>21 April 2010</t>
  </si>
  <si>
    <t>Taman Puri Cendana Blok D8 No. 10 RT 05 RW 16 Tridayasakti Kecamatan Tambun Selatan Bekasi,Tambun Selatan,Bekasi ,Jawa Barat</t>
  </si>
  <si>
    <t>SDIT Baitul 'Ilmi</t>
  </si>
  <si>
    <t>Jl UtamaPerum Yapemas Indah Kp. Kebon RT 01 RW 01 Jejalen Jaya Tambun Utara Bekasi</t>
  </si>
  <si>
    <t>Isnaeni Sarwiyono</t>
  </si>
  <si>
    <t>Melania Susanti</t>
  </si>
  <si>
    <t>081808795445</t>
  </si>
  <si>
    <t>3216070608090005</t>
  </si>
  <si>
    <t>0092716031</t>
  </si>
  <si>
    <t>6 Agustus 2009</t>
  </si>
  <si>
    <t>Villa Mutiara Wanasari Blok L 19/39 Rt 06 Rw 34 Wanasari,Cibitung,Bekasi,Jawa Barat</t>
  </si>
  <si>
    <t>SD Islam Istiqlal</t>
  </si>
  <si>
    <t>Kp. Pulo Rt. 04/36 Sumber Jaya Kec. Tambun Selatan</t>
  </si>
  <si>
    <t>Erwin Iskandar</t>
  </si>
  <si>
    <t>Elin Karliati</t>
  </si>
  <si>
    <t>085223340678</t>
  </si>
  <si>
    <t>0259</t>
  </si>
  <si>
    <t>0260</t>
  </si>
  <si>
    <t>0273</t>
  </si>
  <si>
    <t>0261</t>
  </si>
  <si>
    <t>0280</t>
  </si>
  <si>
    <t>0281</t>
  </si>
  <si>
    <t>0267</t>
  </si>
  <si>
    <t>0286</t>
  </si>
  <si>
    <t>0274</t>
  </si>
  <si>
    <t>0297</t>
  </si>
  <si>
    <t>0276</t>
  </si>
  <si>
    <t>0262</t>
  </si>
  <si>
    <t>0293</t>
  </si>
  <si>
    <t>0299</t>
  </si>
  <si>
    <t>0294</t>
  </si>
  <si>
    <t>0268</t>
  </si>
  <si>
    <t>0284</t>
  </si>
  <si>
    <t>0305</t>
  </si>
  <si>
    <t>0269</t>
  </si>
  <si>
    <t>0303</t>
  </si>
  <si>
    <t>0295</t>
  </si>
  <si>
    <t>0302</t>
  </si>
  <si>
    <t>0263</t>
  </si>
  <si>
    <t>0277</t>
  </si>
  <si>
    <t>0298</t>
  </si>
  <si>
    <t>0279</t>
  </si>
  <si>
    <t>0282</t>
  </si>
  <si>
    <t>0292</t>
  </si>
  <si>
    <t>0264</t>
  </si>
  <si>
    <t>0301</t>
  </si>
  <si>
    <t>0265</t>
  </si>
  <si>
    <t>0291</t>
  </si>
  <si>
    <t>0290</t>
  </si>
  <si>
    <t>0285</t>
  </si>
  <si>
    <t>0270</t>
  </si>
  <si>
    <t>0296</t>
  </si>
  <si>
    <t>0278</t>
  </si>
  <si>
    <t>0300</t>
  </si>
  <si>
    <t>0271</t>
  </si>
  <si>
    <t>0272</t>
  </si>
  <si>
    <t>0304</t>
  </si>
  <si>
    <t>0288</t>
  </si>
  <si>
    <t>0266</t>
  </si>
  <si>
    <t>0275</t>
  </si>
  <si>
    <t>11.2022.0259</t>
  </si>
  <si>
    <t>11.2022.0260</t>
  </si>
  <si>
    <t>11.2022.0273</t>
  </si>
  <si>
    <t>11.2022.0261</t>
  </si>
  <si>
    <t>11.2022.0280</t>
  </si>
  <si>
    <t>11.2022.0281</t>
  </si>
  <si>
    <t>11.2022.0267</t>
  </si>
  <si>
    <t>11.2022.0286</t>
  </si>
  <si>
    <t>11.2022.0274</t>
  </si>
  <si>
    <t>11.2022.0297</t>
  </si>
  <si>
    <t>11.2022.0276</t>
  </si>
  <si>
    <t>11.2022.0262</t>
  </si>
  <si>
    <t>11.2022.0293</t>
  </si>
  <si>
    <t>11.2022.0299</t>
  </si>
  <si>
    <t>11.2022.0294</t>
  </si>
  <si>
    <t>11.2022.0268</t>
  </si>
  <si>
    <t>11.2022.0284</t>
  </si>
  <si>
    <t>11.2022.0305</t>
  </si>
  <si>
    <t>11.2022.0269</t>
  </si>
  <si>
    <t>11.2022.0303</t>
  </si>
  <si>
    <t>11.2022.0295</t>
  </si>
  <si>
    <t>11.2022.0302</t>
  </si>
  <si>
    <t>11.2022.0263</t>
  </si>
  <si>
    <t>11.2022.0277</t>
  </si>
  <si>
    <t>11.2022.0298</t>
  </si>
  <si>
    <t>11.2022.0279</t>
  </si>
  <si>
    <t>11.2022.0282</t>
  </si>
  <si>
    <t>11.2022.0292</t>
  </si>
  <si>
    <t>11.2022.0264</t>
  </si>
  <si>
    <t>11.2022.0301</t>
  </si>
  <si>
    <t>11.2022.0265</t>
  </si>
  <si>
    <t>11.2022.0291</t>
  </si>
  <si>
    <t>11.2022.0290</t>
  </si>
  <si>
    <t>11.2022.0285</t>
  </si>
  <si>
    <t>11.2022.0270</t>
  </si>
  <si>
    <t>11.2022.0296</t>
  </si>
  <si>
    <t>11.2022.0278</t>
  </si>
  <si>
    <t>11.2022.0300</t>
  </si>
  <si>
    <t>11.2022.</t>
  </si>
  <si>
    <t>11.2022.0271</t>
  </si>
  <si>
    <t>11.2022.0272</t>
  </si>
  <si>
    <t>11.2022.0304</t>
  </si>
  <si>
    <t>11.2022.0288</t>
  </si>
  <si>
    <t>11.2022.0266</t>
  </si>
  <si>
    <t>11.2022.0275</t>
  </si>
  <si>
    <t>0094647128</t>
  </si>
  <si>
    <t>0099353117</t>
  </si>
  <si>
    <t>Hormat</t>
  </si>
  <si>
    <t>Entrepreneur</t>
  </si>
  <si>
    <t>الإحترام</t>
  </si>
  <si>
    <t>Taekwondo</t>
  </si>
  <si>
    <t>ID (identitas unik)</t>
  </si>
  <si>
    <t>Nomor Induk Siswa</t>
  </si>
  <si>
    <t>Nama Lengkap</t>
  </si>
  <si>
    <t>ID Kelas</t>
  </si>
  <si>
    <t>Tempat Lahir</t>
  </si>
  <si>
    <t>Tanggal Lahir</t>
  </si>
  <si>
    <t>Nama Orang Tua</t>
  </si>
  <si>
    <t>Nomor Telepon</t>
  </si>
  <si>
    <t>Status Aktif</t>
  </si>
  <si>
    <t>Tanggal Dibuat</t>
  </si>
  <si>
    <t>Tanggal Diperbarui</t>
  </si>
  <si>
    <t>Nomor Induk Kependudukan</t>
  </si>
  <si>
    <t>Nomor Induk PKBM</t>
  </si>
  <si>
    <t>Nomor Induk Pondok</t>
  </si>
  <si>
    <t>Nomor Induk Siswa Nasional</t>
  </si>
  <si>
    <t>Anak Ke-</t>
  </si>
  <si>
    <t>Status Keluarga</t>
  </si>
  <si>
    <t>Kelas Saat Masuk</t>
  </si>
  <si>
    <t>Tanggal Masuk</t>
  </si>
  <si>
    <t>Semester Masuk</t>
  </si>
  <si>
    <t>Nama Sekolah Sebelumnya</t>
  </si>
  <si>
    <t>Alamat Sekolah Sebelumnya</t>
  </si>
  <si>
    <t>Jenis Ijazah</t>
  </si>
  <si>
    <t>Tahun Ijazah</t>
  </si>
  <si>
    <t>Nomor Ijazah</t>
  </si>
  <si>
    <t>Nama Ayah</t>
  </si>
  <si>
    <t>Nama Ibu</t>
  </si>
  <si>
    <t>Alamat Orang Tua</t>
  </si>
  <si>
    <t>Nomor Telepon Orang Tua</t>
  </si>
  <si>
    <t>Pekerjaan Ayah</t>
  </si>
  <si>
    <t>Pekerjaan Ibu</t>
  </si>
  <si>
    <t>Nama Wali</t>
  </si>
  <si>
    <t>Alamat Wali</t>
  </si>
  <si>
    <t>Nomor Telepon Wali</t>
  </si>
  <si>
    <t>Pekerjaan Wali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</si>
</sst>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421]dd\ mmmm\ yyyy;@"/>
    <numFmt numFmtId="165" formatCode="0;\-0;;@"/>
    <numFmt numFmtId="166" formatCode="0.0"/>
    <numFmt numFmtId="167" formatCode="dd/mm/yyyy;@"/>
    <numFmt numFmtId="168" formatCode="[$-F800]dddd\,\ mmmm\ dd\,\ yyyy"/>
    <numFmt numFmtId="169" formatCode="[$-2000000]0"/>
    <numFmt numFmtId="170" formatCode="[$-2000000]00"/>
    <numFmt numFmtId="171" formatCode="[$-2000000]00.0"/>
  </numFmts>
  <fonts count="86" x14ac:knownFonts="1">
    <font>
      <sz val="11"/>
      <color theme="1"/>
      <name val="Calibri"/>
      <family val="2"/>
      <scheme val="minor"/>
    </font>
    <font>
      <sz val="12"/>
      <color theme="1"/>
      <name val="Calibri"/>
      <family val="2"/>
      <scheme val="minor"/>
    </font>
    <font>
      <sz val="14"/>
      <color theme="1"/>
      <name val="Belwe Cn BT"/>
      <family val="1"/>
    </font>
    <font>
      <b/>
      <sz val="11"/>
      <color theme="0"/>
      <name val="Calibri"/>
      <family val="2"/>
      <scheme val="minor"/>
    </font>
    <font>
      <u/>
      <sz val="11"/>
      <color theme="10"/>
      <name val="Calibri"/>
      <family val="2"/>
      <scheme val="minor"/>
    </font>
    <font>
      <b/>
      <sz val="12"/>
      <color theme="1"/>
      <name val="Calibri"/>
      <family val="2"/>
      <scheme val="minor"/>
    </font>
    <font>
      <b/>
      <sz val="12"/>
      <color theme="0"/>
      <name val="Calibri"/>
      <family val="2"/>
      <scheme val="minor"/>
    </font>
    <font>
      <u/>
      <sz val="12"/>
      <color theme="10"/>
      <name val="Calibri"/>
      <family val="2"/>
      <scheme val="minor"/>
    </font>
    <font>
      <sz val="12"/>
      <color theme="0"/>
      <name val="Calibri"/>
      <family val="2"/>
      <scheme val="minor"/>
    </font>
    <font>
      <sz val="12"/>
      <color theme="1"/>
      <name val="Calibri"/>
      <family val="2"/>
      <charset val="1"/>
      <scheme val="minor"/>
    </font>
    <font>
      <sz val="10"/>
      <name val="Arial"/>
      <family val="2"/>
    </font>
    <font>
      <sz val="12"/>
      <name val="Calibri"/>
      <family val="2"/>
      <charset val="1"/>
      <scheme val="minor"/>
    </font>
    <font>
      <b/>
      <sz val="11"/>
      <color theme="1"/>
      <name val="Calibri"/>
      <family val="2"/>
      <scheme val="minor"/>
    </font>
    <font>
      <b/>
      <sz val="11"/>
      <name val="Calibri"/>
      <family val="2"/>
      <scheme val="minor"/>
    </font>
    <font>
      <sz val="10"/>
      <name val="Calibri"/>
      <family val="2"/>
      <scheme val="minor"/>
    </font>
    <font>
      <sz val="16"/>
      <color theme="1"/>
      <name val="Calibri"/>
      <family val="2"/>
      <scheme val="minor"/>
    </font>
    <font>
      <b/>
      <sz val="18"/>
      <color theme="1"/>
      <name val="Calibri"/>
      <family val="2"/>
      <scheme val="minor"/>
    </font>
    <font>
      <b/>
      <sz val="20"/>
      <color theme="1"/>
      <name val="Arial Narrow"/>
      <family val="2"/>
    </font>
    <font>
      <b/>
      <sz val="20"/>
      <color theme="1"/>
      <name val="Arial Black"/>
      <family val="2"/>
    </font>
    <font>
      <sz val="18"/>
      <color theme="1"/>
      <name val="Arial Black"/>
      <family val="2"/>
    </font>
    <font>
      <i/>
      <sz val="14"/>
      <color theme="1"/>
      <name val="Calibri"/>
      <family val="2"/>
      <scheme val="minor"/>
    </font>
    <font>
      <b/>
      <sz val="28"/>
      <color theme="1"/>
      <name val="Calibri"/>
      <family val="2"/>
      <scheme val="minor"/>
    </font>
    <font>
      <b/>
      <sz val="36"/>
      <color theme="1"/>
      <name val="Calibri"/>
      <family val="2"/>
      <scheme val="minor"/>
    </font>
    <font>
      <b/>
      <sz val="36"/>
      <color theme="1"/>
      <name val="Geometr706 BlkCn BT"/>
      <family val="2"/>
    </font>
    <font>
      <sz val="11"/>
      <color rgb="FF000000"/>
      <name val="Calibri"/>
      <family val="2"/>
      <scheme val="minor"/>
    </font>
    <font>
      <sz val="9"/>
      <color theme="1"/>
      <name val="Calibri"/>
      <family val="2"/>
      <scheme val="minor"/>
    </font>
    <font>
      <b/>
      <sz val="10"/>
      <color theme="1"/>
      <name val="Calibri"/>
      <family val="2"/>
      <scheme val="minor"/>
    </font>
    <font>
      <b/>
      <sz val="16"/>
      <color theme="1"/>
      <name val="ae_AlMateen"/>
      <family val="1"/>
    </font>
    <font>
      <b/>
      <sz val="9"/>
      <color theme="1"/>
      <name val="Calibri"/>
      <family val="2"/>
      <scheme val="minor"/>
    </font>
    <font>
      <b/>
      <sz val="16"/>
      <color theme="1"/>
      <name val="Calibri"/>
      <family val="2"/>
      <scheme val="minor"/>
    </font>
    <font>
      <sz val="22"/>
      <color theme="1"/>
      <name val="Calibri"/>
      <family val="2"/>
      <scheme val="minor"/>
    </font>
    <font>
      <b/>
      <sz val="9"/>
      <color theme="1"/>
      <name val="Arial Narrow"/>
      <family val="2"/>
    </font>
    <font>
      <i/>
      <sz val="11"/>
      <color theme="1"/>
      <name val="Calibri"/>
      <family val="2"/>
      <scheme val="minor"/>
    </font>
    <font>
      <b/>
      <sz val="12"/>
      <color theme="1"/>
      <name val="Bodoni MT"/>
      <family val="1"/>
    </font>
    <font>
      <sz val="14"/>
      <color theme="1"/>
      <name val="Arial Black"/>
      <family val="2"/>
    </font>
    <font>
      <i/>
      <sz val="13"/>
      <color theme="1"/>
      <name val="Calibri"/>
      <family val="2"/>
      <scheme val="minor"/>
    </font>
    <font>
      <b/>
      <sz val="24"/>
      <color theme="1"/>
      <name val="Bookman Old Style"/>
      <family val="1"/>
    </font>
    <font>
      <b/>
      <sz val="17"/>
      <color theme="1"/>
      <name val="Calibri"/>
      <family val="2"/>
      <scheme val="minor"/>
    </font>
    <font>
      <sz val="12"/>
      <color rgb="FF7030A0"/>
      <name val="Calibri"/>
      <family val="2"/>
      <scheme val="minor"/>
    </font>
    <font>
      <b/>
      <sz val="18"/>
      <color theme="1"/>
      <name val="ae_AlMateen"/>
      <family val="1"/>
    </font>
    <font>
      <sz val="11"/>
      <color theme="1"/>
      <name val="Times New Roman"/>
      <family val="1"/>
    </font>
    <font>
      <sz val="12"/>
      <color theme="1"/>
      <name val="Times New Roman"/>
      <family val="1"/>
    </font>
    <font>
      <b/>
      <sz val="12"/>
      <color theme="1"/>
      <name val="Times New Roman"/>
      <family val="1"/>
    </font>
    <font>
      <b/>
      <sz val="10"/>
      <color theme="1"/>
      <name val="Times New Roman"/>
      <family val="1"/>
    </font>
    <font>
      <sz val="10"/>
      <color theme="1"/>
      <name val="Times New Roman"/>
      <family val="1"/>
    </font>
    <font>
      <b/>
      <sz val="11"/>
      <color theme="1"/>
      <name val="Times New Roman"/>
      <family val="1"/>
    </font>
    <font>
      <b/>
      <i/>
      <sz val="11"/>
      <color theme="1"/>
      <name val="Times New Roman"/>
      <family val="1"/>
    </font>
    <font>
      <b/>
      <i/>
      <sz val="10"/>
      <color theme="1"/>
      <name val="Times New Roman"/>
      <family val="1"/>
    </font>
    <font>
      <i/>
      <sz val="10"/>
      <color theme="1"/>
      <name val="Times New Roman"/>
      <family val="1"/>
    </font>
    <font>
      <i/>
      <sz val="9.5"/>
      <color theme="1"/>
      <name val="Times New Roman"/>
      <family val="1"/>
    </font>
    <font>
      <i/>
      <sz val="11"/>
      <color theme="1"/>
      <name val="Times New Roman"/>
      <family val="1"/>
    </font>
    <font>
      <b/>
      <sz val="10.5"/>
      <color theme="1"/>
      <name val="Calibri"/>
      <family val="2"/>
      <scheme val="minor"/>
    </font>
    <font>
      <sz val="13"/>
      <color theme="1"/>
      <name val="Calibri"/>
      <family val="2"/>
      <scheme val="minor"/>
    </font>
    <font>
      <sz val="14"/>
      <color theme="1"/>
      <name val="Calibri"/>
      <family val="2"/>
      <scheme val="minor"/>
    </font>
    <font>
      <b/>
      <sz val="17"/>
      <color theme="1"/>
      <name val="Arial Narrow"/>
      <family val="2"/>
    </font>
    <font>
      <sz val="11"/>
      <name val="Calibri"/>
      <family val="2"/>
      <charset val="1"/>
      <scheme val="minor"/>
    </font>
    <font>
      <sz val="14"/>
      <color theme="1"/>
      <name val="Traditional Arabic"/>
      <family val="1"/>
    </font>
    <font>
      <b/>
      <sz val="9"/>
      <color theme="1"/>
      <name val="Times New Roman"/>
      <family val="1"/>
    </font>
    <font>
      <sz val="10"/>
      <color theme="1"/>
      <name val="Calibri"/>
      <family val="2"/>
      <scheme val="minor"/>
    </font>
    <font>
      <b/>
      <sz val="8"/>
      <color theme="1"/>
      <name val="Times New Roman"/>
      <family val="1"/>
    </font>
    <font>
      <b/>
      <sz val="10"/>
      <color theme="1"/>
      <name val="Traditional Arabic"/>
      <family val="1"/>
    </font>
    <font>
      <sz val="14"/>
      <color theme="1"/>
      <name val="Amiri Quran"/>
      <charset val="178"/>
    </font>
    <font>
      <b/>
      <sz val="10.5"/>
      <color theme="1"/>
      <name val="Times New Roman"/>
      <family val="1"/>
    </font>
    <font>
      <sz val="10.5"/>
      <color theme="1"/>
      <name val="Calibri"/>
      <family val="2"/>
      <scheme val="minor"/>
    </font>
    <font>
      <b/>
      <i/>
      <u/>
      <sz val="11"/>
      <color theme="1"/>
      <name val="Times New Roman"/>
      <family val="1"/>
    </font>
    <font>
      <b/>
      <i/>
      <sz val="11"/>
      <color theme="1"/>
      <name val="Calibri"/>
      <family val="2"/>
      <scheme val="minor"/>
    </font>
    <font>
      <sz val="9.5"/>
      <color theme="1"/>
      <name val="Times New Roman"/>
      <family val="1"/>
    </font>
    <font>
      <sz val="12"/>
      <color rgb="FF000000"/>
      <name val="Calibri"/>
      <family val="2"/>
    </font>
    <font>
      <sz val="9"/>
      <color theme="1"/>
      <name val="Times New Roman"/>
      <family val="1"/>
    </font>
    <font>
      <sz val="11"/>
      <color rgb="FFFF0000"/>
      <name val="Calibri"/>
      <family val="2"/>
      <scheme val="minor"/>
    </font>
    <font>
      <sz val="10"/>
      <color rgb="FF000000"/>
      <name val="Arial"/>
      <family val="2"/>
    </font>
    <font>
      <sz val="10"/>
      <color rgb="FF000000"/>
      <name val="Calibri"/>
      <family val="2"/>
      <scheme val="minor"/>
    </font>
    <font>
      <sz val="10"/>
      <color rgb="FFFF0000"/>
      <name val="Calibri"/>
      <family val="2"/>
      <scheme val="minor"/>
    </font>
    <font>
      <sz val="12"/>
      <color rgb="FFFF0000"/>
      <name val="Calibri"/>
      <family val="2"/>
    </font>
    <font>
      <sz val="12"/>
      <color rgb="FF000000"/>
      <name val="Arial"/>
      <family val="2"/>
    </font>
    <font>
      <sz val="10"/>
      <color rgb="FFFF0000"/>
      <name val="Arial"/>
      <family val="2"/>
    </font>
    <font>
      <sz val="10"/>
      <color theme="1"/>
      <name val="Arial"/>
      <family val="2"/>
    </font>
    <font>
      <b/>
      <sz val="10"/>
      <name val="Times New Roman"/>
      <family val="1"/>
    </font>
    <font>
      <b/>
      <sz val="10.5"/>
      <name val="Times New Roman"/>
      <family val="1"/>
    </font>
    <font>
      <sz val="10.5"/>
      <name val="Calibri"/>
      <family val="2"/>
      <scheme val="minor"/>
    </font>
    <font>
      <b/>
      <sz val="10.5"/>
      <color theme="0"/>
      <name val="Times New Roman"/>
      <family val="1"/>
    </font>
    <font>
      <sz val="12"/>
      <color rgb="FF000000"/>
      <name val="Calibri"/>
      <family val="2"/>
      <scheme val="minor"/>
    </font>
    <font>
      <sz val="12"/>
      <color rgb="FF000000"/>
      <name val="Calibri Light"/>
      <family val="2"/>
      <scheme val="major"/>
    </font>
    <font>
      <b/>
      <sz val="12"/>
      <color rgb="FF000000"/>
      <name val="Calibri Light"/>
      <family val="2"/>
      <scheme val="major"/>
    </font>
    <font>
      <b/>
      <sz val="18"/>
      <color theme="1"/>
      <name val="Traditional Arabic"/>
      <family val="1"/>
    </font>
    <font>
      <b/>
      <sz val="10"/>
      <color theme="1"/>
      <name val="Times New Roman"/>
      <family val="2"/>
    </font>
  </fonts>
  <fills count="2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3" tint="0.79995117038483843"/>
        <bgColor indexed="64"/>
      </patternFill>
    </fill>
    <fill>
      <patternFill patternType="solid">
        <fgColor rgb="FFFFC000"/>
        <bgColor indexed="64"/>
      </patternFill>
    </fill>
    <fill>
      <patternFill patternType="solid">
        <fgColor theme="5" tint="0.79998168889431442"/>
        <bgColor indexed="64"/>
      </patternFill>
    </fill>
    <fill>
      <patternFill patternType="solid">
        <fgColor rgb="FF0070C0"/>
        <bgColor indexed="64"/>
      </patternFill>
    </fill>
    <fill>
      <patternFill patternType="solid">
        <fgColor rgb="FF92D050"/>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F00FF"/>
        <bgColor indexed="64"/>
      </patternFill>
    </fill>
    <fill>
      <patternFill patternType="solid">
        <fgColor theme="8" tint="0.39997558519241921"/>
        <bgColor indexed="64"/>
      </patternFill>
    </fill>
    <fill>
      <patternFill patternType="solid">
        <fgColor theme="4"/>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rgb="FFFF9900"/>
        <bgColor indexed="64"/>
      </patternFill>
    </fill>
    <fill>
      <patternFill patternType="solid">
        <fgColor rgb="FFFFFFFF"/>
        <bgColor indexed="64"/>
      </patternFill>
    </fill>
    <fill>
      <patternFill patternType="solid">
        <fgColor rgb="FFB7E1CD"/>
        <bgColor indexed="64"/>
      </patternFill>
    </fill>
    <fill>
      <patternFill patternType="solid">
        <fgColor rgb="FFFFFFFF"/>
        <bgColor rgb="FFFFFFFF"/>
      </patternFill>
    </fill>
  </fills>
  <borders count="39">
    <border>
      <left/>
      <right/>
      <top/>
      <bottom/>
      <diagonal/>
    </border>
    <border>
      <left/>
      <right/>
      <top/>
      <bottom style="dotted">
        <color theme="3" tint="0.39994506668294322"/>
      </bottom>
      <diagonal/>
    </border>
    <border>
      <left/>
      <right/>
      <top/>
      <bottom style="dashed">
        <color auto="1"/>
      </bottom>
      <diagonal/>
    </border>
    <border>
      <left/>
      <right/>
      <top style="dotted">
        <color theme="3" tint="0.39994506668294322"/>
      </top>
      <bottom style="dotted">
        <color theme="3" tint="0.39994506668294322"/>
      </bottom>
      <diagonal/>
    </border>
    <border>
      <left/>
      <right/>
      <top style="dashed">
        <color auto="1"/>
      </top>
      <bottom style="dashed">
        <color auto="1"/>
      </bottom>
      <diagonal/>
    </border>
    <border>
      <left/>
      <right style="dotted">
        <color theme="0"/>
      </right>
      <top style="dotted">
        <color theme="0"/>
      </top>
      <bottom style="dotted">
        <color theme="0"/>
      </bottom>
      <diagonal/>
    </border>
    <border>
      <left style="dotted">
        <color theme="0"/>
      </left>
      <right style="dotted">
        <color theme="0"/>
      </right>
      <top style="dotted">
        <color theme="0"/>
      </top>
      <bottom style="dotted">
        <color theme="0"/>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style="double">
        <color auto="1"/>
      </left>
      <right/>
      <top style="double">
        <color auto="1"/>
      </top>
      <bottom style="double">
        <color auto="1"/>
      </bottom>
      <diagonal/>
    </border>
    <border>
      <left/>
      <right/>
      <top style="double">
        <color auto="1"/>
      </top>
      <bottom style="double">
        <color auto="1"/>
      </bottom>
      <diagonal/>
    </border>
    <border>
      <left style="dotted">
        <color theme="0"/>
      </left>
      <right/>
      <top style="dashed">
        <color auto="1"/>
      </top>
      <bottom style="dotted">
        <color theme="0"/>
      </bottom>
      <diagonal/>
    </border>
    <border>
      <left/>
      <right/>
      <top style="dashed">
        <color auto="1"/>
      </top>
      <bottom style="dotted">
        <color theme="0"/>
      </bottom>
      <diagonal/>
    </border>
    <border>
      <left style="dashed">
        <color auto="1"/>
      </left>
      <right/>
      <top style="dotted">
        <color theme="0"/>
      </top>
      <bottom style="dashed">
        <color auto="1"/>
      </bottom>
      <diagonal/>
    </border>
    <border>
      <left/>
      <right/>
      <top style="dotted">
        <color theme="0"/>
      </top>
      <bottom style="dashed">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auto="1"/>
      </bottom>
      <diagonal/>
    </border>
    <border>
      <left style="thin">
        <color auto="1"/>
      </left>
      <right/>
      <top style="thin">
        <color auto="1"/>
      </top>
      <bottom/>
      <diagonal/>
    </border>
    <border>
      <left/>
      <right/>
      <top style="thin">
        <color indexed="64"/>
      </top>
      <bottom/>
      <diagonal/>
    </border>
    <border>
      <left style="thin">
        <color indexed="64"/>
      </left>
      <right/>
      <top/>
      <bottom style="thin">
        <color indexed="64"/>
      </bottom>
      <diagonal/>
    </border>
    <border>
      <left/>
      <right/>
      <top/>
      <bottom style="hair">
        <color auto="1"/>
      </bottom>
      <diagonal/>
    </border>
    <border>
      <left/>
      <right/>
      <top style="hair">
        <color auto="1"/>
      </top>
      <bottom/>
      <diagonal/>
    </border>
    <border>
      <left/>
      <right/>
      <top style="hair">
        <color auto="1"/>
      </top>
      <bottom style="hair">
        <color auto="1"/>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s>
  <cellStyleXfs count="3">
    <xf numFmtId="0" fontId="0" fillId="0" borderId="0"/>
    <xf numFmtId="0" fontId="4" fillId="0" borderId="0" applyNumberFormat="0" applyFill="0" applyBorder="0" applyAlignment="0" applyProtection="0"/>
    <xf numFmtId="0" fontId="10" fillId="0" borderId="0"/>
  </cellStyleXfs>
  <cellXfs count="762">
    <xf numFmtId="0" fontId="0" fillId="0" borderId="0" xfId="0"/>
    <xf numFmtId="0" fontId="5" fillId="3" borderId="2" xfId="0" applyFont="1" applyFill="1" applyBorder="1" applyProtection="1">
      <protection locked="0"/>
    </xf>
    <xf numFmtId="0" fontId="1" fillId="3" borderId="2" xfId="0" applyFont="1" applyFill="1" applyBorder="1" applyProtection="1">
      <protection locked="0"/>
    </xf>
    <xf numFmtId="0" fontId="1" fillId="3" borderId="0" xfId="0" applyFont="1" applyFill="1" applyProtection="1">
      <protection locked="0"/>
    </xf>
    <xf numFmtId="1" fontId="1" fillId="3" borderId="4" xfId="0" applyNumberFormat="1" applyFont="1" applyFill="1" applyBorder="1" applyAlignment="1" applyProtection="1">
      <alignment horizontal="left"/>
      <protection locked="0"/>
    </xf>
    <xf numFmtId="0" fontId="1" fillId="3" borderId="4" xfId="0" applyFont="1" applyFill="1" applyBorder="1" applyProtection="1">
      <protection locked="0"/>
    </xf>
    <xf numFmtId="0" fontId="1" fillId="3" borderId="4" xfId="0" applyFont="1" applyFill="1" applyBorder="1" applyAlignment="1" applyProtection="1">
      <alignment horizontal="right"/>
      <protection locked="0"/>
    </xf>
    <xf numFmtId="0" fontId="1" fillId="3" borderId="4" xfId="0" applyFont="1" applyFill="1" applyBorder="1" applyAlignment="1" applyProtection="1">
      <alignment horizontal="left"/>
      <protection locked="0"/>
    </xf>
    <xf numFmtId="0" fontId="1" fillId="3" borderId="4" xfId="0" applyFont="1" applyFill="1" applyBorder="1" applyAlignment="1" applyProtection="1">
      <alignment horizontal="center"/>
      <protection locked="0"/>
    </xf>
    <xf numFmtId="0" fontId="7" fillId="3" borderId="4" xfId="1" applyFont="1" applyFill="1" applyBorder="1" applyAlignment="1" applyProtection="1">
      <alignment horizontal="left"/>
      <protection locked="0"/>
    </xf>
    <xf numFmtId="0" fontId="1"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1" fillId="4" borderId="7" xfId="0" quotePrefix="1" applyFont="1" applyFill="1" applyBorder="1" applyAlignment="1" applyProtection="1">
      <alignment horizontal="center"/>
      <protection locked="0"/>
    </xf>
    <xf numFmtId="0" fontId="1" fillId="0" borderId="0" xfId="0" applyFont="1" applyAlignment="1">
      <alignment horizontal="center"/>
    </xf>
    <xf numFmtId="0" fontId="1" fillId="0" borderId="0" xfId="0" applyFont="1"/>
    <xf numFmtId="0" fontId="0" fillId="6" borderId="0" xfId="0" applyFill="1" applyAlignment="1" applyProtection="1">
      <alignment horizontal="center" vertical="center"/>
    </xf>
    <xf numFmtId="0" fontId="11" fillId="0" borderId="16" xfId="2" applyFont="1" applyBorder="1" applyAlignment="1" applyProtection="1">
      <alignment horizontal="center" vertical="center"/>
      <protection locked="0"/>
    </xf>
    <xf numFmtId="0" fontId="0" fillId="0" borderId="0" xfId="0" applyAlignment="1" applyProtection="1">
      <alignment horizontal="center" vertical="center"/>
    </xf>
    <xf numFmtId="0" fontId="0" fillId="0" borderId="0" xfId="0" applyAlignment="1" applyProtection="1">
      <alignment vertical="center"/>
    </xf>
    <xf numFmtId="164" fontId="0" fillId="0" borderId="0" xfId="0" applyNumberFormat="1" applyAlignment="1" applyProtection="1">
      <alignment horizontal="center" vertical="center"/>
    </xf>
    <xf numFmtId="0" fontId="0" fillId="0" borderId="16" xfId="0" applyBorder="1" applyAlignment="1" applyProtection="1">
      <alignment horizontal="left" vertical="center" wrapText="1"/>
      <protection locked="0"/>
    </xf>
    <xf numFmtId="0" fontId="0" fillId="0" borderId="16" xfId="0" applyBorder="1" applyAlignment="1" applyProtection="1">
      <alignment horizontal="left" vertical="center"/>
      <protection locked="0"/>
    </xf>
    <xf numFmtId="0" fontId="0" fillId="0" borderId="16" xfId="0" applyBorder="1" applyAlignment="1" applyProtection="1">
      <alignment horizontal="right" vertical="center"/>
      <protection locked="0"/>
    </xf>
    <xf numFmtId="0" fontId="0" fillId="0" borderId="16" xfId="0" applyBorder="1" applyAlignment="1" applyProtection="1">
      <alignment horizontal="right" vertical="center" wrapText="1"/>
      <protection locked="0"/>
    </xf>
    <xf numFmtId="0" fontId="0" fillId="0" borderId="16" xfId="0" applyFill="1" applyBorder="1" applyAlignment="1" applyProtection="1">
      <alignment horizontal="right" vertical="center"/>
      <protection locked="0"/>
    </xf>
    <xf numFmtId="0" fontId="0" fillId="0" borderId="16" xfId="0" applyFont="1" applyFill="1" applyBorder="1" applyAlignment="1" applyProtection="1">
      <alignment horizontal="right" vertical="center"/>
      <protection locked="0"/>
    </xf>
    <xf numFmtId="0" fontId="0" fillId="0" borderId="0" xfId="0" applyFill="1" applyAlignment="1">
      <alignment vertical="center"/>
    </xf>
    <xf numFmtId="0" fontId="0" fillId="0" borderId="16" xfId="0"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16" xfId="0" applyBorder="1" applyAlignment="1" applyProtection="1">
      <alignment vertical="center"/>
      <protection locked="0"/>
    </xf>
    <xf numFmtId="0" fontId="0" fillId="0" borderId="16" xfId="0" applyFill="1" applyBorder="1" applyAlignment="1" applyProtection="1">
      <alignment horizontal="left" vertical="center"/>
      <protection locked="0"/>
    </xf>
    <xf numFmtId="0" fontId="0" fillId="0" borderId="16" xfId="0" applyFill="1" applyBorder="1" applyAlignment="1" applyProtection="1">
      <alignment horizontal="center" vertical="center"/>
      <protection locked="0"/>
    </xf>
    <xf numFmtId="0" fontId="0" fillId="0" borderId="16" xfId="0" applyFont="1" applyFill="1" applyBorder="1" applyAlignment="1" applyProtection="1">
      <alignment horizontal="left" vertical="center"/>
      <protection locked="0"/>
    </xf>
    <xf numFmtId="0" fontId="0" fillId="0" borderId="0" xfId="0" applyAlignment="1">
      <alignment vertical="center"/>
    </xf>
    <xf numFmtId="0" fontId="0" fillId="0" borderId="0" xfId="0" applyAlignment="1">
      <alignment horizontal="center" vertical="center"/>
    </xf>
    <xf numFmtId="0" fontId="0" fillId="0" borderId="16" xfId="0" applyFill="1" applyBorder="1" applyAlignment="1" applyProtection="1">
      <alignment vertical="center"/>
      <protection locked="0"/>
    </xf>
    <xf numFmtId="0" fontId="0" fillId="0" borderId="0" xfId="0" applyBorder="1"/>
    <xf numFmtId="0" fontId="0" fillId="0" borderId="0" xfId="0" applyFill="1"/>
    <xf numFmtId="0" fontId="0" fillId="0" borderId="0" xfId="0" applyFill="1" applyBorder="1"/>
    <xf numFmtId="0" fontId="0" fillId="0" borderId="0" xfId="0" applyBorder="1" applyAlignment="1">
      <alignment horizontal="center"/>
    </xf>
    <xf numFmtId="0" fontId="0" fillId="0" borderId="0" xfId="0" applyBorder="1" applyAlignment="1"/>
    <xf numFmtId="0" fontId="17" fillId="0" borderId="0" xfId="0" applyFont="1" applyBorder="1" applyAlignment="1">
      <alignment vertical="center"/>
    </xf>
    <xf numFmtId="0" fontId="17" fillId="0" borderId="0" xfId="0" applyFont="1" applyBorder="1" applyAlignment="1">
      <alignment vertical="center" wrapText="1"/>
    </xf>
    <xf numFmtId="0" fontId="0" fillId="0" borderId="0" xfId="0" applyBorder="1" applyAlignment="1">
      <alignment vertical="center"/>
    </xf>
    <xf numFmtId="0" fontId="0" fillId="0" borderId="28" xfId="0" applyBorder="1" applyAlignment="1" applyProtection="1">
      <alignment horizontal="left"/>
      <protection hidden="1"/>
    </xf>
    <xf numFmtId="0" fontId="0" fillId="0" borderId="0" xfId="0" applyAlignment="1" applyProtection="1">
      <alignment vertical="center"/>
      <protection locked="0"/>
    </xf>
    <xf numFmtId="0" fontId="0" fillId="0" borderId="0" xfId="0" quotePrefix="1" applyAlignment="1" applyProtection="1">
      <alignment vertical="center"/>
      <protection locked="0"/>
    </xf>
    <xf numFmtId="0" fontId="0" fillId="0" borderId="28" xfId="0" applyBorder="1" applyAlignment="1" applyProtection="1">
      <alignment horizontal="left" vertical="center"/>
      <protection hidden="1"/>
    </xf>
    <xf numFmtId="0" fontId="21" fillId="0" borderId="0" xfId="0" applyFont="1" applyAlignment="1">
      <alignment vertical="center" wrapText="1"/>
    </xf>
    <xf numFmtId="0" fontId="22" fillId="0" borderId="0" xfId="0" applyFont="1" applyAlignment="1">
      <alignment horizontal="center" vertical="center" wrapText="1"/>
    </xf>
    <xf numFmtId="0" fontId="0" fillId="0" borderId="28" xfId="0" applyBorder="1" applyAlignment="1" applyProtection="1">
      <alignment horizontal="center" vertical="center"/>
      <protection hidden="1"/>
    </xf>
    <xf numFmtId="0" fontId="0" fillId="0" borderId="0" xfId="0" applyAlignment="1" applyProtection="1">
      <alignment horizontal="center" vertical="center" wrapText="1"/>
    </xf>
    <xf numFmtId="0" fontId="0" fillId="0" borderId="16" xfId="0" applyBorder="1" applyAlignment="1">
      <alignment vertical="center"/>
    </xf>
    <xf numFmtId="0" fontId="0" fillId="0" borderId="16" xfId="0" applyBorder="1" applyAlignment="1">
      <alignment horizontal="center" vertical="center"/>
    </xf>
    <xf numFmtId="0" fontId="0" fillId="0" borderId="0" xfId="0" applyBorder="1" applyAlignment="1" applyProtection="1">
      <alignment horizontal="left"/>
      <protection hidden="1"/>
    </xf>
    <xf numFmtId="0" fontId="0" fillId="0" borderId="30" xfId="0" applyBorder="1" applyAlignment="1" applyProtection="1">
      <alignment horizontal="left"/>
      <protection hidden="1"/>
    </xf>
    <xf numFmtId="0" fontId="1" fillId="3" borderId="4" xfId="0" applyFont="1" applyFill="1" applyBorder="1" applyAlignment="1" applyProtection="1">
      <alignment vertical="top" wrapText="1"/>
      <protection locked="0"/>
    </xf>
    <xf numFmtId="0" fontId="1" fillId="3" borderId="4" xfId="0" applyFont="1" applyFill="1" applyBorder="1" applyAlignment="1" applyProtection="1">
      <alignment vertical="top"/>
      <protection locked="0"/>
    </xf>
    <xf numFmtId="165" fontId="0" fillId="0" borderId="28" xfId="0" applyNumberFormat="1" applyBorder="1" applyAlignment="1" applyProtection="1">
      <alignment horizontal="left" vertical="center"/>
      <protection hidden="1"/>
    </xf>
    <xf numFmtId="0" fontId="12" fillId="0" borderId="16" xfId="0" applyFont="1" applyBorder="1" applyAlignment="1" applyProtection="1">
      <alignment horizontal="center" vertical="center"/>
    </xf>
    <xf numFmtId="0" fontId="9" fillId="0" borderId="16" xfId="0" applyFont="1" applyBorder="1" applyAlignment="1" applyProtection="1">
      <alignment horizontal="center" vertical="center"/>
    </xf>
    <xf numFmtId="0" fontId="9" fillId="0" borderId="18" xfId="0" applyFont="1" applyBorder="1" applyAlignment="1" applyProtection="1">
      <alignment vertical="center"/>
    </xf>
    <xf numFmtId="0" fontId="24" fillId="0" borderId="16" xfId="0" applyFont="1" applyBorder="1" applyAlignment="1">
      <alignment horizontal="center" vertical="center"/>
    </xf>
    <xf numFmtId="0" fontId="25" fillId="3" borderId="16" xfId="0" applyFont="1" applyFill="1" applyBorder="1" applyAlignment="1">
      <alignment horizontal="center" vertical="center"/>
    </xf>
    <xf numFmtId="165" fontId="24" fillId="0" borderId="16" xfId="0" applyNumberFormat="1" applyFont="1" applyBorder="1" applyAlignment="1">
      <alignment horizontal="center" vertical="center"/>
    </xf>
    <xf numFmtId="0" fontId="0" fillId="0" borderId="0" xfId="0" applyAlignment="1">
      <alignment horizontal="center"/>
    </xf>
    <xf numFmtId="0" fontId="0" fillId="0" borderId="16" xfId="0" applyBorder="1" applyAlignment="1" applyProtection="1">
      <alignment horizontal="center" vertical="center"/>
    </xf>
    <xf numFmtId="166" fontId="0" fillId="0" borderId="16" xfId="0" applyNumberFormat="1" applyBorder="1" applyAlignment="1" applyProtection="1">
      <alignment horizontal="center" vertical="center"/>
    </xf>
    <xf numFmtId="0" fontId="0" fillId="0" borderId="0" xfId="0" applyFill="1" applyAlignment="1">
      <alignment horizontal="center"/>
    </xf>
    <xf numFmtId="0" fontId="13" fillId="17" borderId="16" xfId="0" applyFont="1" applyFill="1" applyBorder="1" applyAlignment="1" applyProtection="1">
      <alignment horizontal="center" vertical="center"/>
    </xf>
    <xf numFmtId="0" fontId="13" fillId="17" borderId="16"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xf>
    <xf numFmtId="0" fontId="24" fillId="5" borderId="16" xfId="0" applyFont="1" applyFill="1" applyBorder="1" applyAlignment="1">
      <alignment horizontal="center" vertical="center"/>
    </xf>
    <xf numFmtId="0" fontId="24" fillId="5" borderId="16" xfId="0" applyFont="1" applyFill="1" applyBorder="1" applyAlignment="1">
      <alignment horizontal="left" vertical="center" wrapText="1"/>
    </xf>
    <xf numFmtId="0" fontId="12" fillId="0" borderId="16" xfId="0" applyFont="1" applyFill="1" applyBorder="1" applyAlignment="1" applyProtection="1">
      <alignment horizontal="center" vertical="center" wrapText="1"/>
    </xf>
    <xf numFmtId="0" fontId="12" fillId="0" borderId="16" xfId="0" applyFont="1" applyFill="1" applyBorder="1" applyAlignment="1">
      <alignment horizontal="center" vertical="center"/>
    </xf>
    <xf numFmtId="0" fontId="9" fillId="0" borderId="16" xfId="0" applyFont="1" applyBorder="1" applyAlignment="1" applyProtection="1">
      <alignment vertical="center"/>
    </xf>
    <xf numFmtId="0" fontId="0" fillId="0" borderId="30" xfId="0" applyBorder="1" applyAlignment="1" applyProtection="1"/>
    <xf numFmtId="0" fontId="0" fillId="0" borderId="0" xfId="0" applyFont="1" applyBorder="1" applyProtection="1"/>
    <xf numFmtId="0" fontId="0" fillId="0" borderId="0" xfId="0" applyFont="1" applyBorder="1" applyAlignment="1" applyProtection="1"/>
    <xf numFmtId="0" fontId="0" fillId="0" borderId="0" xfId="0" applyFont="1" applyProtection="1"/>
    <xf numFmtId="0" fontId="0" fillId="0" borderId="0" xfId="0" quotePrefix="1" applyFont="1" applyProtection="1"/>
    <xf numFmtId="0" fontId="1" fillId="0" borderId="0" xfId="0" applyFont="1" applyBorder="1" applyAlignment="1" applyProtection="1"/>
    <xf numFmtId="0" fontId="12" fillId="0" borderId="0" xfId="0" applyFont="1" applyAlignment="1">
      <alignment vertical="center"/>
    </xf>
    <xf numFmtId="0" fontId="0" fillId="0" borderId="30" xfId="0" applyBorder="1" applyAlignment="1">
      <alignment vertical="center"/>
    </xf>
    <xf numFmtId="0" fontId="12" fillId="0" borderId="30" xfId="0" applyFont="1" applyBorder="1" applyAlignment="1">
      <alignment vertical="center"/>
    </xf>
    <xf numFmtId="0" fontId="0" fillId="0" borderId="0" xfId="0" applyFont="1" applyAlignment="1" applyProtection="1">
      <alignment vertical="center"/>
    </xf>
    <xf numFmtId="0" fontId="0" fillId="0" borderId="0" xfId="0" quotePrefix="1" applyFont="1" applyAlignment="1" applyProtection="1">
      <alignment vertical="center"/>
    </xf>
    <xf numFmtId="0" fontId="0" fillId="0" borderId="0" xfId="0" applyFont="1" applyBorder="1" applyAlignment="1" applyProtection="1">
      <alignment vertical="center"/>
    </xf>
    <xf numFmtId="0" fontId="1" fillId="0" borderId="0" xfId="0" applyFont="1" applyBorder="1" applyAlignment="1" applyProtection="1">
      <alignment vertical="center"/>
    </xf>
    <xf numFmtId="0" fontId="0" fillId="0" borderId="30" xfId="0" applyBorder="1" applyAlignment="1" applyProtection="1">
      <alignment vertical="center"/>
    </xf>
    <xf numFmtId="0" fontId="13" fillId="6" borderId="16" xfId="0" applyFont="1" applyFill="1" applyBorder="1" applyAlignment="1" applyProtection="1">
      <alignment horizontal="center" vertical="center"/>
    </xf>
    <xf numFmtId="0" fontId="13" fillId="6" borderId="16" xfId="0" applyFont="1" applyFill="1" applyBorder="1" applyAlignment="1" applyProtection="1">
      <alignment horizontal="center" vertical="center" wrapText="1"/>
    </xf>
    <xf numFmtId="0" fontId="5" fillId="0" borderId="0" xfId="0" applyFont="1" applyBorder="1" applyAlignment="1" applyProtection="1">
      <alignment vertical="center"/>
    </xf>
    <xf numFmtId="0" fontId="0" fillId="0" borderId="28" xfId="0" applyBorder="1" applyAlignment="1">
      <alignment vertical="center"/>
    </xf>
    <xf numFmtId="0" fontId="0" fillId="0" borderId="0" xfId="0" applyFill="1" applyAlignment="1">
      <alignment horizontal="center" vertical="center"/>
    </xf>
    <xf numFmtId="0" fontId="12" fillId="0" borderId="0" xfId="0" applyFont="1" applyFill="1" applyAlignment="1">
      <alignment horizontal="center" vertical="center"/>
    </xf>
    <xf numFmtId="0" fontId="24" fillId="0" borderId="16" xfId="0" applyFont="1" applyBorder="1" applyAlignment="1" applyProtection="1">
      <alignment horizontal="center" vertical="center"/>
      <protection locked="0"/>
    </xf>
    <xf numFmtId="0" fontId="24" fillId="0" borderId="16" xfId="0" applyFont="1" applyBorder="1" applyAlignment="1" applyProtection="1">
      <alignment horizontal="center" vertical="center" wrapText="1"/>
      <protection locked="0"/>
    </xf>
    <xf numFmtId="0" fontId="3" fillId="7" borderId="16" xfId="0" applyFont="1" applyFill="1" applyBorder="1" applyAlignment="1" applyProtection="1">
      <alignment horizontal="center" vertical="center"/>
    </xf>
    <xf numFmtId="0" fontId="3" fillId="7" borderId="16" xfId="0" applyFont="1" applyFill="1" applyBorder="1" applyAlignment="1" applyProtection="1">
      <alignment horizontal="center"/>
    </xf>
    <xf numFmtId="0" fontId="3" fillId="7" borderId="16" xfId="0" applyFont="1" applyFill="1" applyBorder="1" applyAlignment="1" applyProtection="1">
      <alignment horizontal="center" vertical="center" wrapText="1"/>
    </xf>
    <xf numFmtId="164" fontId="3" fillId="7" borderId="21" xfId="0" applyNumberFormat="1" applyFont="1" applyFill="1" applyBorder="1" applyAlignment="1" applyProtection="1">
      <alignment horizontal="center" vertical="center"/>
    </xf>
    <xf numFmtId="0" fontId="3" fillId="7" borderId="21" xfId="0" applyFont="1" applyFill="1" applyBorder="1" applyAlignment="1" applyProtection="1">
      <alignment horizontal="center" vertical="center" wrapText="1"/>
    </xf>
    <xf numFmtId="0" fontId="6" fillId="2" borderId="1" xfId="0" applyFont="1" applyFill="1" applyBorder="1" applyAlignment="1" applyProtection="1">
      <alignment horizontal="center"/>
    </xf>
    <xf numFmtId="0" fontId="6" fillId="2" borderId="1" xfId="0" applyFont="1" applyFill="1" applyBorder="1" applyProtection="1"/>
    <xf numFmtId="0" fontId="1" fillId="3" borderId="0" xfId="0" applyFont="1" applyFill="1" applyProtection="1"/>
    <xf numFmtId="0" fontId="6" fillId="2" borderId="3" xfId="0" applyFont="1" applyFill="1" applyBorder="1" applyProtection="1"/>
    <xf numFmtId="0" fontId="6" fillId="2" borderId="3" xfId="0" applyFont="1" applyFill="1" applyBorder="1" applyAlignment="1" applyProtection="1">
      <alignment horizontal="left" vertical="top"/>
    </xf>
    <xf numFmtId="0" fontId="8" fillId="2" borderId="5" xfId="0" applyFont="1" applyFill="1" applyBorder="1" applyAlignment="1" applyProtection="1">
      <alignment horizontal="center"/>
    </xf>
    <xf numFmtId="0" fontId="8" fillId="2" borderId="6" xfId="0" applyFont="1" applyFill="1" applyBorder="1" applyAlignment="1" applyProtection="1">
      <alignment horizontal="center"/>
    </xf>
    <xf numFmtId="0" fontId="1" fillId="4" borderId="15" xfId="0" applyFont="1" applyFill="1" applyBorder="1" applyAlignment="1" applyProtection="1"/>
    <xf numFmtId="0" fontId="0" fillId="0" borderId="0" xfId="0" applyFill="1" applyAlignment="1" applyProtection="1">
      <alignment vertical="center"/>
      <protection locked="0"/>
    </xf>
    <xf numFmtId="0" fontId="6" fillId="0" borderId="0" xfId="0" applyFont="1" applyFill="1" applyBorder="1" applyAlignment="1" applyProtection="1">
      <alignment vertical="center"/>
      <protection locked="0"/>
    </xf>
    <xf numFmtId="0" fontId="0" fillId="6" borderId="16" xfId="0" applyFill="1" applyBorder="1" applyAlignment="1" applyProtection="1">
      <alignment vertical="center"/>
      <protection locked="0"/>
    </xf>
    <xf numFmtId="0" fontId="0" fillId="6" borderId="16" xfId="0" applyFill="1" applyBorder="1" applyAlignment="1" applyProtection="1">
      <alignment horizontal="center" vertical="center"/>
      <protection locked="0"/>
    </xf>
    <xf numFmtId="0" fontId="14" fillId="10" borderId="16" xfId="0" applyFont="1" applyFill="1" applyBorder="1" applyAlignment="1" applyProtection="1">
      <alignment vertical="center"/>
      <protection locked="0"/>
    </xf>
    <xf numFmtId="0" fontId="14" fillId="10" borderId="16" xfId="0" applyFont="1" applyFill="1" applyBorder="1" applyAlignment="1" applyProtection="1">
      <alignment horizontal="center" vertical="center"/>
      <protection locked="0"/>
    </xf>
    <xf numFmtId="0" fontId="3" fillId="9" borderId="16" xfId="0" applyFont="1" applyFill="1" applyBorder="1" applyAlignment="1" applyProtection="1">
      <alignment vertical="center"/>
      <protection locked="0"/>
    </xf>
    <xf numFmtId="0" fontId="3" fillId="2" borderId="16" xfId="0" applyFont="1" applyFill="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protection locked="0"/>
    </xf>
    <xf numFmtId="0" fontId="3" fillId="7" borderId="16" xfId="0" applyFont="1" applyFill="1" applyBorder="1" applyAlignment="1" applyProtection="1">
      <alignment horizontal="center" vertical="center"/>
    </xf>
    <xf numFmtId="0" fontId="3" fillId="7" borderId="16" xfId="0" applyFont="1" applyFill="1" applyBorder="1" applyAlignment="1" applyProtection="1">
      <alignment horizontal="center" vertical="center" wrapText="1"/>
    </xf>
    <xf numFmtId="0" fontId="24" fillId="0" borderId="16" xfId="0" applyFont="1" applyFill="1" applyBorder="1" applyAlignment="1" applyProtection="1">
      <alignment horizontal="center" vertical="center"/>
      <protection locked="0"/>
    </xf>
    <xf numFmtId="0" fontId="38" fillId="3" borderId="4" xfId="0" applyFont="1" applyFill="1" applyBorder="1" applyProtection="1">
      <protection locked="0"/>
    </xf>
    <xf numFmtId="0" fontId="2" fillId="8" borderId="0" xfId="0" applyFont="1" applyFill="1" applyAlignment="1">
      <alignment vertical="center"/>
    </xf>
    <xf numFmtId="0" fontId="0" fillId="8" borderId="0" xfId="0" applyFill="1"/>
    <xf numFmtId="0" fontId="1" fillId="8" borderId="0" xfId="0" applyFont="1" applyFill="1"/>
    <xf numFmtId="0" fontId="12" fillId="0" borderId="16" xfId="0" applyFont="1" applyBorder="1" applyAlignment="1" applyProtection="1">
      <alignment horizontal="center" vertical="center"/>
    </xf>
    <xf numFmtId="0" fontId="12" fillId="0" borderId="16"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xf>
    <xf numFmtId="0" fontId="5" fillId="0" borderId="16" xfId="0" applyFont="1" applyBorder="1" applyAlignment="1" applyProtection="1">
      <alignment horizontal="center" vertical="center" wrapText="1"/>
    </xf>
    <xf numFmtId="0" fontId="12" fillId="0" borderId="0" xfId="0" applyFont="1" applyAlignment="1">
      <alignment horizontal="left" vertical="center"/>
    </xf>
    <xf numFmtId="0" fontId="24" fillId="15" borderId="16" xfId="0" applyFont="1" applyFill="1" applyBorder="1" applyAlignment="1" applyProtection="1">
      <alignment horizontal="center" vertical="center"/>
    </xf>
    <xf numFmtId="0" fontId="27" fillId="0" borderId="0" xfId="0" applyFont="1" applyAlignment="1" applyProtection="1">
      <alignment vertical="center" readingOrder="2"/>
    </xf>
    <xf numFmtId="0" fontId="42" fillId="0" borderId="0" xfId="0" applyFont="1" applyAlignment="1">
      <alignment horizontal="center" vertical="center"/>
    </xf>
    <xf numFmtId="0" fontId="41" fillId="0" borderId="0" xfId="0" applyFont="1"/>
    <xf numFmtId="0" fontId="40" fillId="0" borderId="0" xfId="0" applyFont="1"/>
    <xf numFmtId="0" fontId="42" fillId="0" borderId="0" xfId="0" applyFont="1" applyAlignment="1">
      <alignment horizontal="left" vertical="center"/>
    </xf>
    <xf numFmtId="0" fontId="41" fillId="0" borderId="0" xfId="0" applyFont="1" applyAlignment="1">
      <alignment horizontal="left" vertical="center"/>
    </xf>
    <xf numFmtId="0" fontId="41" fillId="0" borderId="0" xfId="0" applyFont="1" applyAlignment="1"/>
    <xf numFmtId="0" fontId="45" fillId="0" borderId="0" xfId="0" applyFont="1" applyAlignment="1">
      <alignment vertical="center"/>
    </xf>
    <xf numFmtId="0" fontId="12" fillId="0" borderId="16" xfId="0" applyFont="1" applyFill="1" applyBorder="1" applyAlignment="1" applyProtection="1">
      <alignment horizontal="center" vertical="center"/>
    </xf>
    <xf numFmtId="0" fontId="12" fillId="0" borderId="16" xfId="0" applyFont="1" applyBorder="1" applyAlignment="1">
      <alignment horizontal="center" vertical="center"/>
    </xf>
    <xf numFmtId="165" fontId="0" fillId="0" borderId="16" xfId="0" applyNumberFormat="1" applyFont="1" applyBorder="1" applyAlignment="1">
      <alignment horizontal="center" vertical="center"/>
    </xf>
    <xf numFmtId="0" fontId="0" fillId="0" borderId="0" xfId="0" applyFill="1" applyAlignment="1">
      <alignment horizontal="center" vertical="center"/>
    </xf>
    <xf numFmtId="0" fontId="12" fillId="0" borderId="0" xfId="0" applyFont="1" applyFill="1" applyAlignment="1">
      <alignment horizontal="center" vertical="center"/>
    </xf>
    <xf numFmtId="0" fontId="0" fillId="0" borderId="0" xfId="0" applyAlignment="1">
      <alignment horizontal="center" vertical="center"/>
    </xf>
    <xf numFmtId="0" fontId="0" fillId="0" borderId="0" xfId="0" applyFont="1" applyAlignment="1" applyProtection="1">
      <alignment horizontal="left" vertical="center"/>
    </xf>
    <xf numFmtId="0" fontId="0" fillId="0" borderId="28" xfId="0" applyBorder="1" applyAlignment="1" applyProtection="1">
      <alignment horizontal="left" vertical="center"/>
    </xf>
    <xf numFmtId="0" fontId="26" fillId="0" borderId="16" xfId="0" applyFont="1" applyBorder="1" applyAlignment="1">
      <alignment horizontal="center" vertical="center"/>
    </xf>
    <xf numFmtId="0" fontId="12" fillId="0" borderId="0" xfId="0" applyFont="1" applyAlignment="1">
      <alignment horizontal="left" vertical="center"/>
    </xf>
    <xf numFmtId="0" fontId="28" fillId="0" borderId="16" xfId="0" applyFont="1" applyBorder="1" applyAlignment="1">
      <alignment horizontal="center" vertical="center"/>
    </xf>
    <xf numFmtId="0" fontId="45" fillId="0" borderId="0" xfId="0" applyFont="1" applyAlignment="1">
      <alignment horizontal="center" vertical="center"/>
    </xf>
    <xf numFmtId="0" fontId="27" fillId="0" borderId="0" xfId="0" applyFont="1" applyAlignment="1" applyProtection="1">
      <alignment horizontal="center" vertical="center" readingOrder="2"/>
    </xf>
    <xf numFmtId="0" fontId="42" fillId="0" borderId="0" xfId="0" applyFont="1" applyAlignment="1">
      <alignment horizontal="center" vertical="center"/>
    </xf>
    <xf numFmtId="0" fontId="45" fillId="0" borderId="16" xfId="0" applyFont="1" applyBorder="1" applyAlignment="1">
      <alignment horizontal="center" vertical="center"/>
    </xf>
    <xf numFmtId="0" fontId="41" fillId="0" borderId="16" xfId="0" applyFont="1" applyBorder="1" applyAlignment="1">
      <alignment horizontal="center" vertical="center"/>
    </xf>
    <xf numFmtId="0" fontId="40" fillId="0" borderId="16" xfId="0" applyFont="1" applyFill="1" applyBorder="1" applyAlignment="1">
      <alignment horizontal="center" vertical="center"/>
    </xf>
    <xf numFmtId="0" fontId="40" fillId="0" borderId="16" xfId="0" applyFont="1" applyBorder="1" applyAlignment="1">
      <alignment horizontal="center" vertical="center"/>
    </xf>
    <xf numFmtId="0" fontId="46" fillId="0" borderId="16" xfId="0" applyFont="1" applyFill="1" applyBorder="1" applyAlignment="1">
      <alignment horizontal="center" vertical="center"/>
    </xf>
    <xf numFmtId="0" fontId="41" fillId="0" borderId="0" xfId="0" applyFont="1" applyAlignment="1">
      <alignment horizontal="center"/>
    </xf>
    <xf numFmtId="0" fontId="0" fillId="0" borderId="30" xfId="0" applyBorder="1" applyAlignment="1" applyProtection="1">
      <alignment horizontal="center"/>
    </xf>
    <xf numFmtId="0" fontId="0" fillId="0" borderId="30" xfId="0" applyBorder="1" applyAlignment="1" applyProtection="1">
      <alignment horizontal="center" vertical="center"/>
    </xf>
    <xf numFmtId="0" fontId="12" fillId="0" borderId="16" xfId="0" applyFont="1" applyBorder="1" applyAlignment="1">
      <alignment horizontal="center"/>
    </xf>
    <xf numFmtId="0" fontId="0" fillId="0" borderId="16" xfId="0" applyBorder="1"/>
    <xf numFmtId="0" fontId="24" fillId="0" borderId="0" xfId="0" applyFont="1" applyAlignment="1">
      <alignment horizontal="right" vertical="center"/>
    </xf>
    <xf numFmtId="0" fontId="24" fillId="0" borderId="0" xfId="0" applyFont="1" applyAlignment="1">
      <alignment vertical="center"/>
    </xf>
    <xf numFmtId="166" fontId="12" fillId="0" borderId="16" xfId="0" applyNumberFormat="1" applyFont="1" applyBorder="1" applyAlignment="1" applyProtection="1">
      <alignment horizontal="center" vertical="center"/>
    </xf>
    <xf numFmtId="1" fontId="40" fillId="0" borderId="16" xfId="0" applyNumberFormat="1" applyFont="1" applyBorder="1" applyAlignment="1">
      <alignment horizontal="center" vertical="center"/>
    </xf>
    <xf numFmtId="0" fontId="28" fillId="0" borderId="16" xfId="0" applyFont="1" applyBorder="1" applyAlignment="1">
      <alignment vertical="center"/>
    </xf>
    <xf numFmtId="0" fontId="12" fillId="0" borderId="16" xfId="0" applyFont="1" applyFill="1" applyBorder="1" applyAlignment="1" applyProtection="1">
      <alignment horizontal="center" vertical="center"/>
    </xf>
    <xf numFmtId="0" fontId="5" fillId="0" borderId="16" xfId="0" applyFont="1" applyBorder="1" applyAlignment="1" applyProtection="1">
      <alignment horizontal="center" vertical="center" wrapText="1"/>
    </xf>
    <xf numFmtId="1" fontId="52" fillId="11" borderId="16" xfId="0" applyNumberFormat="1" applyFont="1" applyFill="1" applyBorder="1" applyAlignment="1" applyProtection="1">
      <alignment horizontal="center" vertical="center"/>
      <protection locked="0"/>
    </xf>
    <xf numFmtId="0" fontId="52" fillId="0" borderId="16" xfId="0" applyFont="1" applyBorder="1" applyAlignment="1" applyProtection="1">
      <alignment horizontal="center" vertical="center"/>
      <protection locked="0"/>
    </xf>
    <xf numFmtId="0" fontId="53" fillId="0" borderId="16" xfId="0" applyFont="1" applyBorder="1" applyAlignment="1" applyProtection="1">
      <alignment horizontal="center" vertical="center" wrapText="1"/>
      <protection locked="0"/>
    </xf>
    <xf numFmtId="0" fontId="53" fillId="0" borderId="16" xfId="0" applyFont="1" applyBorder="1" applyAlignment="1" applyProtection="1">
      <alignment horizontal="center" vertical="center"/>
      <protection locked="0"/>
    </xf>
    <xf numFmtId="0" fontId="53" fillId="0" borderId="16" xfId="0" applyFont="1" applyFill="1" applyBorder="1" applyAlignment="1" applyProtection="1">
      <alignment horizontal="center" vertical="center"/>
      <protection locked="0"/>
    </xf>
    <xf numFmtId="0" fontId="0" fillId="0" borderId="16" xfId="0" applyFill="1" applyBorder="1" applyProtection="1">
      <protection locked="0"/>
    </xf>
    <xf numFmtId="0" fontId="24" fillId="0" borderId="16" xfId="0" applyFont="1" applyFill="1" applyBorder="1" applyAlignment="1" applyProtection="1">
      <alignment horizontal="center" vertical="center" wrapText="1"/>
      <protection locked="0"/>
    </xf>
    <xf numFmtId="0" fontId="3" fillId="7" borderId="17" xfId="0" applyFont="1" applyFill="1" applyBorder="1" applyAlignment="1" applyProtection="1">
      <alignment horizontal="center" vertical="center" wrapText="1"/>
    </xf>
    <xf numFmtId="0" fontId="11" fillId="21" borderId="16" xfId="2" applyFont="1" applyFill="1" applyBorder="1" applyAlignment="1" applyProtection="1">
      <alignment horizontal="center" vertical="center"/>
      <protection locked="0"/>
    </xf>
    <xf numFmtId="0" fontId="12" fillId="0" borderId="16" xfId="0" applyFont="1" applyBorder="1" applyAlignment="1" applyProtection="1">
      <alignment horizontal="center" vertical="center"/>
    </xf>
    <xf numFmtId="0" fontId="55" fillId="0" borderId="16" xfId="0" applyFont="1" applyFill="1" applyBorder="1" applyAlignment="1">
      <alignment vertical="center"/>
    </xf>
    <xf numFmtId="0" fontId="55" fillId="21" borderId="16" xfId="0" quotePrefix="1" applyFont="1" applyFill="1" applyBorder="1" applyAlignment="1">
      <alignment horizontal="center" vertical="center"/>
    </xf>
    <xf numFmtId="0" fontId="55" fillId="0" borderId="16" xfId="0" applyFont="1" applyBorder="1" applyAlignment="1">
      <alignment vertical="center"/>
    </xf>
    <xf numFmtId="167" fontId="55" fillId="0" borderId="16" xfId="0" applyNumberFormat="1" applyFont="1" applyBorder="1" applyAlignment="1">
      <alignment horizontal="center" vertical="center"/>
    </xf>
    <xf numFmtId="0" fontId="55" fillId="21" borderId="16" xfId="0" applyFont="1" applyFill="1" applyBorder="1" applyAlignment="1">
      <alignment horizontal="center"/>
    </xf>
    <xf numFmtId="0" fontId="55" fillId="21" borderId="16" xfId="0" applyFont="1" applyFill="1" applyBorder="1" applyAlignment="1" applyProtection="1">
      <alignment horizontal="center" vertical="center" wrapText="1"/>
      <protection locked="0"/>
    </xf>
    <xf numFmtId="167" fontId="55" fillId="0" borderId="16" xfId="0" applyNumberFormat="1" applyFont="1" applyBorder="1" applyAlignment="1">
      <alignment vertical="center"/>
    </xf>
    <xf numFmtId="0" fontId="55" fillId="21" borderId="16" xfId="0" applyFont="1" applyFill="1" applyBorder="1" applyAlignment="1" applyProtection="1">
      <alignment vertical="center" wrapText="1"/>
      <protection locked="0"/>
    </xf>
    <xf numFmtId="0" fontId="55" fillId="21" borderId="16" xfId="0" applyFont="1" applyFill="1" applyBorder="1"/>
    <xf numFmtId="0" fontId="55" fillId="21" borderId="16" xfId="0" quotePrefix="1" applyFont="1" applyFill="1" applyBorder="1" applyAlignment="1">
      <alignment horizontal="left" vertical="center" indent="1"/>
    </xf>
    <xf numFmtId="0" fontId="55" fillId="21" borderId="16" xfId="0" applyFont="1" applyFill="1" applyBorder="1" applyAlignment="1" applyProtection="1">
      <alignment horizontal="center"/>
      <protection locked="0"/>
    </xf>
    <xf numFmtId="0" fontId="55" fillId="0" borderId="16" xfId="0" applyFont="1" applyFill="1" applyBorder="1" applyAlignment="1" applyProtection="1">
      <alignment horizontal="center"/>
      <protection locked="0"/>
    </xf>
    <xf numFmtId="167" fontId="55" fillId="0" borderId="16" xfId="0" applyNumberFormat="1" applyFont="1" applyFill="1" applyBorder="1" applyAlignment="1">
      <alignment vertical="center"/>
    </xf>
    <xf numFmtId="0" fontId="55" fillId="0" borderId="16" xfId="0" quotePrefix="1" applyFont="1" applyFill="1" applyBorder="1" applyAlignment="1">
      <alignment horizontal="center" vertical="center"/>
    </xf>
    <xf numFmtId="0" fontId="55" fillId="21" borderId="16" xfId="0" applyFont="1" applyFill="1" applyBorder="1" applyAlignment="1" applyProtection="1">
      <alignment horizontal="center" vertical="center"/>
      <protection locked="0"/>
    </xf>
    <xf numFmtId="0" fontId="55" fillId="0" borderId="16" xfId="0" applyFont="1" applyFill="1" applyBorder="1" applyAlignment="1" applyProtection="1">
      <alignment vertical="center"/>
      <protection locked="0"/>
    </xf>
    <xf numFmtId="168" fontId="55" fillId="0" borderId="16" xfId="0" applyNumberFormat="1" applyFont="1" applyBorder="1" applyAlignment="1">
      <alignment vertical="center"/>
    </xf>
    <xf numFmtId="167" fontId="55" fillId="0" borderId="16" xfId="0" applyNumberFormat="1" applyFont="1" applyFill="1" applyBorder="1" applyAlignment="1">
      <alignment horizontal="center" vertical="center"/>
    </xf>
    <xf numFmtId="0" fontId="11" fillId="21" borderId="16" xfId="0" applyFont="1" applyFill="1" applyBorder="1" applyAlignment="1" applyProtection="1">
      <alignment horizontal="center" vertical="center"/>
      <protection locked="0"/>
    </xf>
    <xf numFmtId="0" fontId="11" fillId="0" borderId="16" xfId="0" applyFont="1" applyBorder="1" applyAlignment="1" applyProtection="1">
      <alignment horizontal="center" vertical="center"/>
      <protection locked="0"/>
    </xf>
    <xf numFmtId="0" fontId="55" fillId="21" borderId="16" xfId="0" applyFont="1" applyFill="1" applyBorder="1" applyAlignment="1" applyProtection="1">
      <alignment vertical="center"/>
      <protection locked="0"/>
    </xf>
    <xf numFmtId="0" fontId="11" fillId="0" borderId="16" xfId="0" applyFont="1" applyFill="1" applyBorder="1" applyAlignment="1" applyProtection="1">
      <alignment horizontal="center" vertical="center"/>
      <protection locked="0"/>
    </xf>
    <xf numFmtId="49" fontId="55" fillId="0" borderId="16" xfId="0" applyNumberFormat="1" applyFont="1" applyFill="1" applyBorder="1" applyAlignment="1" applyProtection="1">
      <alignment horizontal="left" vertical="center"/>
      <protection locked="0"/>
    </xf>
    <xf numFmtId="0" fontId="55" fillId="21" borderId="16" xfId="0" applyFont="1" applyFill="1" applyBorder="1" applyAlignment="1">
      <alignment horizontal="center" vertical="center"/>
    </xf>
    <xf numFmtId="167" fontId="55" fillId="0" borderId="16" xfId="0" quotePrefix="1" applyNumberFormat="1" applyFont="1" applyBorder="1" applyAlignment="1">
      <alignment horizontal="center" vertical="center"/>
    </xf>
    <xf numFmtId="0" fontId="55" fillId="0" borderId="16" xfId="0" applyFont="1" applyFill="1" applyBorder="1" applyAlignment="1" applyProtection="1">
      <alignment horizontal="center" vertical="center"/>
      <protection locked="0"/>
    </xf>
    <xf numFmtId="0" fontId="55" fillId="0" borderId="16" xfId="0" applyFont="1" applyFill="1" applyBorder="1" applyAlignment="1" applyProtection="1">
      <alignment horizontal="center" vertical="center" wrapText="1"/>
      <protection locked="0"/>
    </xf>
    <xf numFmtId="0" fontId="55" fillId="0" borderId="16" xfId="0" applyFont="1" applyFill="1" applyBorder="1" applyAlignment="1" applyProtection="1">
      <alignment vertical="center" wrapText="1"/>
      <protection locked="0"/>
    </xf>
    <xf numFmtId="0" fontId="11" fillId="0" borderId="16" xfId="0" applyFont="1" applyFill="1" applyBorder="1" applyAlignment="1" applyProtection="1">
      <alignment vertical="center"/>
      <protection locked="0"/>
    </xf>
    <xf numFmtId="49" fontId="55" fillId="0" borderId="16" xfId="0" applyNumberFormat="1" applyFont="1" applyFill="1" applyBorder="1" applyAlignment="1" applyProtection="1">
      <alignment horizontal="center" vertical="center" wrapText="1"/>
      <protection locked="0"/>
    </xf>
    <xf numFmtId="164" fontId="11" fillId="0" borderId="16" xfId="0" applyNumberFormat="1" applyFont="1" applyFill="1" applyBorder="1" applyAlignment="1" applyProtection="1">
      <alignment horizontal="center" vertical="center"/>
      <protection locked="0"/>
    </xf>
    <xf numFmtId="0" fontId="11" fillId="0" borderId="16" xfId="0" applyFont="1" applyFill="1" applyBorder="1" applyAlignment="1" applyProtection="1">
      <alignment vertical="center" wrapText="1"/>
      <protection locked="0"/>
    </xf>
    <xf numFmtId="0" fontId="11" fillId="0" borderId="16" xfId="0" applyFont="1" applyBorder="1" applyAlignment="1" applyProtection="1">
      <alignment vertical="center"/>
      <protection locked="0"/>
    </xf>
    <xf numFmtId="49" fontId="55" fillId="0" borderId="16" xfId="0" applyNumberFormat="1" applyFont="1" applyBorder="1" applyAlignment="1" applyProtection="1">
      <alignment horizontal="center" vertical="center" wrapText="1"/>
      <protection locked="0"/>
    </xf>
    <xf numFmtId="164" fontId="11" fillId="0" borderId="16" xfId="0" applyNumberFormat="1" applyFont="1" applyBorder="1" applyAlignment="1" applyProtection="1">
      <alignment horizontal="center" vertical="center"/>
      <protection locked="0"/>
    </xf>
    <xf numFmtId="0" fontId="11" fillId="0" borderId="16" xfId="0" applyFont="1" applyBorder="1" applyAlignment="1" applyProtection="1">
      <alignment vertical="center" wrapText="1"/>
      <protection locked="0"/>
    </xf>
    <xf numFmtId="0" fontId="11" fillId="0" borderId="18" xfId="0" applyFont="1" applyBorder="1" applyAlignment="1" applyProtection="1">
      <alignment horizontal="center" vertical="center"/>
    </xf>
    <xf numFmtId="0" fontId="11" fillId="0" borderId="18" xfId="0" applyFont="1" applyFill="1" applyBorder="1" applyAlignment="1" applyProtection="1">
      <alignment horizontal="center" vertical="center"/>
    </xf>
    <xf numFmtId="1" fontId="55" fillId="21" borderId="20" xfId="0" applyNumberFormat="1" applyFont="1" applyFill="1" applyBorder="1" applyAlignment="1">
      <alignment horizontal="center"/>
    </xf>
    <xf numFmtId="49" fontId="55" fillId="0" borderId="20" xfId="0" applyNumberFormat="1" applyFont="1" applyFill="1" applyBorder="1" applyAlignment="1" applyProtection="1">
      <alignment horizontal="center" vertical="center"/>
      <protection locked="0"/>
    </xf>
    <xf numFmtId="0" fontId="11" fillId="0" borderId="21" xfId="0" applyFont="1" applyFill="1" applyBorder="1" applyAlignment="1" applyProtection="1">
      <alignment vertical="center"/>
      <protection locked="0"/>
    </xf>
    <xf numFmtId="0" fontId="12" fillId="0" borderId="16" xfId="0" applyFont="1" applyBorder="1" applyAlignment="1" applyProtection="1">
      <alignment horizontal="center" vertical="center"/>
    </xf>
    <xf numFmtId="0" fontId="42" fillId="0" borderId="0" xfId="0" applyFont="1" applyAlignment="1">
      <alignment horizontal="center" vertical="center"/>
    </xf>
    <xf numFmtId="0" fontId="12" fillId="0" borderId="0" xfId="0" applyFont="1" applyAlignment="1">
      <alignment horizontal="left" vertical="center"/>
    </xf>
    <xf numFmtId="16" fontId="5" fillId="0" borderId="16" xfId="0" applyNumberFormat="1" applyFont="1" applyBorder="1" applyAlignment="1" applyProtection="1">
      <alignment horizontal="center" vertical="center" wrapText="1"/>
    </xf>
    <xf numFmtId="0" fontId="0" fillId="0" borderId="0" xfId="0" applyAlignment="1">
      <alignment horizontal="center" vertical="center"/>
    </xf>
    <xf numFmtId="0" fontId="0" fillId="0" borderId="0" xfId="0" applyFont="1" applyAlignment="1" applyProtection="1">
      <alignment horizontal="left" vertical="center"/>
    </xf>
    <xf numFmtId="0" fontId="0" fillId="0" borderId="0" xfId="0" applyBorder="1" applyAlignment="1">
      <alignment horizontal="center" vertical="center" wrapText="1"/>
    </xf>
    <xf numFmtId="0" fontId="43" fillId="0" borderId="0" xfId="0" applyFont="1" applyBorder="1" applyAlignment="1">
      <alignment horizontal="center" vertical="center"/>
    </xf>
    <xf numFmtId="0" fontId="43"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3" fillId="0" borderId="0" xfId="0" applyFont="1" applyAlignment="1">
      <alignment horizontal="right" vertical="center"/>
    </xf>
    <xf numFmtId="0" fontId="57" fillId="0" borderId="16" xfId="0" applyFont="1" applyFill="1" applyBorder="1" applyAlignment="1">
      <alignment horizontal="center" vertical="center"/>
    </xf>
    <xf numFmtId="0" fontId="43" fillId="0" borderId="0" xfId="0" applyFont="1" applyAlignment="1" applyProtection="1">
      <alignment horizontal="right" vertical="center" readingOrder="2"/>
    </xf>
    <xf numFmtId="0" fontId="43" fillId="0" borderId="0" xfId="0" applyFont="1" applyAlignment="1">
      <alignment horizontal="right" vertical="center"/>
    </xf>
    <xf numFmtId="169" fontId="56" fillId="0" borderId="16" xfId="0" applyNumberFormat="1" applyFont="1" applyFill="1" applyBorder="1" applyAlignment="1">
      <alignment horizontal="center" vertical="center"/>
    </xf>
    <xf numFmtId="166" fontId="57" fillId="0" borderId="16" xfId="0" applyNumberFormat="1" applyFont="1" applyFill="1" applyBorder="1" applyAlignment="1">
      <alignment horizontal="center" vertical="center"/>
    </xf>
    <xf numFmtId="0" fontId="25" fillId="16" borderId="18" xfId="0" applyFont="1" applyFill="1" applyBorder="1" applyAlignment="1">
      <alignment vertical="center"/>
    </xf>
    <xf numFmtId="0" fontId="25" fillId="16" borderId="19" xfId="0" applyFont="1" applyFill="1" applyBorder="1" applyAlignment="1">
      <alignment vertical="center"/>
    </xf>
    <xf numFmtId="0" fontId="58" fillId="16" borderId="20" xfId="0" applyFont="1" applyFill="1" applyBorder="1" applyAlignment="1">
      <alignment vertical="center"/>
    </xf>
    <xf numFmtId="0" fontId="26" fillId="0" borderId="16" xfId="0" applyFont="1" applyFill="1" applyBorder="1" applyAlignment="1">
      <alignment horizontal="center" vertical="center"/>
    </xf>
    <xf numFmtId="0" fontId="44" fillId="0" borderId="16" xfId="0" applyFont="1" applyFill="1" applyBorder="1" applyAlignment="1">
      <alignment horizontal="center" vertical="center"/>
    </xf>
    <xf numFmtId="0" fontId="62" fillId="0" borderId="0" xfId="0" applyFont="1" applyBorder="1" applyAlignment="1">
      <alignment vertical="center"/>
    </xf>
    <xf numFmtId="0" fontId="63" fillId="0" borderId="0" xfId="0" applyFont="1" applyBorder="1" applyAlignment="1">
      <alignment horizontal="center" vertical="center"/>
    </xf>
    <xf numFmtId="0" fontId="62" fillId="0" borderId="0" xfId="0" applyFont="1" applyBorder="1" applyAlignment="1">
      <alignment horizontal="center" vertical="center"/>
    </xf>
    <xf numFmtId="0" fontId="63" fillId="0" borderId="0" xfId="0" applyFont="1" applyAlignment="1">
      <alignment horizontal="center" vertical="center"/>
    </xf>
    <xf numFmtId="0" fontId="62" fillId="0" borderId="0" xfId="0" applyFont="1" applyAlignment="1">
      <alignment vertical="center"/>
    </xf>
    <xf numFmtId="169" fontId="56" fillId="16" borderId="20" xfId="0" applyNumberFormat="1" applyFont="1" applyFill="1" applyBorder="1" applyAlignment="1">
      <alignment horizontal="center" vertical="center"/>
    </xf>
    <xf numFmtId="0" fontId="0" fillId="0" borderId="0" xfId="0" applyFont="1" applyBorder="1" applyAlignment="1" applyProtection="1">
      <alignment horizontal="center" vertical="center"/>
    </xf>
    <xf numFmtId="0" fontId="30" fillId="0" borderId="0" xfId="0" applyFont="1" applyBorder="1" applyAlignment="1">
      <alignment horizontal="center" vertical="center"/>
    </xf>
    <xf numFmtId="0" fontId="12" fillId="0" borderId="0" xfId="0" applyFont="1" applyFill="1"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xf>
    <xf numFmtId="0" fontId="0" fillId="0" borderId="0" xfId="0" applyFont="1" applyAlignment="1" applyProtection="1">
      <alignment horizontal="left" vertical="center"/>
    </xf>
    <xf numFmtId="0" fontId="0" fillId="0" borderId="0" xfId="0" applyBorder="1" applyAlignment="1" applyProtection="1">
      <alignment vertical="center"/>
    </xf>
    <xf numFmtId="0" fontId="12" fillId="0" borderId="16" xfId="0" applyFont="1" applyBorder="1" applyAlignment="1">
      <alignment horizontal="center" vertical="center" wrapText="1"/>
    </xf>
    <xf numFmtId="0" fontId="12" fillId="0" borderId="0" xfId="0" applyFont="1" applyBorder="1" applyAlignment="1">
      <alignment vertical="center"/>
    </xf>
    <xf numFmtId="0" fontId="0" fillId="0" borderId="0" xfId="0" applyBorder="1" applyAlignment="1" applyProtection="1">
      <alignment horizontal="center" vertical="center"/>
    </xf>
    <xf numFmtId="0" fontId="0" fillId="0" borderId="0" xfId="0" applyBorder="1" applyAlignment="1">
      <alignment horizontal="center" vertical="center"/>
    </xf>
    <xf numFmtId="0" fontId="12" fillId="0" borderId="16" xfId="0" applyFont="1" applyBorder="1" applyAlignment="1" applyProtection="1">
      <alignment horizontal="center" vertical="center"/>
    </xf>
    <xf numFmtId="0" fontId="12" fillId="0" borderId="0" xfId="0" applyFont="1" applyFill="1"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xf>
    <xf numFmtId="0" fontId="0" fillId="0" borderId="0" xfId="0" applyFont="1" applyAlignment="1" applyProtection="1">
      <alignment horizontal="left" vertical="center"/>
    </xf>
    <xf numFmtId="0" fontId="0" fillId="0" borderId="16" xfId="0" applyBorder="1" applyAlignment="1">
      <alignment horizontal="center" vertical="center"/>
    </xf>
    <xf numFmtId="0" fontId="12" fillId="0" borderId="0" xfId="0" applyFont="1" applyAlignment="1">
      <alignment horizontal="left" vertical="center"/>
    </xf>
    <xf numFmtId="0" fontId="0" fillId="0" borderId="0" xfId="0" applyBorder="1" applyAlignment="1">
      <alignment horizontal="center" vertical="center" wrapText="1"/>
    </xf>
    <xf numFmtId="0" fontId="0" fillId="0" borderId="0" xfId="0" applyBorder="1" applyAlignment="1" applyProtection="1">
      <alignment vertical="center"/>
    </xf>
    <xf numFmtId="0" fontId="12" fillId="0" borderId="16" xfId="0" applyFont="1" applyBorder="1" applyAlignment="1">
      <alignment horizontal="center" vertical="center" wrapText="1"/>
    </xf>
    <xf numFmtId="0" fontId="12" fillId="0" borderId="16" xfId="0" applyFont="1" applyBorder="1" applyAlignment="1" applyProtection="1">
      <alignment horizontal="center" vertical="center"/>
    </xf>
    <xf numFmtId="0" fontId="32" fillId="0" borderId="0" xfId="0" applyFont="1" applyAlignment="1">
      <alignment vertical="center"/>
    </xf>
    <xf numFmtId="171" fontId="12" fillId="0" borderId="16" xfId="0" applyNumberFormat="1" applyFont="1" applyFill="1" applyBorder="1" applyAlignment="1">
      <alignment horizontal="center" vertical="center"/>
    </xf>
    <xf numFmtId="169" fontId="12" fillId="0" borderId="16" xfId="0" applyNumberFormat="1" applyFont="1" applyFill="1" applyBorder="1" applyAlignment="1">
      <alignment horizontal="center" vertical="center"/>
    </xf>
    <xf numFmtId="0" fontId="57" fillId="0" borderId="0" xfId="0" applyFont="1" applyAlignment="1">
      <alignment horizontal="right" vertical="center" wrapText="1"/>
    </xf>
    <xf numFmtId="1" fontId="0" fillId="0" borderId="16" xfId="0" applyNumberFormat="1" applyBorder="1" applyAlignment="1">
      <alignment horizontal="center" vertical="center"/>
    </xf>
    <xf numFmtId="0" fontId="44" fillId="0" borderId="0" xfId="0" applyFont="1" applyAlignment="1">
      <alignment horizontal="center" vertical="top"/>
    </xf>
    <xf numFmtId="0" fontId="44" fillId="0" borderId="0" xfId="0" applyFont="1" applyAlignment="1">
      <alignment vertical="top"/>
    </xf>
    <xf numFmtId="0" fontId="43" fillId="0" borderId="0" xfId="0" applyFont="1" applyAlignment="1">
      <alignment horizontal="right" vertical="top"/>
    </xf>
    <xf numFmtId="0" fontId="0" fillId="0" borderId="0" xfId="0" applyAlignment="1">
      <alignment vertical="top"/>
    </xf>
    <xf numFmtId="0" fontId="43" fillId="0" borderId="0" xfId="0" applyFont="1" applyAlignment="1">
      <alignment horizontal="center" vertical="top"/>
    </xf>
    <xf numFmtId="0" fontId="43" fillId="0" borderId="0" xfId="0" applyFont="1" applyAlignment="1" applyProtection="1">
      <alignment horizontal="right" vertical="top" readingOrder="2"/>
    </xf>
    <xf numFmtId="0" fontId="57" fillId="0" borderId="0" xfId="0" applyFont="1" applyAlignment="1">
      <alignment horizontal="right"/>
    </xf>
    <xf numFmtId="0" fontId="57" fillId="0" borderId="0" xfId="0" applyFont="1" applyAlignment="1"/>
    <xf numFmtId="0" fontId="12" fillId="0" borderId="16" xfId="0" applyFont="1" applyBorder="1" applyAlignment="1">
      <alignment horizontal="center" vertical="center" wrapText="1"/>
    </xf>
    <xf numFmtId="1" fontId="0" fillId="20" borderId="16" xfId="0" applyNumberFormat="1" applyFill="1" applyBorder="1" applyAlignment="1">
      <alignment horizontal="center" vertical="center"/>
    </xf>
    <xf numFmtId="0" fontId="0" fillId="20" borderId="16" xfId="0" applyFill="1"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26" fillId="0" borderId="16" xfId="0" applyFont="1" applyBorder="1" applyAlignment="1">
      <alignment horizontal="center" vertical="center"/>
    </xf>
    <xf numFmtId="166" fontId="26" fillId="0" borderId="16" xfId="0" applyNumberFormat="1" applyFont="1" applyBorder="1" applyAlignment="1">
      <alignment horizontal="center" vertical="center"/>
    </xf>
    <xf numFmtId="0" fontId="28" fillId="0" borderId="0" xfId="0" applyFont="1" applyAlignment="1" applyProtection="1">
      <alignment horizontal="center" vertical="center" readingOrder="2"/>
    </xf>
    <xf numFmtId="0" fontId="28" fillId="0" borderId="0" xfId="0" applyFont="1" applyFill="1" applyAlignment="1" applyProtection="1">
      <alignment horizontal="center" vertical="center" readingOrder="2"/>
    </xf>
    <xf numFmtId="0" fontId="28" fillId="0" borderId="16" xfId="0" applyFont="1" applyFill="1" applyBorder="1" applyAlignment="1" applyProtection="1">
      <alignment horizontal="center" vertical="center" readingOrder="2"/>
    </xf>
    <xf numFmtId="0" fontId="0" fillId="0" borderId="16" xfId="0" applyBorder="1" applyAlignment="1">
      <alignment horizontal="center"/>
    </xf>
    <xf numFmtId="0" fontId="0" fillId="23" borderId="16" xfId="0" applyFill="1" applyBorder="1" applyAlignment="1" applyProtection="1">
      <alignment horizontal="center" vertical="center"/>
    </xf>
    <xf numFmtId="0" fontId="65" fillId="15" borderId="16" xfId="0" applyFont="1" applyFill="1" applyBorder="1" applyAlignment="1">
      <alignment horizontal="center" vertical="center"/>
    </xf>
    <xf numFmtId="0" fontId="65" fillId="15" borderId="16" xfId="0" applyFont="1" applyFill="1" applyBorder="1" applyAlignment="1">
      <alignment vertical="center"/>
    </xf>
    <xf numFmtId="0" fontId="0" fillId="0" borderId="16" xfId="0" applyBorder="1" applyAlignment="1">
      <alignment horizontal="center" vertical="center"/>
    </xf>
    <xf numFmtId="0" fontId="1" fillId="4" borderId="14" xfId="0" applyFont="1" applyFill="1" applyBorder="1" applyAlignment="1" applyProtection="1">
      <alignment horizontal="center" vertical="center"/>
      <protection locked="0"/>
    </xf>
    <xf numFmtId="0" fontId="67" fillId="0" borderId="16" xfId="0" applyFont="1" applyBorder="1" applyAlignment="1" applyProtection="1">
      <alignment horizontal="center" vertical="center"/>
      <protection locked="0"/>
    </xf>
    <xf numFmtId="0" fontId="0" fillId="0" borderId="16" xfId="0" applyBorder="1" applyAlignment="1">
      <alignment horizontal="center" vertical="center"/>
    </xf>
    <xf numFmtId="0" fontId="44" fillId="0" borderId="16" xfId="0" applyFont="1" applyFill="1" applyBorder="1" applyAlignment="1">
      <alignment horizontal="center" vertical="center"/>
    </xf>
    <xf numFmtId="1" fontId="58" fillId="0" borderId="16" xfId="0" applyNumberFormat="1" applyFont="1" applyFill="1" applyBorder="1" applyAlignment="1">
      <alignment horizontal="center" vertical="center"/>
    </xf>
    <xf numFmtId="166" fontId="0" fillId="0" borderId="0" xfId="0" applyNumberFormat="1" applyFill="1" applyAlignment="1">
      <alignment horizontal="center"/>
    </xf>
    <xf numFmtId="169" fontId="44" fillId="0" borderId="16" xfId="0" applyNumberFormat="1" applyFont="1" applyFill="1" applyBorder="1" applyAlignment="1">
      <alignment horizontal="center" vertical="center"/>
    </xf>
    <xf numFmtId="0" fontId="68" fillId="0" borderId="16" xfId="0" applyFont="1" applyFill="1" applyBorder="1" applyAlignment="1">
      <alignment horizontal="center" vertical="center"/>
    </xf>
    <xf numFmtId="0" fontId="68" fillId="0" borderId="16" xfId="0" applyFont="1" applyFill="1" applyBorder="1" applyAlignment="1">
      <alignment horizontal="center"/>
    </xf>
    <xf numFmtId="166" fontId="68" fillId="0" borderId="16" xfId="0" applyNumberFormat="1" applyFont="1" applyFill="1" applyBorder="1" applyAlignment="1">
      <alignment horizontal="center" vertical="center"/>
    </xf>
    <xf numFmtId="171" fontId="58" fillId="0" borderId="16" xfId="0" applyNumberFormat="1" applyFont="1" applyFill="1" applyBorder="1" applyAlignment="1">
      <alignment horizontal="center" vertical="center"/>
    </xf>
    <xf numFmtId="169" fontId="58" fillId="0" borderId="16" xfId="0" applyNumberFormat="1" applyFont="1" applyFill="1" applyBorder="1" applyAlignment="1">
      <alignment horizontal="center" vertical="center"/>
    </xf>
    <xf numFmtId="0" fontId="12" fillId="0" borderId="16" xfId="0" applyFont="1" applyFill="1" applyBorder="1" applyAlignment="1" applyProtection="1">
      <alignment horizontal="center" vertical="center" wrapText="1"/>
    </xf>
    <xf numFmtId="0" fontId="0" fillId="0" borderId="0" xfId="0" applyFill="1" applyAlignment="1">
      <alignment horizontal="center" vertical="center"/>
    </xf>
    <xf numFmtId="0" fontId="0" fillId="0" borderId="16" xfId="0" applyBorder="1" applyAlignment="1">
      <alignment horizontal="center" vertical="center"/>
    </xf>
    <xf numFmtId="0" fontId="12" fillId="0" borderId="17" xfId="0" applyFont="1" applyBorder="1" applyAlignment="1" applyProtection="1">
      <alignment horizontal="center" vertical="center"/>
    </xf>
    <xf numFmtId="0" fontId="70" fillId="0" borderId="16" xfId="0" applyFont="1" applyBorder="1" applyAlignment="1">
      <alignment horizontal="center" vertical="center"/>
    </xf>
    <xf numFmtId="0" fontId="70" fillId="24" borderId="16" xfId="0" applyFont="1" applyFill="1" applyBorder="1" applyAlignment="1">
      <alignment horizontal="center" vertical="center"/>
    </xf>
    <xf numFmtId="0" fontId="71" fillId="25" borderId="16" xfId="0" applyFont="1" applyFill="1" applyBorder="1" applyAlignment="1">
      <alignment horizontal="center" wrapText="1"/>
    </xf>
    <xf numFmtId="0" fontId="71" fillId="0" borderId="16" xfId="0" applyFont="1" applyBorder="1" applyAlignment="1">
      <alignment horizontal="center" wrapText="1"/>
    </xf>
    <xf numFmtId="0" fontId="67" fillId="0" borderId="16" xfId="0" applyFont="1" applyBorder="1" applyAlignment="1">
      <alignment horizontal="center" wrapText="1"/>
    </xf>
    <xf numFmtId="0" fontId="72" fillId="26" borderId="16" xfId="0" applyFont="1" applyFill="1" applyBorder="1" applyAlignment="1">
      <alignment horizontal="center" wrapText="1"/>
    </xf>
    <xf numFmtId="0" fontId="73" fillId="26" borderId="16" xfId="0" applyFont="1" applyFill="1" applyBorder="1" applyAlignment="1">
      <alignment horizontal="center" wrapText="1"/>
    </xf>
    <xf numFmtId="0" fontId="74" fillId="25" borderId="16" xfId="0" applyFont="1" applyFill="1" applyBorder="1" applyAlignment="1">
      <alignment horizontal="center" vertical="center" wrapText="1"/>
    </xf>
    <xf numFmtId="0" fontId="69" fillId="26" borderId="16" xfId="0" applyFont="1" applyFill="1" applyBorder="1" applyAlignment="1">
      <alignment horizontal="center" wrapText="1"/>
    </xf>
    <xf numFmtId="0" fontId="24" fillId="0" borderId="16" xfId="0" applyFont="1" applyBorder="1" applyAlignment="1">
      <alignment horizontal="center" wrapText="1"/>
    </xf>
    <xf numFmtId="0" fontId="75" fillId="0" borderId="34" xfId="0" applyFont="1" applyBorder="1" applyAlignment="1">
      <alignment horizontal="center" vertical="center"/>
    </xf>
    <xf numFmtId="0" fontId="58" fillId="0" borderId="34" xfId="0" applyFont="1" applyBorder="1" applyAlignment="1">
      <alignment horizontal="center" vertical="center"/>
    </xf>
    <xf numFmtId="0" fontId="75" fillId="0" borderId="35" xfId="0" applyFont="1" applyBorder="1" applyAlignment="1">
      <alignment horizontal="center" vertical="center"/>
    </xf>
    <xf numFmtId="0" fontId="76" fillId="0" borderId="35" xfId="0" applyFont="1" applyBorder="1" applyAlignment="1">
      <alignment horizontal="center" vertical="center"/>
    </xf>
    <xf numFmtId="0" fontId="58" fillId="0" borderId="34" xfId="0" applyFont="1" applyBorder="1" applyAlignment="1">
      <alignment horizontal="left" vertical="center" wrapText="1"/>
    </xf>
    <xf numFmtId="0" fontId="58" fillId="0" borderId="36" xfId="0" applyFont="1" applyBorder="1" applyAlignment="1">
      <alignment horizontal="center" vertical="center"/>
    </xf>
    <xf numFmtId="0" fontId="58" fillId="0" borderId="37" xfId="0" applyFont="1" applyBorder="1" applyAlignment="1">
      <alignment horizontal="center" vertical="center"/>
    </xf>
    <xf numFmtId="0" fontId="58" fillId="0" borderId="38" xfId="0" applyFont="1" applyBorder="1" applyAlignment="1">
      <alignment horizontal="center" vertical="center"/>
    </xf>
    <xf numFmtId="0" fontId="57" fillId="0" borderId="20" xfId="0" applyFont="1" applyFill="1" applyBorder="1" applyAlignment="1">
      <alignment horizontal="center" vertical="center"/>
    </xf>
    <xf numFmtId="0" fontId="42" fillId="0" borderId="0" xfId="0" applyFont="1" applyBorder="1" applyAlignment="1">
      <alignment horizontal="center" vertical="center"/>
    </xf>
    <xf numFmtId="0" fontId="43" fillId="0" borderId="0" xfId="0" applyFont="1" applyBorder="1" applyAlignment="1">
      <alignment vertical="center" wrapText="1"/>
    </xf>
    <xf numFmtId="0" fontId="43" fillId="0" borderId="0" xfId="0" applyFont="1" applyBorder="1" applyAlignment="1">
      <alignment horizontal="right" vertical="center"/>
    </xf>
    <xf numFmtId="0" fontId="43" fillId="0" borderId="0" xfId="0" applyFont="1" applyBorder="1" applyAlignment="1">
      <alignment horizontal="right" vertical="center" wrapText="1"/>
    </xf>
    <xf numFmtId="0" fontId="44" fillId="0" borderId="0" xfId="0" applyFont="1" applyBorder="1" applyAlignment="1">
      <alignment vertical="center"/>
    </xf>
    <xf numFmtId="0" fontId="77" fillId="0" borderId="0" xfId="0" applyFont="1" applyBorder="1" applyAlignment="1">
      <alignment horizontal="center" vertical="center"/>
    </xf>
    <xf numFmtId="0" fontId="78" fillId="0" borderId="0" xfId="0" applyFont="1" applyBorder="1" applyAlignment="1">
      <alignment vertical="center"/>
    </xf>
    <xf numFmtId="0" fontId="78" fillId="0" borderId="0" xfId="0" applyFont="1" applyBorder="1" applyAlignment="1">
      <alignment horizontal="center" vertical="center"/>
    </xf>
    <xf numFmtId="0" fontId="79" fillId="0" borderId="0" xfId="0" applyFont="1" applyBorder="1" applyAlignment="1">
      <alignment horizontal="center" vertical="center"/>
    </xf>
    <xf numFmtId="0" fontId="26" fillId="0" borderId="20" xfId="0" applyFont="1" applyBorder="1" applyAlignment="1">
      <alignment horizontal="center" vertical="center"/>
    </xf>
    <xf numFmtId="166" fontId="26" fillId="0" borderId="20" xfId="0" applyNumberFormat="1" applyFont="1" applyBorder="1" applyAlignment="1">
      <alignment horizontal="center" vertical="center"/>
    </xf>
    <xf numFmtId="0" fontId="28" fillId="0" borderId="0" xfId="0" applyFont="1" applyFill="1" applyBorder="1" applyAlignment="1" applyProtection="1">
      <alignment vertical="center" readingOrder="2"/>
    </xf>
    <xf numFmtId="0" fontId="28" fillId="0" borderId="20" xfId="0" applyFont="1" applyFill="1" applyBorder="1" applyAlignment="1" applyProtection="1">
      <alignment horizontal="center" vertical="center" readingOrder="2"/>
    </xf>
    <xf numFmtId="0" fontId="28" fillId="0" borderId="0" xfId="0" applyFont="1" applyBorder="1" applyAlignment="1" applyProtection="1">
      <alignment vertical="center" readingOrder="2"/>
    </xf>
    <xf numFmtId="0" fontId="44" fillId="0" borderId="16" xfId="0" applyFont="1" applyFill="1" applyBorder="1" applyAlignment="1">
      <alignment horizontal="center" vertical="center"/>
    </xf>
    <xf numFmtId="0" fontId="26" fillId="0" borderId="16" xfId="0" applyFont="1" applyFill="1" applyBorder="1" applyAlignment="1">
      <alignment horizontal="center" vertical="center"/>
    </xf>
    <xf numFmtId="0" fontId="57" fillId="0" borderId="16" xfId="0" applyFont="1" applyFill="1" applyBorder="1" applyAlignment="1">
      <alignment horizontal="center" vertical="center"/>
    </xf>
    <xf numFmtId="0" fontId="43" fillId="0" borderId="0" xfId="0" applyFont="1" applyBorder="1" applyAlignment="1" applyProtection="1">
      <alignment horizontal="right" vertical="center" readingOrder="2"/>
    </xf>
    <xf numFmtId="0" fontId="44" fillId="0" borderId="0" xfId="0" applyFont="1" applyBorder="1" applyAlignment="1">
      <alignment horizontal="center" vertical="center"/>
    </xf>
    <xf numFmtId="0" fontId="80" fillId="0" borderId="0" xfId="0" applyFont="1" applyBorder="1" applyAlignment="1">
      <alignment horizontal="center" vertical="center"/>
    </xf>
    <xf numFmtId="0" fontId="80" fillId="0" borderId="0" xfId="0" applyFont="1" applyBorder="1" applyAlignment="1">
      <alignment vertical="center"/>
    </xf>
    <xf numFmtId="0" fontId="0" fillId="0" borderId="17" xfId="0" applyBorder="1" applyAlignment="1">
      <alignment vertical="center"/>
    </xf>
    <xf numFmtId="0" fontId="25" fillId="22" borderId="16" xfId="0" applyFont="1" applyFill="1" applyBorder="1" applyAlignment="1">
      <alignment vertical="center"/>
    </xf>
    <xf numFmtId="0" fontId="58" fillId="22" borderId="16" xfId="0" applyFont="1" applyFill="1" applyBorder="1" applyAlignment="1">
      <alignment vertical="center"/>
    </xf>
    <xf numFmtId="169" fontId="56" fillId="22" borderId="16" xfId="0" applyNumberFormat="1" applyFont="1" applyFill="1" applyBorder="1" applyAlignment="1">
      <alignment horizontal="center" vertical="center"/>
    </xf>
    <xf numFmtId="1" fontId="55" fillId="0" borderId="20" xfId="0" applyNumberFormat="1" applyFont="1" applyFill="1" applyBorder="1" applyAlignment="1">
      <alignment horizontal="center"/>
    </xf>
    <xf numFmtId="0" fontId="0" fillId="0" borderId="16" xfId="0" applyBorder="1" applyAlignment="1">
      <alignment horizontal="center" vertical="center"/>
    </xf>
    <xf numFmtId="0" fontId="3" fillId="7" borderId="16" xfId="0" applyFont="1" applyFill="1" applyBorder="1" applyAlignment="1" applyProtection="1">
      <alignment horizontal="center" vertical="center"/>
    </xf>
    <xf numFmtId="0" fontId="55" fillId="0" borderId="16" xfId="0" applyFont="1" applyFill="1" applyBorder="1"/>
    <xf numFmtId="0" fontId="55" fillId="0" borderId="16" xfId="0" quotePrefix="1" applyFont="1" applyFill="1" applyBorder="1" applyAlignment="1">
      <alignment horizontal="left" vertical="center" indent="1"/>
    </xf>
    <xf numFmtId="0" fontId="11" fillId="0" borderId="20" xfId="0" applyFont="1" applyFill="1" applyBorder="1" applyAlignment="1" applyProtection="1">
      <alignment horizontal="center" vertical="center"/>
      <protection locked="0"/>
    </xf>
    <xf numFmtId="0" fontId="81" fillId="0" borderId="16" xfId="0" applyFont="1" applyBorder="1" applyAlignment="1">
      <alignment vertical="center" wrapText="1"/>
    </xf>
    <xf numFmtId="49" fontId="0" fillId="0" borderId="16" xfId="0" applyNumberFormat="1" applyBorder="1" applyAlignment="1">
      <alignment horizontal="center" vertical="center"/>
    </xf>
    <xf numFmtId="49" fontId="55" fillId="0" borderId="16" xfId="0" applyNumberFormat="1" applyFont="1" applyBorder="1" applyAlignment="1">
      <alignment horizontal="center" vertical="center"/>
    </xf>
    <xf numFmtId="49" fontId="55" fillId="0" borderId="16" xfId="0" applyNumberFormat="1" applyFont="1" applyFill="1" applyBorder="1" applyAlignment="1">
      <alignment horizontal="center" vertical="center"/>
    </xf>
    <xf numFmtId="49" fontId="0" fillId="0" borderId="0" xfId="0" applyNumberFormat="1" applyAlignment="1">
      <alignment horizontal="center"/>
    </xf>
    <xf numFmtId="0" fontId="0" fillId="0" borderId="16" xfId="0" applyBorder="1" applyAlignment="1">
      <alignment horizontal="center" vertical="center"/>
    </xf>
    <xf numFmtId="0" fontId="53" fillId="0" borderId="16" xfId="0" applyFont="1" applyBorder="1" applyAlignment="1">
      <alignment horizontal="center" vertical="center"/>
    </xf>
    <xf numFmtId="0" fontId="53" fillId="15" borderId="16" xfId="0" applyFont="1" applyFill="1" applyBorder="1" applyAlignment="1">
      <alignment horizontal="center" vertical="center"/>
    </xf>
    <xf numFmtId="0" fontId="76" fillId="0" borderId="38" xfId="0" applyFont="1" applyBorder="1" applyAlignment="1">
      <alignment horizontal="center" vertical="center"/>
    </xf>
    <xf numFmtId="0" fontId="76" fillId="0" borderId="34" xfId="0" applyFont="1" applyBorder="1" applyAlignment="1">
      <alignment horizontal="center" vertical="center"/>
    </xf>
    <xf numFmtId="0" fontId="70" fillId="27" borderId="0" xfId="0" applyFont="1" applyFill="1" applyAlignment="1">
      <alignment horizontal="center" vertical="center"/>
    </xf>
    <xf numFmtId="0" fontId="71" fillId="0" borderId="16" xfId="0" applyFont="1" applyBorder="1" applyAlignment="1">
      <alignment horizontal="center" vertical="center" wrapText="1"/>
    </xf>
    <xf numFmtId="0" fontId="82" fillId="0" borderId="16" xfId="0" applyFont="1" applyBorder="1" applyAlignment="1">
      <alignment horizontal="center" vertical="center" wrapText="1"/>
    </xf>
    <xf numFmtId="0" fontId="83" fillId="0" borderId="16" xfId="0" applyFont="1" applyBorder="1" applyAlignment="1">
      <alignment horizontal="center" vertical="center" wrapText="1"/>
    </xf>
    <xf numFmtId="0" fontId="3" fillId="7" borderId="16" xfId="0" applyFont="1" applyFill="1" applyBorder="1" applyAlignment="1" applyProtection="1">
      <alignment vertical="center" wrapText="1"/>
    </xf>
    <xf numFmtId="0" fontId="3" fillId="7" borderId="16" xfId="0" applyFont="1" applyFill="1" applyBorder="1" applyAlignment="1" applyProtection="1"/>
    <xf numFmtId="0" fontId="0" fillId="0" borderId="0" xfId="0" applyAlignment="1">
      <alignment vertical="center" wrapText="1"/>
    </xf>
    <xf numFmtId="0" fontId="11" fillId="0" borderId="18" xfId="0" applyFont="1" applyBorder="1" applyAlignment="1" applyProtection="1">
      <alignment horizontal="center" vertical="center" wrapText="1"/>
    </xf>
    <xf numFmtId="0" fontId="11" fillId="0" borderId="18" xfId="0" applyFont="1" applyFill="1" applyBorder="1" applyAlignment="1" applyProtection="1">
      <alignment horizontal="center" vertical="center" wrapText="1"/>
    </xf>
    <xf numFmtId="1" fontId="55" fillId="21" borderId="20" xfId="0" applyNumberFormat="1" applyFont="1" applyFill="1" applyBorder="1" applyAlignment="1">
      <alignment horizontal="center" wrapText="1"/>
    </xf>
    <xf numFmtId="1" fontId="55" fillId="0" borderId="20" xfId="0" applyNumberFormat="1" applyFont="1" applyFill="1" applyBorder="1" applyAlignment="1">
      <alignment horizontal="center" wrapText="1"/>
    </xf>
    <xf numFmtId="49" fontId="55" fillId="0" borderId="20" xfId="0" applyNumberFormat="1" applyFont="1" applyFill="1" applyBorder="1" applyAlignment="1" applyProtection="1">
      <alignment horizontal="center" vertical="center" wrapText="1"/>
      <protection locked="0"/>
    </xf>
    <xf numFmtId="0" fontId="11" fillId="0" borderId="20" xfId="0" applyFont="1" applyFill="1" applyBorder="1" applyAlignment="1" applyProtection="1">
      <alignment horizontal="center" vertical="center" wrapText="1"/>
      <protection locked="0"/>
    </xf>
    <xf numFmtId="49" fontId="0" fillId="0" borderId="16" xfId="0" applyNumberFormat="1" applyBorder="1" applyAlignment="1">
      <alignment horizontal="center" vertical="center" wrapText="1"/>
    </xf>
    <xf numFmtId="49" fontId="55" fillId="0" borderId="16" xfId="0" applyNumberFormat="1" applyFont="1" applyBorder="1" applyAlignment="1">
      <alignment horizontal="center" vertical="center" wrapText="1"/>
    </xf>
    <xf numFmtId="49" fontId="55" fillId="0" borderId="16" xfId="0" applyNumberFormat="1" applyFont="1" applyFill="1" applyBorder="1" applyAlignment="1">
      <alignment horizontal="center" vertical="center" wrapText="1"/>
    </xf>
    <xf numFmtId="0" fontId="0" fillId="0" borderId="16" xfId="0" applyBorder="1" applyAlignment="1">
      <alignment horizontal="center" wrapText="1"/>
    </xf>
    <xf numFmtId="49" fontId="0" fillId="0" borderId="0" xfId="0" applyNumberFormat="1" applyAlignment="1">
      <alignment horizontal="center" wrapText="1"/>
    </xf>
    <xf numFmtId="0" fontId="55" fillId="21" borderId="16" xfId="0" quotePrefix="1" applyFont="1" applyFill="1" applyBorder="1" applyAlignment="1">
      <alignment horizontal="center" vertical="center" wrapText="1"/>
    </xf>
    <xf numFmtId="0" fontId="55" fillId="0" borderId="16" xfId="0" quotePrefix="1" applyFont="1" applyFill="1" applyBorder="1" applyAlignment="1">
      <alignment horizontal="center" vertical="center" wrapText="1"/>
    </xf>
    <xf numFmtId="0" fontId="11" fillId="0" borderId="16" xfId="0" applyFont="1" applyFill="1" applyBorder="1" applyAlignment="1" applyProtection="1">
      <alignment horizontal="center" vertical="center" wrapText="1"/>
      <protection locked="0"/>
    </xf>
    <xf numFmtId="0" fontId="55" fillId="0" borderId="16" xfId="0" applyFont="1" applyBorder="1" applyAlignment="1">
      <alignment vertical="center" wrapText="1"/>
    </xf>
    <xf numFmtId="168" fontId="55" fillId="0" borderId="16" xfId="0" applyNumberFormat="1" applyFont="1" applyBorder="1" applyAlignment="1">
      <alignment vertical="center" wrapText="1"/>
    </xf>
    <xf numFmtId="0" fontId="55" fillId="0" borderId="16" xfId="0" applyFont="1" applyFill="1" applyBorder="1" applyAlignment="1">
      <alignment vertical="center" wrapText="1"/>
    </xf>
    <xf numFmtId="167" fontId="55" fillId="0" borderId="16" xfId="0" applyNumberFormat="1" applyFont="1" applyBorder="1" applyAlignment="1">
      <alignment horizontal="center" vertical="center" wrapText="1"/>
    </xf>
    <xf numFmtId="167" fontId="55" fillId="0" borderId="16" xfId="0" applyNumberFormat="1" applyFont="1" applyFill="1" applyBorder="1" applyAlignment="1">
      <alignment horizontal="center" vertical="center" wrapText="1"/>
    </xf>
    <xf numFmtId="167" fontId="55" fillId="0" borderId="16" xfId="0" quotePrefix="1" applyNumberFormat="1" applyFont="1" applyBorder="1" applyAlignment="1">
      <alignment horizontal="center" vertical="center" wrapText="1"/>
    </xf>
    <xf numFmtId="164" fontId="11" fillId="0" borderId="16" xfId="0" applyNumberFormat="1" applyFont="1" applyFill="1" applyBorder="1" applyAlignment="1" applyProtection="1">
      <alignment horizontal="center" vertical="center" wrapText="1"/>
      <protection locked="0"/>
    </xf>
    <xf numFmtId="0" fontId="55" fillId="21" borderId="16" xfId="0" applyFont="1" applyFill="1" applyBorder="1" applyAlignment="1">
      <alignment horizontal="center" wrapText="1"/>
    </xf>
    <xf numFmtId="167" fontId="55" fillId="0" borderId="16" xfId="0" applyNumberFormat="1" applyFont="1" applyBorder="1" applyAlignment="1">
      <alignment vertical="center" wrapText="1"/>
    </xf>
    <xf numFmtId="167" fontId="55" fillId="0" borderId="16" xfId="0" applyNumberFormat="1" applyFont="1" applyFill="1" applyBorder="1" applyAlignment="1">
      <alignment vertical="center" wrapText="1"/>
    </xf>
    <xf numFmtId="49" fontId="55" fillId="0" borderId="16" xfId="0" applyNumberFormat="1" applyFont="1" applyFill="1" applyBorder="1" applyAlignment="1" applyProtection="1">
      <alignment horizontal="left" vertical="center" wrapText="1"/>
      <protection locked="0"/>
    </xf>
    <xf numFmtId="0" fontId="55" fillId="21" borderId="16" xfId="0" applyFont="1" applyFill="1" applyBorder="1" applyAlignment="1">
      <alignment wrapText="1"/>
    </xf>
    <xf numFmtId="0" fontId="55" fillId="0" borderId="16" xfId="0" applyFont="1" applyFill="1" applyBorder="1" applyAlignment="1">
      <alignment wrapText="1"/>
    </xf>
    <xf numFmtId="0" fontId="55" fillId="21" borderId="16" xfId="0" applyFont="1" applyFill="1" applyBorder="1" applyAlignment="1">
      <alignment horizontal="center" vertical="center" wrapText="1"/>
    </xf>
    <xf numFmtId="0" fontId="55" fillId="21" borderId="16" xfId="0" quotePrefix="1" applyFont="1" applyFill="1" applyBorder="1" applyAlignment="1">
      <alignment horizontal="left" vertical="center" wrapText="1"/>
    </xf>
    <xf numFmtId="0" fontId="55" fillId="0" borderId="16" xfId="0" quotePrefix="1" applyFont="1" applyFill="1" applyBorder="1" applyAlignment="1">
      <alignment horizontal="left" vertical="center" wrapText="1"/>
    </xf>
    <xf numFmtId="0" fontId="55" fillId="21" borderId="16" xfId="0" applyFont="1" applyFill="1" applyBorder="1" applyAlignment="1" applyProtection="1">
      <alignment horizontal="center" wrapText="1"/>
      <protection locked="0"/>
    </xf>
    <xf numFmtId="0" fontId="11" fillId="21" borderId="16" xfId="2" applyFont="1" applyFill="1" applyBorder="1" applyAlignment="1" applyProtection="1">
      <alignment horizontal="center" vertical="center" wrapText="1"/>
      <protection locked="0"/>
    </xf>
    <xf numFmtId="0" fontId="11" fillId="21" borderId="16" xfId="0" applyFont="1" applyFill="1" applyBorder="1" applyAlignment="1" applyProtection="1">
      <alignment horizontal="center" vertical="center" wrapText="1"/>
      <protection locked="0"/>
    </xf>
    <xf numFmtId="0" fontId="11" fillId="0" borderId="16" xfId="0" applyFont="1" applyBorder="1" applyAlignment="1" applyProtection="1">
      <alignment horizontal="center" vertical="center" wrapText="1"/>
      <protection locked="0"/>
    </xf>
    <xf numFmtId="0" fontId="55" fillId="0" borderId="16" xfId="0" applyFont="1" applyFill="1" applyBorder="1" applyAlignment="1" applyProtection="1">
      <alignment horizontal="center" wrapText="1"/>
      <protection locked="0"/>
    </xf>
    <xf numFmtId="0" fontId="11" fillId="0" borderId="16" xfId="2" applyFont="1" applyBorder="1" applyAlignment="1" applyProtection="1">
      <alignment horizontal="center" vertical="center" wrapText="1"/>
      <protection locked="0"/>
    </xf>
    <xf numFmtId="0" fontId="0" fillId="0" borderId="0" xfId="0" applyAlignment="1">
      <alignment wrapText="1"/>
    </xf>
    <xf numFmtId="0" fontId="3" fillId="7" borderId="16" xfId="0" applyFont="1" applyFill="1" applyBorder="1" applyAlignment="1" applyProtection="1">
      <alignment vertical="center"/>
    </xf>
    <xf numFmtId="0" fontId="85" fillId="0" borderId="0" xfId="0" applyFont="1" applyAlignment="1" applyProtection="1">
      <alignment horizontal="right" vertical="center" readingOrder="2"/>
    </xf>
    <xf numFmtId="0" fontId="39" fillId="0" borderId="0" xfId="0" applyFont="1" applyBorder="1" applyAlignment="1" applyProtection="1">
      <alignment horizontal="center" vertical="center" readingOrder="2"/>
    </xf>
    <xf numFmtId="0" fontId="5" fillId="0" borderId="16" xfId="0" applyFont="1" applyBorder="1" applyAlignment="1" applyProtection="1">
      <alignment horizontal="center" vertical="center" wrapText="1"/>
    </xf>
    <xf numFmtId="0" fontId="13" fillId="3" borderId="16" xfId="0" applyFont="1" applyFill="1" applyBorder="1" applyAlignment="1" applyProtection="1">
      <alignment horizontal="center" vertical="center"/>
    </xf>
    <xf numFmtId="0" fontId="13" fillId="3" borderId="16" xfId="0" applyFont="1" applyFill="1" applyBorder="1" applyAlignment="1" applyProtection="1">
      <alignment horizontal="center" vertical="center" wrapText="1"/>
    </xf>
    <xf numFmtId="0" fontId="12" fillId="15" borderId="16" xfId="0" applyFont="1" applyFill="1" applyBorder="1" applyAlignment="1" applyProtection="1">
      <alignment horizontal="center" vertical="center"/>
    </xf>
    <xf numFmtId="0" fontId="12" fillId="19" borderId="16" xfId="0" applyFont="1" applyFill="1" applyBorder="1" applyAlignment="1" applyProtection="1">
      <alignment horizontal="center" vertical="center"/>
    </xf>
    <xf numFmtId="0" fontId="12" fillId="0" borderId="16"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xf>
    <xf numFmtId="0" fontId="12" fillId="18" borderId="16" xfId="0" applyFont="1" applyFill="1" applyBorder="1" applyAlignment="1" applyProtection="1">
      <alignment horizontal="center" vertical="center" wrapText="1"/>
    </xf>
    <xf numFmtId="0" fontId="12" fillId="8" borderId="16" xfId="0" applyFont="1" applyFill="1" applyBorder="1" applyAlignment="1" applyProtection="1">
      <alignment horizontal="center" vertical="center" wrapText="1"/>
    </xf>
    <xf numFmtId="0" fontId="12" fillId="0" borderId="18" xfId="0" applyFont="1" applyFill="1" applyBorder="1" applyAlignment="1" applyProtection="1">
      <alignment horizontal="center" vertical="center" wrapText="1"/>
    </xf>
    <xf numFmtId="0" fontId="12" fillId="0" borderId="19" xfId="0" applyFont="1" applyFill="1" applyBorder="1" applyAlignment="1" applyProtection="1">
      <alignment horizontal="center" vertical="center" wrapText="1"/>
    </xf>
    <xf numFmtId="0" fontId="12" fillId="0" borderId="20" xfId="0" applyFont="1" applyFill="1" applyBorder="1" applyAlignment="1" applyProtection="1">
      <alignment horizontal="center" vertical="center" wrapText="1"/>
    </xf>
    <xf numFmtId="0" fontId="0" fillId="0" borderId="16" xfId="0" applyBorder="1" applyAlignment="1">
      <alignment horizontal="center" vertical="center" textRotation="90" wrapText="1"/>
    </xf>
    <xf numFmtId="0" fontId="5" fillId="0" borderId="17"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12" fillId="14" borderId="18" xfId="0" applyFont="1" applyFill="1" applyBorder="1" applyAlignment="1" applyProtection="1">
      <alignment horizontal="center" vertical="center"/>
    </xf>
    <xf numFmtId="0" fontId="12" fillId="14" borderId="20" xfId="0" applyFont="1" applyFill="1" applyBorder="1" applyAlignment="1" applyProtection="1">
      <alignment horizontal="center" vertical="center"/>
    </xf>
    <xf numFmtId="0" fontId="12" fillId="14" borderId="25" xfId="0" applyFont="1" applyFill="1" applyBorder="1" applyAlignment="1" applyProtection="1">
      <alignment horizontal="center" vertical="center"/>
    </xf>
    <xf numFmtId="0" fontId="12" fillId="14" borderId="22" xfId="0" applyFont="1" applyFill="1" applyBorder="1" applyAlignment="1" applyProtection="1">
      <alignment horizontal="center" vertical="center"/>
    </xf>
    <xf numFmtId="0" fontId="12" fillId="14" borderId="27" xfId="0" applyFont="1" applyFill="1" applyBorder="1" applyAlignment="1" applyProtection="1">
      <alignment horizontal="center" vertical="center"/>
    </xf>
    <xf numFmtId="0" fontId="12" fillId="14" borderId="23" xfId="0" applyFont="1" applyFill="1" applyBorder="1" applyAlignment="1" applyProtection="1">
      <alignment horizontal="center" vertical="center"/>
    </xf>
    <xf numFmtId="0" fontId="5" fillId="0" borderId="33" xfId="0" applyFont="1" applyBorder="1" applyAlignment="1" applyProtection="1">
      <alignment horizontal="center" vertical="center" wrapText="1"/>
    </xf>
    <xf numFmtId="0" fontId="12" fillId="0" borderId="16" xfId="0" applyFont="1" applyBorder="1" applyAlignment="1" applyProtection="1">
      <alignment horizontal="center" vertical="center"/>
    </xf>
    <xf numFmtId="0" fontId="12" fillId="0" borderId="16" xfId="0" applyFont="1" applyBorder="1" applyAlignment="1" applyProtection="1">
      <alignment horizontal="center" vertical="center" wrapText="1"/>
    </xf>
    <xf numFmtId="0" fontId="26" fillId="0" borderId="16" xfId="0" applyFont="1" applyBorder="1" applyAlignment="1" applyProtection="1">
      <alignment horizontal="center" vertical="center"/>
    </xf>
    <xf numFmtId="0" fontId="12" fillId="15" borderId="18" xfId="0" applyFont="1" applyFill="1" applyBorder="1" applyAlignment="1" applyProtection="1">
      <alignment horizontal="center" vertical="center"/>
    </xf>
    <xf numFmtId="0" fontId="12" fillId="15" borderId="20" xfId="0" applyFont="1" applyFill="1" applyBorder="1" applyAlignment="1" applyProtection="1">
      <alignment horizontal="center" vertical="center"/>
    </xf>
    <xf numFmtId="0" fontId="13" fillId="3" borderId="17" xfId="0" applyFont="1" applyFill="1" applyBorder="1" applyAlignment="1" applyProtection="1">
      <alignment horizontal="center" vertical="center"/>
    </xf>
    <xf numFmtId="0" fontId="13" fillId="3" borderId="33" xfId="0" applyFont="1" applyFill="1" applyBorder="1" applyAlignment="1" applyProtection="1">
      <alignment horizontal="center" vertical="center"/>
    </xf>
    <xf numFmtId="0" fontId="13" fillId="3" borderId="21" xfId="0" applyFont="1" applyFill="1" applyBorder="1" applyAlignment="1" applyProtection="1">
      <alignment horizontal="center" vertical="center"/>
    </xf>
    <xf numFmtId="0" fontId="13" fillId="3" borderId="17" xfId="0" applyFont="1" applyFill="1" applyBorder="1" applyAlignment="1" applyProtection="1">
      <alignment horizontal="center" vertical="center" wrapText="1"/>
    </xf>
    <xf numFmtId="0" fontId="13" fillId="3" borderId="33" xfId="0"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wrapText="1"/>
    </xf>
    <xf numFmtId="0" fontId="12" fillId="15" borderId="25" xfId="0" applyFont="1" applyFill="1" applyBorder="1" applyAlignment="1" applyProtection="1">
      <alignment horizontal="center" vertical="center"/>
    </xf>
    <xf numFmtId="0" fontId="12" fillId="15" borderId="26" xfId="0" applyFont="1" applyFill="1" applyBorder="1" applyAlignment="1" applyProtection="1">
      <alignment horizontal="center" vertical="center"/>
    </xf>
    <xf numFmtId="0" fontId="12" fillId="15" borderId="22" xfId="0" applyFont="1" applyFill="1" applyBorder="1" applyAlignment="1" applyProtection="1">
      <alignment horizontal="center" vertical="center"/>
    </xf>
    <xf numFmtId="0" fontId="12" fillId="15" borderId="31"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15" borderId="32" xfId="0" applyFont="1" applyFill="1" applyBorder="1" applyAlignment="1" applyProtection="1">
      <alignment horizontal="center" vertical="center"/>
    </xf>
    <xf numFmtId="0" fontId="12" fillId="15" borderId="27" xfId="0" applyFont="1" applyFill="1" applyBorder="1" applyAlignment="1" applyProtection="1">
      <alignment horizontal="center" vertical="center"/>
    </xf>
    <xf numFmtId="0" fontId="12" fillId="15" borderId="24" xfId="0" applyFont="1" applyFill="1" applyBorder="1" applyAlignment="1" applyProtection="1">
      <alignment horizontal="center" vertical="center"/>
    </xf>
    <xf numFmtId="0" fontId="12" fillId="15" borderId="23" xfId="0" applyFont="1" applyFill="1" applyBorder="1" applyAlignment="1" applyProtection="1">
      <alignment horizontal="center" vertical="center"/>
    </xf>
    <xf numFmtId="0" fontId="12" fillId="8" borderId="16" xfId="0" applyFont="1" applyFill="1" applyBorder="1" applyAlignment="1" applyProtection="1">
      <alignment horizontal="center" vertical="center"/>
    </xf>
    <xf numFmtId="0" fontId="12" fillId="14" borderId="16" xfId="0" applyFont="1" applyFill="1" applyBorder="1" applyAlignment="1" applyProtection="1">
      <alignment horizontal="center" vertical="center"/>
    </xf>
    <xf numFmtId="0" fontId="12" fillId="8" borderId="18" xfId="0" applyFont="1" applyFill="1" applyBorder="1" applyAlignment="1" applyProtection="1">
      <alignment horizontal="center" vertical="center"/>
    </xf>
    <xf numFmtId="0" fontId="12" fillId="8" borderId="19" xfId="0" applyFont="1" applyFill="1" applyBorder="1" applyAlignment="1" applyProtection="1">
      <alignment horizontal="center" vertical="center"/>
    </xf>
    <xf numFmtId="0" fontId="26" fillId="6" borderId="25" xfId="0" applyFont="1" applyFill="1" applyBorder="1" applyAlignment="1">
      <alignment horizontal="center" vertical="center"/>
    </xf>
    <xf numFmtId="0" fontId="26" fillId="6" borderId="26"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7" xfId="0" applyFont="1" applyFill="1" applyBorder="1" applyAlignment="1">
      <alignment horizontal="center" vertical="center"/>
    </xf>
    <xf numFmtId="0" fontId="26" fillId="6" borderId="24" xfId="0" applyFont="1" applyFill="1" applyBorder="1" applyAlignment="1">
      <alignment horizontal="center" vertical="center"/>
    </xf>
    <xf numFmtId="0" fontId="26" fillId="6" borderId="23" xfId="0" applyFont="1" applyFill="1" applyBorder="1" applyAlignment="1">
      <alignment horizontal="center" vertical="center"/>
    </xf>
    <xf numFmtId="0" fontId="29" fillId="6" borderId="16" xfId="0" applyFont="1" applyFill="1" applyBorder="1" applyAlignment="1" applyProtection="1">
      <alignment horizontal="center" vertical="center"/>
      <protection locked="0"/>
    </xf>
    <xf numFmtId="0" fontId="31" fillId="0" borderId="16" xfId="0" applyFont="1" applyBorder="1" applyAlignment="1">
      <alignment horizontal="left" vertical="center" wrapText="1"/>
    </xf>
    <xf numFmtId="0" fontId="29" fillId="0" borderId="16" xfId="0" applyFont="1" applyBorder="1" applyAlignment="1" applyProtection="1">
      <alignment horizontal="center" vertical="center"/>
      <protection locked="0"/>
    </xf>
    <xf numFmtId="0" fontId="45" fillId="0" borderId="16" xfId="0" applyFont="1" applyBorder="1" applyAlignment="1">
      <alignment horizontal="center" vertical="center"/>
    </xf>
    <xf numFmtId="0" fontId="45" fillId="0" borderId="16" xfId="0" applyFont="1" applyBorder="1" applyAlignment="1">
      <alignment horizontal="center" vertical="center" wrapText="1"/>
    </xf>
    <xf numFmtId="0" fontId="27" fillId="0" borderId="0" xfId="0" applyFont="1" applyAlignment="1" applyProtection="1">
      <alignment horizontal="center" vertical="center" readingOrder="2"/>
    </xf>
    <xf numFmtId="0" fontId="42" fillId="0" borderId="0" xfId="0" applyFont="1" applyAlignment="1">
      <alignment horizontal="center" vertical="center"/>
    </xf>
    <xf numFmtId="0" fontId="41" fillId="0" borderId="0" xfId="0" applyFont="1" applyAlignment="1">
      <alignment horizontal="left"/>
    </xf>
    <xf numFmtId="0" fontId="41" fillId="0" borderId="0" xfId="0" quotePrefix="1" applyFont="1" applyAlignment="1" applyProtection="1">
      <alignment horizontal="left"/>
      <protection locked="0"/>
    </xf>
    <xf numFmtId="0" fontId="41" fillId="0" borderId="16" xfId="0" applyFont="1" applyBorder="1" applyAlignment="1">
      <alignment horizontal="center" vertical="center"/>
    </xf>
    <xf numFmtId="0" fontId="41" fillId="0" borderId="16" xfId="0" applyFont="1" applyBorder="1" applyAlignment="1">
      <alignment horizontal="left" vertical="center"/>
    </xf>
    <xf numFmtId="0" fontId="40" fillId="0" borderId="16" xfId="0" applyFont="1" applyBorder="1" applyAlignment="1">
      <alignment horizontal="center" vertical="center"/>
    </xf>
    <xf numFmtId="166" fontId="40" fillId="0" borderId="16" xfId="0" applyNumberFormat="1" applyFont="1" applyBorder="1" applyAlignment="1">
      <alignment horizontal="center" vertical="center" wrapText="1"/>
    </xf>
    <xf numFmtId="0" fontId="46" fillId="14" borderId="16" xfId="0" applyFont="1" applyFill="1" applyBorder="1" applyAlignment="1">
      <alignment horizontal="center" vertical="center"/>
    </xf>
    <xf numFmtId="0" fontId="46" fillId="14" borderId="16" xfId="0" applyFont="1" applyFill="1" applyBorder="1" applyAlignment="1">
      <alignment horizontal="left" vertical="center"/>
    </xf>
    <xf numFmtId="0" fontId="41" fillId="0" borderId="18" xfId="0" applyFont="1" applyBorder="1" applyAlignment="1">
      <alignment horizontal="center" vertical="center"/>
    </xf>
    <xf numFmtId="0" fontId="41" fillId="0" borderId="20" xfId="0" applyFont="1" applyBorder="1" applyAlignment="1">
      <alignment horizontal="center" vertical="center"/>
    </xf>
    <xf numFmtId="0" fontId="41" fillId="0" borderId="18" xfId="0" applyFont="1" applyBorder="1" applyAlignment="1">
      <alignment horizontal="left" vertical="center"/>
    </xf>
    <xf numFmtId="0" fontId="41" fillId="0" borderId="19" xfId="0" applyFont="1" applyBorder="1" applyAlignment="1">
      <alignment horizontal="left" vertical="center"/>
    </xf>
    <xf numFmtId="0" fontId="41" fillId="0" borderId="20" xfId="0" applyFont="1" applyBorder="1" applyAlignment="1">
      <alignment horizontal="left" vertical="center"/>
    </xf>
    <xf numFmtId="0" fontId="50" fillId="0" borderId="18" xfId="0" applyFont="1" applyBorder="1" applyAlignment="1">
      <alignment horizontal="center" vertical="center"/>
    </xf>
    <xf numFmtId="0" fontId="50" fillId="0" borderId="19" xfId="0" applyFont="1" applyBorder="1" applyAlignment="1">
      <alignment horizontal="center" vertical="center"/>
    </xf>
    <xf numFmtId="0" fontId="50" fillId="0" borderId="20" xfId="0" applyFont="1" applyBorder="1" applyAlignment="1">
      <alignment horizontal="center" vertical="center"/>
    </xf>
    <xf numFmtId="0" fontId="41" fillId="0" borderId="16" xfId="0" applyFont="1" applyFill="1" applyBorder="1" applyAlignment="1">
      <alignment horizontal="left" vertical="center"/>
    </xf>
    <xf numFmtId="0" fontId="40" fillId="0" borderId="16" xfId="0" applyFont="1" applyFill="1" applyBorder="1" applyAlignment="1">
      <alignment horizontal="center" vertical="center"/>
    </xf>
    <xf numFmtId="0" fontId="46" fillId="0" borderId="16" xfId="0" applyFont="1" applyFill="1" applyBorder="1" applyAlignment="1">
      <alignment horizontal="center" vertical="center"/>
    </xf>
    <xf numFmtId="0" fontId="47" fillId="0" borderId="16" xfId="0" applyFont="1" applyBorder="1" applyAlignment="1">
      <alignment horizontal="center" vertical="center"/>
    </xf>
    <xf numFmtId="165" fontId="40" fillId="0" borderId="16" xfId="0" applyNumberFormat="1" applyFont="1" applyBorder="1" applyAlignment="1">
      <alignment horizontal="center" vertical="center"/>
    </xf>
    <xf numFmtId="165" fontId="44" fillId="0" borderId="16" xfId="0" applyNumberFormat="1" applyFont="1" applyBorder="1" applyAlignment="1">
      <alignment horizontal="center" vertical="center"/>
    </xf>
    <xf numFmtId="0" fontId="40" fillId="0" borderId="16" xfId="0" applyFont="1" applyBorder="1" applyAlignment="1">
      <alignment horizontal="left" vertical="center"/>
    </xf>
    <xf numFmtId="0" fontId="48" fillId="0" borderId="16" xfId="0" applyFont="1" applyBorder="1" applyAlignment="1">
      <alignment horizontal="center" vertical="center"/>
    </xf>
    <xf numFmtId="0" fontId="44" fillId="0" borderId="16" xfId="0" applyFont="1" applyBorder="1" applyAlignment="1">
      <alignment horizontal="center" vertical="center"/>
    </xf>
    <xf numFmtId="0" fontId="43" fillId="0" borderId="16" xfId="0" applyFont="1" applyBorder="1" applyAlignment="1">
      <alignment horizontal="center" vertical="center"/>
    </xf>
    <xf numFmtId="0" fontId="49" fillId="0" borderId="16" xfId="0" applyFont="1" applyBorder="1" applyAlignment="1">
      <alignment horizontal="center" vertical="center" wrapText="1"/>
    </xf>
    <xf numFmtId="0" fontId="45" fillId="0" borderId="0" xfId="0" applyFont="1" applyAlignment="1">
      <alignment horizontal="center" vertical="center"/>
    </xf>
    <xf numFmtId="0" fontId="45" fillId="0" borderId="0" xfId="0" applyFont="1" applyAlignment="1">
      <alignment horizontal="center"/>
    </xf>
    <xf numFmtId="0" fontId="47" fillId="0" borderId="16" xfId="0" applyFont="1" applyBorder="1" applyAlignment="1">
      <alignment horizontal="center" vertical="center" wrapText="1"/>
    </xf>
    <xf numFmtId="0" fontId="12" fillId="16" borderId="0" xfId="0" applyFont="1" applyFill="1" applyAlignment="1">
      <alignment horizontal="center" vertical="center"/>
    </xf>
    <xf numFmtId="0" fontId="12" fillId="0" borderId="0" xfId="0" applyFont="1" applyAlignment="1">
      <alignment horizontal="left" vertical="center"/>
    </xf>
    <xf numFmtId="0" fontId="12" fillId="0" borderId="16" xfId="0" applyFont="1" applyBorder="1" applyAlignment="1">
      <alignment horizontal="center" vertical="center"/>
    </xf>
    <xf numFmtId="0" fontId="12" fillId="0" borderId="18"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30" fillId="0" borderId="16" xfId="0" applyFont="1" applyBorder="1" applyAlignment="1">
      <alignment horizontal="center" vertical="center"/>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31" xfId="0" applyBorder="1" applyAlignment="1">
      <alignment horizontal="center" vertical="center" wrapText="1"/>
    </xf>
    <xf numFmtId="0" fontId="0" fillId="0" borderId="0" xfId="0" applyBorder="1" applyAlignment="1">
      <alignment horizontal="center" vertical="center" wrapText="1"/>
    </xf>
    <xf numFmtId="0" fontId="0" fillId="0" borderId="32" xfId="0" applyBorder="1" applyAlignment="1">
      <alignment horizontal="center" vertical="center" wrapText="1"/>
    </xf>
    <xf numFmtId="0" fontId="0" fillId="0" borderId="27" xfId="0" applyBorder="1" applyAlignment="1">
      <alignment horizontal="center" vertical="center" wrapText="1"/>
    </xf>
    <xf numFmtId="0" fontId="0" fillId="0" borderId="24" xfId="0" applyBorder="1" applyAlignment="1">
      <alignment horizontal="center" vertical="center" wrapText="1"/>
    </xf>
    <xf numFmtId="0" fontId="0" fillId="0" borderId="23" xfId="0" applyBorder="1" applyAlignment="1">
      <alignment horizontal="center" vertical="center" wrapText="1"/>
    </xf>
    <xf numFmtId="0" fontId="12" fillId="0" borderId="28" xfId="0" applyFont="1" applyBorder="1" applyAlignment="1">
      <alignment horizontal="left" vertical="center"/>
    </xf>
    <xf numFmtId="0" fontId="5" fillId="0" borderId="0" xfId="0" applyFont="1" applyBorder="1" applyAlignment="1" applyProtection="1">
      <alignment horizontal="left" vertical="center"/>
    </xf>
    <xf numFmtId="0" fontId="0" fillId="0" borderId="0" xfId="0" applyFont="1" applyAlignment="1" applyProtection="1">
      <alignment horizontal="left" vertical="center"/>
    </xf>
    <xf numFmtId="0" fontId="0" fillId="0" borderId="0" xfId="0" applyFont="1" applyBorder="1" applyAlignment="1" applyProtection="1">
      <alignment horizontal="left" vertical="center" wrapText="1"/>
    </xf>
    <xf numFmtId="0" fontId="0" fillId="0" borderId="30" xfId="0" applyBorder="1" applyAlignment="1">
      <alignment horizontal="left" vertical="center" wrapText="1"/>
    </xf>
    <xf numFmtId="0" fontId="0" fillId="0" borderId="0" xfId="0" applyBorder="1" applyAlignment="1" applyProtection="1">
      <alignment horizontal="left"/>
    </xf>
    <xf numFmtId="0" fontId="0" fillId="0" borderId="16" xfId="0" applyBorder="1" applyAlignment="1">
      <alignment horizontal="center" vertical="center"/>
    </xf>
    <xf numFmtId="0" fontId="0" fillId="0" borderId="16" xfId="0" applyBorder="1" applyAlignment="1">
      <alignment horizontal="left" vertical="center" wrapText="1"/>
    </xf>
    <xf numFmtId="0" fontId="0" fillId="0" borderId="16" xfId="0" applyBorder="1" applyAlignment="1">
      <alignment horizontal="left" vertical="center"/>
    </xf>
    <xf numFmtId="0" fontId="28" fillId="0" borderId="16" xfId="0" applyFont="1" applyBorder="1" applyAlignment="1">
      <alignment horizontal="center" vertical="center"/>
    </xf>
    <xf numFmtId="0" fontId="12" fillId="16" borderId="16" xfId="0" applyFont="1" applyFill="1" applyBorder="1" applyAlignment="1">
      <alignment horizontal="left" vertical="center"/>
    </xf>
    <xf numFmtId="0" fontId="12" fillId="20" borderId="16" xfId="0" applyFont="1" applyFill="1" applyBorder="1" applyAlignment="1">
      <alignment horizontal="left" vertical="center"/>
    </xf>
    <xf numFmtId="0" fontId="0" fillId="0" borderId="0" xfId="0" applyFont="1" applyBorder="1" applyAlignment="1" applyProtection="1">
      <alignment horizontal="center" vertical="center" wrapText="1"/>
    </xf>
    <xf numFmtId="165" fontId="0" fillId="0" borderId="16" xfId="0" applyNumberFormat="1" applyFont="1" applyBorder="1" applyAlignment="1">
      <alignment horizontal="center" vertical="center" wrapText="1"/>
    </xf>
    <xf numFmtId="165" fontId="0" fillId="0" borderId="16" xfId="0" applyNumberFormat="1" applyFont="1" applyBorder="1" applyAlignment="1">
      <alignment horizontal="left" vertical="center"/>
    </xf>
    <xf numFmtId="165" fontId="0" fillId="0" borderId="16" xfId="0" applyNumberFormat="1" applyFont="1" applyBorder="1" applyAlignment="1">
      <alignment horizontal="center" vertical="center"/>
    </xf>
    <xf numFmtId="165" fontId="0" fillId="0" borderId="16" xfId="0" applyNumberFormat="1" applyFont="1" applyBorder="1" applyAlignment="1">
      <alignment horizontal="left" vertical="center" wrapText="1"/>
    </xf>
    <xf numFmtId="0" fontId="12" fillId="0" borderId="0" xfId="0" applyFont="1" applyFill="1" applyAlignment="1">
      <alignment horizontal="center" vertical="center"/>
    </xf>
    <xf numFmtId="0" fontId="0" fillId="0" borderId="0" xfId="0" applyFill="1" applyAlignment="1">
      <alignment horizontal="center" vertical="center"/>
    </xf>
    <xf numFmtId="165" fontId="32" fillId="0" borderId="16" xfId="0" applyNumberFormat="1" applyFont="1" applyBorder="1" applyAlignment="1">
      <alignment horizontal="center" vertical="center"/>
    </xf>
    <xf numFmtId="165" fontId="12" fillId="0" borderId="16" xfId="0" applyNumberFormat="1" applyFont="1" applyBorder="1" applyAlignment="1">
      <alignment horizontal="center" vertical="center"/>
    </xf>
    <xf numFmtId="0" fontId="0" fillId="0" borderId="0" xfId="0" applyAlignment="1">
      <alignment horizontal="center" vertical="center"/>
    </xf>
    <xf numFmtId="0" fontId="57" fillId="22" borderId="16" xfId="0" applyFont="1" applyFill="1" applyBorder="1" applyAlignment="1">
      <alignment horizontal="left" vertical="center"/>
    </xf>
    <xf numFmtId="0" fontId="26" fillId="22" borderId="16" xfId="0" applyFont="1" applyFill="1" applyBorder="1" applyAlignment="1">
      <alignment horizontal="right" vertical="center"/>
    </xf>
    <xf numFmtId="0" fontId="60" fillId="22" borderId="16" xfId="0" applyFont="1" applyFill="1" applyBorder="1" applyAlignment="1">
      <alignment horizontal="right" vertical="center"/>
    </xf>
    <xf numFmtId="0" fontId="57" fillId="0" borderId="16" xfId="0" applyFont="1" applyFill="1" applyBorder="1" applyAlignment="1">
      <alignment horizontal="center" vertical="center"/>
    </xf>
    <xf numFmtId="0" fontId="57" fillId="0" borderId="16" xfId="0" applyFont="1" applyFill="1" applyBorder="1" applyAlignment="1">
      <alignment horizontal="left" vertical="center"/>
    </xf>
    <xf numFmtId="0" fontId="26" fillId="0" borderId="16" xfId="0" applyFont="1" applyFill="1" applyBorder="1" applyAlignment="1">
      <alignment horizontal="right" vertical="center"/>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29" fillId="0" borderId="17" xfId="0" applyFont="1" applyBorder="1" applyAlignment="1" applyProtection="1">
      <alignment horizontal="center" vertical="center"/>
      <protection locked="0"/>
    </xf>
    <xf numFmtId="0" fontId="61" fillId="0" borderId="0" xfId="0" applyFont="1" applyBorder="1" applyAlignment="1">
      <alignment horizontal="center" vertical="center"/>
    </xf>
    <xf numFmtId="0" fontId="57" fillId="0" borderId="16" xfId="0" applyFont="1" applyBorder="1" applyAlignment="1">
      <alignment horizontal="center" vertical="center"/>
    </xf>
    <xf numFmtId="0" fontId="59" fillId="0" borderId="16" xfId="0" applyFont="1" applyBorder="1" applyAlignment="1">
      <alignment horizontal="center" vertical="center" wrapText="1"/>
    </xf>
    <xf numFmtId="0" fontId="12" fillId="0" borderId="16" xfId="0" applyFont="1" applyBorder="1" applyAlignment="1">
      <alignment horizontal="center" vertical="center" wrapText="1"/>
    </xf>
    <xf numFmtId="0" fontId="43" fillId="0" borderId="0" xfId="0" applyFont="1" applyBorder="1" applyAlignment="1" applyProtection="1">
      <alignment horizontal="right" vertical="center" readingOrder="2"/>
    </xf>
    <xf numFmtId="0" fontId="43" fillId="0" borderId="0" xfId="0" quotePrefix="1" applyFont="1" applyBorder="1" applyAlignment="1" applyProtection="1">
      <alignment horizontal="center" vertical="center"/>
      <protection locked="0"/>
    </xf>
    <xf numFmtId="0" fontId="44" fillId="0" borderId="0" xfId="0" applyFont="1" applyBorder="1" applyAlignment="1">
      <alignment horizontal="center" vertical="center"/>
    </xf>
    <xf numFmtId="0" fontId="26" fillId="0" borderId="16" xfId="0" applyFont="1" applyBorder="1" applyAlignment="1">
      <alignment horizontal="center" vertical="center"/>
    </xf>
    <xf numFmtId="170" fontId="12" fillId="0" borderId="16" xfId="0" applyNumberFormat="1" applyFont="1" applyBorder="1" applyAlignment="1">
      <alignment horizontal="center" vertical="center"/>
    </xf>
    <xf numFmtId="166" fontId="26" fillId="0" borderId="16" xfId="0" applyNumberFormat="1" applyFont="1" applyBorder="1" applyAlignment="1">
      <alignment horizontal="center" vertical="center"/>
    </xf>
    <xf numFmtId="171" fontId="12" fillId="0" borderId="16" xfId="0" applyNumberFormat="1" applyFont="1" applyBorder="1" applyAlignment="1">
      <alignment horizontal="center" vertical="center"/>
    </xf>
    <xf numFmtId="0" fontId="5" fillId="0" borderId="16" xfId="0" applyFont="1" applyFill="1" applyBorder="1" applyAlignment="1">
      <alignment horizontal="center" vertical="center"/>
    </xf>
    <xf numFmtId="0" fontId="44" fillId="0" borderId="16" xfId="0" applyFont="1" applyFill="1" applyBorder="1" applyAlignment="1">
      <alignment horizontal="center" vertical="center"/>
    </xf>
    <xf numFmtId="0" fontId="26" fillId="0" borderId="16" xfId="0" applyFont="1" applyFill="1" applyBorder="1" applyAlignment="1">
      <alignment horizontal="center" vertical="center"/>
    </xf>
    <xf numFmtId="0" fontId="12" fillId="0" borderId="16" xfId="0" applyFont="1" applyFill="1" applyBorder="1" applyAlignment="1">
      <alignment horizontal="center" vertical="center"/>
    </xf>
    <xf numFmtId="1" fontId="58" fillId="0" borderId="16" xfId="0" applyNumberFormat="1" applyFont="1" applyFill="1" applyBorder="1" applyAlignment="1">
      <alignment horizontal="center" vertical="center"/>
    </xf>
    <xf numFmtId="169" fontId="44" fillId="0" borderId="16" xfId="0" applyNumberFormat="1" applyFont="1" applyFill="1" applyBorder="1" applyAlignment="1">
      <alignment horizontal="center" vertical="center"/>
    </xf>
    <xf numFmtId="0" fontId="80" fillId="0" borderId="0" xfId="0" applyFont="1" applyBorder="1" applyAlignment="1">
      <alignment horizontal="center" vertical="center"/>
    </xf>
    <xf numFmtId="0" fontId="78" fillId="0" borderId="0" xfId="0" applyFont="1" applyBorder="1" applyAlignment="1">
      <alignment horizontal="center" vertical="center"/>
    </xf>
    <xf numFmtId="0" fontId="57" fillId="22" borderId="16" xfId="0" applyFont="1" applyFill="1" applyBorder="1" applyAlignment="1">
      <alignment horizontal="center" vertical="center"/>
    </xf>
    <xf numFmtId="0" fontId="43" fillId="0" borderId="16" xfId="0" applyFont="1" applyBorder="1" applyAlignment="1">
      <alignment horizontal="center" vertical="center" wrapText="1"/>
    </xf>
    <xf numFmtId="0" fontId="25" fillId="22" borderId="16" xfId="0" applyFont="1" applyFill="1" applyBorder="1" applyAlignment="1">
      <alignment horizontal="center" vertical="center"/>
    </xf>
    <xf numFmtId="0" fontId="78" fillId="0" borderId="0" xfId="0" applyFont="1" applyBorder="1" applyAlignment="1">
      <alignment horizontal="center"/>
    </xf>
    <xf numFmtId="0" fontId="12" fillId="22" borderId="0" xfId="0" applyFont="1" applyFill="1" applyAlignment="1">
      <alignment horizontal="center" vertical="center"/>
    </xf>
    <xf numFmtId="0" fontId="0" fillId="0" borderId="16" xfId="0" applyBorder="1" applyAlignment="1">
      <alignment horizontal="center" vertical="center" wrapText="1"/>
    </xf>
    <xf numFmtId="0" fontId="5" fillId="0" borderId="0" xfId="0" applyFont="1" applyBorder="1" applyAlignment="1" applyProtection="1">
      <alignment horizontal="center" vertical="center"/>
    </xf>
    <xf numFmtId="0" fontId="0" fillId="0" borderId="0" xfId="0" applyBorder="1" applyAlignment="1">
      <alignment horizontal="left" vertical="center" wrapText="1"/>
    </xf>
    <xf numFmtId="0" fontId="0" fillId="0" borderId="0" xfId="0" applyFont="1" applyBorder="1" applyAlignment="1" applyProtection="1">
      <alignment horizontal="left" vertical="center"/>
    </xf>
    <xf numFmtId="0" fontId="0" fillId="0" borderId="0" xfId="0" applyBorder="1" applyAlignment="1" applyProtection="1">
      <alignment horizontal="left" vertical="center"/>
    </xf>
    <xf numFmtId="0" fontId="12" fillId="0" borderId="25" xfId="0" applyFont="1" applyBorder="1" applyAlignment="1">
      <alignment horizontal="center" vertical="center"/>
    </xf>
    <xf numFmtId="0" fontId="12" fillId="0" borderId="26" xfId="0" applyFont="1" applyBorder="1" applyAlignment="1">
      <alignment horizontal="center" vertical="center"/>
    </xf>
    <xf numFmtId="0" fontId="12" fillId="0" borderId="22" xfId="0" applyFont="1" applyBorder="1" applyAlignment="1">
      <alignment horizontal="center" vertical="center"/>
    </xf>
    <xf numFmtId="0" fontId="12" fillId="0" borderId="27" xfId="0" applyFont="1" applyBorder="1" applyAlignment="1">
      <alignment horizontal="center" vertical="center"/>
    </xf>
    <xf numFmtId="0" fontId="12" fillId="0" borderId="24" xfId="0" applyFont="1" applyBorder="1" applyAlignment="1">
      <alignment horizontal="center" vertical="center"/>
    </xf>
    <xf numFmtId="0" fontId="12" fillId="0" borderId="23" xfId="0" applyFont="1" applyBorder="1" applyAlignment="1">
      <alignment horizontal="center" vertical="center"/>
    </xf>
    <xf numFmtId="0" fontId="12" fillId="0" borderId="17" xfId="0" applyFont="1" applyBorder="1" applyAlignment="1">
      <alignment horizontal="center" vertical="center"/>
    </xf>
    <xf numFmtId="0" fontId="12" fillId="0" borderId="21" xfId="0" applyFont="1" applyBorder="1" applyAlignment="1">
      <alignment horizontal="center" vertical="center"/>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20" borderId="16" xfId="0" applyFill="1" applyBorder="1" applyAlignment="1">
      <alignment horizontal="center"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12" fillId="22" borderId="18" xfId="0" applyFont="1" applyFill="1" applyBorder="1" applyAlignment="1">
      <alignment horizontal="left" vertical="center"/>
    </xf>
    <xf numFmtId="0" fontId="12" fillId="22" borderId="19" xfId="0" applyFont="1" applyFill="1" applyBorder="1" applyAlignment="1">
      <alignment horizontal="left" vertical="center"/>
    </xf>
    <xf numFmtId="0" fontId="12" fillId="22" borderId="20" xfId="0" applyFont="1" applyFill="1" applyBorder="1" applyAlignment="1">
      <alignment horizontal="left" vertical="center"/>
    </xf>
    <xf numFmtId="0" fontId="12" fillId="22" borderId="25" xfId="0" applyFont="1" applyFill="1" applyBorder="1" applyAlignment="1">
      <alignment horizontal="left" vertical="center"/>
    </xf>
    <xf numFmtId="0" fontId="12" fillId="22" borderId="26" xfId="0" applyFont="1" applyFill="1" applyBorder="1" applyAlignment="1">
      <alignment horizontal="left" vertical="center"/>
    </xf>
    <xf numFmtId="0" fontId="12" fillId="22" borderId="22" xfId="0" applyFont="1" applyFill="1" applyBorder="1" applyAlignment="1">
      <alignment horizontal="left" vertical="center"/>
    </xf>
    <xf numFmtId="165" fontId="0" fillId="0" borderId="18" xfId="0" applyNumberFormat="1" applyFont="1" applyBorder="1" applyAlignment="1">
      <alignment horizontal="center" vertical="center" wrapText="1"/>
    </xf>
    <xf numFmtId="165" fontId="0" fillId="0" borderId="19" xfId="0" applyNumberFormat="1" applyFont="1" applyBorder="1" applyAlignment="1">
      <alignment horizontal="center" vertical="center" wrapText="1"/>
    </xf>
    <xf numFmtId="165" fontId="0" fillId="0" borderId="20" xfId="0" applyNumberFormat="1" applyFont="1" applyBorder="1" applyAlignment="1">
      <alignment horizontal="center" vertical="center" wrapText="1"/>
    </xf>
    <xf numFmtId="165" fontId="0" fillId="0" borderId="18" xfId="0" applyNumberFormat="1" applyFont="1" applyBorder="1" applyAlignment="1">
      <alignment horizontal="center" vertical="center"/>
    </xf>
    <xf numFmtId="165" fontId="0" fillId="0" borderId="20" xfId="0" applyNumberFormat="1" applyFont="1" applyBorder="1" applyAlignment="1">
      <alignment horizontal="center" vertical="center"/>
    </xf>
    <xf numFmtId="0" fontId="51" fillId="0" borderId="18" xfId="0" applyFont="1" applyBorder="1" applyAlignment="1">
      <alignment horizontal="center" vertical="center"/>
    </xf>
    <xf numFmtId="0" fontId="51" fillId="0" borderId="20" xfId="0" applyFont="1" applyBorder="1" applyAlignment="1">
      <alignment horizontal="center" vertical="center"/>
    </xf>
    <xf numFmtId="165" fontId="0" fillId="0" borderId="19" xfId="0" applyNumberFormat="1" applyFont="1" applyBorder="1" applyAlignment="1">
      <alignment horizontal="center" vertical="center"/>
    </xf>
    <xf numFmtId="0" fontId="58" fillId="0" borderId="18" xfId="0" applyFont="1" applyFill="1" applyBorder="1" applyAlignment="1">
      <alignment horizontal="right" vertical="center"/>
    </xf>
    <xf numFmtId="0" fontId="58" fillId="0" borderId="19" xfId="0" applyFont="1" applyFill="1" applyBorder="1" applyAlignment="1">
      <alignment horizontal="right" vertical="center"/>
    </xf>
    <xf numFmtId="0" fontId="58" fillId="0" borderId="20" xfId="0" applyFont="1" applyFill="1" applyBorder="1" applyAlignment="1">
      <alignment horizontal="right" vertical="center"/>
    </xf>
    <xf numFmtId="0" fontId="68" fillId="0" borderId="16" xfId="0" applyFont="1" applyFill="1" applyBorder="1" applyAlignment="1">
      <alignment horizontal="center" vertical="center"/>
    </xf>
    <xf numFmtId="0" fontId="68" fillId="0" borderId="16" xfId="0" applyFont="1" applyFill="1" applyBorder="1" applyAlignment="1">
      <alignment horizontal="left" vertical="center"/>
    </xf>
    <xf numFmtId="0" fontId="57" fillId="16" borderId="19" xfId="0" applyFont="1" applyFill="1" applyBorder="1" applyAlignment="1">
      <alignment horizontal="left" vertical="center"/>
    </xf>
    <xf numFmtId="0" fontId="57" fillId="16" borderId="20" xfId="0" applyFont="1" applyFill="1" applyBorder="1" applyAlignment="1">
      <alignment horizontal="left" vertical="center"/>
    </xf>
    <xf numFmtId="0" fontId="26" fillId="16" borderId="18" xfId="0" applyFont="1" applyFill="1" applyBorder="1" applyAlignment="1">
      <alignment horizontal="right" vertical="center"/>
    </xf>
    <xf numFmtId="0" fontId="60" fillId="16" borderId="19" xfId="0" applyFont="1" applyFill="1" applyBorder="1" applyAlignment="1">
      <alignment horizontal="right" vertical="center"/>
    </xf>
    <xf numFmtId="0" fontId="62" fillId="0" borderId="0" xfId="0" applyFont="1" applyAlignment="1">
      <alignment horizontal="center"/>
    </xf>
    <xf numFmtId="0" fontId="57" fillId="16" borderId="16" xfId="0" applyFont="1" applyFill="1" applyBorder="1" applyAlignment="1">
      <alignment horizontal="left" vertical="center"/>
    </xf>
    <xf numFmtId="0" fontId="68" fillId="0" borderId="18" xfId="0" applyFont="1" applyFill="1" applyBorder="1" applyAlignment="1">
      <alignment horizontal="center" vertical="center"/>
    </xf>
    <xf numFmtId="0" fontId="68" fillId="0" borderId="20" xfId="0" applyFont="1" applyFill="1" applyBorder="1" applyAlignment="1">
      <alignment horizontal="center" vertical="center"/>
    </xf>
    <xf numFmtId="0" fontId="48" fillId="0" borderId="16" xfId="0" applyFont="1" applyBorder="1" applyAlignment="1">
      <alignment horizontal="center" vertical="center" wrapText="1"/>
    </xf>
    <xf numFmtId="0" fontId="12" fillId="16" borderId="18" xfId="0" applyFont="1" applyFill="1" applyBorder="1" applyAlignment="1">
      <alignment horizontal="left" vertical="center"/>
    </xf>
    <xf numFmtId="0" fontId="12" fillId="16" borderId="19" xfId="0" applyFont="1" applyFill="1" applyBorder="1" applyAlignment="1">
      <alignment horizontal="left" vertical="center"/>
    </xf>
    <xf numFmtId="0" fontId="12" fillId="16" borderId="20" xfId="0" applyFont="1" applyFill="1" applyBorder="1" applyAlignment="1">
      <alignment horizontal="left" vertical="center"/>
    </xf>
    <xf numFmtId="0" fontId="57" fillId="0" borderId="18" xfId="0" applyFont="1" applyFill="1" applyBorder="1" applyAlignment="1">
      <alignment horizontal="center"/>
    </xf>
    <xf numFmtId="0" fontId="57" fillId="0" borderId="19" xfId="0" applyFont="1" applyFill="1" applyBorder="1" applyAlignment="1">
      <alignment horizontal="center"/>
    </xf>
    <xf numFmtId="0" fontId="57" fillId="0" borderId="20" xfId="0" applyFont="1" applyFill="1" applyBorder="1" applyAlignment="1">
      <alignment horizontal="center"/>
    </xf>
    <xf numFmtId="166" fontId="57" fillId="0" borderId="18" xfId="0" applyNumberFormat="1" applyFont="1" applyFill="1" applyBorder="1" applyAlignment="1">
      <alignment horizontal="center"/>
    </xf>
    <xf numFmtId="166" fontId="57" fillId="0" borderId="19" xfId="0" applyNumberFormat="1" applyFont="1" applyFill="1" applyBorder="1" applyAlignment="1">
      <alignment horizontal="center"/>
    </xf>
    <xf numFmtId="166" fontId="57" fillId="0" borderId="20" xfId="0" applyNumberFormat="1" applyFont="1" applyFill="1" applyBorder="1" applyAlignment="1">
      <alignment horizontal="center"/>
    </xf>
    <xf numFmtId="0" fontId="25" fillId="16" borderId="18" xfId="0" applyFont="1" applyFill="1" applyBorder="1" applyAlignment="1">
      <alignment horizontal="center" vertical="center"/>
    </xf>
    <xf numFmtId="0" fontId="25" fillId="16" borderId="19" xfId="0" applyFont="1" applyFill="1" applyBorder="1" applyAlignment="1">
      <alignment horizontal="center" vertical="center"/>
    </xf>
    <xf numFmtId="1" fontId="58" fillId="0" borderId="18" xfId="0" applyNumberFormat="1" applyFont="1" applyFill="1" applyBorder="1" applyAlignment="1">
      <alignment horizontal="center"/>
    </xf>
    <xf numFmtId="0" fontId="58" fillId="0" borderId="19" xfId="0" applyFont="1" applyFill="1" applyBorder="1" applyAlignment="1">
      <alignment horizontal="center"/>
    </xf>
    <xf numFmtId="0" fontId="58" fillId="0" borderId="20" xfId="0" applyFont="1" applyFill="1" applyBorder="1" applyAlignment="1">
      <alignment horizontal="center"/>
    </xf>
    <xf numFmtId="1" fontId="44" fillId="0" borderId="18" xfId="0" applyNumberFormat="1" applyFont="1" applyFill="1" applyBorder="1" applyAlignment="1">
      <alignment horizontal="center"/>
    </xf>
    <xf numFmtId="0" fontId="44" fillId="0" borderId="19" xfId="0" applyFont="1" applyFill="1" applyBorder="1" applyAlignment="1">
      <alignment horizontal="center"/>
    </xf>
    <xf numFmtId="0" fontId="44" fillId="0" borderId="20" xfId="0" applyFont="1" applyFill="1" applyBorder="1" applyAlignment="1">
      <alignment horizontal="center"/>
    </xf>
    <xf numFmtId="0" fontId="62" fillId="0" borderId="0" xfId="0" applyFont="1" applyBorder="1" applyAlignment="1">
      <alignment horizontal="center" vertical="center"/>
    </xf>
    <xf numFmtId="0" fontId="84" fillId="0" borderId="0" xfId="0" applyFont="1" applyAlignment="1">
      <alignment horizontal="center" vertical="center"/>
    </xf>
    <xf numFmtId="0" fontId="44" fillId="0" borderId="0" xfId="0" applyFont="1" applyAlignment="1">
      <alignment horizontal="center" vertical="center"/>
    </xf>
    <xf numFmtId="0" fontId="43" fillId="0" borderId="0" xfId="0" quotePrefix="1" applyFont="1" applyAlignment="1" applyProtection="1">
      <alignment horizontal="center" vertical="center"/>
      <protection locked="0"/>
    </xf>
    <xf numFmtId="0" fontId="43" fillId="0" borderId="0" xfId="0" applyFont="1" applyAlignment="1" applyProtection="1">
      <alignment horizontal="right" vertical="center" readingOrder="2"/>
    </xf>
    <xf numFmtId="0" fontId="57" fillId="0" borderId="25" xfId="0" applyFont="1" applyBorder="1" applyAlignment="1">
      <alignment horizontal="center" vertical="center"/>
    </xf>
    <xf numFmtId="0" fontId="57" fillId="0" borderId="22" xfId="0" applyFont="1" applyBorder="1" applyAlignment="1">
      <alignment horizontal="center" vertical="center"/>
    </xf>
    <xf numFmtId="0" fontId="57" fillId="0" borderId="27" xfId="0" applyFont="1" applyBorder="1" applyAlignment="1">
      <alignment horizontal="center" vertical="center"/>
    </xf>
    <xf numFmtId="0" fontId="57" fillId="0" borderId="23" xfId="0" applyFont="1" applyBorder="1" applyAlignment="1">
      <alignment horizontal="center" vertical="center"/>
    </xf>
    <xf numFmtId="0" fontId="57" fillId="0" borderId="26" xfId="0" applyFont="1" applyBorder="1" applyAlignment="1">
      <alignment horizontal="center" vertical="center"/>
    </xf>
    <xf numFmtId="0" fontId="57" fillId="0" borderId="24" xfId="0" applyFont="1" applyBorder="1" applyAlignment="1">
      <alignment horizontal="center" vertical="center"/>
    </xf>
    <xf numFmtId="1" fontId="0" fillId="0" borderId="16" xfId="0" applyNumberFormat="1" applyFill="1" applyBorder="1" applyAlignment="1">
      <alignment horizontal="center"/>
    </xf>
    <xf numFmtId="0" fontId="0" fillId="0" borderId="16" xfId="0" applyFill="1" applyBorder="1" applyAlignment="1">
      <alignment horizontal="center"/>
    </xf>
    <xf numFmtId="0" fontId="62" fillId="0" borderId="0" xfId="0" applyFont="1" applyAlignment="1">
      <alignment horizontal="center" vertical="center"/>
    </xf>
    <xf numFmtId="0" fontId="66" fillId="0" borderId="16" xfId="0" applyFont="1" applyFill="1" applyBorder="1" applyAlignment="1">
      <alignment horizontal="center" vertical="center"/>
    </xf>
    <xf numFmtId="0" fontId="26" fillId="0" borderId="18" xfId="0" applyFont="1" applyFill="1" applyBorder="1" applyAlignment="1">
      <alignment horizontal="center" vertical="center"/>
    </xf>
    <xf numFmtId="0" fontId="26" fillId="0" borderId="19" xfId="0" applyFont="1" applyFill="1" applyBorder="1" applyAlignment="1">
      <alignment horizontal="center" vertical="center"/>
    </xf>
    <xf numFmtId="0" fontId="26" fillId="0" borderId="20" xfId="0" applyFont="1" applyFill="1" applyBorder="1" applyAlignment="1">
      <alignment horizontal="center" vertical="center"/>
    </xf>
    <xf numFmtId="0" fontId="5"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5" fillId="0" borderId="20" xfId="0" applyFont="1" applyFill="1" applyBorder="1" applyAlignment="1">
      <alignment horizontal="center" vertical="center"/>
    </xf>
    <xf numFmtId="0" fontId="5" fillId="5" borderId="10" xfId="0" applyFont="1" applyFill="1" applyBorder="1" applyAlignment="1" applyProtection="1">
      <alignment horizontal="center" vertical="center"/>
    </xf>
    <xf numFmtId="0" fontId="5" fillId="5" borderId="11" xfId="0" applyFont="1" applyFill="1" applyBorder="1" applyAlignment="1" applyProtection="1">
      <alignment horizontal="center" vertical="center"/>
    </xf>
    <xf numFmtId="0" fontId="8" fillId="2" borderId="12" xfId="0" applyFont="1" applyFill="1" applyBorder="1" applyAlignment="1" applyProtection="1">
      <alignment horizontal="center"/>
    </xf>
    <xf numFmtId="0" fontId="8" fillId="2" borderId="13" xfId="0" applyFont="1" applyFill="1" applyBorder="1" applyAlignment="1" applyProtection="1">
      <alignment horizontal="center"/>
    </xf>
    <xf numFmtId="0" fontId="16" fillId="0" borderId="16" xfId="0" applyFont="1" applyBorder="1" applyAlignment="1" applyProtection="1">
      <alignment horizontal="center" vertical="center"/>
      <protection locked="0"/>
    </xf>
    <xf numFmtId="0" fontId="15" fillId="6" borderId="16" xfId="0" applyFont="1" applyFill="1" applyBorder="1" applyAlignment="1" applyProtection="1">
      <alignment horizontal="center" vertical="center"/>
      <protection locked="0"/>
    </xf>
    <xf numFmtId="0" fontId="18" fillId="0" borderId="0" xfId="0" applyFont="1" applyBorder="1" applyAlignment="1">
      <alignment horizontal="center" vertical="center" wrapText="1"/>
    </xf>
    <xf numFmtId="0" fontId="33" fillId="0" borderId="16" xfId="0" applyFont="1" applyBorder="1" applyAlignment="1">
      <alignment horizontal="left" vertical="center" wrapText="1"/>
    </xf>
    <xf numFmtId="0" fontId="5" fillId="6" borderId="25" xfId="0" applyFont="1" applyFill="1" applyBorder="1" applyAlignment="1">
      <alignment horizontal="center" vertical="center"/>
    </xf>
    <xf numFmtId="0" fontId="5" fillId="6" borderId="26" xfId="0" applyFont="1" applyFill="1" applyBorder="1" applyAlignment="1">
      <alignment horizontal="center" vertical="center"/>
    </xf>
    <xf numFmtId="0" fontId="5" fillId="6" borderId="22" xfId="0" applyFont="1" applyFill="1" applyBorder="1" applyAlignment="1">
      <alignment horizontal="center" vertical="center"/>
    </xf>
    <xf numFmtId="0" fontId="5" fillId="6" borderId="27" xfId="0" applyFont="1" applyFill="1" applyBorder="1" applyAlignment="1">
      <alignment horizontal="center" vertical="center"/>
    </xf>
    <xf numFmtId="0" fontId="5" fillId="6" borderId="24" xfId="0" applyFont="1" applyFill="1" applyBorder="1" applyAlignment="1">
      <alignment horizontal="center" vertical="center"/>
    </xf>
    <xf numFmtId="0" fontId="5" fillId="6" borderId="23" xfId="0" applyFont="1" applyFill="1" applyBorder="1" applyAlignment="1">
      <alignment horizontal="center" vertical="center"/>
    </xf>
    <xf numFmtId="165" fontId="0" fillId="0" borderId="30" xfId="0" applyNumberFormat="1" applyBorder="1" applyAlignment="1" applyProtection="1">
      <alignment horizontal="left" vertical="center" wrapText="1"/>
      <protection hidden="1"/>
    </xf>
    <xf numFmtId="0" fontId="0" fillId="0" borderId="0" xfId="0" applyAlignment="1" applyProtection="1">
      <alignment horizontal="left" vertical="center"/>
      <protection locked="0"/>
    </xf>
    <xf numFmtId="0" fontId="23" fillId="0" borderId="0" xfId="0" applyFont="1" applyAlignment="1">
      <alignment horizontal="center" vertical="center" wrapText="1"/>
    </xf>
    <xf numFmtId="0" fontId="0" fillId="0" borderId="29" xfId="0" applyBorder="1" applyAlignment="1" applyProtection="1">
      <alignment horizontal="left" vertical="top" wrapText="1"/>
      <protection hidden="1"/>
    </xf>
    <xf numFmtId="0" fontId="0" fillId="0" borderId="28" xfId="0" applyBorder="1" applyAlignment="1" applyProtection="1">
      <alignment horizontal="left" vertical="top" wrapText="1"/>
      <protection hidden="1"/>
    </xf>
    <xf numFmtId="0" fontId="34" fillId="0" borderId="0" xfId="0" applyFont="1" applyBorder="1" applyAlignment="1">
      <alignment horizontal="center" vertical="center" wrapText="1"/>
    </xf>
    <xf numFmtId="0" fontId="34" fillId="0" borderId="0" xfId="0" applyFont="1" applyBorder="1" applyAlignment="1">
      <alignment horizontal="center" vertical="center"/>
    </xf>
    <xf numFmtId="0" fontId="35" fillId="0" borderId="0" xfId="0" applyFont="1" applyBorder="1" applyAlignment="1">
      <alignment horizontal="center" vertical="center" wrapText="1"/>
    </xf>
    <xf numFmtId="0" fontId="5" fillId="0" borderId="0" xfId="0" applyFont="1" applyAlignment="1">
      <alignment horizontal="center"/>
    </xf>
    <xf numFmtId="0" fontId="0" fillId="0" borderId="29" xfId="0" applyBorder="1" applyAlignment="1" applyProtection="1">
      <alignment horizontal="left" vertical="top"/>
      <protection hidden="1"/>
    </xf>
    <xf numFmtId="0" fontId="0" fillId="0" borderId="28" xfId="0" applyBorder="1" applyAlignment="1" applyProtection="1">
      <alignment horizontal="left" vertical="top"/>
      <protection hidden="1"/>
    </xf>
    <xf numFmtId="0" fontId="15" fillId="0" borderId="0" xfId="0" applyFont="1" applyBorder="1" applyAlignment="1">
      <alignment horizontal="center" vertical="center"/>
    </xf>
    <xf numFmtId="1" fontId="29" fillId="0" borderId="18" xfId="0" applyNumberFormat="1" applyFont="1" applyFill="1" applyBorder="1" applyAlignment="1">
      <alignment horizontal="center" vertical="center"/>
    </xf>
    <xf numFmtId="1" fontId="29" fillId="0" borderId="19" xfId="0" applyNumberFormat="1" applyFont="1" applyFill="1" applyBorder="1" applyAlignment="1">
      <alignment horizontal="center" vertical="center"/>
    </xf>
    <xf numFmtId="1" fontId="29" fillId="0" borderId="20" xfId="0" applyNumberFormat="1" applyFont="1" applyFill="1" applyBorder="1" applyAlignment="1">
      <alignment horizontal="center" vertical="center"/>
    </xf>
    <xf numFmtId="0" fontId="5" fillId="14" borderId="0" xfId="0" applyFont="1" applyFill="1" applyAlignment="1">
      <alignment horizontal="center"/>
    </xf>
    <xf numFmtId="0" fontId="15" fillId="0" borderId="0" xfId="0" applyFont="1" applyBorder="1" applyAlignment="1">
      <alignment horizontal="center" vertical="center" wrapText="1"/>
    </xf>
    <xf numFmtId="0" fontId="37" fillId="0" borderId="18" xfId="0" applyFont="1" applyBorder="1" applyAlignment="1">
      <alignment horizontal="center" vertical="center" wrapText="1"/>
    </xf>
    <xf numFmtId="0" fontId="37" fillId="0" borderId="19" xfId="0" applyFont="1" applyBorder="1" applyAlignment="1">
      <alignment horizontal="center" vertical="center" wrapText="1"/>
    </xf>
    <xf numFmtId="0" fontId="37" fillId="0" borderId="20" xfId="0" applyFont="1" applyBorder="1" applyAlignment="1">
      <alignment horizontal="center" vertical="center" wrapText="1"/>
    </xf>
    <xf numFmtId="0" fontId="54" fillId="0" borderId="18" xfId="0" applyFont="1" applyBorder="1" applyAlignment="1">
      <alignment horizontal="center" vertical="center" wrapText="1"/>
    </xf>
    <xf numFmtId="0" fontId="54" fillId="0" borderId="19" xfId="0" applyFont="1" applyBorder="1" applyAlignment="1">
      <alignment horizontal="center" vertical="center" wrapText="1"/>
    </xf>
    <xf numFmtId="0" fontId="54" fillId="0" borderId="20" xfId="0" applyFont="1" applyBorder="1" applyAlignment="1">
      <alignment horizontal="center" vertical="center" wrapText="1"/>
    </xf>
    <xf numFmtId="0" fontId="20" fillId="0" borderId="0"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0" xfId="0" applyFont="1" applyBorder="1" applyAlignment="1">
      <alignment horizontal="center" vertical="center"/>
    </xf>
    <xf numFmtId="0" fontId="36" fillId="0" borderId="0" xfId="0" applyFont="1" applyBorder="1" applyAlignment="1">
      <alignment horizontal="center" vertical="center" wrapText="1"/>
    </xf>
    <xf numFmtId="0" fontId="13" fillId="12" borderId="18" xfId="0" applyFont="1" applyFill="1" applyBorder="1" applyAlignment="1" applyProtection="1">
      <alignment vertical="center"/>
      <protection locked="0"/>
    </xf>
    <xf numFmtId="0" fontId="13" fillId="12" borderId="19" xfId="0" applyFont="1" applyFill="1" applyBorder="1" applyAlignment="1" applyProtection="1">
      <alignment vertical="center"/>
      <protection locked="0"/>
    </xf>
    <xf numFmtId="0" fontId="12" fillId="11" borderId="17" xfId="0" applyFont="1" applyFill="1" applyBorder="1" applyAlignment="1" applyProtection="1">
      <alignment horizontal="center" vertical="center"/>
      <protection locked="0"/>
    </xf>
    <xf numFmtId="0" fontId="12" fillId="11" borderId="21" xfId="0" applyFont="1" applyFill="1" applyBorder="1" applyAlignment="1" applyProtection="1">
      <alignment horizontal="center" vertical="center"/>
      <protection locked="0"/>
    </xf>
    <xf numFmtId="0" fontId="13" fillId="11" borderId="16" xfId="0" applyFont="1" applyFill="1" applyBorder="1" applyAlignment="1" applyProtection="1">
      <alignment horizontal="center" vertical="center"/>
      <protection locked="0"/>
    </xf>
    <xf numFmtId="0" fontId="12" fillId="12" borderId="18" xfId="0" applyFont="1" applyFill="1" applyBorder="1" applyAlignment="1" applyProtection="1">
      <alignment horizontal="left" vertical="center"/>
      <protection locked="0"/>
    </xf>
    <xf numFmtId="0" fontId="12" fillId="12" borderId="19" xfId="0" applyFont="1" applyFill="1" applyBorder="1" applyAlignment="1" applyProtection="1">
      <alignment horizontal="left" vertical="center"/>
      <protection locked="0"/>
    </xf>
    <xf numFmtId="0" fontId="3" fillId="9" borderId="16" xfId="0" applyFont="1" applyFill="1" applyBorder="1" applyAlignment="1" applyProtection="1">
      <alignment horizontal="center" vertical="center" wrapText="1"/>
      <protection locked="0"/>
    </xf>
    <xf numFmtId="0" fontId="3" fillId="2" borderId="16" xfId="0" applyFont="1" applyFill="1" applyBorder="1" applyAlignment="1" applyProtection="1">
      <alignment horizontal="left" vertical="center"/>
      <protection locked="0"/>
    </xf>
    <xf numFmtId="0" fontId="12" fillId="11" borderId="16"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26" xfId="0" applyFont="1" applyFill="1" applyBorder="1" applyAlignment="1" applyProtection="1">
      <alignment horizontal="center" vertical="center"/>
      <protection locked="0"/>
    </xf>
    <xf numFmtId="0" fontId="3" fillId="9" borderId="22" xfId="0" applyFont="1" applyFill="1" applyBorder="1" applyAlignment="1" applyProtection="1">
      <alignment horizontal="center" vertical="center"/>
      <protection locked="0"/>
    </xf>
    <xf numFmtId="0" fontId="3" fillId="9" borderId="27" xfId="0" applyFont="1" applyFill="1" applyBorder="1" applyAlignment="1" applyProtection="1">
      <alignment horizontal="center" vertical="center"/>
      <protection locked="0"/>
    </xf>
    <xf numFmtId="0" fontId="3" fillId="9" borderId="24" xfId="0" applyFont="1" applyFill="1" applyBorder="1" applyAlignment="1" applyProtection="1">
      <alignment horizontal="center" vertical="center"/>
      <protection locked="0"/>
    </xf>
    <xf numFmtId="0" fontId="3" fillId="9" borderId="23" xfId="0" applyFont="1" applyFill="1" applyBorder="1" applyAlignment="1" applyProtection="1">
      <alignment horizontal="center" vertical="center"/>
      <protection locked="0"/>
    </xf>
    <xf numFmtId="0" fontId="3" fillId="9" borderId="16" xfId="0" applyFont="1" applyFill="1" applyBorder="1" applyAlignment="1" applyProtection="1">
      <alignment horizontal="center" vertical="center"/>
      <protection locked="0"/>
    </xf>
    <xf numFmtId="0" fontId="12" fillId="13" borderId="16" xfId="0" applyFont="1" applyFill="1" applyBorder="1" applyAlignment="1" applyProtection="1">
      <alignment horizontal="center" vertical="center"/>
      <protection locked="0"/>
    </xf>
    <xf numFmtId="0" fontId="3" fillId="7" borderId="18" xfId="0" applyFont="1" applyFill="1" applyBorder="1" applyAlignment="1" applyProtection="1">
      <alignment horizontal="center" vertical="center" wrapText="1"/>
    </xf>
    <xf numFmtId="0" fontId="3" fillId="7" borderId="19" xfId="0" applyFont="1" applyFill="1" applyBorder="1" applyAlignment="1" applyProtection="1">
      <alignment horizontal="center" vertical="center" wrapText="1"/>
    </xf>
    <xf numFmtId="0" fontId="3" fillId="7" borderId="20" xfId="0" applyFont="1" applyFill="1" applyBorder="1" applyAlignment="1" applyProtection="1">
      <alignment horizontal="center" vertical="center" wrapText="1"/>
    </xf>
    <xf numFmtId="0" fontId="3" fillId="7" borderId="16" xfId="0" applyFont="1" applyFill="1" applyBorder="1" applyAlignment="1" applyProtection="1">
      <alignment horizontal="center" vertical="center"/>
    </xf>
    <xf numFmtId="0" fontId="3" fillId="7" borderId="16" xfId="0" applyFont="1" applyFill="1" applyBorder="1" applyAlignment="1" applyProtection="1">
      <alignment horizontal="center"/>
    </xf>
    <xf numFmtId="0" fontId="3" fillId="7" borderId="16" xfId="0" applyFont="1" applyFill="1" applyBorder="1" applyAlignment="1" applyProtection="1">
      <alignment horizontal="center" vertical="center" wrapText="1"/>
    </xf>
    <xf numFmtId="164" fontId="3" fillId="7" borderId="17" xfId="0" applyNumberFormat="1" applyFont="1" applyFill="1" applyBorder="1" applyAlignment="1" applyProtection="1">
      <alignment horizontal="center" vertical="center"/>
    </xf>
    <xf numFmtId="164" fontId="3" fillId="7" borderId="21" xfId="0" applyNumberFormat="1" applyFont="1" applyFill="1" applyBorder="1" applyAlignment="1" applyProtection="1">
      <alignment horizontal="center" vertical="center"/>
    </xf>
    <xf numFmtId="0" fontId="3" fillId="7" borderId="17" xfId="0" applyFont="1" applyFill="1" applyBorder="1" applyAlignment="1" applyProtection="1">
      <alignment horizontal="center" vertical="center" wrapText="1"/>
    </xf>
    <xf numFmtId="0" fontId="3" fillId="7" borderId="21" xfId="0" applyFont="1" applyFill="1" applyBorder="1" applyAlignment="1" applyProtection="1">
      <alignment horizontal="center" vertical="center" wrapText="1"/>
    </xf>
    <xf numFmtId="0" fontId="3" fillId="7" borderId="18" xfId="0" applyFont="1" applyFill="1" applyBorder="1" applyAlignment="1" applyProtection="1">
      <alignment horizontal="center" vertical="center"/>
    </xf>
    <xf numFmtId="0" fontId="3" fillId="7" borderId="19" xfId="0" applyFont="1" applyFill="1" applyBorder="1" applyAlignment="1" applyProtection="1">
      <alignment horizontal="center" vertical="center"/>
    </xf>
    <xf numFmtId="0" fontId="3" fillId="7" borderId="16" xfId="0" applyFont="1" applyFill="1" applyBorder="1" applyAlignment="1" applyProtection="1"/>
    <xf numFmtId="0" fontId="3" fillId="7" borderId="18" xfId="0" applyFont="1" applyFill="1" applyBorder="1" applyAlignment="1" applyProtection="1">
      <alignment vertical="center"/>
    </xf>
    <xf numFmtId="0" fontId="3" fillId="7" borderId="19" xfId="0" applyFont="1" applyFill="1" applyBorder="1" applyAlignment="1" applyProtection="1">
      <alignment vertical="center"/>
    </xf>
    <xf numFmtId="0" fontId="3" fillId="7" borderId="18" xfId="0" applyFont="1" applyFill="1" applyBorder="1" applyAlignment="1" applyProtection="1">
      <alignment vertical="center" wrapText="1"/>
    </xf>
    <xf numFmtId="0" fontId="3" fillId="7" borderId="19" xfId="0" applyFont="1" applyFill="1" applyBorder="1" applyAlignment="1" applyProtection="1">
      <alignment vertical="center" wrapText="1"/>
    </xf>
    <xf numFmtId="0" fontId="3" fillId="7" borderId="20" xfId="0" applyFont="1" applyFill="1" applyBorder="1" applyAlignment="1" applyProtection="1">
      <alignment vertical="center" wrapText="1"/>
    </xf>
    <xf numFmtId="0" fontId="3" fillId="7" borderId="16" xfId="0" applyFont="1" applyFill="1" applyBorder="1" applyAlignment="1" applyProtection="1">
      <alignment vertical="center"/>
    </xf>
    <xf numFmtId="0" fontId="3" fillId="7" borderId="16" xfId="0" applyFont="1" applyFill="1" applyBorder="1" applyAlignment="1" applyProtection="1">
      <alignment vertical="center" wrapText="1"/>
    </xf>
    <xf numFmtId="0" fontId="3" fillId="7" borderId="17" xfId="0" applyFont="1" applyFill="1" applyBorder="1" applyAlignment="1" applyProtection="1">
      <alignment vertical="center" wrapText="1"/>
    </xf>
    <xf numFmtId="0" fontId="3" fillId="7" borderId="21" xfId="0" applyFont="1" applyFill="1" applyBorder="1" applyAlignment="1" applyProtection="1">
      <alignment vertical="center" wrapText="1"/>
    </xf>
    <xf numFmtId="164" fontId="3" fillId="7" borderId="17" xfId="0" applyNumberFormat="1" applyFont="1" applyFill="1" applyBorder="1" applyAlignment="1" applyProtection="1">
      <alignment vertical="center"/>
    </xf>
    <xf numFmtId="164" fontId="3" fillId="7" borderId="21" xfId="0" applyNumberFormat="1" applyFont="1" applyFill="1" applyBorder="1" applyAlignment="1" applyProtection="1">
      <alignment vertical="center"/>
    </xf>
  </cellXfs>
  <cellStyles count="3">
    <cellStyle name="Hyperlink" xfId="1" builtinId="8"/>
    <cellStyle name="Normal" xfId="0" builtinId="0"/>
    <cellStyle name="Normal 31" xfId="2" xr:uid="{00000000-0005-0000-0000-000002000000}"/>
  </cellStyles>
  <dxfs count="12">
    <dxf>
      <fill>
        <patternFill>
          <bgColor rgb="FFFFFF00"/>
        </patternFill>
      </fill>
    </dxf>
    <dxf>
      <font>
        <color auto="1"/>
      </font>
      <fill>
        <patternFill>
          <bgColor rgb="FFFF0000"/>
        </patternFill>
      </fill>
    </dxf>
    <dxf>
      <fill>
        <patternFill>
          <bgColor rgb="FFFFFF00"/>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rgb="FFFF0000"/>
      </font>
      <fill>
        <patternFill patternType="solid">
          <fgColor rgb="FFB7E1CD"/>
          <bgColor rgb="FFB7E1CD"/>
        </patternFill>
      </fill>
    </dxf>
    <dxf>
      <font>
        <color theme="0"/>
      </font>
    </dxf>
  </dxfs>
  <tableStyles count="0" defaultTableStyle="TableStyleMedium2" defaultPivotStyle="PivotStyleLight16"/>
  <colors>
    <mruColors>
      <color rgb="FFF682E0"/>
      <color rgb="FFFF00FF"/>
      <color rgb="FF9999FF"/>
      <color rgb="FFFF33CC"/>
      <color rgb="FFFF6600"/>
      <color rgb="FF963A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10" dropStyle="combo" dx="16" fmlaLink="$N$2" fmlaRange="'set-dasis'!$F$5:$F$54" noThreeD="1" sel="1" val="0"/>
</file>

<file path=xl/ctrlProps/ctrlProp2.xml><?xml version="1.0" encoding="utf-8"?>
<formControlPr xmlns="http://schemas.microsoft.com/office/spreadsheetml/2009/9/main" objectType="Drop" dropLines="10" dropStyle="combo" dx="16" fmlaLink="$N$2" fmlaRange="'set-dasis'!$F$5:$F$54" noThreeD="1" sel="34" val="5"/>
</file>

<file path=xl/ctrlProps/ctrlProp3.xml><?xml version="1.0" encoding="utf-8"?>
<formControlPr xmlns="http://schemas.microsoft.com/office/spreadsheetml/2009/9/main" objectType="Drop" dropLines="10" dropStyle="combo" dx="16" fmlaLink="$N$2" fmlaRange="'set-dasis'!$F$5:$F$54" noThreeD="1" sel="10" val="40"/>
</file>

<file path=xl/ctrlProps/ctrlProp4.xml><?xml version="1.0" encoding="utf-8"?>
<formControlPr xmlns="http://schemas.microsoft.com/office/spreadsheetml/2009/9/main" objectType="Drop" dropLines="10" dropStyle="combo" dx="16" fmlaLink="$K$2" fmlaRange="'set-dasis'!$F$5:$F$54" noThreeD="1" sel="30" val="2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18" Type="http://schemas.openxmlformats.org/officeDocument/2006/relationships/image" Target="../media/image25.png"/><Relationship Id="rId26" Type="http://schemas.openxmlformats.org/officeDocument/2006/relationships/image" Target="../media/image33.wmf"/><Relationship Id="rId3" Type="http://schemas.openxmlformats.org/officeDocument/2006/relationships/image" Target="../media/image10.png"/><Relationship Id="rId21" Type="http://schemas.openxmlformats.org/officeDocument/2006/relationships/image" Target="../media/image28.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4.png"/><Relationship Id="rId25" Type="http://schemas.openxmlformats.org/officeDocument/2006/relationships/image" Target="../media/image32.jpeg"/><Relationship Id="rId2" Type="http://schemas.openxmlformats.org/officeDocument/2006/relationships/image" Target="../media/image9.png"/><Relationship Id="rId16" Type="http://schemas.openxmlformats.org/officeDocument/2006/relationships/image" Target="../media/image23.png"/><Relationship Id="rId20" Type="http://schemas.openxmlformats.org/officeDocument/2006/relationships/image" Target="../media/image27.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24" Type="http://schemas.openxmlformats.org/officeDocument/2006/relationships/image" Target="../media/image31.png"/><Relationship Id="rId5" Type="http://schemas.openxmlformats.org/officeDocument/2006/relationships/image" Target="../media/image12.png"/><Relationship Id="rId15" Type="http://schemas.openxmlformats.org/officeDocument/2006/relationships/image" Target="../media/image22.png"/><Relationship Id="rId23" Type="http://schemas.openxmlformats.org/officeDocument/2006/relationships/image" Target="../media/image30.png"/><Relationship Id="rId10" Type="http://schemas.openxmlformats.org/officeDocument/2006/relationships/image" Target="../media/image17.png"/><Relationship Id="rId19" Type="http://schemas.openxmlformats.org/officeDocument/2006/relationships/image" Target="../media/image26.jpe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21.png"/><Relationship Id="rId22" Type="http://schemas.openxmlformats.org/officeDocument/2006/relationships/image" Target="../media/image29.png"/><Relationship Id="rId27" Type="http://schemas.openxmlformats.org/officeDocument/2006/relationships/image" Target="../media/image34.emf"/></Relationships>
</file>

<file path=xl/drawings/_rels/drawing3.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image" Target="../media/image11.png"/><Relationship Id="rId7" Type="http://schemas.openxmlformats.org/officeDocument/2006/relationships/image" Target="../media/image13.png"/><Relationship Id="rId12" Type="http://schemas.openxmlformats.org/officeDocument/2006/relationships/image" Target="../media/image42.jpeg"/><Relationship Id="rId2" Type="http://schemas.openxmlformats.org/officeDocument/2006/relationships/image" Target="../media/image35.png"/><Relationship Id="rId1" Type="http://schemas.openxmlformats.org/officeDocument/2006/relationships/image" Target="../media/image10.png"/><Relationship Id="rId6" Type="http://schemas.openxmlformats.org/officeDocument/2006/relationships/image" Target="../media/image38.png"/><Relationship Id="rId11" Type="http://schemas.openxmlformats.org/officeDocument/2006/relationships/image" Target="../media/image6.png"/><Relationship Id="rId5" Type="http://schemas.openxmlformats.org/officeDocument/2006/relationships/image" Target="../media/image37.png"/><Relationship Id="rId10" Type="http://schemas.openxmlformats.org/officeDocument/2006/relationships/image" Target="../media/image41.png"/><Relationship Id="rId4" Type="http://schemas.openxmlformats.org/officeDocument/2006/relationships/image" Target="../media/image36.png"/><Relationship Id="rId9" Type="http://schemas.openxmlformats.org/officeDocument/2006/relationships/image" Target="../media/image40.png"/></Relationships>
</file>

<file path=xl/drawings/_rels/drawing4.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25.png"/><Relationship Id="rId3" Type="http://schemas.openxmlformats.org/officeDocument/2006/relationships/image" Target="../media/image27.png"/><Relationship Id="rId7" Type="http://schemas.openxmlformats.org/officeDocument/2006/relationships/image" Target="../media/image19.png"/><Relationship Id="rId12" Type="http://schemas.openxmlformats.org/officeDocument/2006/relationships/image" Target="../media/image46.png"/><Relationship Id="rId2" Type="http://schemas.openxmlformats.org/officeDocument/2006/relationships/image" Target="../media/image10.png"/><Relationship Id="rId1" Type="http://schemas.openxmlformats.org/officeDocument/2006/relationships/image" Target="../media/image43.jpeg"/><Relationship Id="rId6" Type="http://schemas.openxmlformats.org/officeDocument/2006/relationships/image" Target="../media/image45.png"/><Relationship Id="rId11" Type="http://schemas.openxmlformats.org/officeDocument/2006/relationships/image" Target="../media/image23.png"/><Relationship Id="rId5" Type="http://schemas.openxmlformats.org/officeDocument/2006/relationships/image" Target="../media/image44.png"/><Relationship Id="rId10" Type="http://schemas.openxmlformats.org/officeDocument/2006/relationships/image" Target="../media/image22.png"/><Relationship Id="rId4" Type="http://schemas.openxmlformats.org/officeDocument/2006/relationships/image" Target="../media/image28.png"/><Relationship Id="rId9" Type="http://schemas.openxmlformats.org/officeDocument/2006/relationships/image" Target="../media/image21.png"/><Relationship Id="rId14" Type="http://schemas.openxmlformats.org/officeDocument/2006/relationships/image" Target="../media/image47.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0.png"/><Relationship Id="rId2" Type="http://schemas.openxmlformats.org/officeDocument/2006/relationships/image" Target="../media/image49.png"/><Relationship Id="rId1" Type="http://schemas.openxmlformats.org/officeDocument/2006/relationships/image" Target="../media/image48.png"/><Relationship Id="rId6" Type="http://schemas.openxmlformats.org/officeDocument/2006/relationships/image" Target="../media/image53.png"/><Relationship Id="rId5" Type="http://schemas.openxmlformats.org/officeDocument/2006/relationships/image" Target="../media/image52.png"/><Relationship Id="rId4" Type="http://schemas.openxmlformats.org/officeDocument/2006/relationships/image" Target="../media/image51.png"/></Relationships>
</file>

<file path=xl/drawings/_rels/drawing6.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png"/><Relationship Id="rId1" Type="http://schemas.openxmlformats.org/officeDocument/2006/relationships/image" Target="../media/image54.png"/><Relationship Id="rId6" Type="http://schemas.openxmlformats.org/officeDocument/2006/relationships/image" Target="../media/image53.png"/><Relationship Id="rId5" Type="http://schemas.openxmlformats.org/officeDocument/2006/relationships/image" Target="../media/image58.png"/><Relationship Id="rId4" Type="http://schemas.openxmlformats.org/officeDocument/2006/relationships/image" Target="../media/image57.png"/></Relationships>
</file>

<file path=xl/drawings/_rels/drawing7.xml.rels><?xml version="1.0" encoding="UTF-8" standalone="yes"?>
<Relationships xmlns="http://schemas.openxmlformats.org/package/2006/relationships"><Relationship Id="rId3" Type="http://schemas.openxmlformats.org/officeDocument/2006/relationships/image" Target="../media/image55.png"/><Relationship Id="rId2" Type="http://schemas.openxmlformats.org/officeDocument/2006/relationships/image" Target="../media/image54.png"/><Relationship Id="rId1" Type="http://schemas.openxmlformats.org/officeDocument/2006/relationships/image" Target="../media/image59.png"/><Relationship Id="rId6" Type="http://schemas.openxmlformats.org/officeDocument/2006/relationships/image" Target="../media/image50.png"/><Relationship Id="rId5" Type="http://schemas.openxmlformats.org/officeDocument/2006/relationships/image" Target="../media/image53.png"/><Relationship Id="rId4" Type="http://schemas.openxmlformats.org/officeDocument/2006/relationships/image" Target="../media/image60.png"/></Relationships>
</file>

<file path=xl/drawings/_rels/drawing8.xml.rels><?xml version="1.0" encoding="UTF-8" standalone="yes"?>
<Relationships xmlns="http://schemas.openxmlformats.org/package/2006/relationships"><Relationship Id="rId3" Type="http://schemas.openxmlformats.org/officeDocument/2006/relationships/image" Target="../media/image55.png"/><Relationship Id="rId2" Type="http://schemas.openxmlformats.org/officeDocument/2006/relationships/image" Target="../media/image54.png"/><Relationship Id="rId1" Type="http://schemas.openxmlformats.org/officeDocument/2006/relationships/image" Target="../media/image59.png"/><Relationship Id="rId6" Type="http://schemas.openxmlformats.org/officeDocument/2006/relationships/image" Target="../media/image53.png"/><Relationship Id="rId5" Type="http://schemas.openxmlformats.org/officeDocument/2006/relationships/image" Target="../media/image60.png"/><Relationship Id="rId4" Type="http://schemas.openxmlformats.org/officeDocument/2006/relationships/image" Target="../media/image56.png"/></Relationships>
</file>

<file path=xl/drawings/_rels/drawing9.xml.rels><?xml version="1.0" encoding="UTF-8" standalone="yes"?>
<Relationships xmlns="http://schemas.openxmlformats.org/package/2006/relationships"><Relationship Id="rId8" Type="http://schemas.openxmlformats.org/officeDocument/2006/relationships/image" Target="../media/image65.png"/><Relationship Id="rId3" Type="http://schemas.openxmlformats.org/officeDocument/2006/relationships/image" Target="../media/image63.png"/><Relationship Id="rId7" Type="http://schemas.openxmlformats.org/officeDocument/2006/relationships/image" Target="../media/image57.png"/><Relationship Id="rId2" Type="http://schemas.openxmlformats.org/officeDocument/2006/relationships/image" Target="../media/image62.png"/><Relationship Id="rId1" Type="http://schemas.openxmlformats.org/officeDocument/2006/relationships/image" Target="../media/image61.png"/><Relationship Id="rId6" Type="http://schemas.openxmlformats.org/officeDocument/2006/relationships/image" Target="../media/image56.png"/><Relationship Id="rId11" Type="http://schemas.openxmlformats.org/officeDocument/2006/relationships/image" Target="../media/image67.png"/><Relationship Id="rId5" Type="http://schemas.openxmlformats.org/officeDocument/2006/relationships/image" Target="../media/image55.png"/><Relationship Id="rId10" Type="http://schemas.openxmlformats.org/officeDocument/2006/relationships/image" Target="../media/image53.png"/><Relationship Id="rId4" Type="http://schemas.openxmlformats.org/officeDocument/2006/relationships/image" Target="../media/image64.png"/><Relationship Id="rId9" Type="http://schemas.openxmlformats.org/officeDocument/2006/relationships/image" Target="../media/image6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66.png"/><Relationship Id="rId13" Type="http://schemas.openxmlformats.org/officeDocument/2006/relationships/image" Target="../media/image70.png"/><Relationship Id="rId3" Type="http://schemas.openxmlformats.org/officeDocument/2006/relationships/image" Target="../media/image63.png"/><Relationship Id="rId7" Type="http://schemas.openxmlformats.org/officeDocument/2006/relationships/image" Target="../media/image65.png"/><Relationship Id="rId12" Type="http://schemas.openxmlformats.org/officeDocument/2006/relationships/image" Target="../media/image69.jpeg"/><Relationship Id="rId2" Type="http://schemas.openxmlformats.org/officeDocument/2006/relationships/image" Target="../media/image62.png"/><Relationship Id="rId1" Type="http://schemas.openxmlformats.org/officeDocument/2006/relationships/image" Target="../media/image61.png"/><Relationship Id="rId6" Type="http://schemas.openxmlformats.org/officeDocument/2006/relationships/image" Target="../media/image57.png"/><Relationship Id="rId11" Type="http://schemas.openxmlformats.org/officeDocument/2006/relationships/image" Target="../media/image68.png"/><Relationship Id="rId5" Type="http://schemas.openxmlformats.org/officeDocument/2006/relationships/image" Target="../media/image55.png"/><Relationship Id="rId10" Type="http://schemas.openxmlformats.org/officeDocument/2006/relationships/image" Target="../media/image50.png"/><Relationship Id="rId4" Type="http://schemas.openxmlformats.org/officeDocument/2006/relationships/image" Target="../media/image64.png"/><Relationship Id="rId9" Type="http://schemas.openxmlformats.org/officeDocument/2006/relationships/image" Target="../media/image53.png"/><Relationship Id="rId14" Type="http://schemas.openxmlformats.org/officeDocument/2006/relationships/image" Target="../media/image7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65.png"/><Relationship Id="rId13" Type="http://schemas.openxmlformats.org/officeDocument/2006/relationships/image" Target="../media/image71.png"/><Relationship Id="rId3" Type="http://schemas.openxmlformats.org/officeDocument/2006/relationships/image" Target="../media/image63.png"/><Relationship Id="rId7" Type="http://schemas.openxmlformats.org/officeDocument/2006/relationships/image" Target="../media/image57.png"/><Relationship Id="rId12" Type="http://schemas.openxmlformats.org/officeDocument/2006/relationships/image" Target="../media/image72.png"/><Relationship Id="rId2" Type="http://schemas.openxmlformats.org/officeDocument/2006/relationships/image" Target="../media/image62.png"/><Relationship Id="rId1" Type="http://schemas.openxmlformats.org/officeDocument/2006/relationships/image" Target="../media/image61.png"/><Relationship Id="rId6" Type="http://schemas.openxmlformats.org/officeDocument/2006/relationships/image" Target="../media/image56.png"/><Relationship Id="rId11" Type="http://schemas.openxmlformats.org/officeDocument/2006/relationships/image" Target="../media/image68.png"/><Relationship Id="rId5" Type="http://schemas.openxmlformats.org/officeDocument/2006/relationships/image" Target="../media/image55.png"/><Relationship Id="rId10" Type="http://schemas.openxmlformats.org/officeDocument/2006/relationships/image" Target="../media/image53.png"/><Relationship Id="rId4" Type="http://schemas.openxmlformats.org/officeDocument/2006/relationships/image" Target="../media/image64.png"/><Relationship Id="rId9" Type="http://schemas.openxmlformats.org/officeDocument/2006/relationships/image" Target="../media/image6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1.png"/><Relationship Id="rId7" Type="http://schemas.openxmlformats.org/officeDocument/2006/relationships/image" Target="../media/image53.png"/><Relationship Id="rId2" Type="http://schemas.openxmlformats.org/officeDocument/2006/relationships/image" Target="../media/image73.png"/><Relationship Id="rId1" Type="http://schemas.openxmlformats.org/officeDocument/2006/relationships/image" Target="../media/image42.jpeg"/><Relationship Id="rId6" Type="http://schemas.openxmlformats.org/officeDocument/2006/relationships/image" Target="../media/image49.png"/><Relationship Id="rId5" Type="http://schemas.openxmlformats.org/officeDocument/2006/relationships/image" Target="../media/image48.png"/><Relationship Id="rId4" Type="http://schemas.openxmlformats.org/officeDocument/2006/relationships/image" Target="../media/image7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9.png"/><Relationship Id="rId7" Type="http://schemas.openxmlformats.org/officeDocument/2006/relationships/image" Target="../media/image1.jpeg"/><Relationship Id="rId2" Type="http://schemas.openxmlformats.org/officeDocument/2006/relationships/image" Target="../media/image76.png"/><Relationship Id="rId1" Type="http://schemas.openxmlformats.org/officeDocument/2006/relationships/image" Target="../media/image75.png"/><Relationship Id="rId6" Type="http://schemas.openxmlformats.org/officeDocument/2006/relationships/image" Target="../media/image53.png"/><Relationship Id="rId5" Type="http://schemas.openxmlformats.org/officeDocument/2006/relationships/image" Target="../media/image55.png"/><Relationship Id="rId4"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77.jpeg"/><Relationship Id="rId3" Type="http://schemas.openxmlformats.org/officeDocument/2006/relationships/image" Target="../media/image28.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27.png"/><Relationship Id="rId1" Type="http://schemas.openxmlformats.org/officeDocument/2006/relationships/image" Target="../media/image10.png"/><Relationship Id="rId6" Type="http://schemas.openxmlformats.org/officeDocument/2006/relationships/image" Target="../media/image19.png"/><Relationship Id="rId11" Type="http://schemas.openxmlformats.org/officeDocument/2006/relationships/image" Target="../media/image46.png"/><Relationship Id="rId5" Type="http://schemas.openxmlformats.org/officeDocument/2006/relationships/image" Target="../media/image45.png"/><Relationship Id="rId10" Type="http://schemas.openxmlformats.org/officeDocument/2006/relationships/image" Target="../media/image23.png"/><Relationship Id="rId4" Type="http://schemas.openxmlformats.org/officeDocument/2006/relationships/image" Target="../media/image44.png"/><Relationship Id="rId9" Type="http://schemas.openxmlformats.org/officeDocument/2006/relationships/image" Target="../media/image22.png"/></Relationships>
</file>

<file path=xl/drawings/_rels/drawing15.xml.rels><?xml version="1.0" encoding="UTF-8" standalone="yes"?>
<Relationships xmlns="http://schemas.openxmlformats.org/package/2006/relationships"><Relationship Id="rId8" Type="http://schemas.openxmlformats.org/officeDocument/2006/relationships/image" Target="../media/image83.png"/><Relationship Id="rId13" Type="http://schemas.openxmlformats.org/officeDocument/2006/relationships/image" Target="../media/image27.png"/><Relationship Id="rId18" Type="http://schemas.openxmlformats.org/officeDocument/2006/relationships/image" Target="../media/image20.png"/><Relationship Id="rId3" Type="http://schemas.openxmlformats.org/officeDocument/2006/relationships/image" Target="../media/image79.jpg"/><Relationship Id="rId21" Type="http://schemas.openxmlformats.org/officeDocument/2006/relationships/image" Target="../media/image23.png"/><Relationship Id="rId7" Type="http://schemas.openxmlformats.org/officeDocument/2006/relationships/image" Target="../media/image82.jpeg"/><Relationship Id="rId12" Type="http://schemas.openxmlformats.org/officeDocument/2006/relationships/image" Target="../media/image10.png"/><Relationship Id="rId17" Type="http://schemas.openxmlformats.org/officeDocument/2006/relationships/image" Target="../media/image19.png"/><Relationship Id="rId2" Type="http://schemas.microsoft.com/office/2007/relationships/hdphoto" Target="../media/hdphoto1.wdp"/><Relationship Id="rId16" Type="http://schemas.openxmlformats.org/officeDocument/2006/relationships/image" Target="../media/image45.png"/><Relationship Id="rId20" Type="http://schemas.openxmlformats.org/officeDocument/2006/relationships/image" Target="../media/image22.png"/><Relationship Id="rId1" Type="http://schemas.openxmlformats.org/officeDocument/2006/relationships/image" Target="../media/image78.png"/><Relationship Id="rId6" Type="http://schemas.openxmlformats.org/officeDocument/2006/relationships/image" Target="../media/image81.png"/><Relationship Id="rId11" Type="http://schemas.openxmlformats.org/officeDocument/2006/relationships/image" Target="../media/image46.png"/><Relationship Id="rId24" Type="http://schemas.openxmlformats.org/officeDocument/2006/relationships/image" Target="../media/image86.jpeg"/><Relationship Id="rId5" Type="http://schemas.microsoft.com/office/2007/relationships/hdphoto" Target="../media/hdphoto2.wdp"/><Relationship Id="rId15" Type="http://schemas.openxmlformats.org/officeDocument/2006/relationships/image" Target="../media/image44.png"/><Relationship Id="rId23" Type="http://schemas.openxmlformats.org/officeDocument/2006/relationships/image" Target="../media/image25.png"/><Relationship Id="rId10" Type="http://schemas.openxmlformats.org/officeDocument/2006/relationships/image" Target="../media/image85.emf"/><Relationship Id="rId19" Type="http://schemas.openxmlformats.org/officeDocument/2006/relationships/image" Target="../media/image21.png"/><Relationship Id="rId4" Type="http://schemas.openxmlformats.org/officeDocument/2006/relationships/image" Target="../media/image80.png"/><Relationship Id="rId9" Type="http://schemas.openxmlformats.org/officeDocument/2006/relationships/image" Target="../media/image84.emf"/><Relationship Id="rId14" Type="http://schemas.openxmlformats.org/officeDocument/2006/relationships/image" Target="../media/image28.png"/><Relationship Id="rId22" Type="http://schemas.openxmlformats.org/officeDocument/2006/relationships/image" Target="../media/image53.png"/></Relationships>
</file>

<file path=xl/drawings/_rels/drawing16.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91.jpeg"/><Relationship Id="rId3" Type="http://schemas.openxmlformats.org/officeDocument/2006/relationships/image" Target="../media/image88.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87.png"/><Relationship Id="rId1" Type="http://schemas.openxmlformats.org/officeDocument/2006/relationships/image" Target="../media/image10.png"/><Relationship Id="rId6" Type="http://schemas.openxmlformats.org/officeDocument/2006/relationships/image" Target="../media/image19.png"/><Relationship Id="rId11" Type="http://schemas.openxmlformats.org/officeDocument/2006/relationships/image" Target="../media/image46.png"/><Relationship Id="rId5" Type="http://schemas.openxmlformats.org/officeDocument/2006/relationships/image" Target="../media/image90.png"/><Relationship Id="rId10" Type="http://schemas.openxmlformats.org/officeDocument/2006/relationships/image" Target="../media/image23.png"/><Relationship Id="rId4" Type="http://schemas.openxmlformats.org/officeDocument/2006/relationships/image" Target="../media/image89.png"/><Relationship Id="rId9"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92.jpeg"/><Relationship Id="rId3" Type="http://schemas.openxmlformats.org/officeDocument/2006/relationships/image" Target="../media/image28.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27.png"/><Relationship Id="rId1" Type="http://schemas.openxmlformats.org/officeDocument/2006/relationships/image" Target="../media/image10.png"/><Relationship Id="rId6" Type="http://schemas.openxmlformats.org/officeDocument/2006/relationships/image" Target="../media/image19.png"/><Relationship Id="rId11" Type="http://schemas.openxmlformats.org/officeDocument/2006/relationships/image" Target="../media/image46.png"/><Relationship Id="rId5" Type="http://schemas.openxmlformats.org/officeDocument/2006/relationships/image" Target="../media/image45.png"/><Relationship Id="rId10" Type="http://schemas.openxmlformats.org/officeDocument/2006/relationships/image" Target="../media/image23.png"/><Relationship Id="rId4" Type="http://schemas.openxmlformats.org/officeDocument/2006/relationships/image" Target="../media/image44.png"/><Relationship Id="rId9"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1</xdr:row>
      <xdr:rowOff>9526</xdr:rowOff>
    </xdr:from>
    <xdr:to>
      <xdr:col>10</xdr:col>
      <xdr:colOff>0</xdr:colOff>
      <xdr:row>26</xdr:row>
      <xdr:rowOff>38100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5" y="390526"/>
          <a:ext cx="5086350" cy="4829174"/>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0</xdr:col>
      <xdr:colOff>61234</xdr:colOff>
      <xdr:row>26</xdr:row>
      <xdr:rowOff>44904</xdr:rowOff>
    </xdr:from>
    <xdr:to>
      <xdr:col>0</xdr:col>
      <xdr:colOff>442234</xdr:colOff>
      <xdr:row>26</xdr:row>
      <xdr:rowOff>359229</xdr:rowOff>
    </xdr:to>
    <xdr:sp macro="[0]!ThisWorkbook.Show_Ribbon" textlink="">
      <xdr:nvSpPr>
        <xdr:cNvPr id="2" name="Rounded Rectangle 1">
          <a:extLst>
            <a:ext uri="{FF2B5EF4-FFF2-40B4-BE49-F238E27FC236}">
              <a16:creationId xmlns:a16="http://schemas.microsoft.com/office/drawing/2014/main" id="{00000000-0008-0000-0000-000002000000}"/>
            </a:ext>
          </a:extLst>
        </xdr:cNvPr>
        <xdr:cNvSpPr/>
      </xdr:nvSpPr>
      <xdr:spPr>
        <a:xfrm>
          <a:off x="61234" y="5169354"/>
          <a:ext cx="381000" cy="314325"/>
        </a:xfrm>
        <a:prstGeom prst="roundRect">
          <a:avLst/>
        </a:prstGeom>
        <a:solidFill>
          <a:srgbClr val="FFFF0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S</a:t>
          </a:r>
        </a:p>
      </xdr:txBody>
    </xdr:sp>
    <xdr:clientData/>
  </xdr:twoCellAnchor>
  <xdr:twoCellAnchor>
    <xdr:from>
      <xdr:col>10</xdr:col>
      <xdr:colOff>20412</xdr:colOff>
      <xdr:row>26</xdr:row>
      <xdr:rowOff>58511</xdr:rowOff>
    </xdr:from>
    <xdr:to>
      <xdr:col>10</xdr:col>
      <xdr:colOff>382362</xdr:colOff>
      <xdr:row>26</xdr:row>
      <xdr:rowOff>372836</xdr:rowOff>
    </xdr:to>
    <xdr:sp macro="[0]!ThisWorkbook.Hide_Ribbon" textlink="">
      <xdr:nvSpPr>
        <xdr:cNvPr id="3" name="Rounded Rectangle 2">
          <a:extLst>
            <a:ext uri="{FF2B5EF4-FFF2-40B4-BE49-F238E27FC236}">
              <a16:creationId xmlns:a16="http://schemas.microsoft.com/office/drawing/2014/main" id="{00000000-0008-0000-0000-000003000000}"/>
            </a:ext>
          </a:extLst>
        </xdr:cNvPr>
        <xdr:cNvSpPr/>
      </xdr:nvSpPr>
      <xdr:spPr>
        <a:xfrm>
          <a:off x="5535387" y="5182961"/>
          <a:ext cx="361950" cy="314325"/>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H</a:t>
          </a:r>
        </a:p>
      </xdr:txBody>
    </xdr:sp>
    <xdr:clientData/>
  </xdr:twoCellAnchor>
  <xdr:twoCellAnchor>
    <xdr:from>
      <xdr:col>3</xdr:col>
      <xdr:colOff>348450</xdr:colOff>
      <xdr:row>15</xdr:row>
      <xdr:rowOff>159469</xdr:rowOff>
    </xdr:from>
    <xdr:to>
      <xdr:col>7</xdr:col>
      <xdr:colOff>270009</xdr:colOff>
      <xdr:row>20</xdr:row>
      <xdr:rowOff>9872</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2037550" y="3118569"/>
          <a:ext cx="2359959" cy="853703"/>
          <a:chOff x="9816353" y="1850491"/>
          <a:chExt cx="2342029" cy="816510"/>
        </a:xfrm>
      </xdr:grpSpPr>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816353" y="1866179"/>
            <a:ext cx="1210235" cy="8008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500" b="1">
                <a:ln w="12700">
                  <a:solidFill>
                    <a:srgbClr val="00B050"/>
                  </a:solidFill>
                </a:ln>
                <a:solidFill>
                  <a:schemeClr val="bg1"/>
                </a:solidFill>
                <a:effectLst>
                  <a:glow rad="228600">
                    <a:schemeClr val="accent6">
                      <a:satMod val="175000"/>
                      <a:alpha val="40000"/>
                    </a:schemeClr>
                  </a:glow>
                  <a:outerShdw blurRad="50800" dist="38100" dir="18900000" algn="bl" rotWithShape="0">
                    <a:prstClr val="black">
                      <a:alpha val="40000"/>
                    </a:prstClr>
                  </a:outerShdw>
                </a:effectLst>
                <a:latin typeface="Verdana" panose="020B0604030504040204" pitchFamily="34" charset="0"/>
                <a:ea typeface="Verdana" panose="020B0604030504040204" pitchFamily="34" charset="0"/>
              </a:rPr>
              <a:t>JENJANG  </a:t>
            </a:r>
          </a:p>
          <a:p>
            <a:pPr algn="l"/>
            <a:r>
              <a:rPr lang="en-US" sz="1500" b="1" baseline="0">
                <a:ln w="12700">
                  <a:solidFill>
                    <a:srgbClr val="00B050"/>
                  </a:solidFill>
                </a:ln>
                <a:solidFill>
                  <a:schemeClr val="bg1"/>
                </a:solidFill>
                <a:effectLst>
                  <a:glow rad="228600">
                    <a:schemeClr val="accent6">
                      <a:satMod val="175000"/>
                      <a:alpha val="40000"/>
                    </a:schemeClr>
                  </a:glow>
                  <a:outerShdw blurRad="50800" dist="38100" dir="18900000" algn="bl" rotWithShape="0">
                    <a:prstClr val="black">
                      <a:alpha val="40000"/>
                    </a:prstClr>
                  </a:outerShdw>
                </a:effectLst>
                <a:latin typeface="Verdana" panose="020B0604030504040204" pitchFamily="34" charset="0"/>
                <a:ea typeface="Verdana" panose="020B0604030504040204" pitchFamily="34" charset="0"/>
              </a:rPr>
              <a:t>KELAS    </a:t>
            </a:r>
            <a:r>
              <a:rPr lang="en-US" sz="1500" b="1" baseline="0">
                <a:ln w="12700">
                  <a:solidFill>
                    <a:srgbClr val="FF0000"/>
                  </a:solidFill>
                </a:ln>
                <a:solidFill>
                  <a:srgbClr val="FFFF00"/>
                </a:solidFill>
                <a:effectLst>
                  <a:glow rad="228600">
                    <a:schemeClr val="accent6">
                      <a:satMod val="175000"/>
                      <a:alpha val="40000"/>
                    </a:schemeClr>
                  </a:glow>
                  <a:outerShdw blurRad="50800" dist="38100" dir="18900000" algn="bl" rotWithShape="0">
                    <a:prstClr val="black">
                      <a:alpha val="40000"/>
                    </a:prstClr>
                  </a:outerShdw>
                </a:effectLst>
                <a:latin typeface="Verdana" panose="020B0604030504040204" pitchFamily="34" charset="0"/>
                <a:ea typeface="Verdana" panose="020B0604030504040204" pitchFamily="34" charset="0"/>
              </a:rPr>
              <a:t>   </a:t>
            </a:r>
          </a:p>
        </xdr:txBody>
      </xdr:sp>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0966077" y="1850491"/>
            <a:ext cx="1192305" cy="8008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500" b="1">
                <a:ln w="12700">
                  <a:solidFill>
                    <a:srgbClr val="00B050"/>
                  </a:solidFill>
                </a:ln>
                <a:solidFill>
                  <a:schemeClr val="bg1"/>
                </a:solidFill>
                <a:effectLst>
                  <a:glow rad="228600">
                    <a:schemeClr val="accent6">
                      <a:satMod val="175000"/>
                      <a:alpha val="40000"/>
                    </a:schemeClr>
                  </a:glow>
                  <a:outerShdw blurRad="50800" dist="38100" dir="18900000" algn="bl" rotWithShape="0">
                    <a:prstClr val="black">
                      <a:alpha val="40000"/>
                    </a:prstClr>
                  </a:outerShdw>
                </a:effectLst>
                <a:latin typeface="Verdana" panose="020B0604030504040204" pitchFamily="34" charset="0"/>
                <a:ea typeface="Verdana" panose="020B0604030504040204" pitchFamily="34" charset="0"/>
              </a:rPr>
              <a:t>: SMP</a:t>
            </a:r>
          </a:p>
          <a:p>
            <a:pPr algn="l"/>
            <a:r>
              <a:rPr lang="en-US" sz="1500" b="1" baseline="0">
                <a:ln w="12700">
                  <a:solidFill>
                    <a:srgbClr val="00B050"/>
                  </a:solidFill>
                </a:ln>
                <a:solidFill>
                  <a:schemeClr val="bg1"/>
                </a:solidFill>
                <a:effectLst>
                  <a:glow rad="228600">
                    <a:schemeClr val="accent6">
                      <a:satMod val="175000"/>
                      <a:alpha val="40000"/>
                    </a:schemeClr>
                  </a:glow>
                  <a:outerShdw blurRad="50800" dist="38100" dir="18900000" algn="bl" rotWithShape="0">
                    <a:prstClr val="black">
                      <a:alpha val="40000"/>
                    </a:prstClr>
                  </a:outerShdw>
                </a:effectLst>
                <a:latin typeface="Verdana" panose="020B0604030504040204" pitchFamily="34" charset="0"/>
                <a:ea typeface="Verdana" panose="020B0604030504040204" pitchFamily="34" charset="0"/>
              </a:rPr>
              <a:t>: 7</a:t>
            </a:r>
          </a:p>
        </xdr:txBody>
      </xdr:sp>
    </xdr:grpSp>
    <xdr:clientData/>
  </xdr:twoCellAnchor>
  <xdr:twoCellAnchor>
    <xdr:from>
      <xdr:col>1</xdr:col>
      <xdr:colOff>478491</xdr:colOff>
      <xdr:row>21</xdr:row>
      <xdr:rowOff>185698</xdr:rowOff>
    </xdr:from>
    <xdr:to>
      <xdr:col>4</xdr:col>
      <xdr:colOff>224118</xdr:colOff>
      <xdr:row>24</xdr:row>
      <xdr:rowOff>87086</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948391" y="4332248"/>
          <a:ext cx="1574427" cy="453838"/>
          <a:chOff x="3773580" y="4518213"/>
          <a:chExt cx="1408020" cy="472888"/>
        </a:xfrm>
      </xdr:grpSpPr>
      <xdr:sp macro="[0]!keluarapikasi" textlink="">
        <xdr:nvSpPr>
          <xdr:cNvPr id="14" name="Rounded Rectangle 13">
            <a:extLst>
              <a:ext uri="{FF2B5EF4-FFF2-40B4-BE49-F238E27FC236}">
                <a16:creationId xmlns:a16="http://schemas.microsoft.com/office/drawing/2014/main" id="{00000000-0008-0000-0000-00000E000000}"/>
              </a:ext>
            </a:extLst>
          </xdr:cNvPr>
          <xdr:cNvSpPr/>
        </xdr:nvSpPr>
        <xdr:spPr>
          <a:xfrm>
            <a:off x="3773580" y="4518213"/>
            <a:ext cx="1408020" cy="472888"/>
          </a:xfrm>
          <a:prstGeom prst="roundRect">
            <a:avLst/>
          </a:prstGeom>
          <a:gradFill flip="none" rotWithShape="1">
            <a:gsLst>
              <a:gs pos="0">
                <a:srgbClr val="FF0000">
                  <a:tint val="66000"/>
                  <a:satMod val="160000"/>
                </a:srgbClr>
              </a:gs>
              <a:gs pos="50000">
                <a:srgbClr val="FF0000">
                  <a:tint val="44500"/>
                  <a:satMod val="160000"/>
                </a:srgbClr>
              </a:gs>
              <a:gs pos="100000">
                <a:srgbClr val="FF0000">
                  <a:tint val="23500"/>
                  <a:satMod val="160000"/>
                </a:srgbClr>
              </a:gs>
            </a:gsLst>
            <a:lin ang="135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400">
              <a:solidFill>
                <a:sysClr val="windowText" lastClr="000000"/>
              </a:solidFill>
              <a:latin typeface="Impuls BT" panose="03060902040502090204" pitchFamily="66" charset="0"/>
              <a:ea typeface="Verdana" panose="020B0604030504040204" pitchFamily="34" charset="0"/>
            </a:endParaRPr>
          </a:p>
        </xdr:txBody>
      </xdr:sp>
      <xdr:pic macro="[0]!keluarapikasi">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8392" y="4635070"/>
            <a:ext cx="463243" cy="286005"/>
          </a:xfrm>
          <a:prstGeom prst="rect">
            <a:avLst/>
          </a:prstGeom>
        </xdr:spPr>
      </xdr:pic>
      <xdr:pic macro="[0]!keluarapikasi">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4343233" y="4619435"/>
            <a:ext cx="786855" cy="290644"/>
          </a:xfrm>
          <a:prstGeom prst="rect">
            <a:avLst/>
          </a:prstGeom>
        </xdr:spPr>
      </xdr:pic>
    </xdr:grpSp>
    <xdr:clientData/>
  </xdr:twoCellAnchor>
  <xdr:twoCellAnchor>
    <xdr:from>
      <xdr:col>6</xdr:col>
      <xdr:colOff>113262</xdr:colOff>
      <xdr:row>22</xdr:row>
      <xdr:rowOff>5123</xdr:rowOff>
    </xdr:from>
    <xdr:to>
      <xdr:col>8</xdr:col>
      <xdr:colOff>437029</xdr:colOff>
      <xdr:row>24</xdr:row>
      <xdr:rowOff>95890</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3631162" y="4335823"/>
          <a:ext cx="1542967" cy="459067"/>
          <a:chOff x="6935200" y="1886511"/>
          <a:chExt cx="1394845" cy="589990"/>
        </a:xfrm>
      </xdr:grpSpPr>
      <xdr:sp macro="[0]!masukaplikasi" textlink="">
        <xdr:nvSpPr>
          <xdr:cNvPr id="13" name="Rounded Rectangle 12">
            <a:extLst>
              <a:ext uri="{FF2B5EF4-FFF2-40B4-BE49-F238E27FC236}">
                <a16:creationId xmlns:a16="http://schemas.microsoft.com/office/drawing/2014/main" id="{00000000-0008-0000-0000-00000D000000}"/>
              </a:ext>
            </a:extLst>
          </xdr:cNvPr>
          <xdr:cNvSpPr/>
        </xdr:nvSpPr>
        <xdr:spPr>
          <a:xfrm>
            <a:off x="6935200" y="1886511"/>
            <a:ext cx="1394845" cy="589990"/>
          </a:xfrm>
          <a:prstGeom prst="roundRect">
            <a:avLst/>
          </a:prstGeom>
          <a:gradFill flip="none" rotWithShape="1">
            <a:gsLst>
              <a:gs pos="0">
                <a:srgbClr val="92D050">
                  <a:tint val="66000"/>
                  <a:satMod val="160000"/>
                </a:srgbClr>
              </a:gs>
              <a:gs pos="50000">
                <a:srgbClr val="92D050">
                  <a:tint val="44500"/>
                  <a:satMod val="160000"/>
                </a:srgbClr>
              </a:gs>
              <a:gs pos="100000">
                <a:srgbClr val="92D050">
                  <a:tint val="23500"/>
                  <a:satMod val="160000"/>
                </a:srgb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400">
              <a:solidFill>
                <a:sysClr val="windowText" lastClr="000000"/>
              </a:solidFill>
              <a:latin typeface="Impuls BT" panose="03060902040502090204" pitchFamily="66" charset="0"/>
              <a:ea typeface="Verdana" panose="020B0604030504040204" pitchFamily="34" charset="0"/>
            </a:endParaRPr>
          </a:p>
        </xdr:txBody>
      </xdr:sp>
      <xdr:pic macro="[0]!masukaplikasi">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4">
            <a:clrChange>
              <a:clrFrom>
                <a:srgbClr val="F9FFFF"/>
              </a:clrFrom>
              <a:clrTo>
                <a:srgbClr val="F9FFFF">
                  <a:alpha val="0"/>
                </a:srgbClr>
              </a:clrTo>
            </a:clrChange>
          </a:blip>
          <a:stretch>
            <a:fillRect/>
          </a:stretch>
        </xdr:blipFill>
        <xdr:spPr>
          <a:xfrm>
            <a:off x="7489852" y="2012448"/>
            <a:ext cx="750916" cy="358140"/>
          </a:xfrm>
          <a:prstGeom prst="rect">
            <a:avLst/>
          </a:prstGeom>
        </xdr:spPr>
      </xdr:pic>
      <xdr:pic macro="[0]!masukaplikasi">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963908" y="1915811"/>
            <a:ext cx="655958" cy="527718"/>
          </a:xfrm>
          <a:prstGeom prst="rect">
            <a:avLst/>
          </a:prstGeom>
        </xdr:spPr>
      </xdr:pic>
    </xdr:grpSp>
    <xdr:clientData/>
  </xdr:twoCellAnchor>
  <xdr:twoCellAnchor editAs="oneCell">
    <xdr:from>
      <xdr:col>4</xdr:col>
      <xdr:colOff>259466</xdr:colOff>
      <xdr:row>8</xdr:row>
      <xdr:rowOff>17187</xdr:rowOff>
    </xdr:from>
    <xdr:to>
      <xdr:col>6</xdr:col>
      <xdr:colOff>44645</xdr:colOff>
      <xdr:row>15</xdr:row>
      <xdr:rowOff>40269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45466" y="1731687"/>
          <a:ext cx="1008390" cy="1356582"/>
        </a:xfrm>
        <a:prstGeom prst="rect">
          <a:avLst/>
        </a:prstGeom>
      </xdr:spPr>
    </xdr:pic>
    <xdr:clientData/>
  </xdr:twoCellAnchor>
  <xdr:twoCellAnchor editAs="oneCell">
    <xdr:from>
      <xdr:col>1</xdr:col>
      <xdr:colOff>10024</xdr:colOff>
      <xdr:row>1</xdr:row>
      <xdr:rowOff>76201</xdr:rowOff>
    </xdr:from>
    <xdr:to>
      <xdr:col>10</xdr:col>
      <xdr:colOff>40105</xdr:colOff>
      <xdr:row>7</xdr:row>
      <xdr:rowOff>73252</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7"/>
        <a:stretch>
          <a:fillRect/>
        </a:stretch>
      </xdr:blipFill>
      <xdr:spPr>
        <a:xfrm>
          <a:off x="457699" y="400051"/>
          <a:ext cx="5097381" cy="11400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571500</xdr:colOff>
      <xdr:row>1</xdr:row>
      <xdr:rowOff>85725</xdr:rowOff>
    </xdr:from>
    <xdr:ext cx="753861" cy="354264"/>
    <xdr:sp macro="" textlink="">
      <xdr:nvSpPr>
        <xdr:cNvPr id="2" name="Rectangle 1">
          <a:extLst>
            <a:ext uri="{FF2B5EF4-FFF2-40B4-BE49-F238E27FC236}">
              <a16:creationId xmlns:a16="http://schemas.microsoft.com/office/drawing/2014/main" id="{00000000-0008-0000-0100-000002000000}"/>
            </a:ext>
          </a:extLst>
        </xdr:cNvPr>
        <xdr:cNvSpPr/>
      </xdr:nvSpPr>
      <xdr:spPr>
        <a:xfrm>
          <a:off x="571500" y="276225"/>
          <a:ext cx="753861" cy="354264"/>
        </a:xfrm>
        <a:prstGeom prst="rect">
          <a:avLst/>
        </a:prstGeom>
        <a:noFill/>
      </xdr:spPr>
      <xdr:txBody>
        <a:bodyPr wrap="none" lIns="91440" tIns="45720" rIns="91440" bIns="45720">
          <a:spAutoFit/>
        </a:bodyPr>
        <a:lstStyle/>
        <a:p>
          <a:pPr algn="ctr"/>
          <a:r>
            <a:rPr lang="en-US" sz="1800" b="0" cap="none" spc="0">
              <a:ln w="6600">
                <a:solidFill>
                  <a:srgbClr val="00B050"/>
                </a:solidFill>
                <a:prstDash val="solid"/>
              </a:ln>
              <a:solidFill>
                <a:srgbClr val="00B050"/>
              </a:solidFill>
              <a:effectLst/>
              <a:latin typeface="Impuls BT" panose="03060902040502090204" pitchFamily="66" charset="0"/>
            </a:rPr>
            <a:t>Masuk</a:t>
          </a:r>
        </a:p>
      </xdr:txBody>
    </xdr:sp>
    <xdr:clientData/>
  </xdr:oneCellAnchor>
  <xdr:oneCellAnchor>
    <xdr:from>
      <xdr:col>4</xdr:col>
      <xdr:colOff>0</xdr:colOff>
      <xdr:row>1</xdr:row>
      <xdr:rowOff>66675</xdr:rowOff>
    </xdr:from>
    <xdr:ext cx="6048375" cy="135255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38400" y="257175"/>
          <a:ext cx="6048375" cy="1352551"/>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r="100000" b="100000"/>
          </a:path>
          <a:tileRect l="-100000" t="-100000"/>
        </a:gradFill>
        <a:effectLst>
          <a:glow rad="139700">
            <a:schemeClr val="accent6">
              <a:satMod val="175000"/>
              <a:alpha val="40000"/>
            </a:schemeClr>
          </a:glo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700" b="0">
              <a:solidFill>
                <a:sysClr val="windowText" lastClr="000000"/>
              </a:solidFill>
              <a:effectLst/>
              <a:latin typeface="GoudySans BlkIt BT" panose="020E090202020A0A0404" pitchFamily="34" charset="0"/>
            </a:rPr>
            <a:t>Visi Pondok Pesantren Imam Syafi’i Putri:</a:t>
          </a:r>
        </a:p>
        <a:p>
          <a:pPr algn="ctr"/>
          <a:r>
            <a:rPr lang="en-US" sz="1900">
              <a:solidFill>
                <a:srgbClr val="0070C0"/>
              </a:solidFill>
              <a:effectLst/>
              <a:latin typeface="Freehand471 BT" panose="03080802040402060304" pitchFamily="66" charset="0"/>
            </a:rPr>
            <a:t>“Mencetak generasi penghafal Al-qur’an yang berakidah kuat, bermanhaj lurus dan berakhlak mulia sesuai pemahaman salafush shalih</a:t>
          </a:r>
        </a:p>
      </xdr:txBody>
    </xdr:sp>
    <xdr:clientData/>
  </xdr:oneCellAnchor>
  <xdr:oneCellAnchor>
    <xdr:from>
      <xdr:col>3</xdr:col>
      <xdr:colOff>514350</xdr:colOff>
      <xdr:row>10</xdr:row>
      <xdr:rowOff>104775</xdr:rowOff>
    </xdr:from>
    <xdr:ext cx="6210300" cy="236219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343150" y="2009775"/>
          <a:ext cx="6210300" cy="236219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effectLst>
          <a:glow rad="139700">
            <a:schemeClr val="accent2">
              <a:satMod val="175000"/>
              <a:alpha val="40000"/>
            </a:schemeClr>
          </a:glo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700" b="0">
              <a:solidFill>
                <a:sysClr val="windowText" lastClr="000000"/>
              </a:solidFill>
              <a:effectLst/>
              <a:latin typeface="GoudySans BlkIt BT" panose="020E090202020A0A0404" pitchFamily="34" charset="0"/>
            </a:rPr>
            <a:t>Misi Pondok Pesantren Imam Syafi’i Putri:</a:t>
          </a:r>
        </a:p>
        <a:p>
          <a:pPr algn="ctr"/>
          <a:r>
            <a:rPr lang="en-US" sz="1700" b="0">
              <a:solidFill>
                <a:srgbClr val="0070C0"/>
              </a:solidFill>
              <a:effectLst/>
              <a:latin typeface="Freehand471 BT" panose="03080802040402060304" pitchFamily="66" charset="0"/>
            </a:rPr>
            <a:t>- Mencetak generasi yang hafal dan paham Al-qur’an serta mampu mengaplikasikan konsep Al-qur’an dalam kehidupan.</a:t>
          </a:r>
          <a:endParaRPr lang="en-US" sz="1700" b="0">
            <a:solidFill>
              <a:srgbClr val="0070C0"/>
            </a:solidFill>
            <a:latin typeface="Freehand471 BT" panose="03080802040402060304" pitchFamily="66" charset="0"/>
          </a:endParaRPr>
        </a:p>
        <a:p>
          <a:pPr algn="ctr"/>
          <a:r>
            <a:rPr lang="en-US" sz="1700" b="0">
              <a:solidFill>
                <a:srgbClr val="0070C0"/>
              </a:solidFill>
              <a:effectLst/>
              <a:latin typeface="Freehand471 BT" panose="03080802040402060304" pitchFamily="66" charset="0"/>
            </a:rPr>
            <a:t>- Menanamkan akidah shohihah sesuai pemahaman salaful ummah.</a:t>
          </a:r>
          <a:endParaRPr lang="en-US" sz="1700" b="0">
            <a:solidFill>
              <a:srgbClr val="0070C0"/>
            </a:solidFill>
            <a:latin typeface="Freehand471 BT" panose="03080802040402060304" pitchFamily="66" charset="0"/>
          </a:endParaRPr>
        </a:p>
        <a:p>
          <a:pPr algn="ctr"/>
          <a:r>
            <a:rPr lang="en-US" sz="1700" b="0">
              <a:solidFill>
                <a:srgbClr val="0070C0"/>
              </a:solidFill>
              <a:effectLst/>
              <a:latin typeface="Freehand471 BT" panose="03080802040402060304" pitchFamily="66" charset="0"/>
            </a:rPr>
            <a:t>- Menjadikan bahasa Al-qur’an dan sunnah sebagai pedoman kehidupan dan akhlak sehari-hari</a:t>
          </a:r>
          <a:endParaRPr lang="en-US" sz="1700" b="0">
            <a:solidFill>
              <a:srgbClr val="0070C0"/>
            </a:solidFill>
            <a:latin typeface="Freehand471 BT" panose="03080802040402060304" pitchFamily="66" charset="0"/>
          </a:endParaRPr>
        </a:p>
      </xdr:txBody>
    </xdr:sp>
    <xdr:clientData/>
  </xdr:oneCellAnchor>
  <xdr:oneCellAnchor>
    <xdr:from>
      <xdr:col>0</xdr:col>
      <xdr:colOff>429849</xdr:colOff>
      <xdr:row>11</xdr:row>
      <xdr:rowOff>0</xdr:rowOff>
    </xdr:from>
    <xdr:ext cx="1104405" cy="354264"/>
    <xdr:sp macro="" textlink="">
      <xdr:nvSpPr>
        <xdr:cNvPr id="5" name="Rectangle 4">
          <a:extLst>
            <a:ext uri="{FF2B5EF4-FFF2-40B4-BE49-F238E27FC236}">
              <a16:creationId xmlns:a16="http://schemas.microsoft.com/office/drawing/2014/main" id="{00000000-0008-0000-0100-000005000000}"/>
            </a:ext>
          </a:extLst>
        </xdr:cNvPr>
        <xdr:cNvSpPr/>
      </xdr:nvSpPr>
      <xdr:spPr>
        <a:xfrm>
          <a:off x="429849" y="2095500"/>
          <a:ext cx="1104405" cy="354264"/>
        </a:xfrm>
        <a:prstGeom prst="rect">
          <a:avLst/>
        </a:prstGeom>
        <a:noFill/>
      </xdr:spPr>
      <xdr:txBody>
        <a:bodyPr wrap="none" lIns="91440" tIns="45720" rIns="91440" bIns="45720">
          <a:spAutoFit/>
        </a:bodyPr>
        <a:lstStyle/>
        <a:p>
          <a:pPr algn="ctr"/>
          <a:r>
            <a:rPr lang="en-US" sz="1800" b="0" cap="none" spc="0">
              <a:ln w="6600">
                <a:noFill/>
                <a:prstDash val="solid"/>
              </a:ln>
              <a:solidFill>
                <a:sysClr val="windowText" lastClr="000000"/>
              </a:solidFill>
              <a:effectLst/>
              <a:latin typeface="Impuls BT" panose="03060902040502090204" pitchFamily="66" charset="0"/>
            </a:rPr>
            <a:t>Pengaturan</a:t>
          </a:r>
        </a:p>
      </xdr:txBody>
    </xdr:sp>
    <xdr:clientData/>
  </xdr:oneCellAnchor>
  <xdr:twoCellAnchor>
    <xdr:from>
      <xdr:col>14</xdr:col>
      <xdr:colOff>457200</xdr:colOff>
      <xdr:row>1</xdr:row>
      <xdr:rowOff>123825</xdr:rowOff>
    </xdr:from>
    <xdr:to>
      <xdr:col>17</xdr:col>
      <xdr:colOff>492418</xdr:colOff>
      <xdr:row>30</xdr:row>
      <xdr:rowOff>123825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8991600" y="314325"/>
          <a:ext cx="1864018" cy="5524500"/>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xdr:from>
      <xdr:col>15</xdr:col>
      <xdr:colOff>286604</xdr:colOff>
      <xdr:row>4</xdr:row>
      <xdr:rowOff>31811</xdr:rowOff>
    </xdr:from>
    <xdr:to>
      <xdr:col>17</xdr:col>
      <xdr:colOff>19148</xdr:colOff>
      <xdr:row>10</xdr:row>
      <xdr:rowOff>63587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30604" y="793811"/>
          <a:ext cx="951744" cy="1174776"/>
        </a:xfrm>
        <a:prstGeom prst="rect">
          <a:avLst/>
        </a:prstGeom>
        <a:ln w="12700">
          <a:noFill/>
        </a:ln>
        <a:effectLst>
          <a:glow rad="228600">
            <a:schemeClr val="accent5">
              <a:satMod val="175000"/>
              <a:alpha val="40000"/>
            </a:schemeClr>
          </a:glow>
        </a:effectLst>
      </xdr:spPr>
    </xdr:pic>
    <xdr:clientData/>
  </xdr:twoCellAnchor>
  <xdr:twoCellAnchor>
    <xdr:from>
      <xdr:col>14</xdr:col>
      <xdr:colOff>601465</xdr:colOff>
      <xdr:row>12</xdr:row>
      <xdr:rowOff>29614</xdr:rowOff>
    </xdr:from>
    <xdr:to>
      <xdr:col>17</xdr:col>
      <xdr:colOff>425823</xdr:colOff>
      <xdr:row>15</xdr:row>
      <xdr:rowOff>19714</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9110465" y="2206757"/>
          <a:ext cx="1647715" cy="534386"/>
          <a:chOff x="141682" y="2001289"/>
          <a:chExt cx="1617425" cy="561600"/>
        </a:xfr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lin ang="2700000" scaled="1"/>
          <a:tileRect/>
        </a:gradFill>
      </xdr:grpSpPr>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141682" y="2001289"/>
            <a:ext cx="1617425"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72781" y="2081723"/>
            <a:ext cx="1087491" cy="37075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a:solidFill>
                  <a:schemeClr val="bg1"/>
                </a:solidFill>
                <a:latin typeface="Belwe Cn BT" panose="02060806050305020504" pitchFamily="18" charset="0"/>
              </a:rPr>
              <a:t>Menu Utama</a:t>
            </a:r>
          </a:p>
        </xdr:txBody>
      </xdr:sp>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194" y="2042434"/>
            <a:ext cx="422078" cy="479301"/>
          </a:xfrm>
          <a:prstGeom prst="rect">
            <a:avLst/>
          </a:prstGeom>
          <a:grpFill/>
        </xdr:spPr>
      </xdr:pic>
    </xdr:grpSp>
    <xdr:clientData/>
  </xdr:twoCellAnchor>
  <xdr:twoCellAnchor>
    <xdr:from>
      <xdr:col>14</xdr:col>
      <xdr:colOff>578785</xdr:colOff>
      <xdr:row>15</xdr:row>
      <xdr:rowOff>106934</xdr:rowOff>
    </xdr:from>
    <xdr:to>
      <xdr:col>17</xdr:col>
      <xdr:colOff>403143</xdr:colOff>
      <xdr:row>18</xdr:row>
      <xdr:rowOff>97034</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9087785" y="2828363"/>
          <a:ext cx="1647715" cy="534385"/>
          <a:chOff x="119408" y="2650109"/>
          <a:chExt cx="1617426"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2700000" scaled="1"/>
          <a:tileRect/>
        </a:gradFill>
      </xdr:grpSpPr>
      <xdr:grpSp>
        <xdr:nvGrpSpPr>
          <xdr:cNvPr id="13" name="Group 12">
            <a:extLst>
              <a:ext uri="{FF2B5EF4-FFF2-40B4-BE49-F238E27FC236}">
                <a16:creationId xmlns:a16="http://schemas.microsoft.com/office/drawing/2014/main" id="{00000000-0008-0000-0100-00000D000000}"/>
              </a:ext>
            </a:extLst>
          </xdr:cNvPr>
          <xdr:cNvGrpSpPr/>
        </xdr:nvGrpSpPr>
        <xdr:grpSpPr>
          <a:xfrm>
            <a:off x="119408" y="2650109"/>
            <a:ext cx="1617426" cy="561600"/>
            <a:chOff x="185531" y="1456082"/>
            <a:chExt cx="1438275" cy="342900"/>
          </a:xfrm>
          <a:grpFill/>
        </xdr:grpSpPr>
        <xdr:sp macro="" textlink="">
          <xdr:nvSpPr>
            <xdr:cNvPr id="15" name="Rounded Rectangle 14">
              <a:extLst>
                <a:ext uri="{FF2B5EF4-FFF2-40B4-BE49-F238E27FC236}">
                  <a16:creationId xmlns:a16="http://schemas.microsoft.com/office/drawing/2014/main" id="{00000000-0008-0000-0100-00000F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568880" y="1505193"/>
              <a:ext cx="967038" cy="22637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a:solidFill>
                    <a:schemeClr val="bg1"/>
                  </a:solidFill>
                  <a:latin typeface="Belwe Cn BT" panose="02060806050305020504" pitchFamily="18" charset="0"/>
                </a:rPr>
                <a:t>Pengaturan</a:t>
              </a:r>
            </a:p>
          </xdr:txBody>
        </xdr:sp>
      </xdr:grpSp>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757" y="2731478"/>
            <a:ext cx="401333" cy="443749"/>
          </a:xfrm>
          <a:prstGeom prst="roundRect">
            <a:avLst/>
          </a:prstGeom>
          <a:grpFill/>
        </xdr:spPr>
      </xdr:pic>
    </xdr:grpSp>
    <xdr:clientData/>
  </xdr:twoCellAnchor>
  <xdr:twoCellAnchor>
    <xdr:from>
      <xdr:col>14</xdr:col>
      <xdr:colOff>575374</xdr:colOff>
      <xdr:row>18</xdr:row>
      <xdr:rowOff>187618</xdr:rowOff>
    </xdr:from>
    <xdr:to>
      <xdr:col>17</xdr:col>
      <xdr:colOff>399732</xdr:colOff>
      <xdr:row>21</xdr:row>
      <xdr:rowOff>177718</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084374" y="3446982"/>
          <a:ext cx="1647715" cy="540736"/>
          <a:chOff x="116058" y="3302293"/>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grpSpPr>
      <xdr:grpSp>
        <xdr:nvGrpSpPr>
          <xdr:cNvPr id="18" name="Group 17">
            <a:extLst>
              <a:ext uri="{FF2B5EF4-FFF2-40B4-BE49-F238E27FC236}">
                <a16:creationId xmlns:a16="http://schemas.microsoft.com/office/drawing/2014/main" id="{00000000-0008-0000-0100-000012000000}"/>
              </a:ext>
            </a:extLst>
          </xdr:cNvPr>
          <xdr:cNvGrpSpPr/>
        </xdr:nvGrpSpPr>
        <xdr:grpSpPr>
          <a:xfrm>
            <a:off x="116058" y="3302293"/>
            <a:ext cx="1617426" cy="561600"/>
            <a:chOff x="185531" y="1456082"/>
            <a:chExt cx="1438275" cy="342900"/>
          </a:xfrm>
          <a:grpFill/>
        </xdr:grpSpPr>
        <xdr:sp macro="" textlink="">
          <xdr:nvSpPr>
            <xdr:cNvPr id="20" name="Rounded Rectangle 19">
              <a:extLst>
                <a:ext uri="{FF2B5EF4-FFF2-40B4-BE49-F238E27FC236}">
                  <a16:creationId xmlns:a16="http://schemas.microsoft.com/office/drawing/2014/main" id="{00000000-0008-0000-0100-000014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77171" y="1522640"/>
              <a:ext cx="967038" cy="22637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a:solidFill>
                    <a:schemeClr val="bg1"/>
                  </a:solidFill>
                  <a:latin typeface="Belwe Cn BT" panose="02060806050305020504" pitchFamily="18" charset="0"/>
                </a:rPr>
                <a:t>Semester</a:t>
              </a:r>
              <a:r>
                <a:rPr lang="en-US" sz="1400" baseline="0">
                  <a:solidFill>
                    <a:schemeClr val="bg1"/>
                  </a:solidFill>
                  <a:latin typeface="Belwe Cn BT" panose="02060806050305020504" pitchFamily="18" charset="0"/>
                </a:rPr>
                <a:t> Gasal</a:t>
              </a:r>
              <a:endParaRPr lang="en-US" sz="1400">
                <a:solidFill>
                  <a:schemeClr val="bg1"/>
                </a:solidFill>
                <a:latin typeface="Belwe Cn BT" panose="02060806050305020504" pitchFamily="18" charset="0"/>
              </a:endParaRPr>
            </a:p>
          </xdr:txBody>
        </xdr:sp>
      </xdr:grpSp>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9099" y="3368532"/>
            <a:ext cx="425114" cy="428493"/>
          </a:xfrm>
          <a:prstGeom prst="roundRect">
            <a:avLst/>
          </a:prstGeom>
          <a:grpFill/>
        </xdr:spPr>
      </xdr:pic>
    </xdr:grpSp>
    <xdr:clientData/>
  </xdr:twoCellAnchor>
  <xdr:twoCellAnchor>
    <xdr:from>
      <xdr:col>14</xdr:col>
      <xdr:colOff>578785</xdr:colOff>
      <xdr:row>22</xdr:row>
      <xdr:rowOff>69956</xdr:rowOff>
    </xdr:from>
    <xdr:to>
      <xdr:col>17</xdr:col>
      <xdr:colOff>403143</xdr:colOff>
      <xdr:row>25</xdr:row>
      <xdr:rowOff>60056</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9087785" y="4061385"/>
          <a:ext cx="1647715" cy="534385"/>
          <a:chOff x="119408" y="3946631"/>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xdr:grpSpPr>
      <xdr:grpSp>
        <xdr:nvGrpSpPr>
          <xdr:cNvPr id="23" name="Group 22">
            <a:extLst>
              <a:ext uri="{FF2B5EF4-FFF2-40B4-BE49-F238E27FC236}">
                <a16:creationId xmlns:a16="http://schemas.microsoft.com/office/drawing/2014/main" id="{00000000-0008-0000-0100-000017000000}"/>
              </a:ext>
            </a:extLst>
          </xdr:cNvPr>
          <xdr:cNvGrpSpPr/>
        </xdr:nvGrpSpPr>
        <xdr:grpSpPr>
          <a:xfrm>
            <a:off x="119408" y="3946631"/>
            <a:ext cx="1617426" cy="561600"/>
            <a:chOff x="185531" y="1456082"/>
            <a:chExt cx="1438275" cy="342900"/>
          </a:xfrm>
          <a:grpFill/>
        </xdr:grpSpPr>
        <xdr:sp macro="" textlink="">
          <xdr:nvSpPr>
            <xdr:cNvPr id="25" name="Rounded Rectangle 24">
              <a:extLst>
                <a:ext uri="{FF2B5EF4-FFF2-40B4-BE49-F238E27FC236}">
                  <a16:creationId xmlns:a16="http://schemas.microsoft.com/office/drawing/2014/main" id="{00000000-0008-0000-0100-000019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602043" y="1511009"/>
              <a:ext cx="967038" cy="22637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a:solidFill>
                    <a:schemeClr val="bg1"/>
                  </a:solidFill>
                  <a:latin typeface="Belwe Cn BT" panose="02060806050305020504" pitchFamily="18" charset="0"/>
                </a:rPr>
                <a:t>Semester Genap</a:t>
              </a:r>
            </a:p>
          </xdr:txBody>
        </xdr:sp>
      </xdr:grpSp>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2174" y="4043702"/>
            <a:ext cx="356109" cy="400591"/>
          </a:xfrm>
          <a:prstGeom prst="roundRect">
            <a:avLst/>
          </a:prstGeom>
          <a:grpFill/>
        </xdr:spPr>
      </xdr:pic>
    </xdr:grpSp>
    <xdr:clientData/>
  </xdr:twoCellAnchor>
  <xdr:twoCellAnchor>
    <xdr:from>
      <xdr:col>14</xdr:col>
      <xdr:colOff>585589</xdr:colOff>
      <xdr:row>25</xdr:row>
      <xdr:rowOff>145593</xdr:rowOff>
    </xdr:from>
    <xdr:to>
      <xdr:col>17</xdr:col>
      <xdr:colOff>409947</xdr:colOff>
      <xdr:row>28</xdr:row>
      <xdr:rowOff>135693</xdr:rowOff>
    </xdr:to>
    <xdr:grpSp>
      <xdr:nvGrpSpPr>
        <xdr:cNvPr id="27" name="Group 26">
          <a:extLst>
            <a:ext uri="{FF2B5EF4-FFF2-40B4-BE49-F238E27FC236}">
              <a16:creationId xmlns:a16="http://schemas.microsoft.com/office/drawing/2014/main" id="{00000000-0008-0000-0100-00001B000000}"/>
            </a:ext>
          </a:extLst>
        </xdr:cNvPr>
        <xdr:cNvGrpSpPr/>
      </xdr:nvGrpSpPr>
      <xdr:grpSpPr>
        <a:xfrm>
          <a:off x="9094589" y="4681307"/>
          <a:ext cx="1647715" cy="534386"/>
          <a:chOff x="126090" y="4593768"/>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grpSpPr>
      <xdr:grpSp>
        <xdr:nvGrpSpPr>
          <xdr:cNvPr id="28" name="Group 27">
            <a:extLst>
              <a:ext uri="{FF2B5EF4-FFF2-40B4-BE49-F238E27FC236}">
                <a16:creationId xmlns:a16="http://schemas.microsoft.com/office/drawing/2014/main" id="{00000000-0008-0000-0100-00001C000000}"/>
              </a:ext>
            </a:extLst>
          </xdr:cNvPr>
          <xdr:cNvGrpSpPr/>
        </xdr:nvGrpSpPr>
        <xdr:grpSpPr>
          <a:xfrm>
            <a:off x="126090" y="4593768"/>
            <a:ext cx="1617426" cy="561600"/>
            <a:chOff x="185531" y="1456082"/>
            <a:chExt cx="1438275" cy="342900"/>
          </a:xfrm>
          <a:grpFill/>
        </xdr:grpSpPr>
        <xdr:sp macro="" textlink="">
          <xdr:nvSpPr>
            <xdr:cNvPr id="30" name="Rounded Rectangle 29">
              <a:extLst>
                <a:ext uri="{FF2B5EF4-FFF2-40B4-BE49-F238E27FC236}">
                  <a16:creationId xmlns:a16="http://schemas.microsoft.com/office/drawing/2014/main" id="{00000000-0008-0000-0100-00001E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602043" y="1511009"/>
              <a:ext cx="967038" cy="22637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a:solidFill>
                    <a:schemeClr val="bg1"/>
                  </a:solidFill>
                  <a:latin typeface="Belwe Cn BT" panose="02060806050305020504" pitchFamily="18" charset="0"/>
                </a:rPr>
                <a:t>Halaman Awal</a:t>
              </a:r>
            </a:p>
          </xdr:txBody>
        </xdr:sp>
      </xdr:grpSp>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20897" y="4705390"/>
            <a:ext cx="313704" cy="320487"/>
          </a:xfrm>
          <a:prstGeom prst="rect">
            <a:avLst/>
          </a:prstGeom>
          <a:grpFill/>
        </xdr:spPr>
      </xdr:pic>
    </xdr:grpSp>
    <xdr:clientData/>
  </xdr:twoCellAnchor>
  <xdr:twoCellAnchor editAs="oneCell">
    <xdr:from>
      <xdr:col>1</xdr:col>
      <xdr:colOff>0</xdr:colOff>
      <xdr:row>18</xdr:row>
      <xdr:rowOff>0</xdr:rowOff>
    </xdr:from>
    <xdr:to>
      <xdr:col>2</xdr:col>
      <xdr:colOff>577610</xdr:colOff>
      <xdr:row>20</xdr:row>
      <xdr:rowOff>82336</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7"/>
        <a:stretch>
          <a:fillRect/>
        </a:stretch>
      </xdr:blipFill>
      <xdr:spPr>
        <a:xfrm>
          <a:off x="605118" y="3429000"/>
          <a:ext cx="1182727" cy="463336"/>
        </a:xfrm>
        <a:prstGeom prst="rect">
          <a:avLst/>
        </a:prstGeom>
      </xdr:spPr>
    </xdr:pic>
    <xdr:clientData/>
  </xdr:twoCellAnchor>
  <xdr:twoCellAnchor>
    <xdr:from>
      <xdr:col>18</xdr:col>
      <xdr:colOff>204107</xdr:colOff>
      <xdr:row>2</xdr:row>
      <xdr:rowOff>68036</xdr:rowOff>
    </xdr:from>
    <xdr:to>
      <xdr:col>21</xdr:col>
      <xdr:colOff>149151</xdr:colOff>
      <xdr:row>30</xdr:row>
      <xdr:rowOff>128778</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11225893" y="449036"/>
          <a:ext cx="1782008" cy="5394742"/>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xdr:from>
      <xdr:col>18</xdr:col>
      <xdr:colOff>307788</xdr:colOff>
      <xdr:row>10</xdr:row>
      <xdr:rowOff>14904</xdr:rowOff>
    </xdr:from>
    <xdr:to>
      <xdr:col>21</xdr:col>
      <xdr:colOff>103016</xdr:colOff>
      <xdr:row>12</xdr:row>
      <xdr:rowOff>185548</xdr:rowOff>
    </xdr:to>
    <xdr:grpSp>
      <xdr:nvGrpSpPr>
        <xdr:cNvPr id="37" name="Group 36">
          <a:extLst>
            <a:ext uri="{FF2B5EF4-FFF2-40B4-BE49-F238E27FC236}">
              <a16:creationId xmlns:a16="http://schemas.microsoft.com/office/drawing/2014/main" id="{00000000-0008-0000-0100-000025000000}"/>
            </a:ext>
          </a:extLst>
        </xdr:cNvPr>
        <xdr:cNvGrpSpPr/>
      </xdr:nvGrpSpPr>
      <xdr:grpSpPr>
        <a:xfrm>
          <a:off x="11247931" y="1829190"/>
          <a:ext cx="1618585" cy="533501"/>
          <a:chOff x="90280" y="1503706"/>
          <a:chExt cx="1652400" cy="561600"/>
        </a:xfr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path path="circle">
            <a:fillToRect t="100000" r="100000"/>
          </a:path>
          <a:tileRect l="-100000" b="-100000"/>
        </a:gradFill>
      </xdr:grpSpPr>
      <xdr:sp macro="[0]!setting" textlink="">
        <xdr:nvSpPr>
          <xdr:cNvPr id="38" name="Rounded Rectangle 37">
            <a:extLst>
              <a:ext uri="{FF2B5EF4-FFF2-40B4-BE49-F238E27FC236}">
                <a16:creationId xmlns:a16="http://schemas.microsoft.com/office/drawing/2014/main" id="{00000000-0008-0000-0100-000026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clientData/>
  </xdr:twoCellAnchor>
  <xdr:twoCellAnchor>
    <xdr:from>
      <xdr:col>18</xdr:col>
      <xdr:colOff>307788</xdr:colOff>
      <xdr:row>13</xdr:row>
      <xdr:rowOff>89723</xdr:rowOff>
    </xdr:from>
    <xdr:to>
      <xdr:col>21</xdr:col>
      <xdr:colOff>103016</xdr:colOff>
      <xdr:row>16</xdr:row>
      <xdr:rowOff>83734</xdr:rowOff>
    </xdr:to>
    <xdr:grpSp>
      <xdr:nvGrpSpPr>
        <xdr:cNvPr id="40" name="Group 39">
          <a:extLst>
            <a:ext uri="{FF2B5EF4-FFF2-40B4-BE49-F238E27FC236}">
              <a16:creationId xmlns:a16="http://schemas.microsoft.com/office/drawing/2014/main" id="{00000000-0008-0000-0100-000028000000}"/>
            </a:ext>
          </a:extLst>
        </xdr:cNvPr>
        <xdr:cNvGrpSpPr/>
      </xdr:nvGrpSpPr>
      <xdr:grpSpPr>
        <a:xfrm>
          <a:off x="11247931" y="2448294"/>
          <a:ext cx="1618585" cy="538297"/>
          <a:chOff x="90280" y="220855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t="100000" r="100000"/>
          </a:path>
          <a:tileRect l="-100000" b="-100000"/>
        </a:gradFill>
      </xdr:grpSpPr>
      <xdr:sp macro="[0]!set_dakol" textlink="">
        <xdr:nvSpPr>
          <xdr:cNvPr id="41" name="Rounded Rectangle 40">
            <a:extLst>
              <a:ext uri="{FF2B5EF4-FFF2-40B4-BE49-F238E27FC236}">
                <a16:creationId xmlns:a16="http://schemas.microsoft.com/office/drawing/2014/main" id="{00000000-0008-0000-0100-000029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clientData/>
  </xdr:twoCellAnchor>
  <xdr:twoCellAnchor>
    <xdr:from>
      <xdr:col>18</xdr:col>
      <xdr:colOff>298418</xdr:colOff>
      <xdr:row>20</xdr:row>
      <xdr:rowOff>57734</xdr:rowOff>
    </xdr:from>
    <xdr:to>
      <xdr:col>21</xdr:col>
      <xdr:colOff>93646</xdr:colOff>
      <xdr:row>23</xdr:row>
      <xdr:rowOff>62447</xdr:rowOff>
    </xdr:to>
    <xdr:grpSp>
      <xdr:nvGrpSpPr>
        <xdr:cNvPr id="46" name="Group 45">
          <a:extLst>
            <a:ext uri="{FF2B5EF4-FFF2-40B4-BE49-F238E27FC236}">
              <a16:creationId xmlns:a16="http://schemas.microsoft.com/office/drawing/2014/main" id="{00000000-0008-0000-0100-00002E000000}"/>
            </a:ext>
          </a:extLst>
        </xdr:cNvPr>
        <xdr:cNvGrpSpPr/>
      </xdr:nvGrpSpPr>
      <xdr:grpSpPr>
        <a:xfrm>
          <a:off x="11238561" y="3686305"/>
          <a:ext cx="1618585" cy="548999"/>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_kkm" textlink="">
        <xdr:nvSpPr>
          <xdr:cNvPr id="47" name="Rounded Rectangle 46">
            <a:extLst>
              <a:ext uri="{FF2B5EF4-FFF2-40B4-BE49-F238E27FC236}">
                <a16:creationId xmlns:a16="http://schemas.microsoft.com/office/drawing/2014/main" id="{00000000-0008-0000-0100-00002F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clientData/>
  </xdr:twoCellAnchor>
  <xdr:twoCellAnchor>
    <xdr:from>
      <xdr:col>18</xdr:col>
      <xdr:colOff>312681</xdr:colOff>
      <xdr:row>27</xdr:row>
      <xdr:rowOff>26976</xdr:rowOff>
    </xdr:from>
    <xdr:to>
      <xdr:col>21</xdr:col>
      <xdr:colOff>107909</xdr:colOff>
      <xdr:row>30</xdr:row>
      <xdr:rowOff>17822</xdr:rowOff>
    </xdr:to>
    <xdr:grpSp>
      <xdr:nvGrpSpPr>
        <xdr:cNvPr id="49" name="Group 48">
          <a:extLst>
            <a:ext uri="{FF2B5EF4-FFF2-40B4-BE49-F238E27FC236}">
              <a16:creationId xmlns:a16="http://schemas.microsoft.com/office/drawing/2014/main" id="{00000000-0008-0000-0100-000031000000}"/>
            </a:ext>
          </a:extLst>
        </xdr:cNvPr>
        <xdr:cNvGrpSpPr/>
      </xdr:nvGrpSpPr>
      <xdr:grpSpPr>
        <a:xfrm>
          <a:off x="11252824" y="4925547"/>
          <a:ext cx="1618585" cy="535132"/>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50" name="Rounded Rectangle 49">
            <a:extLst>
              <a:ext uri="{FF2B5EF4-FFF2-40B4-BE49-F238E27FC236}">
                <a16:creationId xmlns:a16="http://schemas.microsoft.com/office/drawing/2014/main" id="{00000000-0008-0000-0100-000032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clientData/>
  </xdr:twoCellAnchor>
  <xdr:twoCellAnchor>
    <xdr:from>
      <xdr:col>18</xdr:col>
      <xdr:colOff>303307</xdr:colOff>
      <xdr:row>23</xdr:row>
      <xdr:rowOff>149314</xdr:rowOff>
    </xdr:from>
    <xdr:to>
      <xdr:col>21</xdr:col>
      <xdr:colOff>98535</xdr:colOff>
      <xdr:row>26</xdr:row>
      <xdr:rowOff>140159</xdr:rowOff>
    </xdr:to>
    <xdr:grpSp>
      <xdr:nvGrpSpPr>
        <xdr:cNvPr id="52" name="Group 51">
          <a:extLst>
            <a:ext uri="{FF2B5EF4-FFF2-40B4-BE49-F238E27FC236}">
              <a16:creationId xmlns:a16="http://schemas.microsoft.com/office/drawing/2014/main" id="{00000000-0008-0000-0100-000034000000}"/>
            </a:ext>
          </a:extLst>
        </xdr:cNvPr>
        <xdr:cNvGrpSpPr/>
      </xdr:nvGrpSpPr>
      <xdr:grpSpPr>
        <a:xfrm>
          <a:off x="11243450" y="4322171"/>
          <a:ext cx="1618585" cy="535131"/>
          <a:chOff x="85725" y="4143935"/>
          <a:chExt cx="1652400" cy="561599"/>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53" name="Rounded Rectangle 52">
            <a:extLst>
              <a:ext uri="{FF2B5EF4-FFF2-40B4-BE49-F238E27FC236}">
                <a16:creationId xmlns:a16="http://schemas.microsoft.com/office/drawing/2014/main" id="{00000000-0008-0000-0100-000035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clientData/>
  </xdr:twoCellAnchor>
  <xdr:twoCellAnchor>
    <xdr:from>
      <xdr:col>19</xdr:col>
      <xdr:colOff>173266</xdr:colOff>
      <xdr:row>10</xdr:row>
      <xdr:rowOff>128710</xdr:rowOff>
    </xdr:from>
    <xdr:to>
      <xdr:col>21</xdr:col>
      <xdr:colOff>82581</xdr:colOff>
      <xdr:row>12</xdr:row>
      <xdr:rowOff>63899</xdr:rowOff>
    </xdr:to>
    <xdr:pic macro="[0]!setting">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
        <a:stretch>
          <a:fillRect/>
        </a:stretch>
      </xdr:blipFill>
      <xdr:spPr>
        <a:xfrm>
          <a:off x="11807373" y="2033710"/>
          <a:ext cx="1133958" cy="316189"/>
        </a:xfrm>
        <a:prstGeom prst="rect">
          <a:avLst/>
        </a:prstGeom>
      </xdr:spPr>
    </xdr:pic>
    <xdr:clientData/>
  </xdr:twoCellAnchor>
  <xdr:twoCellAnchor>
    <xdr:from>
      <xdr:col>19</xdr:col>
      <xdr:colOff>262061</xdr:colOff>
      <xdr:row>14</xdr:row>
      <xdr:rowOff>47092</xdr:rowOff>
    </xdr:from>
    <xdr:to>
      <xdr:col>21</xdr:col>
      <xdr:colOff>23551</xdr:colOff>
      <xdr:row>15</xdr:row>
      <xdr:rowOff>131296</xdr:rowOff>
    </xdr:to>
    <xdr:pic macro="[0]!set_dakol">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3"/>
        <a:stretch>
          <a:fillRect/>
        </a:stretch>
      </xdr:blipFill>
      <xdr:spPr>
        <a:xfrm>
          <a:off x="11896168" y="2714092"/>
          <a:ext cx="986133" cy="274704"/>
        </a:xfrm>
        <a:prstGeom prst="rect">
          <a:avLst/>
        </a:prstGeom>
      </xdr:spPr>
    </xdr:pic>
    <xdr:clientData/>
  </xdr:twoCellAnchor>
  <xdr:twoCellAnchor>
    <xdr:from>
      <xdr:col>19</xdr:col>
      <xdr:colOff>61139</xdr:colOff>
      <xdr:row>20</xdr:row>
      <xdr:rowOff>183910</xdr:rowOff>
    </xdr:from>
    <xdr:to>
      <xdr:col>21</xdr:col>
      <xdr:colOff>54270</xdr:colOff>
      <xdr:row>22</xdr:row>
      <xdr:rowOff>114151</xdr:rowOff>
    </xdr:to>
    <xdr:pic macro="[0]!set_kkm">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4"/>
        <a:stretch>
          <a:fillRect/>
        </a:stretch>
      </xdr:blipFill>
      <xdr:spPr>
        <a:xfrm>
          <a:off x="11695246" y="3993910"/>
          <a:ext cx="1217774" cy="311241"/>
        </a:xfrm>
        <a:prstGeom prst="rect">
          <a:avLst/>
        </a:prstGeom>
      </xdr:spPr>
    </xdr:pic>
    <xdr:clientData/>
  </xdr:twoCellAnchor>
  <xdr:twoCellAnchor>
    <xdr:from>
      <xdr:col>19</xdr:col>
      <xdr:colOff>139382</xdr:colOff>
      <xdr:row>24</xdr:row>
      <xdr:rowOff>84990</xdr:rowOff>
    </xdr:from>
    <xdr:to>
      <xdr:col>21</xdr:col>
      <xdr:colOff>91026</xdr:colOff>
      <xdr:row>26</xdr:row>
      <xdr:rowOff>15231</xdr:rowOff>
    </xdr:to>
    <xdr:pic macro="[0]!set_cover">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5"/>
        <a:stretch>
          <a:fillRect/>
        </a:stretch>
      </xdr:blipFill>
      <xdr:spPr>
        <a:xfrm>
          <a:off x="11773489" y="4656990"/>
          <a:ext cx="1176287" cy="311241"/>
        </a:xfrm>
        <a:prstGeom prst="rect">
          <a:avLst/>
        </a:prstGeom>
      </xdr:spPr>
    </xdr:pic>
    <xdr:clientData/>
  </xdr:twoCellAnchor>
  <xdr:twoCellAnchor>
    <xdr:from>
      <xdr:col>19</xdr:col>
      <xdr:colOff>67897</xdr:colOff>
      <xdr:row>27</xdr:row>
      <xdr:rowOff>160574</xdr:rowOff>
    </xdr:from>
    <xdr:to>
      <xdr:col>21</xdr:col>
      <xdr:colOff>87306</xdr:colOff>
      <xdr:row>29</xdr:row>
      <xdr:rowOff>90815</xdr:rowOff>
    </xdr:to>
    <xdr:pic macro="[0]!utama">
      <xdr:nvPicPr>
        <xdr:cNvPr id="60" name="Picture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16"/>
        <a:stretch>
          <a:fillRect/>
        </a:stretch>
      </xdr:blipFill>
      <xdr:spPr>
        <a:xfrm>
          <a:off x="11702004" y="5304074"/>
          <a:ext cx="1244052" cy="311241"/>
        </a:xfrm>
        <a:prstGeom prst="rect">
          <a:avLst/>
        </a:prstGeom>
      </xdr:spPr>
    </xdr:pic>
    <xdr:clientData/>
  </xdr:twoCellAnchor>
  <xdr:twoCellAnchor>
    <xdr:from>
      <xdr:col>19</xdr:col>
      <xdr:colOff>115071</xdr:colOff>
      <xdr:row>3</xdr:row>
      <xdr:rowOff>46264</xdr:rowOff>
    </xdr:from>
    <xdr:to>
      <xdr:col>20</xdr:col>
      <xdr:colOff>323899</xdr:colOff>
      <xdr:row>9</xdr:row>
      <xdr:rowOff>4403</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749178" y="617764"/>
          <a:ext cx="821150" cy="1101139"/>
        </a:xfrm>
        <a:prstGeom prst="rect">
          <a:avLst/>
        </a:prstGeom>
      </xdr:spPr>
    </xdr:pic>
    <xdr:clientData/>
  </xdr:twoCellAnchor>
  <xdr:twoCellAnchor>
    <xdr:from>
      <xdr:col>18</xdr:col>
      <xdr:colOff>307788</xdr:colOff>
      <xdr:row>16</xdr:row>
      <xdr:rowOff>168978</xdr:rowOff>
    </xdr:from>
    <xdr:to>
      <xdr:col>21</xdr:col>
      <xdr:colOff>103016</xdr:colOff>
      <xdr:row>19</xdr:row>
      <xdr:rowOff>168925</xdr:rowOff>
    </xdr:to>
    <xdr:grpSp>
      <xdr:nvGrpSpPr>
        <xdr:cNvPr id="119" name="Group 118">
          <a:extLst>
            <a:ext uri="{FF2B5EF4-FFF2-40B4-BE49-F238E27FC236}">
              <a16:creationId xmlns:a16="http://schemas.microsoft.com/office/drawing/2014/main" id="{00000000-0008-0000-0100-000077000000}"/>
            </a:ext>
          </a:extLst>
        </xdr:cNvPr>
        <xdr:cNvGrpSpPr/>
      </xdr:nvGrpSpPr>
      <xdr:grpSpPr>
        <a:xfrm>
          <a:off x="11247931" y="3071835"/>
          <a:ext cx="1618585" cy="544233"/>
          <a:chOff x="11329574" y="3216978"/>
          <a:chExt cx="1632192" cy="571447"/>
        </a:xfrm>
      </xdr:grpSpPr>
      <xdr:sp macro="[0]!set_dasis" textlink="">
        <xdr:nvSpPr>
          <xdr:cNvPr id="44" name="Rounded Rectangle 43">
            <a:extLst>
              <a:ext uri="{FF2B5EF4-FFF2-40B4-BE49-F238E27FC236}">
                <a16:creationId xmlns:a16="http://schemas.microsoft.com/office/drawing/2014/main" id="{00000000-0008-0000-0100-00002C000000}"/>
              </a:ext>
            </a:extLst>
          </xdr:cNvPr>
          <xdr:cNvSpPr/>
        </xdr:nvSpPr>
        <xdr:spPr>
          <a:xfrm>
            <a:off x="11329574" y="3216978"/>
            <a:ext cx="1632192"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57" name="Pictur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8"/>
          <a:stretch>
            <a:fillRect/>
          </a:stretch>
        </xdr:blipFill>
        <xdr:spPr>
          <a:xfrm>
            <a:off x="11749969" y="3338206"/>
            <a:ext cx="1193659" cy="316189"/>
          </a:xfrm>
          <a:prstGeom prst="rect">
            <a:avLst/>
          </a:prstGeom>
        </xdr:spPr>
      </xdr:pic>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426111" y="3275239"/>
            <a:ext cx="360560" cy="435179"/>
          </a:xfrm>
          <a:prstGeom prst="rect">
            <a:avLst/>
          </a:prstGeom>
        </xdr:spPr>
      </xdr:pic>
    </xdr:grpSp>
    <xdr:clientData/>
  </xdr:twoCellAnchor>
  <xdr:twoCellAnchor>
    <xdr:from>
      <xdr:col>21</xdr:col>
      <xdr:colOff>585108</xdr:colOff>
      <xdr:row>1</xdr:row>
      <xdr:rowOff>163286</xdr:rowOff>
    </xdr:from>
    <xdr:to>
      <xdr:col>24</xdr:col>
      <xdr:colOff>527096</xdr:colOff>
      <xdr:row>30</xdr:row>
      <xdr:rowOff>176892</xdr:rowOff>
    </xdr:to>
    <xdr:sp macro="" textlink="">
      <xdr:nvSpPr>
        <xdr:cNvPr id="93" name="Rectangle 92">
          <a:extLst>
            <a:ext uri="{FF2B5EF4-FFF2-40B4-BE49-F238E27FC236}">
              <a16:creationId xmlns:a16="http://schemas.microsoft.com/office/drawing/2014/main" id="{00000000-0008-0000-0100-00005D000000}"/>
            </a:ext>
          </a:extLst>
        </xdr:cNvPr>
        <xdr:cNvSpPr/>
      </xdr:nvSpPr>
      <xdr:spPr>
        <a:xfrm>
          <a:off x="13313972" y="353786"/>
          <a:ext cx="1760397" cy="5538106"/>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xdr:from>
      <xdr:col>22</xdr:col>
      <xdr:colOff>62482</xdr:colOff>
      <xdr:row>9</xdr:row>
      <xdr:rowOff>186492</xdr:rowOff>
    </xdr:from>
    <xdr:to>
      <xdr:col>24</xdr:col>
      <xdr:colOff>468618</xdr:colOff>
      <xdr:row>12</xdr:row>
      <xdr:rowOff>182320</xdr:rowOff>
    </xdr:to>
    <xdr:grpSp>
      <xdr:nvGrpSpPr>
        <xdr:cNvPr id="94" name="Group 93">
          <a:extLst>
            <a:ext uri="{FF2B5EF4-FFF2-40B4-BE49-F238E27FC236}">
              <a16:creationId xmlns:a16="http://schemas.microsoft.com/office/drawing/2014/main" id="{00000000-0008-0000-0100-00005E000000}"/>
            </a:ext>
          </a:extLst>
        </xdr:cNvPr>
        <xdr:cNvGrpSpPr/>
      </xdr:nvGrpSpPr>
      <xdr:grpSpPr>
        <a:xfrm>
          <a:off x="13433768" y="1819349"/>
          <a:ext cx="1621707" cy="540114"/>
          <a:chOff x="90280" y="1503706"/>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ting" textlink="">
        <xdr:nvSpPr>
          <xdr:cNvPr id="95" name="Rounded Rectangle 94">
            <a:extLst>
              <a:ext uri="{FF2B5EF4-FFF2-40B4-BE49-F238E27FC236}">
                <a16:creationId xmlns:a16="http://schemas.microsoft.com/office/drawing/2014/main" id="{00000000-0008-0000-0100-00005F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clientData/>
  </xdr:twoCellAnchor>
  <xdr:twoCellAnchor>
    <xdr:from>
      <xdr:col>22</xdr:col>
      <xdr:colOff>62482</xdr:colOff>
      <xdr:row>13</xdr:row>
      <xdr:rowOff>87786</xdr:rowOff>
    </xdr:from>
    <xdr:to>
      <xdr:col>24</xdr:col>
      <xdr:colOff>468618</xdr:colOff>
      <xdr:row>16</xdr:row>
      <xdr:rowOff>97671</xdr:rowOff>
    </xdr:to>
    <xdr:grpSp>
      <xdr:nvGrpSpPr>
        <xdr:cNvPr id="97" name="Group 96">
          <a:extLst>
            <a:ext uri="{FF2B5EF4-FFF2-40B4-BE49-F238E27FC236}">
              <a16:creationId xmlns:a16="http://schemas.microsoft.com/office/drawing/2014/main" id="{00000000-0008-0000-0100-000061000000}"/>
            </a:ext>
          </a:extLst>
        </xdr:cNvPr>
        <xdr:cNvGrpSpPr/>
      </xdr:nvGrpSpPr>
      <xdr:grpSpPr>
        <a:xfrm>
          <a:off x="13433768" y="2446357"/>
          <a:ext cx="1621707" cy="554171"/>
          <a:chOff x="90280" y="2208557"/>
          <a:chExt cx="1652400" cy="561600"/>
        </a:xfrm>
        <a:gradFill flip="none" rotWithShape="1">
          <a:gsLst>
            <a:gs pos="0">
              <a:srgbClr val="FF33CC">
                <a:shade val="30000"/>
                <a:satMod val="115000"/>
              </a:srgbClr>
            </a:gs>
            <a:gs pos="50000">
              <a:srgbClr val="FF33CC">
                <a:shade val="67500"/>
                <a:satMod val="115000"/>
              </a:srgbClr>
            </a:gs>
            <a:gs pos="100000">
              <a:srgbClr val="FF33CC">
                <a:shade val="100000"/>
                <a:satMod val="115000"/>
              </a:srgbClr>
            </a:gs>
          </a:gsLst>
          <a:lin ang="2700000" scaled="1"/>
          <a:tileRect/>
        </a:gradFill>
      </xdr:grpSpPr>
      <xdr:sp macro="[0]!set_dakol" textlink="">
        <xdr:nvSpPr>
          <xdr:cNvPr id="98" name="Rounded Rectangle 97">
            <a:extLst>
              <a:ext uri="{FF2B5EF4-FFF2-40B4-BE49-F238E27FC236}">
                <a16:creationId xmlns:a16="http://schemas.microsoft.com/office/drawing/2014/main" id="{00000000-0008-0000-0100-000062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99" name="Picture 98">
            <a:extLst>
              <a:ext uri="{FF2B5EF4-FFF2-40B4-BE49-F238E27FC236}">
                <a16:creationId xmlns:a16="http://schemas.microsoft.com/office/drawing/2014/main" id="{00000000-0008-0000-0100-00006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clientData/>
  </xdr:twoCellAnchor>
  <xdr:twoCellAnchor>
    <xdr:from>
      <xdr:col>22</xdr:col>
      <xdr:colOff>53150</xdr:colOff>
      <xdr:row>20</xdr:row>
      <xdr:rowOff>89868</xdr:rowOff>
    </xdr:from>
    <xdr:to>
      <xdr:col>24</xdr:col>
      <xdr:colOff>459286</xdr:colOff>
      <xdr:row>23</xdr:row>
      <xdr:rowOff>107879</xdr:rowOff>
    </xdr:to>
    <xdr:grpSp>
      <xdr:nvGrpSpPr>
        <xdr:cNvPr id="103" name="Group 102">
          <a:extLst>
            <a:ext uri="{FF2B5EF4-FFF2-40B4-BE49-F238E27FC236}">
              <a16:creationId xmlns:a16="http://schemas.microsoft.com/office/drawing/2014/main" id="{00000000-0008-0000-0100-000067000000}"/>
            </a:ext>
          </a:extLst>
        </xdr:cNvPr>
        <xdr:cNvGrpSpPr/>
      </xdr:nvGrpSpPr>
      <xdr:grpSpPr>
        <a:xfrm>
          <a:off x="13424436" y="3718439"/>
          <a:ext cx="1621707" cy="562297"/>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_kkm" textlink="">
        <xdr:nvSpPr>
          <xdr:cNvPr id="104" name="Rounded Rectangle 103">
            <a:extLst>
              <a:ext uri="{FF2B5EF4-FFF2-40B4-BE49-F238E27FC236}">
                <a16:creationId xmlns:a16="http://schemas.microsoft.com/office/drawing/2014/main" id="{00000000-0008-0000-0100-000068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105" name="Picture 104">
            <a:extLst>
              <a:ext uri="{FF2B5EF4-FFF2-40B4-BE49-F238E27FC236}">
                <a16:creationId xmlns:a16="http://schemas.microsoft.com/office/drawing/2014/main" id="{00000000-0008-0000-0100-000069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clientData/>
  </xdr:twoCellAnchor>
  <xdr:twoCellAnchor>
    <xdr:from>
      <xdr:col>22</xdr:col>
      <xdr:colOff>67354</xdr:colOff>
      <xdr:row>27</xdr:row>
      <xdr:rowOff>93198</xdr:rowOff>
    </xdr:from>
    <xdr:to>
      <xdr:col>24</xdr:col>
      <xdr:colOff>473490</xdr:colOff>
      <xdr:row>30</xdr:row>
      <xdr:rowOff>97153</xdr:rowOff>
    </xdr:to>
    <xdr:grpSp>
      <xdr:nvGrpSpPr>
        <xdr:cNvPr id="106" name="Group 105">
          <a:extLst>
            <a:ext uri="{FF2B5EF4-FFF2-40B4-BE49-F238E27FC236}">
              <a16:creationId xmlns:a16="http://schemas.microsoft.com/office/drawing/2014/main" id="{00000000-0008-0000-0100-00006A000000}"/>
            </a:ext>
          </a:extLst>
        </xdr:cNvPr>
        <xdr:cNvGrpSpPr/>
      </xdr:nvGrpSpPr>
      <xdr:grpSpPr>
        <a:xfrm>
          <a:off x="13438640" y="4991769"/>
          <a:ext cx="1621707" cy="548241"/>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107" name="Rounded Rectangle 106">
            <a:extLst>
              <a:ext uri="{FF2B5EF4-FFF2-40B4-BE49-F238E27FC236}">
                <a16:creationId xmlns:a16="http://schemas.microsoft.com/office/drawing/2014/main" id="{00000000-0008-0000-0100-00006B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clientData/>
  </xdr:twoCellAnchor>
  <xdr:twoCellAnchor>
    <xdr:from>
      <xdr:col>22</xdr:col>
      <xdr:colOff>58020</xdr:colOff>
      <xdr:row>24</xdr:row>
      <xdr:rowOff>8152</xdr:rowOff>
    </xdr:from>
    <xdr:to>
      <xdr:col>24</xdr:col>
      <xdr:colOff>464156</xdr:colOff>
      <xdr:row>27</xdr:row>
      <xdr:rowOff>12106</xdr:rowOff>
    </xdr:to>
    <xdr:grpSp>
      <xdr:nvGrpSpPr>
        <xdr:cNvPr id="109" name="Group 108">
          <a:extLst>
            <a:ext uri="{FF2B5EF4-FFF2-40B4-BE49-F238E27FC236}">
              <a16:creationId xmlns:a16="http://schemas.microsoft.com/office/drawing/2014/main" id="{00000000-0008-0000-0100-00006D000000}"/>
            </a:ext>
          </a:extLst>
        </xdr:cNvPr>
        <xdr:cNvGrpSpPr/>
      </xdr:nvGrpSpPr>
      <xdr:grpSpPr>
        <a:xfrm>
          <a:off x="13429306" y="4362438"/>
          <a:ext cx="1621707" cy="548239"/>
          <a:chOff x="85725" y="4143935"/>
          <a:chExt cx="1652400" cy="561599"/>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110" name="Rounded Rectangle 109">
            <a:extLst>
              <a:ext uri="{FF2B5EF4-FFF2-40B4-BE49-F238E27FC236}">
                <a16:creationId xmlns:a16="http://schemas.microsoft.com/office/drawing/2014/main" id="{00000000-0008-0000-0100-00006E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clientData/>
  </xdr:twoCellAnchor>
  <xdr:twoCellAnchor>
    <xdr:from>
      <xdr:col>22</xdr:col>
      <xdr:colOff>538273</xdr:colOff>
      <xdr:row>10</xdr:row>
      <xdr:rowOff>114072</xdr:rowOff>
    </xdr:from>
    <xdr:to>
      <xdr:col>24</xdr:col>
      <xdr:colOff>448267</xdr:colOff>
      <xdr:row>12</xdr:row>
      <xdr:rowOff>56292</xdr:rowOff>
    </xdr:to>
    <xdr:pic macro="[0]!setting">
      <xdr:nvPicPr>
        <xdr:cNvPr id="112" name="Picture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12"/>
        <a:stretch>
          <a:fillRect/>
        </a:stretch>
      </xdr:blipFill>
      <xdr:spPr>
        <a:xfrm>
          <a:off x="14009344" y="2019072"/>
          <a:ext cx="1134637" cy="323220"/>
        </a:xfrm>
        <a:prstGeom prst="rect">
          <a:avLst/>
        </a:prstGeom>
      </xdr:spPr>
    </xdr:pic>
    <xdr:clientData/>
  </xdr:twoCellAnchor>
  <xdr:twoCellAnchor>
    <xdr:from>
      <xdr:col>23</xdr:col>
      <xdr:colOff>17094</xdr:colOff>
      <xdr:row>14</xdr:row>
      <xdr:rowOff>49892</xdr:rowOff>
    </xdr:from>
    <xdr:to>
      <xdr:col>24</xdr:col>
      <xdr:colOff>389485</xdr:colOff>
      <xdr:row>15</xdr:row>
      <xdr:rowOff>140562</xdr:rowOff>
    </xdr:to>
    <xdr:pic macro="[0]!set_dakol">
      <xdr:nvPicPr>
        <xdr:cNvPr id="113" name="Picture 112">
          <a:extLst>
            <a:ext uri="{FF2B5EF4-FFF2-40B4-BE49-F238E27FC236}">
              <a16:creationId xmlns:a16="http://schemas.microsoft.com/office/drawing/2014/main" id="{00000000-0008-0000-0100-000071000000}"/>
            </a:ext>
          </a:extLst>
        </xdr:cNvPr>
        <xdr:cNvPicPr>
          <a:picLocks noChangeAspect="1"/>
        </xdr:cNvPicPr>
      </xdr:nvPicPr>
      <xdr:blipFill>
        <a:blip xmlns:r="http://schemas.openxmlformats.org/officeDocument/2006/relationships" r:embed="rId13"/>
        <a:stretch>
          <a:fillRect/>
        </a:stretch>
      </xdr:blipFill>
      <xdr:spPr>
        <a:xfrm>
          <a:off x="14100487" y="2716892"/>
          <a:ext cx="984712" cy="281170"/>
        </a:xfrm>
        <a:prstGeom prst="rect">
          <a:avLst/>
        </a:prstGeom>
      </xdr:spPr>
    </xdr:pic>
    <xdr:clientData/>
  </xdr:twoCellAnchor>
  <xdr:twoCellAnchor>
    <xdr:from>
      <xdr:col>22</xdr:col>
      <xdr:colOff>426618</xdr:colOff>
      <xdr:row>21</xdr:row>
      <xdr:rowOff>27264</xdr:rowOff>
    </xdr:from>
    <xdr:to>
      <xdr:col>24</xdr:col>
      <xdr:colOff>420077</xdr:colOff>
      <xdr:row>22</xdr:row>
      <xdr:rowOff>157692</xdr:rowOff>
    </xdr:to>
    <xdr:pic macro="[0]!set_kkm">
      <xdr:nvPicPr>
        <xdr:cNvPr id="115" name="Picture 114">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4"/>
        <a:stretch>
          <a:fillRect/>
        </a:stretch>
      </xdr:blipFill>
      <xdr:spPr>
        <a:xfrm>
          <a:off x="13897689" y="4027764"/>
          <a:ext cx="1218102" cy="320928"/>
        </a:xfrm>
        <a:prstGeom prst="rect">
          <a:avLst/>
        </a:prstGeom>
      </xdr:spPr>
    </xdr:pic>
    <xdr:clientData/>
  </xdr:twoCellAnchor>
  <xdr:twoCellAnchor>
    <xdr:from>
      <xdr:col>22</xdr:col>
      <xdr:colOff>504532</xdr:colOff>
      <xdr:row>24</xdr:row>
      <xdr:rowOff>136048</xdr:rowOff>
    </xdr:from>
    <xdr:to>
      <xdr:col>24</xdr:col>
      <xdr:colOff>456678</xdr:colOff>
      <xdr:row>26</xdr:row>
      <xdr:rowOff>75976</xdr:rowOff>
    </xdr:to>
    <xdr:pic macro="[0]!set_cover">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5"/>
        <a:stretch>
          <a:fillRect/>
        </a:stretch>
      </xdr:blipFill>
      <xdr:spPr>
        <a:xfrm>
          <a:off x="13975603" y="4708048"/>
          <a:ext cx="1176789" cy="320928"/>
        </a:xfrm>
        <a:prstGeom prst="rect">
          <a:avLst/>
        </a:prstGeom>
      </xdr:spPr>
    </xdr:pic>
    <xdr:clientData/>
  </xdr:twoCellAnchor>
  <xdr:twoCellAnchor>
    <xdr:from>
      <xdr:col>22</xdr:col>
      <xdr:colOff>433348</xdr:colOff>
      <xdr:row>28</xdr:row>
      <xdr:rowOff>38118</xdr:rowOff>
    </xdr:from>
    <xdr:to>
      <xdr:col>24</xdr:col>
      <xdr:colOff>452974</xdr:colOff>
      <xdr:row>29</xdr:row>
      <xdr:rowOff>168546</xdr:rowOff>
    </xdr:to>
    <xdr:pic macro="[0]!utama">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6"/>
        <a:stretch>
          <a:fillRect/>
        </a:stretch>
      </xdr:blipFill>
      <xdr:spPr>
        <a:xfrm>
          <a:off x="13904419" y="5372118"/>
          <a:ext cx="1244269" cy="320928"/>
        </a:xfrm>
        <a:prstGeom prst="rect">
          <a:avLst/>
        </a:prstGeom>
      </xdr:spPr>
    </xdr:pic>
    <xdr:clientData/>
  </xdr:twoCellAnchor>
  <xdr:twoCellAnchor>
    <xdr:from>
      <xdr:col>22</xdr:col>
      <xdr:colOff>439512</xdr:colOff>
      <xdr:row>2</xdr:row>
      <xdr:rowOff>182336</xdr:rowOff>
    </xdr:from>
    <xdr:to>
      <xdr:col>24</xdr:col>
      <xdr:colOff>43627</xdr:colOff>
      <xdr:row>8</xdr:row>
      <xdr:rowOff>159494</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3910583" y="563336"/>
          <a:ext cx="828758" cy="1120158"/>
        </a:xfrm>
        <a:prstGeom prst="rect">
          <a:avLst/>
        </a:prstGeom>
      </xdr:spPr>
    </xdr:pic>
    <xdr:clientData/>
  </xdr:twoCellAnchor>
  <xdr:twoCellAnchor>
    <xdr:from>
      <xdr:col>22</xdr:col>
      <xdr:colOff>68037</xdr:colOff>
      <xdr:row>17</xdr:row>
      <xdr:rowOff>0</xdr:rowOff>
    </xdr:from>
    <xdr:to>
      <xdr:col>24</xdr:col>
      <xdr:colOff>475586</xdr:colOff>
      <xdr:row>19</xdr:row>
      <xdr:rowOff>190447</xdr:rowOff>
    </xdr:to>
    <xdr:grpSp>
      <xdr:nvGrpSpPr>
        <xdr:cNvPr id="124" name="Group 123">
          <a:extLst>
            <a:ext uri="{FF2B5EF4-FFF2-40B4-BE49-F238E27FC236}">
              <a16:creationId xmlns:a16="http://schemas.microsoft.com/office/drawing/2014/main" id="{00000000-0008-0000-0100-00007C000000}"/>
            </a:ext>
          </a:extLst>
        </xdr:cNvPr>
        <xdr:cNvGrpSpPr/>
      </xdr:nvGrpSpPr>
      <xdr:grpSpPr>
        <a:xfrm>
          <a:off x="13439323" y="3084286"/>
          <a:ext cx="1623120" cy="546954"/>
          <a:chOff x="11329574" y="3216978"/>
          <a:chExt cx="1632192" cy="571447"/>
        </a:xfrm>
      </xdr:grpSpPr>
      <xdr:sp macro="[0]!set_dasis" textlink="">
        <xdr:nvSpPr>
          <xdr:cNvPr id="125" name="Rounded Rectangle 124">
            <a:extLst>
              <a:ext uri="{FF2B5EF4-FFF2-40B4-BE49-F238E27FC236}">
                <a16:creationId xmlns:a16="http://schemas.microsoft.com/office/drawing/2014/main" id="{00000000-0008-0000-0100-00007D000000}"/>
              </a:ext>
            </a:extLst>
          </xdr:cNvPr>
          <xdr:cNvSpPr/>
        </xdr:nvSpPr>
        <xdr:spPr>
          <a:xfrm>
            <a:off x="11329574" y="3216978"/>
            <a:ext cx="1632192"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8"/>
          <a:stretch>
            <a:fillRect/>
          </a:stretch>
        </xdr:blipFill>
        <xdr:spPr>
          <a:xfrm>
            <a:off x="11749969" y="3338206"/>
            <a:ext cx="1193659" cy="316189"/>
          </a:xfrm>
          <a:prstGeom prst="rect">
            <a:avLst/>
          </a:prstGeom>
        </xdr:spPr>
      </xdr:pic>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1426111" y="3275239"/>
            <a:ext cx="360560" cy="435179"/>
          </a:xfrm>
          <a:prstGeom prst="rect">
            <a:avLst/>
          </a:prstGeom>
        </xdr:spPr>
      </xdr:pic>
    </xdr:grpSp>
    <xdr:clientData/>
  </xdr:twoCellAnchor>
  <xdr:twoCellAnchor>
    <xdr:from>
      <xdr:col>22</xdr:col>
      <xdr:colOff>423870</xdr:colOff>
      <xdr:row>35</xdr:row>
      <xdr:rowOff>54430</xdr:rowOff>
    </xdr:from>
    <xdr:to>
      <xdr:col>24</xdr:col>
      <xdr:colOff>285750</xdr:colOff>
      <xdr:row>37</xdr:row>
      <xdr:rowOff>322</xdr:rowOff>
    </xdr:to>
    <xdr:pic>
      <xdr:nvPicPr>
        <xdr:cNvPr id="189" name="Picture 2" descr="ABES17">
          <a:extLst>
            <a:ext uri="{FF2B5EF4-FFF2-40B4-BE49-F238E27FC236}">
              <a16:creationId xmlns:a16="http://schemas.microsoft.com/office/drawing/2014/main" id="{00000000-0008-0000-0100-0000BD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3894941" y="6721930"/>
          <a:ext cx="1086523" cy="3268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326571</xdr:colOff>
      <xdr:row>26</xdr:row>
      <xdr:rowOff>0</xdr:rowOff>
    </xdr:from>
    <xdr:to>
      <xdr:col>15</xdr:col>
      <xdr:colOff>336096</xdr:colOff>
      <xdr:row>31</xdr:row>
      <xdr:rowOff>123825</xdr:rowOff>
    </xdr:to>
    <xdr:pic>
      <xdr:nvPicPr>
        <xdr:cNvPr id="204" name="Picture 203">
          <a:extLst>
            <a:ext uri="{FF2B5EF4-FFF2-40B4-BE49-F238E27FC236}">
              <a16:creationId xmlns:a16="http://schemas.microsoft.com/office/drawing/2014/main" id="{00000000-0008-0000-0100-0000C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2775857" y="4953000"/>
          <a:ext cx="674506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27054</xdr:colOff>
      <xdr:row>29</xdr:row>
      <xdr:rowOff>0</xdr:rowOff>
    </xdr:to>
    <xdr:sp macro="" textlink="">
      <xdr:nvSpPr>
        <xdr:cNvPr id="38" name="Rectangle 37">
          <a:extLst>
            <a:ext uri="{FF2B5EF4-FFF2-40B4-BE49-F238E27FC236}">
              <a16:creationId xmlns:a16="http://schemas.microsoft.com/office/drawing/2014/main" id="{00000000-0008-0000-0200-000026000000}"/>
            </a:ext>
          </a:extLst>
        </xdr:cNvPr>
        <xdr:cNvSpPr/>
      </xdr:nvSpPr>
      <xdr:spPr>
        <a:xfrm>
          <a:off x="0" y="0"/>
          <a:ext cx="1842407" cy="5524500"/>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xdr:from>
      <xdr:col>0</xdr:col>
      <xdr:colOff>120175</xdr:colOff>
      <xdr:row>13</xdr:row>
      <xdr:rowOff>173609</xdr:rowOff>
    </xdr:from>
    <xdr:to>
      <xdr:col>2</xdr:col>
      <xdr:colOff>543932</xdr:colOff>
      <xdr:row>16</xdr:row>
      <xdr:rowOff>163709</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20175" y="2567559"/>
          <a:ext cx="1642957" cy="542550"/>
          <a:chOff x="12615210" y="3128627"/>
          <a:chExt cx="1653158" cy="561600"/>
        </a:xfrm>
      </xdr:grpSpPr>
      <xdr:grpSp>
        <xdr:nvGrpSpPr>
          <xdr:cNvPr id="53" name="Group 52">
            <a:extLst>
              <a:ext uri="{FF2B5EF4-FFF2-40B4-BE49-F238E27FC236}">
                <a16:creationId xmlns:a16="http://schemas.microsoft.com/office/drawing/2014/main" id="{00000000-0008-0000-0200-000035000000}"/>
              </a:ext>
            </a:extLst>
          </xdr:cNvPr>
          <xdr:cNvGrpSpPr/>
        </xdr:nvGrpSpPr>
        <xdr:grpSpPr>
          <a:xfrm>
            <a:off x="12615210" y="3128627"/>
            <a:ext cx="1653158" cy="561600"/>
            <a:chOff x="119408" y="2650109"/>
            <a:chExt cx="1617426"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2700000" scaled="1"/>
            <a:tileRect/>
          </a:gradFill>
        </xdr:grpSpPr>
        <xdr:sp macro="[0]!setting" textlink="">
          <xdr:nvSpPr>
            <xdr:cNvPr id="56" name="Rounded Rectangle 55">
              <a:extLst>
                <a:ext uri="{FF2B5EF4-FFF2-40B4-BE49-F238E27FC236}">
                  <a16:creationId xmlns:a16="http://schemas.microsoft.com/office/drawing/2014/main" id="{00000000-0008-0000-0200-000038000000}"/>
                </a:ext>
              </a:extLst>
            </xdr:cNvPr>
            <xdr:cNvSpPr/>
          </xdr:nvSpPr>
          <xdr:spPr>
            <a:xfrm>
              <a:off x="119408" y="2650109"/>
              <a:ext cx="1617426"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55" name="Picture 54">
              <a:extLst>
                <a:ext uri="{FF2B5EF4-FFF2-40B4-BE49-F238E27FC236}">
                  <a16:creationId xmlns:a16="http://schemas.microsoft.com/office/drawing/2014/main" id="{00000000-0008-0000-02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7757" y="2731478"/>
              <a:ext cx="401333" cy="443749"/>
            </a:xfrm>
            <a:prstGeom prst="roundRect">
              <a:avLst/>
            </a:prstGeom>
            <a:grpFill/>
          </xdr:spPr>
        </xdr:pic>
      </xdr:grpSp>
      <xdr:pic macro="[0]!setting">
        <xdr:nvPicPr>
          <xdr:cNvPr id="76" name="Picture 75">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2"/>
          <a:stretch>
            <a:fillRect/>
          </a:stretch>
        </xdr:blipFill>
        <xdr:spPr>
          <a:xfrm>
            <a:off x="13018897" y="3224893"/>
            <a:ext cx="1244536" cy="344233"/>
          </a:xfrm>
          <a:prstGeom prst="rect">
            <a:avLst/>
          </a:prstGeom>
        </xdr:spPr>
      </xdr:pic>
    </xdr:grpSp>
    <xdr:clientData/>
  </xdr:twoCellAnchor>
  <xdr:twoCellAnchor>
    <xdr:from>
      <xdr:col>0</xdr:col>
      <xdr:colOff>116804</xdr:colOff>
      <xdr:row>17</xdr:row>
      <xdr:rowOff>63793</xdr:rowOff>
    </xdr:from>
    <xdr:to>
      <xdr:col>2</xdr:col>
      <xdr:colOff>540561</xdr:colOff>
      <xdr:row>20</xdr:row>
      <xdr:rowOff>53893</xdr:rowOff>
    </xdr:to>
    <xdr:grpSp>
      <xdr:nvGrpSpPr>
        <xdr:cNvPr id="86" name="Group 85">
          <a:extLst>
            <a:ext uri="{FF2B5EF4-FFF2-40B4-BE49-F238E27FC236}">
              <a16:creationId xmlns:a16="http://schemas.microsoft.com/office/drawing/2014/main" id="{00000000-0008-0000-0200-000056000000}"/>
            </a:ext>
          </a:extLst>
        </xdr:cNvPr>
        <xdr:cNvGrpSpPr/>
      </xdr:nvGrpSpPr>
      <xdr:grpSpPr>
        <a:xfrm>
          <a:off x="116804" y="3194343"/>
          <a:ext cx="1642957" cy="542550"/>
          <a:chOff x="12611799" y="3780811"/>
          <a:chExt cx="1653158" cy="561600"/>
        </a:xfrm>
      </xdr:grpSpPr>
      <xdr:grpSp>
        <xdr:nvGrpSpPr>
          <xdr:cNvPr id="58" name="Group 57">
            <a:extLst>
              <a:ext uri="{FF2B5EF4-FFF2-40B4-BE49-F238E27FC236}">
                <a16:creationId xmlns:a16="http://schemas.microsoft.com/office/drawing/2014/main" id="{00000000-0008-0000-0200-00003A000000}"/>
              </a:ext>
            </a:extLst>
          </xdr:cNvPr>
          <xdr:cNvGrpSpPr/>
        </xdr:nvGrpSpPr>
        <xdr:grpSpPr>
          <a:xfrm>
            <a:off x="12611799" y="3780811"/>
            <a:ext cx="1653158" cy="561600"/>
            <a:chOff x="116058" y="3302293"/>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grpSpPr>
        <xdr:sp macro="[0]!menu_gasal" textlink="">
          <xdr:nvSpPr>
            <xdr:cNvPr id="61" name="Rounded Rectangle 60">
              <a:extLst>
                <a:ext uri="{FF2B5EF4-FFF2-40B4-BE49-F238E27FC236}">
                  <a16:creationId xmlns:a16="http://schemas.microsoft.com/office/drawing/2014/main" id="{00000000-0008-0000-0200-00003D000000}"/>
                </a:ext>
              </a:extLst>
            </xdr:cNvPr>
            <xdr:cNvSpPr/>
          </xdr:nvSpPr>
          <xdr:spPr>
            <a:xfrm>
              <a:off x="116058" y="3302293"/>
              <a:ext cx="1617426"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menu_gasal">
          <xdr:nvPicPr>
            <xdr:cNvPr id="60" name="Picture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099" y="3368532"/>
              <a:ext cx="425114" cy="428493"/>
            </a:xfrm>
            <a:prstGeom prst="roundRect">
              <a:avLst/>
            </a:prstGeom>
            <a:grpFill/>
          </xdr:spPr>
        </xdr:pic>
      </xdr:grpSp>
      <xdr:pic macro="[0]!menu_gasal">
        <xdr:nvPicPr>
          <xdr:cNvPr id="78" name="Picture 77">
            <a:extLst>
              <a:ext uri="{FF2B5EF4-FFF2-40B4-BE49-F238E27FC236}">
                <a16:creationId xmlns:a16="http://schemas.microsoft.com/office/drawing/2014/main" id="{00000000-0008-0000-0200-00004E000000}"/>
              </a:ext>
            </a:extLst>
          </xdr:cNvPr>
          <xdr:cNvPicPr>
            <a:picLocks noChangeAspect="1"/>
          </xdr:cNvPicPr>
        </xdr:nvPicPr>
        <xdr:blipFill>
          <a:blip xmlns:r="http://schemas.openxmlformats.org/officeDocument/2006/relationships" r:embed="rId4"/>
          <a:stretch>
            <a:fillRect/>
          </a:stretch>
        </xdr:blipFill>
        <xdr:spPr>
          <a:xfrm>
            <a:off x="13171715" y="3782785"/>
            <a:ext cx="957155" cy="542591"/>
          </a:xfrm>
          <a:prstGeom prst="rect">
            <a:avLst/>
          </a:prstGeom>
        </xdr:spPr>
      </xdr:pic>
    </xdr:grpSp>
    <xdr:clientData/>
  </xdr:twoCellAnchor>
  <xdr:twoCellAnchor>
    <xdr:from>
      <xdr:col>0</xdr:col>
      <xdr:colOff>120175</xdr:colOff>
      <xdr:row>20</xdr:row>
      <xdr:rowOff>120196</xdr:rowOff>
    </xdr:from>
    <xdr:to>
      <xdr:col>2</xdr:col>
      <xdr:colOff>543932</xdr:colOff>
      <xdr:row>23</xdr:row>
      <xdr:rowOff>126731</xdr:rowOff>
    </xdr:to>
    <xdr:grpSp>
      <xdr:nvGrpSpPr>
        <xdr:cNvPr id="85" name="Group 84">
          <a:extLst>
            <a:ext uri="{FF2B5EF4-FFF2-40B4-BE49-F238E27FC236}">
              <a16:creationId xmlns:a16="http://schemas.microsoft.com/office/drawing/2014/main" id="{00000000-0008-0000-0200-000055000000}"/>
            </a:ext>
          </a:extLst>
        </xdr:cNvPr>
        <xdr:cNvGrpSpPr/>
      </xdr:nvGrpSpPr>
      <xdr:grpSpPr>
        <a:xfrm>
          <a:off x="120175" y="3803196"/>
          <a:ext cx="1642957" cy="558985"/>
          <a:chOff x="12615210" y="4408714"/>
          <a:chExt cx="1653158" cy="578035"/>
        </a:xfrm>
      </xdr:grpSpPr>
      <xdr:grpSp>
        <xdr:nvGrpSpPr>
          <xdr:cNvPr id="63" name="Group 62">
            <a:extLst>
              <a:ext uri="{FF2B5EF4-FFF2-40B4-BE49-F238E27FC236}">
                <a16:creationId xmlns:a16="http://schemas.microsoft.com/office/drawing/2014/main" id="{00000000-0008-0000-0200-00003F000000}"/>
              </a:ext>
            </a:extLst>
          </xdr:cNvPr>
          <xdr:cNvGrpSpPr/>
        </xdr:nvGrpSpPr>
        <xdr:grpSpPr>
          <a:xfrm>
            <a:off x="12615210" y="4425149"/>
            <a:ext cx="1653158" cy="561600"/>
            <a:chOff x="119408" y="3946631"/>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xdr:grpSpPr>
        <xdr:sp macro="[0]!menu_genap" textlink="">
          <xdr:nvSpPr>
            <xdr:cNvPr id="66" name="Rounded Rectangle 65">
              <a:extLst>
                <a:ext uri="{FF2B5EF4-FFF2-40B4-BE49-F238E27FC236}">
                  <a16:creationId xmlns:a16="http://schemas.microsoft.com/office/drawing/2014/main" id="{00000000-0008-0000-0200-000042000000}"/>
                </a:ext>
              </a:extLst>
            </xdr:cNvPr>
            <xdr:cNvSpPr/>
          </xdr:nvSpPr>
          <xdr:spPr>
            <a:xfrm>
              <a:off x="119408" y="3946631"/>
              <a:ext cx="1617426"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menu_genap">
          <xdr:nvPicPr>
            <xdr:cNvPr id="65" name="Picture 64">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2174" y="4043702"/>
              <a:ext cx="356109" cy="400591"/>
            </a:xfrm>
            <a:prstGeom prst="roundRect">
              <a:avLst/>
            </a:prstGeom>
            <a:grpFill/>
          </xdr:spPr>
        </xdr:pic>
      </xdr:grpSp>
      <xdr:pic macro="[0]!menu_genap">
        <xdr:nvPicPr>
          <xdr:cNvPr id="80" name="Picture 79">
            <a:extLst>
              <a:ext uri="{FF2B5EF4-FFF2-40B4-BE49-F238E27FC236}">
                <a16:creationId xmlns:a16="http://schemas.microsoft.com/office/drawing/2014/main" id="{00000000-0008-0000-0200-000050000000}"/>
              </a:ext>
            </a:extLst>
          </xdr:cNvPr>
          <xdr:cNvPicPr>
            <a:picLocks noChangeAspect="1"/>
          </xdr:cNvPicPr>
        </xdr:nvPicPr>
        <xdr:blipFill>
          <a:blip xmlns:r="http://schemas.openxmlformats.org/officeDocument/2006/relationships" r:embed="rId6"/>
          <a:stretch>
            <a:fillRect/>
          </a:stretch>
        </xdr:blipFill>
        <xdr:spPr>
          <a:xfrm>
            <a:off x="13171714" y="4408714"/>
            <a:ext cx="957155" cy="542591"/>
          </a:xfrm>
          <a:prstGeom prst="rect">
            <a:avLst/>
          </a:prstGeom>
        </xdr:spPr>
      </xdr:pic>
    </xdr:grpSp>
    <xdr:clientData/>
  </xdr:twoCellAnchor>
  <xdr:twoCellAnchor>
    <xdr:from>
      <xdr:col>0</xdr:col>
      <xdr:colOff>126900</xdr:colOff>
      <xdr:row>24</xdr:row>
      <xdr:rowOff>21768</xdr:rowOff>
    </xdr:from>
    <xdr:to>
      <xdr:col>2</xdr:col>
      <xdr:colOff>550657</xdr:colOff>
      <xdr:row>27</xdr:row>
      <xdr:rowOff>11868</xdr:rowOff>
    </xdr:to>
    <xdr:grpSp>
      <xdr:nvGrpSpPr>
        <xdr:cNvPr id="87" name="Group 86">
          <a:extLst>
            <a:ext uri="{FF2B5EF4-FFF2-40B4-BE49-F238E27FC236}">
              <a16:creationId xmlns:a16="http://schemas.microsoft.com/office/drawing/2014/main" id="{00000000-0008-0000-0200-000057000000}"/>
            </a:ext>
          </a:extLst>
        </xdr:cNvPr>
        <xdr:cNvGrpSpPr/>
      </xdr:nvGrpSpPr>
      <xdr:grpSpPr>
        <a:xfrm>
          <a:off x="126900" y="4441368"/>
          <a:ext cx="1642957" cy="542550"/>
          <a:chOff x="12622014" y="5072286"/>
          <a:chExt cx="1653158" cy="561600"/>
        </a:xfrm>
      </xdr:grpSpPr>
      <xdr:grpSp>
        <xdr:nvGrpSpPr>
          <xdr:cNvPr id="68" name="Group 67">
            <a:extLst>
              <a:ext uri="{FF2B5EF4-FFF2-40B4-BE49-F238E27FC236}">
                <a16:creationId xmlns:a16="http://schemas.microsoft.com/office/drawing/2014/main" id="{00000000-0008-0000-0200-000044000000}"/>
              </a:ext>
            </a:extLst>
          </xdr:cNvPr>
          <xdr:cNvGrpSpPr/>
        </xdr:nvGrpSpPr>
        <xdr:grpSpPr>
          <a:xfrm>
            <a:off x="12622014" y="5072286"/>
            <a:ext cx="1653158" cy="561600"/>
            <a:chOff x="126090" y="4593768"/>
            <a:chExt cx="1617426" cy="5616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grpSpPr>
        <xdr:sp macro="[0]!mulai" textlink="">
          <xdr:nvSpPr>
            <xdr:cNvPr id="71" name="Rounded Rectangle 70">
              <a:extLst>
                <a:ext uri="{FF2B5EF4-FFF2-40B4-BE49-F238E27FC236}">
                  <a16:creationId xmlns:a16="http://schemas.microsoft.com/office/drawing/2014/main" id="{00000000-0008-0000-0200-000047000000}"/>
                </a:ext>
              </a:extLst>
            </xdr:cNvPr>
            <xdr:cNvSpPr/>
          </xdr:nvSpPr>
          <xdr:spPr>
            <a:xfrm>
              <a:off x="126090" y="4593768"/>
              <a:ext cx="1617426"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mulai">
          <xdr:nvPicPr>
            <xdr:cNvPr id="70" name="Picture 69">
              <a:extLst>
                <a:ext uri="{FF2B5EF4-FFF2-40B4-BE49-F238E27FC236}">
                  <a16:creationId xmlns:a16="http://schemas.microsoft.com/office/drawing/2014/main" id="{00000000-0008-0000-0200-00004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20897" y="4705390"/>
              <a:ext cx="313704" cy="320487"/>
            </a:xfrm>
            <a:prstGeom prst="rect">
              <a:avLst/>
            </a:prstGeom>
            <a:grpFill/>
          </xdr:spPr>
        </xdr:pic>
      </xdr:grpSp>
      <xdr:pic macro="[0]!mulai">
        <xdr:nvPicPr>
          <xdr:cNvPr id="81" name="Picture 80">
            <a:extLst>
              <a:ext uri="{FF2B5EF4-FFF2-40B4-BE49-F238E27FC236}">
                <a16:creationId xmlns:a16="http://schemas.microsoft.com/office/drawing/2014/main" id="{00000000-0008-0000-0200-000051000000}"/>
              </a:ext>
            </a:extLst>
          </xdr:cNvPr>
          <xdr:cNvPicPr>
            <a:picLocks noChangeAspect="1"/>
          </xdr:cNvPicPr>
        </xdr:nvPicPr>
        <xdr:blipFill>
          <a:blip xmlns:r="http://schemas.openxmlformats.org/officeDocument/2006/relationships" r:embed="rId8"/>
          <a:stretch>
            <a:fillRect/>
          </a:stretch>
        </xdr:blipFill>
        <xdr:spPr>
          <a:xfrm>
            <a:off x="13185322" y="5089072"/>
            <a:ext cx="920576" cy="542591"/>
          </a:xfrm>
          <a:prstGeom prst="rect">
            <a:avLst/>
          </a:prstGeom>
        </xdr:spPr>
      </xdr:pic>
    </xdr:grpSp>
    <xdr:clientData/>
  </xdr:twoCellAnchor>
  <xdr:twoCellAnchor>
    <xdr:from>
      <xdr:col>0</xdr:col>
      <xdr:colOff>142592</xdr:colOff>
      <xdr:row>10</xdr:row>
      <xdr:rowOff>96289</xdr:rowOff>
    </xdr:from>
    <xdr:to>
      <xdr:col>2</xdr:col>
      <xdr:colOff>566349</xdr:colOff>
      <xdr:row>13</xdr:row>
      <xdr:rowOff>86389</xdr:rowOff>
    </xdr:to>
    <xdr:grpSp>
      <xdr:nvGrpSpPr>
        <xdr:cNvPr id="83" name="Group 82">
          <a:extLst>
            <a:ext uri="{FF2B5EF4-FFF2-40B4-BE49-F238E27FC236}">
              <a16:creationId xmlns:a16="http://schemas.microsoft.com/office/drawing/2014/main" id="{00000000-0008-0000-0200-000053000000}"/>
            </a:ext>
          </a:extLst>
        </xdr:cNvPr>
        <xdr:cNvGrpSpPr/>
      </xdr:nvGrpSpPr>
      <xdr:grpSpPr>
        <a:xfrm>
          <a:off x="142592" y="1937789"/>
          <a:ext cx="1642957" cy="542550"/>
          <a:chOff x="12637890" y="2479807"/>
          <a:chExt cx="1653158" cy="561600"/>
        </a:xfrm>
      </xdr:grpSpPr>
      <xdr:sp macro="[0]!utama" textlink="">
        <xdr:nvSpPr>
          <xdr:cNvPr id="41" name="Rounded Rectangle 40">
            <a:extLst>
              <a:ext uri="{FF2B5EF4-FFF2-40B4-BE49-F238E27FC236}">
                <a16:creationId xmlns:a16="http://schemas.microsoft.com/office/drawing/2014/main" id="{00000000-0008-0000-0200-000029000000}"/>
              </a:ext>
            </a:extLst>
          </xdr:cNvPr>
          <xdr:cNvSpPr/>
        </xdr:nvSpPr>
        <xdr:spPr>
          <a:xfrm>
            <a:off x="12637890" y="2479807"/>
            <a:ext cx="1653158" cy="561600"/>
          </a:xfrm>
          <a:prstGeom prst="roundRect">
            <a:avLst/>
          </a:prstGeo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lin ang="2700000" scaled="1"/>
            <a:tileRect/>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780708" y="2558142"/>
            <a:ext cx="409378" cy="404813"/>
          </a:xfrm>
          <a:prstGeom prst="rect">
            <a:avLst/>
          </a:prstGeom>
        </xdr:spPr>
      </xdr:pic>
      <xdr:pic macro="[0]!utama">
        <xdr:nvPicPr>
          <xdr:cNvPr id="82" name="Picture 81">
            <a:extLst>
              <a:ext uri="{FF2B5EF4-FFF2-40B4-BE49-F238E27FC236}">
                <a16:creationId xmlns:a16="http://schemas.microsoft.com/office/drawing/2014/main" id="{00000000-0008-0000-0200-000052000000}"/>
              </a:ext>
            </a:extLst>
          </xdr:cNvPr>
          <xdr:cNvPicPr>
            <a:picLocks noChangeAspect="1"/>
          </xdr:cNvPicPr>
        </xdr:nvPicPr>
        <xdr:blipFill>
          <a:blip xmlns:r="http://schemas.openxmlformats.org/officeDocument/2006/relationships" r:embed="rId10"/>
          <a:stretch>
            <a:fillRect/>
          </a:stretch>
        </xdr:blipFill>
        <xdr:spPr>
          <a:xfrm>
            <a:off x="13253358" y="2490107"/>
            <a:ext cx="737680" cy="542591"/>
          </a:xfrm>
          <a:prstGeom prst="rect">
            <a:avLst/>
          </a:prstGeom>
        </xdr:spPr>
      </xdr:pic>
    </xdr:grpSp>
    <xdr:clientData/>
  </xdr:twoCellAnchor>
  <xdr:twoCellAnchor editAs="oneCell">
    <xdr:from>
      <xdr:col>0</xdr:col>
      <xdr:colOff>428625</xdr:colOff>
      <xdr:row>1</xdr:row>
      <xdr:rowOff>85725</xdr:rowOff>
    </xdr:from>
    <xdr:to>
      <xdr:col>2</xdr:col>
      <xdr:colOff>213804</xdr:colOff>
      <xdr:row>8</xdr:row>
      <xdr:rowOff>108807</xdr:rowOff>
    </xdr:to>
    <xdr:pic>
      <xdr:nvPicPr>
        <xdr:cNvPr id="33" name="Picture 32">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28625" y="276225"/>
          <a:ext cx="1004379" cy="1356582"/>
        </a:xfrm>
        <a:prstGeom prst="rect">
          <a:avLst/>
        </a:prstGeom>
      </xdr:spPr>
    </xdr:pic>
    <xdr:clientData/>
  </xdr:twoCellAnchor>
  <xdr:twoCellAnchor editAs="oneCell">
    <xdr:from>
      <xdr:col>3</xdr:col>
      <xdr:colOff>39121</xdr:colOff>
      <xdr:row>0</xdr:row>
      <xdr:rowOff>0</xdr:rowOff>
    </xdr:from>
    <xdr:to>
      <xdr:col>13</xdr:col>
      <xdr:colOff>569798</xdr:colOff>
      <xdr:row>29</xdr:row>
      <xdr:rowOff>13607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76085" y="0"/>
          <a:ext cx="6653892" cy="5538107"/>
        </a:xfrm>
        <a:prstGeom prst="rect">
          <a:avLst/>
        </a:prstGeom>
      </xdr:spPr>
    </xdr:pic>
    <xdr:clientData/>
  </xdr:twoCellAnchor>
  <xdr:oneCellAnchor>
    <xdr:from>
      <xdr:col>3</xdr:col>
      <xdr:colOff>174493</xdr:colOff>
      <xdr:row>3</xdr:row>
      <xdr:rowOff>98452</xdr:rowOff>
    </xdr:from>
    <xdr:ext cx="6136821" cy="1243417"/>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989846" y="669952"/>
          <a:ext cx="6136821" cy="1243417"/>
        </a:xfrm>
        <a:prstGeom prst="rect">
          <a:avLst/>
        </a:prstGeom>
        <a:solidFill>
          <a:schemeClr val="accent1">
            <a:alpha val="53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0" i="0" u="sng">
              <a:solidFill>
                <a:schemeClr val="bg1"/>
              </a:solidFill>
              <a:effectLst/>
              <a:latin typeface="Monotype Corsiva" panose="03010101010201010101" pitchFamily="66" charset="0"/>
              <a:ea typeface="+mn-ea"/>
              <a:cs typeface="+mn-cs"/>
            </a:rPr>
            <a:t>Visi dan Misi</a:t>
          </a:r>
        </a:p>
        <a:p>
          <a:pPr algn="ctr" fontAlgn="base"/>
          <a:r>
            <a:rPr lang="en-US" sz="2000" b="0" i="0">
              <a:solidFill>
                <a:schemeClr val="bg1"/>
              </a:solidFill>
              <a:effectLst/>
              <a:latin typeface="Monotype Corsiva" panose="03010101010201010101" pitchFamily="66" charset="0"/>
              <a:ea typeface="+mn-ea"/>
              <a:cs typeface="+mn-cs"/>
            </a:rPr>
            <a:t>Visi Pondok Pesantren Imam Syafi’i</a:t>
          </a:r>
        </a:p>
        <a:p>
          <a:pPr algn="ctr" fontAlgn="base"/>
          <a:r>
            <a:rPr lang="en-US" sz="2000" b="0" i="0">
              <a:solidFill>
                <a:schemeClr val="bg1"/>
              </a:solidFill>
              <a:effectLst/>
              <a:latin typeface="Monotype Corsiva" panose="03010101010201010101" pitchFamily="66" charset="0"/>
              <a:ea typeface="+mn-ea"/>
              <a:cs typeface="+mn-cs"/>
            </a:rPr>
            <a:t>“Mencetak Generasi Penghafal Al-Qur’an yang Berakidah Ahlu Sunnah wal Jama’ah dan Berakhlak Mulia”</a:t>
          </a:r>
        </a:p>
      </xdr:txBody>
    </xdr:sp>
    <xdr:clientData/>
  </xdr:oneCellAnchor>
  <xdr:oneCellAnchor>
    <xdr:from>
      <xdr:col>3</xdr:col>
      <xdr:colOff>178815</xdr:colOff>
      <xdr:row>13</xdr:row>
      <xdr:rowOff>92369</xdr:rowOff>
    </xdr:from>
    <xdr:ext cx="6256563" cy="2394502"/>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994168" y="2568869"/>
          <a:ext cx="6256563" cy="2394502"/>
        </a:xfrm>
        <a:prstGeom prst="rect">
          <a:avLst/>
        </a:prstGeom>
        <a:solidFill>
          <a:srgbClr val="00B0F0">
            <a:alpha val="46000"/>
          </a:srgb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1" i="0" u="sng">
              <a:solidFill>
                <a:sysClr val="windowText" lastClr="000000"/>
              </a:solidFill>
              <a:effectLst/>
              <a:latin typeface="Monotype Corsiva" panose="03010101010201010101" pitchFamily="66" charset="0"/>
              <a:ea typeface="+mn-ea"/>
              <a:cs typeface="+mn-cs"/>
            </a:rPr>
            <a:t>Misi Pondok Pesantren Imam Syafi’i</a:t>
          </a:r>
        </a:p>
        <a:p>
          <a:pPr algn="ctr" fontAlgn="base"/>
          <a:r>
            <a:rPr lang="en-US" sz="2000" b="0" i="0">
              <a:solidFill>
                <a:sysClr val="windowText" lastClr="000000"/>
              </a:solidFill>
              <a:effectLst/>
              <a:latin typeface="Monotype Corsiva" panose="03010101010201010101" pitchFamily="66" charset="0"/>
              <a:ea typeface="+mn-ea"/>
              <a:cs typeface="+mn-cs"/>
            </a:rPr>
            <a:t>1. Mencetak generasi penghafal dan paham Al-Qur’an serta mampu mengaplikasikan di kehidupan sehari-hari.</a:t>
          </a:r>
        </a:p>
        <a:p>
          <a:pPr algn="ctr" fontAlgn="base"/>
          <a:r>
            <a:rPr lang="en-US" sz="2000" b="0" i="0">
              <a:solidFill>
                <a:sysClr val="windowText" lastClr="000000"/>
              </a:solidFill>
              <a:effectLst/>
              <a:latin typeface="Monotype Corsiva" panose="03010101010201010101" pitchFamily="66" charset="0"/>
              <a:ea typeface="+mn-ea"/>
              <a:cs typeface="+mn-cs"/>
            </a:rPr>
            <a:t>2. Menanamkan akidah Ahlu Sunnah wal Jama’ah.</a:t>
          </a:r>
        </a:p>
        <a:p>
          <a:pPr algn="ctr" fontAlgn="base"/>
          <a:r>
            <a:rPr lang="en-US" sz="2000" b="0" i="0">
              <a:solidFill>
                <a:sysClr val="windowText" lastClr="000000"/>
              </a:solidFill>
              <a:effectLst/>
              <a:latin typeface="Monotype Corsiva" panose="03010101010201010101" pitchFamily="66" charset="0"/>
              <a:ea typeface="+mn-ea"/>
              <a:cs typeface="+mn-cs"/>
            </a:rPr>
            <a:t>Menjadikan Bahasa Al-Qur’an (Bahasa Arab) sebagai ruh pesantren.</a:t>
          </a:r>
        </a:p>
        <a:p>
          <a:pPr algn="ctr" fontAlgn="base"/>
          <a:r>
            <a:rPr lang="en-US" sz="2000" b="0" i="0">
              <a:solidFill>
                <a:sysClr val="windowText" lastClr="000000"/>
              </a:solidFill>
              <a:effectLst/>
              <a:latin typeface="Monotype Corsiva" panose="03010101010201010101" pitchFamily="66" charset="0"/>
              <a:ea typeface="+mn-ea"/>
              <a:cs typeface="+mn-cs"/>
            </a:rPr>
            <a:t>3. Mengadakan pendidikan yang berbasis ilmu syar’i dengan mengedepankan metode qudwah.</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302202</xdr:colOff>
      <xdr:row>24</xdr:row>
      <xdr:rowOff>2029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0"/>
          <a:ext cx="9128702" cy="5488429"/>
          <a:chOff x="0" y="0"/>
          <a:chExt cx="9146845" cy="5553743"/>
        </a:xfrm>
      </xdr:grpSpPr>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3936" y="0"/>
            <a:ext cx="7342909" cy="5553743"/>
          </a:xfrm>
          <a:prstGeom prst="rect">
            <a:avLst/>
          </a:prstGeom>
        </xdr:spPr>
      </xdr:pic>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2288721" y="703488"/>
            <a:ext cx="6400800" cy="1013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3200" b="0" i="0" u="sng">
                <a:solidFill>
                  <a:schemeClr val="bg1"/>
                </a:solidFill>
                <a:effectLst/>
                <a:latin typeface="Monotype Corsiva" panose="03010101010201010101" pitchFamily="66" charset="0"/>
                <a:ea typeface="+mn-ea"/>
                <a:cs typeface="+mn-cs"/>
              </a:rPr>
              <a:t>Tujuan Pendidikan Ponpes Imam</a:t>
            </a:r>
            <a:r>
              <a:rPr lang="en-US" sz="3200" b="0" i="0" u="sng" baseline="0">
                <a:solidFill>
                  <a:schemeClr val="bg1"/>
                </a:solidFill>
                <a:effectLst/>
                <a:latin typeface="Monotype Corsiva" panose="03010101010201010101" pitchFamily="66" charset="0"/>
                <a:ea typeface="+mn-ea"/>
                <a:cs typeface="+mn-cs"/>
              </a:rPr>
              <a:t> Syafi'i Brebes :</a:t>
            </a:r>
          </a:p>
        </xdr:txBody>
      </xdr:sp>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786619" y="2815314"/>
            <a:ext cx="7315200" cy="210666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800" b="0" i="0" u="none" baseline="0">
                <a:solidFill>
                  <a:schemeClr val="bg1"/>
                </a:solidFill>
                <a:effectLst/>
                <a:latin typeface="Monotype Corsiva" panose="03010101010201010101" pitchFamily="66" charset="0"/>
                <a:ea typeface="+mn-ea"/>
                <a:cs typeface="+mn-cs"/>
              </a:rPr>
              <a:t>Beraqidah Dan Bermanhaj Lurus.</a:t>
            </a:r>
          </a:p>
          <a:p>
            <a:pPr algn="ctr" fontAlgn="base"/>
            <a:r>
              <a:rPr lang="en-US" sz="2800" b="0" i="0" u="none" baseline="0">
                <a:solidFill>
                  <a:schemeClr val="bg1"/>
                </a:solidFill>
                <a:effectLst/>
                <a:latin typeface="Monotype Corsiva" panose="03010101010201010101" pitchFamily="66" charset="0"/>
                <a:ea typeface="+mn-ea"/>
                <a:cs typeface="+mn-cs"/>
              </a:rPr>
              <a:t>Beribadah Dengan Benar.</a:t>
            </a:r>
          </a:p>
          <a:p>
            <a:pPr algn="ctr" fontAlgn="base"/>
            <a:r>
              <a:rPr lang="en-US" sz="2800" b="0" i="0" u="none" baseline="0">
                <a:solidFill>
                  <a:schemeClr val="bg1"/>
                </a:solidFill>
                <a:effectLst/>
                <a:latin typeface="Monotype Corsiva" panose="03010101010201010101" pitchFamily="66" charset="0"/>
                <a:ea typeface="+mn-ea"/>
                <a:cs typeface="+mn-cs"/>
              </a:rPr>
              <a:t>Berakhlaq Mulia.</a:t>
            </a:r>
          </a:p>
          <a:p>
            <a:pPr algn="ctr" fontAlgn="base"/>
            <a:r>
              <a:rPr lang="en-US" sz="2800" b="0" i="0" u="none" baseline="0">
                <a:solidFill>
                  <a:schemeClr val="bg1"/>
                </a:solidFill>
                <a:effectLst/>
                <a:latin typeface="Monotype Corsiva" panose="03010101010201010101" pitchFamily="66" charset="0"/>
                <a:ea typeface="+mn-ea"/>
                <a:cs typeface="+mn-cs"/>
              </a:rPr>
              <a:t>Hafal Al-Qur’an.</a:t>
            </a:r>
          </a:p>
          <a:p>
            <a:pPr algn="ctr" fontAlgn="base"/>
            <a:r>
              <a:rPr lang="en-US" sz="2800" b="0" i="0" u="none" baseline="0">
                <a:solidFill>
                  <a:schemeClr val="bg1"/>
                </a:solidFill>
                <a:effectLst/>
                <a:latin typeface="Monotype Corsiva" panose="03010101010201010101" pitchFamily="66" charset="0"/>
                <a:ea typeface="+mn-ea"/>
                <a:cs typeface="+mn-cs"/>
              </a:rPr>
              <a:t>Mampu Berbasaha Arab Dan Mengetahui Iptek.</a:t>
            </a:r>
          </a:p>
        </xdr:txBody>
      </xdr:sp>
      <xdr:grpSp>
        <xdr:nvGrpSpPr>
          <xdr:cNvPr id="34" name="Group 33">
            <a:extLst>
              <a:ext uri="{FF2B5EF4-FFF2-40B4-BE49-F238E27FC236}">
                <a16:creationId xmlns:a16="http://schemas.microsoft.com/office/drawing/2014/main" id="{00000000-0008-0000-0300-000022000000}"/>
              </a:ext>
            </a:extLst>
          </xdr:cNvPr>
          <xdr:cNvGrpSpPr/>
        </xdr:nvGrpSpPr>
        <xdr:grpSpPr>
          <a:xfrm>
            <a:off x="0" y="0"/>
            <a:ext cx="1794378" cy="5536999"/>
            <a:chOff x="14028964" y="517071"/>
            <a:chExt cx="1782008" cy="5394742"/>
          </a:xfrm>
        </xdr:grpSpPr>
        <xdr:sp macro="" textlink="">
          <xdr:nvSpPr>
            <xdr:cNvPr id="35" name="Rectangle 34">
              <a:extLst>
                <a:ext uri="{FF2B5EF4-FFF2-40B4-BE49-F238E27FC236}">
                  <a16:creationId xmlns:a16="http://schemas.microsoft.com/office/drawing/2014/main" id="{00000000-0008-0000-0300-000023000000}"/>
                </a:ext>
              </a:extLst>
            </xdr:cNvPr>
            <xdr:cNvSpPr/>
          </xdr:nvSpPr>
          <xdr:spPr>
            <a:xfrm>
              <a:off x="14028964" y="517071"/>
              <a:ext cx="1782008" cy="5394742"/>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grpSp>
          <xdr:nvGrpSpPr>
            <xdr:cNvPr id="36" name="Group 35">
              <a:extLst>
                <a:ext uri="{FF2B5EF4-FFF2-40B4-BE49-F238E27FC236}">
                  <a16:creationId xmlns:a16="http://schemas.microsoft.com/office/drawing/2014/main" id="{00000000-0008-0000-0300-000024000000}"/>
                </a:ext>
              </a:extLst>
            </xdr:cNvPr>
            <xdr:cNvGrpSpPr/>
          </xdr:nvGrpSpPr>
          <xdr:grpSpPr>
            <a:xfrm>
              <a:off x="14132645" y="1987939"/>
              <a:ext cx="1632192" cy="551644"/>
              <a:chOff x="90280" y="1503706"/>
              <a:chExt cx="1652400" cy="561600"/>
            </a:xfr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path path="circle">
                <a:fillToRect t="100000" r="100000"/>
              </a:path>
              <a:tileRect l="-100000" b="-100000"/>
            </a:gradFill>
          </xdr:grpSpPr>
          <xdr:sp macro="[0]!setting" textlink="">
            <xdr:nvSpPr>
              <xdr:cNvPr id="59" name="Rounded Rectangle 58">
                <a:extLst>
                  <a:ext uri="{FF2B5EF4-FFF2-40B4-BE49-F238E27FC236}">
                    <a16:creationId xmlns:a16="http://schemas.microsoft.com/office/drawing/2014/main" id="{00000000-0008-0000-0300-00003B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60" name="Picture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grpSp>
          <xdr:nvGrpSpPr>
            <xdr:cNvPr id="37" name="Group 36">
              <a:extLst>
                <a:ext uri="{FF2B5EF4-FFF2-40B4-BE49-F238E27FC236}">
                  <a16:creationId xmlns:a16="http://schemas.microsoft.com/office/drawing/2014/main" id="{00000000-0008-0000-0300-000025000000}"/>
                </a:ext>
              </a:extLst>
            </xdr:cNvPr>
            <xdr:cNvGrpSpPr/>
          </xdr:nvGrpSpPr>
          <xdr:grpSpPr>
            <a:xfrm>
              <a:off x="14132645" y="2634258"/>
              <a:ext cx="1632192" cy="565511"/>
              <a:chOff x="90280" y="220855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t="100000" r="100000"/>
              </a:path>
              <a:tileRect l="-100000" b="-100000"/>
            </a:gradFill>
          </xdr:grpSpPr>
          <xdr:sp macro="[0]!set_dakol" textlink="">
            <xdr:nvSpPr>
              <xdr:cNvPr id="57" name="Rounded Rectangle 56">
                <a:extLst>
                  <a:ext uri="{FF2B5EF4-FFF2-40B4-BE49-F238E27FC236}">
                    <a16:creationId xmlns:a16="http://schemas.microsoft.com/office/drawing/2014/main" id="{00000000-0008-0000-0300-000039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58" name="Picture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grpSp>
          <xdr:nvGrpSpPr>
            <xdr:cNvPr id="38" name="Group 37">
              <a:extLst>
                <a:ext uri="{FF2B5EF4-FFF2-40B4-BE49-F238E27FC236}">
                  <a16:creationId xmlns:a16="http://schemas.microsoft.com/office/drawing/2014/main" id="{00000000-0008-0000-0300-000026000000}"/>
                </a:ext>
              </a:extLst>
            </xdr:cNvPr>
            <xdr:cNvGrpSpPr/>
          </xdr:nvGrpSpPr>
          <xdr:grpSpPr>
            <a:xfrm>
              <a:off x="14123275" y="3935769"/>
              <a:ext cx="1632192" cy="576213"/>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_kkm" textlink="">
            <xdr:nvSpPr>
              <xdr:cNvPr id="55" name="Rounded Rectangle 54">
                <a:extLst>
                  <a:ext uri="{FF2B5EF4-FFF2-40B4-BE49-F238E27FC236}">
                    <a16:creationId xmlns:a16="http://schemas.microsoft.com/office/drawing/2014/main" id="{00000000-0008-0000-0300-000037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56" name="Picture 55">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grpSp>
          <xdr:nvGrpSpPr>
            <xdr:cNvPr id="39" name="Group 38">
              <a:extLst>
                <a:ext uri="{FF2B5EF4-FFF2-40B4-BE49-F238E27FC236}">
                  <a16:creationId xmlns:a16="http://schemas.microsoft.com/office/drawing/2014/main" id="{00000000-0008-0000-0300-000027000000}"/>
                </a:ext>
              </a:extLst>
            </xdr:cNvPr>
            <xdr:cNvGrpSpPr/>
          </xdr:nvGrpSpPr>
          <xdr:grpSpPr>
            <a:xfrm>
              <a:off x="14137538" y="5238511"/>
              <a:ext cx="1632192" cy="562346"/>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53" name="Rounded Rectangle 52">
                <a:extLst>
                  <a:ext uri="{FF2B5EF4-FFF2-40B4-BE49-F238E27FC236}">
                    <a16:creationId xmlns:a16="http://schemas.microsoft.com/office/drawing/2014/main" id="{00000000-0008-0000-0300-000035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54" name="Picture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grpSp>
          <xdr:nvGrpSpPr>
            <xdr:cNvPr id="40" name="Group 39">
              <a:extLst>
                <a:ext uri="{FF2B5EF4-FFF2-40B4-BE49-F238E27FC236}">
                  <a16:creationId xmlns:a16="http://schemas.microsoft.com/office/drawing/2014/main" id="{00000000-0008-0000-0300-000028000000}"/>
                </a:ext>
              </a:extLst>
            </xdr:cNvPr>
            <xdr:cNvGrpSpPr/>
          </xdr:nvGrpSpPr>
          <xdr:grpSpPr>
            <a:xfrm>
              <a:off x="14128164" y="4598849"/>
              <a:ext cx="1632192" cy="562345"/>
              <a:chOff x="85725" y="4143935"/>
              <a:chExt cx="1652400" cy="561599"/>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51" name="Rounded Rectangle 50">
                <a:extLst>
                  <a:ext uri="{FF2B5EF4-FFF2-40B4-BE49-F238E27FC236}">
                    <a16:creationId xmlns:a16="http://schemas.microsoft.com/office/drawing/2014/main" id="{00000000-0008-0000-0300-000033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52" name="Picture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pic macro="[0]!setting">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14610444" y="2101745"/>
              <a:ext cx="1133958" cy="316189"/>
            </a:xfrm>
            <a:prstGeom prst="rect">
              <a:avLst/>
            </a:prstGeom>
          </xdr:spPr>
        </xdr:pic>
        <xdr:pic macro="[0]!set_dakol">
          <xdr:nvPicPr>
            <xdr:cNvPr id="42" name="Picture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8"/>
            <a:stretch>
              <a:fillRect/>
            </a:stretch>
          </xdr:blipFill>
          <xdr:spPr>
            <a:xfrm>
              <a:off x="14699239" y="2782127"/>
              <a:ext cx="986133" cy="274704"/>
            </a:xfrm>
            <a:prstGeom prst="rect">
              <a:avLst/>
            </a:prstGeom>
          </xdr:spPr>
        </xdr:pic>
        <xdr:pic macro="[0]!set_kkm">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9"/>
            <a:stretch>
              <a:fillRect/>
            </a:stretch>
          </xdr:blipFill>
          <xdr:spPr>
            <a:xfrm>
              <a:off x="14498317" y="4061945"/>
              <a:ext cx="1217774" cy="311241"/>
            </a:xfrm>
            <a:prstGeom prst="rect">
              <a:avLst/>
            </a:prstGeom>
          </xdr:spPr>
        </xdr:pic>
        <xdr:pic macro="[0]!set_cover">
          <xdr:nvPicPr>
            <xdr:cNvPr id="44" name="Picture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10"/>
            <a:stretch>
              <a:fillRect/>
            </a:stretch>
          </xdr:blipFill>
          <xdr:spPr>
            <a:xfrm>
              <a:off x="14576560" y="4725025"/>
              <a:ext cx="1176287" cy="311241"/>
            </a:xfrm>
            <a:prstGeom prst="rect">
              <a:avLst/>
            </a:prstGeom>
          </xdr:spPr>
        </xdr:pic>
        <xdr:pic macro="[0]!utama">
          <xdr:nvPicPr>
            <xdr:cNvPr id="45" name="Picture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1"/>
            <a:stretch>
              <a:fillRect/>
            </a:stretch>
          </xdr:blipFill>
          <xdr:spPr>
            <a:xfrm>
              <a:off x="14505075" y="5372109"/>
              <a:ext cx="1244052" cy="311241"/>
            </a:xfrm>
            <a:prstGeom prst="rect">
              <a:avLst/>
            </a:prstGeom>
          </xdr:spPr>
        </xdr:pic>
        <xdr:pic>
          <xdr:nvPicPr>
            <xdr:cNvPr id="46" name="Picture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552249" y="685799"/>
              <a:ext cx="821150" cy="1101139"/>
            </a:xfrm>
            <a:prstGeom prst="rect">
              <a:avLst/>
            </a:prstGeom>
          </xdr:spPr>
        </xdr:pic>
        <xdr:grpSp>
          <xdr:nvGrpSpPr>
            <xdr:cNvPr id="47" name="Group 46">
              <a:extLst>
                <a:ext uri="{FF2B5EF4-FFF2-40B4-BE49-F238E27FC236}">
                  <a16:creationId xmlns:a16="http://schemas.microsoft.com/office/drawing/2014/main" id="{00000000-0008-0000-0300-00002F000000}"/>
                </a:ext>
              </a:extLst>
            </xdr:cNvPr>
            <xdr:cNvGrpSpPr/>
          </xdr:nvGrpSpPr>
          <xdr:grpSpPr>
            <a:xfrm>
              <a:off x="14132645" y="3285013"/>
              <a:ext cx="1632192" cy="571447"/>
              <a:chOff x="14070052" y="3285013"/>
              <a:chExt cx="1626749" cy="571447"/>
            </a:xfrm>
          </xdr:grpSpPr>
          <xdr:sp macro="[0]!set_dasis" textlink="">
            <xdr:nvSpPr>
              <xdr:cNvPr id="48" name="Rounded Rectangle 47">
                <a:extLst>
                  <a:ext uri="{FF2B5EF4-FFF2-40B4-BE49-F238E27FC236}">
                    <a16:creationId xmlns:a16="http://schemas.microsoft.com/office/drawing/2014/main" id="{00000000-0008-0000-0300-000030000000}"/>
                  </a:ext>
                </a:extLst>
              </xdr:cNvPr>
              <xdr:cNvSpPr/>
            </xdr:nvSpPr>
            <xdr:spPr>
              <a:xfrm>
                <a:off x="14070052" y="3285013"/>
                <a:ext cx="1626749"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49" name="Picture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13"/>
              <a:stretch>
                <a:fillRect/>
              </a:stretch>
            </xdr:blipFill>
            <xdr:spPr>
              <a:xfrm>
                <a:off x="14489045" y="3406241"/>
                <a:ext cx="1189678" cy="316189"/>
              </a:xfrm>
              <a:prstGeom prst="rect">
                <a:avLst/>
              </a:prstGeom>
            </xdr:spPr>
          </xdr:pic>
          <xdr:pic>
            <xdr:nvPicPr>
              <xdr:cNvPr id="50" name="Picture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166267" y="3343274"/>
                <a:ext cx="359358" cy="435179"/>
              </a:xfrm>
              <a:prstGeom prst="rect">
                <a:avLst/>
              </a:prstGeom>
            </xdr:spPr>
          </xdr:pic>
        </xdr:grp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22019</xdr:colOff>
      <xdr:row>16</xdr:row>
      <xdr:rowOff>141726</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0" y="0"/>
          <a:ext cx="2146383" cy="5891362"/>
          <a:chOff x="0" y="0"/>
          <a:chExt cx="2137572" cy="5676252"/>
        </a:xfrm>
      </xdr:grpSpPr>
      <xdr:sp macro="" textlink="">
        <xdr:nvSpPr>
          <xdr:cNvPr id="34" name="Rectangle 33">
            <a:extLst>
              <a:ext uri="{FF2B5EF4-FFF2-40B4-BE49-F238E27FC236}">
                <a16:creationId xmlns:a16="http://schemas.microsoft.com/office/drawing/2014/main" id="{00000000-0008-0000-0400-000022000000}"/>
              </a:ext>
            </a:extLst>
          </xdr:cNvPr>
          <xdr:cNvSpPr/>
        </xdr:nvSpPr>
        <xdr:spPr>
          <a:xfrm>
            <a:off x="0" y="0"/>
            <a:ext cx="2137572" cy="5676252"/>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rap_s2">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07471" y="4187665"/>
            <a:ext cx="1928838" cy="598162"/>
          </a:xfrm>
          <a:prstGeom prst="rect">
            <a:avLst/>
          </a:prstGeom>
        </xdr:spPr>
      </xdr:pic>
      <xdr:pic macro="[0]!utama">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
          <a:stretch>
            <a:fillRect/>
          </a:stretch>
        </xdr:blipFill>
        <xdr:spPr>
          <a:xfrm>
            <a:off x="107471" y="4904151"/>
            <a:ext cx="1934856" cy="556291"/>
          </a:xfrm>
          <a:prstGeom prst="rect">
            <a:avLst/>
          </a:prstGeom>
        </xdr:spPr>
      </xdr:pic>
      <xdr:pic macro="[0]!menu_genap">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3"/>
          <a:stretch>
            <a:fillRect/>
          </a:stretch>
        </xdr:blipFill>
        <xdr:spPr>
          <a:xfrm>
            <a:off x="94210" y="1869266"/>
            <a:ext cx="1938446" cy="598162"/>
          </a:xfrm>
          <a:prstGeom prst="rect">
            <a:avLst/>
          </a:prstGeom>
        </xdr:spPr>
      </xdr:pic>
      <xdr:pic macro="[0]!nilpel_s2">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4"/>
          <a:stretch>
            <a:fillRect/>
          </a:stretch>
        </xdr:blipFill>
        <xdr:spPr>
          <a:xfrm>
            <a:off x="82841" y="2645660"/>
            <a:ext cx="1947911" cy="599041"/>
          </a:xfrm>
          <a:prstGeom prst="rect">
            <a:avLst/>
          </a:prstGeom>
        </xdr:spPr>
      </xdr:pic>
      <xdr:pic macro="[0]!nilwk_s2">
        <xdr:nvPicPr>
          <xdr:cNvPr id="40" name="Picture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5"/>
          <a:stretch>
            <a:fillRect/>
          </a:stretch>
        </xdr:blipFill>
        <xdr:spPr>
          <a:xfrm>
            <a:off x="96275" y="3379948"/>
            <a:ext cx="1938084" cy="598162"/>
          </a:xfrm>
          <a:prstGeom prst="rect">
            <a:avLst/>
          </a:prstGeom>
        </xdr:spPr>
      </xdr:pic>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6983" y="176729"/>
            <a:ext cx="1115129" cy="1524661"/>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260129</xdr:colOff>
      <xdr:row>16</xdr:row>
      <xdr:rowOff>148567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0" y="0"/>
          <a:ext cx="2084918" cy="5636304"/>
          <a:chOff x="0" y="0"/>
          <a:chExt cx="2078538" cy="5569158"/>
        </a:xfrm>
      </xdr:grpSpPr>
      <xdr:sp macro="" textlink="">
        <xdr:nvSpPr>
          <xdr:cNvPr id="41" name="Rectangle 40">
            <a:extLst>
              <a:ext uri="{FF2B5EF4-FFF2-40B4-BE49-F238E27FC236}">
                <a16:creationId xmlns:a16="http://schemas.microsoft.com/office/drawing/2014/main" id="{00000000-0008-0000-0500-000029000000}"/>
              </a:ext>
            </a:extLst>
          </xdr:cNvPr>
          <xdr:cNvSpPr/>
        </xdr:nvSpPr>
        <xdr:spPr>
          <a:xfrm>
            <a:off x="0" y="0"/>
            <a:ext cx="2078538" cy="5569158"/>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rap_s1">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1"/>
          <a:stretch>
            <a:fillRect/>
          </a:stretch>
        </xdr:blipFill>
        <xdr:spPr>
          <a:xfrm>
            <a:off x="174884" y="4078592"/>
            <a:ext cx="1755746" cy="600171"/>
          </a:xfrm>
          <a:prstGeom prst="rect">
            <a:avLst/>
          </a:prstGeom>
        </xdr:spPr>
      </xdr:pic>
      <xdr:pic macro="[0]!utama">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
          <a:stretch>
            <a:fillRect/>
          </a:stretch>
        </xdr:blipFill>
        <xdr:spPr>
          <a:xfrm>
            <a:off x="178840" y="4766416"/>
            <a:ext cx="1763010" cy="568985"/>
          </a:xfrm>
          <a:prstGeom prst="rect">
            <a:avLst/>
          </a:prstGeom>
        </xdr:spPr>
      </xdr:pic>
      <xdr:pic macro="[0]!menu_gasal">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3"/>
          <a:stretch>
            <a:fillRect/>
          </a:stretch>
        </xdr:blipFill>
        <xdr:spPr>
          <a:xfrm>
            <a:off x="213179" y="1956547"/>
            <a:ext cx="1683790" cy="609067"/>
          </a:xfrm>
          <a:prstGeom prst="rect">
            <a:avLst/>
          </a:prstGeom>
        </xdr:spPr>
      </xdr:pic>
      <xdr:pic macro="[0]!nilpel_s1">
        <xdr:nvPicPr>
          <xdr:cNvPr id="46" name="Picture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4"/>
          <a:stretch>
            <a:fillRect/>
          </a:stretch>
        </xdr:blipFill>
        <xdr:spPr>
          <a:xfrm>
            <a:off x="195838" y="2691861"/>
            <a:ext cx="1701132" cy="600034"/>
          </a:xfrm>
          <a:prstGeom prst="rect">
            <a:avLst/>
          </a:prstGeom>
        </xdr:spPr>
      </xdr:pic>
      <xdr:pic macro="[0]!nilwk_s1">
        <xdr:nvPicPr>
          <xdr:cNvPr id="47" name="Picture 46">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5"/>
          <a:stretch>
            <a:fillRect/>
          </a:stretch>
        </xdr:blipFill>
        <xdr:spPr>
          <a:xfrm>
            <a:off x="178498" y="3391105"/>
            <a:ext cx="1729692" cy="593685"/>
          </a:xfrm>
          <a:prstGeom prst="rect">
            <a:avLst/>
          </a:prstGeom>
        </xdr:spPr>
      </xdr:pic>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6294" y="180512"/>
            <a:ext cx="1089982" cy="145429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232931</xdr:colOff>
      <xdr:row>20</xdr:row>
      <xdr:rowOff>44560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0" y="0"/>
          <a:ext cx="2067747" cy="5468797"/>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editAs="absolute">
    <xdr:from>
      <xdr:col>0</xdr:col>
      <xdr:colOff>167227</xdr:colOff>
      <xdr:row>11</xdr:row>
      <xdr:rowOff>192693</xdr:rowOff>
    </xdr:from>
    <xdr:to>
      <xdr:col>3</xdr:col>
      <xdr:colOff>114453</xdr:colOff>
      <xdr:row>14</xdr:row>
      <xdr:rowOff>8743</xdr:rowOff>
    </xdr:to>
    <xdr:pic macro="[0]!nilwk_s2">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67227" y="3361009"/>
          <a:ext cx="1782042" cy="568023"/>
        </a:xfrm>
        <a:prstGeom prst="rect">
          <a:avLst/>
        </a:prstGeom>
      </xdr:spPr>
    </xdr:pic>
    <xdr:clientData/>
  </xdr:twoCellAnchor>
  <xdr:twoCellAnchor editAs="absolute">
    <xdr:from>
      <xdr:col>0</xdr:col>
      <xdr:colOff>151501</xdr:colOff>
      <xdr:row>14</xdr:row>
      <xdr:rowOff>99587</xdr:rowOff>
    </xdr:from>
    <xdr:to>
      <xdr:col>3</xdr:col>
      <xdr:colOff>116884</xdr:colOff>
      <xdr:row>16</xdr:row>
      <xdr:rowOff>172303</xdr:rowOff>
    </xdr:to>
    <xdr:pic macro="[0]!rap_s2">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151501" y="4019876"/>
          <a:ext cx="1800199" cy="574032"/>
        </a:xfrm>
        <a:prstGeom prst="rect">
          <a:avLst/>
        </a:prstGeom>
      </xdr:spPr>
    </xdr:pic>
    <xdr:clientData/>
  </xdr:twoCellAnchor>
  <xdr:twoCellAnchor editAs="absolute">
    <xdr:from>
      <xdr:col>0</xdr:col>
      <xdr:colOff>155433</xdr:colOff>
      <xdr:row>17</xdr:row>
      <xdr:rowOff>16736</xdr:rowOff>
    </xdr:from>
    <xdr:to>
      <xdr:col>3</xdr:col>
      <xdr:colOff>114454</xdr:colOff>
      <xdr:row>19</xdr:row>
      <xdr:rowOff>64304</xdr:rowOff>
    </xdr:to>
    <xdr:pic macro="[0]!utama">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a:stretch>
          <a:fillRect/>
        </a:stretch>
      </xdr:blipFill>
      <xdr:spPr>
        <a:xfrm>
          <a:off x="155433" y="4688999"/>
          <a:ext cx="1793837" cy="548884"/>
        </a:xfrm>
        <a:prstGeom prst="rect">
          <a:avLst/>
        </a:prstGeom>
      </xdr:spPr>
    </xdr:pic>
    <xdr:clientData/>
  </xdr:twoCellAnchor>
  <xdr:twoCellAnchor editAs="absolute">
    <xdr:from>
      <xdr:col>0</xdr:col>
      <xdr:colOff>155093</xdr:colOff>
      <xdr:row>9</xdr:row>
      <xdr:rowOff>22057</xdr:rowOff>
    </xdr:from>
    <xdr:to>
      <xdr:col>3</xdr:col>
      <xdr:colOff>98101</xdr:colOff>
      <xdr:row>11</xdr:row>
      <xdr:rowOff>61177</xdr:rowOff>
    </xdr:to>
    <xdr:pic macro="[0]!nilpel_s2">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4"/>
        <a:stretch>
          <a:fillRect/>
        </a:stretch>
      </xdr:blipFill>
      <xdr:spPr>
        <a:xfrm>
          <a:off x="155093" y="2689057"/>
          <a:ext cx="1777824" cy="540436"/>
        </a:xfrm>
        <a:prstGeom prst="rect">
          <a:avLst/>
        </a:prstGeom>
      </xdr:spPr>
    </xdr:pic>
    <xdr:clientData/>
  </xdr:twoCellAnchor>
  <xdr:twoCellAnchor editAs="absolute">
    <xdr:from>
      <xdr:col>0</xdr:col>
      <xdr:colOff>494189</xdr:colOff>
      <xdr:row>0</xdr:row>
      <xdr:rowOff>164667</xdr:rowOff>
    </xdr:from>
    <xdr:to>
      <xdr:col>2</xdr:col>
      <xdr:colOff>372591</xdr:colOff>
      <xdr:row>4</xdr:row>
      <xdr:rowOff>202559</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4189" y="164667"/>
          <a:ext cx="1101613" cy="1531813"/>
        </a:xfrm>
        <a:prstGeom prst="rect">
          <a:avLst/>
        </a:prstGeom>
      </xdr:spPr>
    </xdr:pic>
    <xdr:clientData/>
  </xdr:twoCellAnchor>
  <xdr:twoCellAnchor>
    <xdr:from>
      <xdr:col>0</xdr:col>
      <xdr:colOff>150396</xdr:colOff>
      <xdr:row>5</xdr:row>
      <xdr:rowOff>180474</xdr:rowOff>
    </xdr:from>
    <xdr:to>
      <xdr:col>3</xdr:col>
      <xdr:colOff>90237</xdr:colOff>
      <xdr:row>8</xdr:row>
      <xdr:rowOff>86820</xdr:rowOff>
    </xdr:to>
    <xdr:pic macro="[0]!menu_genap">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6"/>
        <a:stretch>
          <a:fillRect/>
        </a:stretch>
      </xdr:blipFill>
      <xdr:spPr>
        <a:xfrm>
          <a:off x="150396" y="1905000"/>
          <a:ext cx="1774657" cy="59816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232931</xdr:colOff>
      <xdr:row>20</xdr:row>
      <xdr:rowOff>44560</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0" y="0"/>
          <a:ext cx="2068658" cy="5505560"/>
          <a:chOff x="0" y="0"/>
          <a:chExt cx="2072043" cy="5420098"/>
        </a:xfrm>
      </xdr:grpSpPr>
      <xdr:sp macro="" textlink="">
        <xdr:nvSpPr>
          <xdr:cNvPr id="25" name="Rectangle 24">
            <a:extLst>
              <a:ext uri="{FF2B5EF4-FFF2-40B4-BE49-F238E27FC236}">
                <a16:creationId xmlns:a16="http://schemas.microsoft.com/office/drawing/2014/main" id="{00000000-0008-0000-0800-000019000000}"/>
              </a:ext>
            </a:extLst>
          </xdr:cNvPr>
          <xdr:cNvSpPr/>
        </xdr:nvSpPr>
        <xdr:spPr>
          <a:xfrm>
            <a:off x="0" y="0"/>
            <a:ext cx="2072043" cy="5420098"/>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nilwk_s1">
        <xdr:nvPicPr>
          <xdr:cNvPr id="26" name="Pictur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
          <a:stretch>
            <a:fillRect/>
          </a:stretch>
        </xdr:blipFill>
        <xdr:spPr>
          <a:xfrm>
            <a:off x="167575" y="3331079"/>
            <a:ext cx="1785744" cy="562965"/>
          </a:xfrm>
          <a:prstGeom prst="rect">
            <a:avLst/>
          </a:prstGeom>
        </xdr:spPr>
      </xdr:pic>
      <xdr:pic macro="[0]!rap_s1">
        <xdr:nvPicPr>
          <xdr:cNvPr id="27" name="Pictur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2"/>
          <a:stretch>
            <a:fillRect/>
          </a:stretch>
        </xdr:blipFill>
        <xdr:spPr>
          <a:xfrm>
            <a:off x="151815" y="3984080"/>
            <a:ext cx="1803939" cy="568921"/>
          </a:xfrm>
          <a:prstGeom prst="rect">
            <a:avLst/>
          </a:prstGeom>
        </xdr:spPr>
      </xdr:pic>
      <xdr:pic macro="[0]!utama">
        <xdr:nvPicPr>
          <xdr:cNvPr id="28" name="Pictur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3"/>
          <a:stretch>
            <a:fillRect/>
          </a:stretch>
        </xdr:blipFill>
        <xdr:spPr>
          <a:xfrm>
            <a:off x="155755" y="4647244"/>
            <a:ext cx="1797563" cy="543997"/>
          </a:xfrm>
          <a:prstGeom prst="rect">
            <a:avLst/>
          </a:prstGeom>
        </xdr:spPr>
      </xdr:pic>
      <xdr:pic macro="[0]!menu_gasal">
        <xdr:nvPicPr>
          <xdr:cNvPr id="30" name="Picture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4"/>
          <a:stretch>
            <a:fillRect/>
          </a:stretch>
        </xdr:blipFill>
        <xdr:spPr>
          <a:xfrm>
            <a:off x="189953" y="1938687"/>
            <a:ext cx="1729713" cy="587986"/>
          </a:xfrm>
          <a:prstGeom prst="rect">
            <a:avLst/>
          </a:prstGeom>
        </xdr:spPr>
      </xdr:pic>
      <xdr:pic macro="[0]!nilpel_s1">
        <xdr:nvPicPr>
          <xdr:cNvPr id="31" name="Picture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5"/>
          <a:stretch>
            <a:fillRect/>
          </a:stretch>
        </xdr:blipFill>
        <xdr:spPr>
          <a:xfrm>
            <a:off x="155415" y="2665111"/>
            <a:ext cx="1781518" cy="535624"/>
          </a:xfrm>
          <a:prstGeom prst="rect">
            <a:avLst/>
          </a:prstGeom>
        </xdr:spPr>
      </xdr:pic>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95215" y="163200"/>
            <a:ext cx="1103901" cy="151817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12700</xdr:colOff>
          <xdr:row>3</xdr:row>
          <xdr:rowOff>12700</xdr:rowOff>
        </xdr:from>
        <xdr:to>
          <xdr:col>13</xdr:col>
          <xdr:colOff>400050</xdr:colOff>
          <xdr:row>4</xdr:row>
          <xdr:rowOff>184150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20053</xdr:colOff>
      <xdr:row>1</xdr:row>
      <xdr:rowOff>0</xdr:rowOff>
    </xdr:from>
    <xdr:to>
      <xdr:col>4</xdr:col>
      <xdr:colOff>350921</xdr:colOff>
      <xdr:row>2</xdr:row>
      <xdr:rowOff>123825</xdr:rowOff>
    </xdr:to>
    <xdr:sp macro="[0]!ThisWorkbook.Show_Ribbon" textlink="">
      <xdr:nvSpPr>
        <xdr:cNvPr id="3" name="Rounded Rectangle 2">
          <a:extLst>
            <a:ext uri="{FF2B5EF4-FFF2-40B4-BE49-F238E27FC236}">
              <a16:creationId xmlns:a16="http://schemas.microsoft.com/office/drawing/2014/main" id="{00000000-0008-0000-0900-000003000000}"/>
            </a:ext>
          </a:extLst>
        </xdr:cNvPr>
        <xdr:cNvSpPr/>
      </xdr:nvSpPr>
      <xdr:spPr>
        <a:xfrm>
          <a:off x="2125078" y="190500"/>
          <a:ext cx="330868" cy="314325"/>
        </a:xfrm>
        <a:prstGeom prst="roundRect">
          <a:avLst/>
        </a:prstGeom>
        <a:solidFill>
          <a:srgbClr val="FF33CC"/>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S</a:t>
          </a:r>
        </a:p>
      </xdr:txBody>
    </xdr:sp>
    <xdr:clientData/>
  </xdr:twoCellAnchor>
  <xdr:twoCellAnchor>
    <xdr:from>
      <xdr:col>4</xdr:col>
      <xdr:colOff>20053</xdr:colOff>
      <xdr:row>3</xdr:row>
      <xdr:rowOff>38100</xdr:rowOff>
    </xdr:from>
    <xdr:to>
      <xdr:col>4</xdr:col>
      <xdr:colOff>350921</xdr:colOff>
      <xdr:row>4</xdr:row>
      <xdr:rowOff>161925</xdr:rowOff>
    </xdr:to>
    <xdr:sp macro="[0]!ThisWorkbook.Hide_Ribbon" textlink="">
      <xdr:nvSpPr>
        <xdr:cNvPr id="4" name="Rounded Rectangle 3">
          <a:extLst>
            <a:ext uri="{FF2B5EF4-FFF2-40B4-BE49-F238E27FC236}">
              <a16:creationId xmlns:a16="http://schemas.microsoft.com/office/drawing/2014/main" id="{00000000-0008-0000-0900-000004000000}"/>
            </a:ext>
          </a:extLst>
        </xdr:cNvPr>
        <xdr:cNvSpPr/>
      </xdr:nvSpPr>
      <xdr:spPr>
        <a:xfrm>
          <a:off x="2125078" y="609600"/>
          <a:ext cx="330868" cy="314325"/>
        </a:xfrm>
        <a:prstGeom prst="roundRect">
          <a:avLst/>
        </a:prstGeom>
        <a:solidFill>
          <a:srgbClr val="FFFF0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H</a:t>
          </a:r>
        </a:p>
      </xdr:txBody>
    </xdr:sp>
    <xdr:clientData/>
  </xdr:twoCellAnchor>
  <xdr:twoCellAnchor editAs="oneCell">
    <xdr:from>
      <xdr:col>17</xdr:col>
      <xdr:colOff>60869</xdr:colOff>
      <xdr:row>0</xdr:row>
      <xdr:rowOff>170948</xdr:rowOff>
    </xdr:from>
    <xdr:to>
      <xdr:col>18</xdr:col>
      <xdr:colOff>510723</xdr:colOff>
      <xdr:row>2</xdr:row>
      <xdr:rowOff>180976</xdr:rowOff>
    </xdr:to>
    <xdr:pic macro="[0]!cetak_print_rapor_all">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a:off x="6318794" y="170948"/>
          <a:ext cx="954679" cy="391028"/>
        </a:xfrm>
        <a:prstGeom prst="rect">
          <a:avLst/>
        </a:prstGeom>
      </xdr:spPr>
    </xdr:pic>
    <xdr:clientData/>
  </xdr:twoCellAnchor>
  <xdr:twoCellAnchor editAs="oneCell">
    <xdr:from>
      <xdr:col>17</xdr:col>
      <xdr:colOff>52641</xdr:colOff>
      <xdr:row>3</xdr:row>
      <xdr:rowOff>38100</xdr:rowOff>
    </xdr:from>
    <xdr:to>
      <xdr:col>18</xdr:col>
      <xdr:colOff>523795</xdr:colOff>
      <xdr:row>5</xdr:row>
      <xdr:rowOff>19050</xdr:rowOff>
    </xdr:to>
    <xdr:pic macro="[0]!privew_print_rapor">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6310566" y="609600"/>
          <a:ext cx="975979" cy="361950"/>
        </a:xfrm>
        <a:prstGeom prst="rect">
          <a:avLst/>
        </a:prstGeom>
      </xdr:spPr>
    </xdr:pic>
    <xdr:clientData/>
  </xdr:twoCellAnchor>
  <xdr:twoCellAnchor editAs="oneCell">
    <xdr:from>
      <xdr:col>18</xdr:col>
      <xdr:colOff>549445</xdr:colOff>
      <xdr:row>0</xdr:row>
      <xdr:rowOff>174564</xdr:rowOff>
    </xdr:from>
    <xdr:to>
      <xdr:col>21</xdr:col>
      <xdr:colOff>310816</xdr:colOff>
      <xdr:row>2</xdr:row>
      <xdr:rowOff>183675</xdr:rowOff>
    </xdr:to>
    <xdr:pic macro="[0]!cetak_rapor_pondok">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3"/>
        <a:stretch>
          <a:fillRect/>
        </a:stretch>
      </xdr:blipFill>
      <xdr:spPr>
        <a:xfrm>
          <a:off x="7312195" y="174564"/>
          <a:ext cx="894846" cy="390111"/>
        </a:xfrm>
        <a:prstGeom prst="rect">
          <a:avLst/>
        </a:prstGeom>
      </xdr:spPr>
    </xdr:pic>
    <xdr:clientData/>
  </xdr:twoCellAnchor>
  <xdr:twoCellAnchor editAs="oneCell">
    <xdr:from>
      <xdr:col>18</xdr:col>
      <xdr:colOff>548561</xdr:colOff>
      <xdr:row>3</xdr:row>
      <xdr:rowOff>37598</xdr:rowOff>
    </xdr:from>
    <xdr:to>
      <xdr:col>21</xdr:col>
      <xdr:colOff>332489</xdr:colOff>
      <xdr:row>5</xdr:row>
      <xdr:rowOff>4315</xdr:rowOff>
    </xdr:to>
    <xdr:pic macro="[0]!cetak_rapor_pkbm">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7311311" y="609098"/>
          <a:ext cx="917403" cy="347717"/>
        </a:xfrm>
        <a:prstGeom prst="rect">
          <a:avLst/>
        </a:prstGeom>
      </xdr:spPr>
    </xdr:pic>
    <xdr:clientData/>
  </xdr:twoCellAnchor>
  <xdr:twoCellAnchor>
    <xdr:from>
      <xdr:col>22</xdr:col>
      <xdr:colOff>40105</xdr:colOff>
      <xdr:row>0</xdr:row>
      <xdr:rowOff>170446</xdr:rowOff>
    </xdr:from>
    <xdr:to>
      <xdr:col>22</xdr:col>
      <xdr:colOff>631658</xdr:colOff>
      <xdr:row>2</xdr:row>
      <xdr:rowOff>150394</xdr:rowOff>
    </xdr:to>
    <xdr:sp macro="[0]!simpan_pdf_gasal" textlink="">
      <xdr:nvSpPr>
        <xdr:cNvPr id="9" name="Rounded Rectangle 8">
          <a:extLst>
            <a:ext uri="{FF2B5EF4-FFF2-40B4-BE49-F238E27FC236}">
              <a16:creationId xmlns:a16="http://schemas.microsoft.com/office/drawing/2014/main" id="{00000000-0008-0000-0900-000009000000}"/>
            </a:ext>
          </a:extLst>
        </xdr:cNvPr>
        <xdr:cNvSpPr/>
      </xdr:nvSpPr>
      <xdr:spPr>
        <a:xfrm>
          <a:off x="8355430" y="170446"/>
          <a:ext cx="582028" cy="360948"/>
        </a:xfrm>
        <a:prstGeom prst="roundRect">
          <a:avLst/>
        </a:prstGeom>
        <a:solidFill>
          <a:srgbClr val="999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a:solidFill>
                <a:sysClr val="windowText" lastClr="000000"/>
              </a:solidFill>
              <a:latin typeface="GoudySans BlkIt BT" panose="020E090202020A0A0404" pitchFamily="34" charset="0"/>
            </a:rPr>
            <a:t>Save As Pdf</a:t>
          </a:r>
        </a:p>
      </xdr:txBody>
    </xdr:sp>
    <xdr:clientData/>
  </xdr:twoCellAnchor>
  <xdr:twoCellAnchor>
    <xdr:from>
      <xdr:col>22</xdr:col>
      <xdr:colOff>50129</xdr:colOff>
      <xdr:row>3</xdr:row>
      <xdr:rowOff>17032</xdr:rowOff>
    </xdr:from>
    <xdr:to>
      <xdr:col>22</xdr:col>
      <xdr:colOff>641684</xdr:colOff>
      <xdr:row>5</xdr:row>
      <xdr:rowOff>10027</xdr:rowOff>
    </xdr:to>
    <xdr:sp macro="[0]!simpan_all_pdf_gasal" textlink="">
      <xdr:nvSpPr>
        <xdr:cNvPr id="10" name="Rounded Rectangle 9">
          <a:extLst>
            <a:ext uri="{FF2B5EF4-FFF2-40B4-BE49-F238E27FC236}">
              <a16:creationId xmlns:a16="http://schemas.microsoft.com/office/drawing/2014/main" id="{00000000-0008-0000-0900-00000A000000}"/>
            </a:ext>
          </a:extLst>
        </xdr:cNvPr>
        <xdr:cNvSpPr/>
      </xdr:nvSpPr>
      <xdr:spPr>
        <a:xfrm>
          <a:off x="8365454" y="588532"/>
          <a:ext cx="572505" cy="373995"/>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00" b="0">
              <a:solidFill>
                <a:sysClr val="windowText" lastClr="000000"/>
              </a:solidFill>
              <a:latin typeface="GoudySans BlkIt BT" panose="020E090202020A0A0404" pitchFamily="34" charset="0"/>
            </a:rPr>
            <a:t>Save All As Pdf</a:t>
          </a:r>
        </a:p>
      </xdr:txBody>
    </xdr:sp>
    <xdr:clientData/>
  </xdr:twoCellAnchor>
  <xdr:twoCellAnchor>
    <xdr:from>
      <xdr:col>0</xdr:col>
      <xdr:colOff>0</xdr:colOff>
      <xdr:row>0</xdr:row>
      <xdr:rowOff>0</xdr:rowOff>
    </xdr:from>
    <xdr:to>
      <xdr:col>3</xdr:col>
      <xdr:colOff>10026</xdr:colOff>
      <xdr:row>22</xdr:row>
      <xdr:rowOff>60158</xdr:rowOff>
    </xdr:to>
    <xdr:grpSp>
      <xdr:nvGrpSpPr>
        <xdr:cNvPr id="11" name="Group 10">
          <a:extLst>
            <a:ext uri="{FF2B5EF4-FFF2-40B4-BE49-F238E27FC236}">
              <a16:creationId xmlns:a16="http://schemas.microsoft.com/office/drawing/2014/main" id="{00000000-0008-0000-0900-00000B000000}"/>
            </a:ext>
          </a:extLst>
        </xdr:cNvPr>
        <xdr:cNvGrpSpPr/>
      </xdr:nvGrpSpPr>
      <xdr:grpSpPr>
        <a:xfrm>
          <a:off x="0" y="0"/>
          <a:ext cx="1834815" cy="4578684"/>
          <a:chOff x="0" y="0"/>
          <a:chExt cx="1976437" cy="5532357"/>
        </a:xfrm>
      </xdr:grpSpPr>
      <xdr:sp macro="" textlink="">
        <xdr:nvSpPr>
          <xdr:cNvPr id="12" name="Rectangle 11">
            <a:extLst>
              <a:ext uri="{FF2B5EF4-FFF2-40B4-BE49-F238E27FC236}">
                <a16:creationId xmlns:a16="http://schemas.microsoft.com/office/drawing/2014/main" id="{00000000-0008-0000-0900-00000C000000}"/>
              </a:ext>
            </a:extLst>
          </xdr:cNvPr>
          <xdr:cNvSpPr/>
        </xdr:nvSpPr>
        <xdr:spPr>
          <a:xfrm>
            <a:off x="0" y="0"/>
            <a:ext cx="1976437" cy="5532357"/>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5"/>
          <a:stretch>
            <a:fillRect/>
          </a:stretch>
        </xdr:blipFill>
        <xdr:spPr>
          <a:xfrm>
            <a:off x="165321" y="4746324"/>
            <a:ext cx="1677240" cy="552264"/>
          </a:xfrm>
          <a:prstGeom prst="rect">
            <a:avLst/>
          </a:prstGeom>
        </xdr:spPr>
      </xdr:pic>
      <xdr:pic macro="[0]!menu_gasal">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6"/>
          <a:stretch>
            <a:fillRect/>
          </a:stretch>
        </xdr:blipFill>
        <xdr:spPr>
          <a:xfrm>
            <a:off x="197065" y="1976732"/>
            <a:ext cx="1604008" cy="614171"/>
          </a:xfrm>
          <a:prstGeom prst="rect">
            <a:avLst/>
          </a:prstGeom>
        </xdr:spPr>
      </xdr:pic>
      <xdr:pic macro="[0]!nilpel_s1">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7"/>
          <a:stretch>
            <a:fillRect/>
          </a:stretch>
        </xdr:blipFill>
        <xdr:spPr>
          <a:xfrm>
            <a:off x="181034" y="2720256"/>
            <a:ext cx="1620039" cy="595425"/>
          </a:xfrm>
          <a:prstGeom prst="rect">
            <a:avLst/>
          </a:prstGeom>
        </xdr:spPr>
      </xdr:pic>
      <xdr:pic macro="[0]!nilwk_s1">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8"/>
          <a:stretch>
            <a:fillRect/>
          </a:stretch>
        </xdr:blipFill>
        <xdr:spPr>
          <a:xfrm>
            <a:off x="171740" y="3390268"/>
            <a:ext cx="1639704" cy="589297"/>
          </a:xfrm>
          <a:prstGeom prst="rect">
            <a:avLst/>
          </a:prstGeom>
        </xdr:spPr>
      </xdr:pic>
      <xdr:pic macro="[0]!rap_s1">
        <xdr:nvPicPr>
          <xdr:cNvPr id="17" name="Picture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9"/>
          <a:stretch>
            <a:fillRect/>
          </a:stretch>
        </xdr:blipFill>
        <xdr:spPr>
          <a:xfrm>
            <a:off x="146552" y="4070144"/>
            <a:ext cx="1677486" cy="585399"/>
          </a:xfrm>
          <a:prstGeom prst="rect">
            <a:avLst/>
          </a:prstGeom>
        </xdr:spPr>
      </xdr:pic>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07766" y="231053"/>
            <a:ext cx="1118494" cy="1507367"/>
          </a:xfrm>
          <a:prstGeom prst="rect">
            <a:avLst/>
          </a:prstGeom>
        </xdr:spPr>
      </xdr:pic>
    </xdr:grpSp>
    <xdr:clientData/>
  </xdr:twoCellAnchor>
  <xdr:twoCellAnchor editAs="oneCell">
    <xdr:from>
      <xdr:col>5</xdr:col>
      <xdr:colOff>90237</xdr:colOff>
      <xdr:row>6</xdr:row>
      <xdr:rowOff>60157</xdr:rowOff>
    </xdr:from>
    <xdr:to>
      <xdr:col>22</xdr:col>
      <xdr:colOff>491290</xdr:colOff>
      <xdr:row>11</xdr:row>
      <xdr:rowOff>70184</xdr:rowOff>
    </xdr:to>
    <xdr:pic>
      <xdr:nvPicPr>
        <xdr:cNvPr id="19" name="Picture 18">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l="2358" r="4108"/>
        <a:stretch>
          <a:fillRect/>
        </a:stretch>
      </xdr:blipFill>
      <xdr:spPr bwMode="auto">
        <a:xfrm>
          <a:off x="2585787" y="1203157"/>
          <a:ext cx="6220828" cy="1219702"/>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12700</xdr:colOff>
          <xdr:row>3</xdr:row>
          <xdr:rowOff>12700</xdr:rowOff>
        </xdr:from>
        <xdr:to>
          <xdr:col>13</xdr:col>
          <xdr:colOff>438150</xdr:colOff>
          <xdr:row>4</xdr:row>
          <xdr:rowOff>184150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20053</xdr:colOff>
      <xdr:row>1</xdr:row>
      <xdr:rowOff>0</xdr:rowOff>
    </xdr:from>
    <xdr:to>
      <xdr:col>4</xdr:col>
      <xdr:colOff>350921</xdr:colOff>
      <xdr:row>2</xdr:row>
      <xdr:rowOff>123825</xdr:rowOff>
    </xdr:to>
    <xdr:sp macro="[0]!ThisWorkbook.Show_Ribbon" textlink="">
      <xdr:nvSpPr>
        <xdr:cNvPr id="3" name="Rounded Rectangle 2">
          <a:extLst>
            <a:ext uri="{FF2B5EF4-FFF2-40B4-BE49-F238E27FC236}">
              <a16:creationId xmlns:a16="http://schemas.microsoft.com/office/drawing/2014/main" id="{00000000-0008-0000-0A00-000003000000}"/>
            </a:ext>
          </a:extLst>
        </xdr:cNvPr>
        <xdr:cNvSpPr/>
      </xdr:nvSpPr>
      <xdr:spPr>
        <a:xfrm>
          <a:off x="2125078" y="190500"/>
          <a:ext cx="330868" cy="314325"/>
        </a:xfrm>
        <a:prstGeom prst="roundRect">
          <a:avLst/>
        </a:prstGeom>
        <a:solidFill>
          <a:srgbClr val="FF33CC"/>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S</a:t>
          </a:r>
        </a:p>
      </xdr:txBody>
    </xdr:sp>
    <xdr:clientData/>
  </xdr:twoCellAnchor>
  <xdr:twoCellAnchor>
    <xdr:from>
      <xdr:col>4</xdr:col>
      <xdr:colOff>20053</xdr:colOff>
      <xdr:row>3</xdr:row>
      <xdr:rowOff>38100</xdr:rowOff>
    </xdr:from>
    <xdr:to>
      <xdr:col>4</xdr:col>
      <xdr:colOff>350921</xdr:colOff>
      <xdr:row>4</xdr:row>
      <xdr:rowOff>161925</xdr:rowOff>
    </xdr:to>
    <xdr:sp macro="[0]!ThisWorkbook.Hide_Ribbon" textlink="">
      <xdr:nvSpPr>
        <xdr:cNvPr id="4" name="Rounded Rectangle 3">
          <a:extLst>
            <a:ext uri="{FF2B5EF4-FFF2-40B4-BE49-F238E27FC236}">
              <a16:creationId xmlns:a16="http://schemas.microsoft.com/office/drawing/2014/main" id="{00000000-0008-0000-0A00-000004000000}"/>
            </a:ext>
          </a:extLst>
        </xdr:cNvPr>
        <xdr:cNvSpPr/>
      </xdr:nvSpPr>
      <xdr:spPr>
        <a:xfrm>
          <a:off x="2125078" y="609600"/>
          <a:ext cx="330868" cy="314325"/>
        </a:xfrm>
        <a:prstGeom prst="roundRect">
          <a:avLst/>
        </a:prstGeom>
        <a:solidFill>
          <a:srgbClr val="FFFF0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H</a:t>
          </a:r>
        </a:p>
      </xdr:txBody>
    </xdr:sp>
    <xdr:clientData/>
  </xdr:twoCellAnchor>
  <xdr:twoCellAnchor editAs="oneCell">
    <xdr:from>
      <xdr:col>17</xdr:col>
      <xdr:colOff>47731</xdr:colOff>
      <xdr:row>0</xdr:row>
      <xdr:rowOff>177517</xdr:rowOff>
    </xdr:from>
    <xdr:to>
      <xdr:col>19</xdr:col>
      <xdr:colOff>62911</xdr:colOff>
      <xdr:row>2</xdr:row>
      <xdr:rowOff>187545</xdr:rowOff>
    </xdr:to>
    <xdr:pic macro="[0]!cetak_print_rapor_all">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a:off x="6372331" y="177517"/>
          <a:ext cx="948630" cy="391028"/>
        </a:xfrm>
        <a:prstGeom prst="rect">
          <a:avLst/>
        </a:prstGeom>
      </xdr:spPr>
    </xdr:pic>
    <xdr:clientData/>
  </xdr:twoCellAnchor>
  <xdr:twoCellAnchor editAs="oneCell">
    <xdr:from>
      <xdr:col>17</xdr:col>
      <xdr:colOff>59210</xdr:colOff>
      <xdr:row>3</xdr:row>
      <xdr:rowOff>24962</xdr:rowOff>
    </xdr:from>
    <xdr:to>
      <xdr:col>19</xdr:col>
      <xdr:colOff>95690</xdr:colOff>
      <xdr:row>5</xdr:row>
      <xdr:rowOff>5912</xdr:rowOff>
    </xdr:to>
    <xdr:pic macro="[0]!privew_print_rapor">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383810" y="596462"/>
          <a:ext cx="969930" cy="361950"/>
        </a:xfrm>
        <a:prstGeom prst="rect">
          <a:avLst/>
        </a:prstGeom>
      </xdr:spPr>
    </xdr:pic>
    <xdr:clientData/>
  </xdr:twoCellAnchor>
  <xdr:twoCellAnchor editAs="oneCell">
    <xdr:from>
      <xdr:col>19</xdr:col>
      <xdr:colOff>95857</xdr:colOff>
      <xdr:row>0</xdr:row>
      <xdr:rowOff>174564</xdr:rowOff>
    </xdr:from>
    <xdr:to>
      <xdr:col>22</xdr:col>
      <xdr:colOff>409575</xdr:colOff>
      <xdr:row>2</xdr:row>
      <xdr:rowOff>183675</xdr:rowOff>
    </xdr:to>
    <xdr:pic macro="[0]!cetak_rapor_pondoks2">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a:stretch>
          <a:fillRect/>
        </a:stretch>
      </xdr:blipFill>
      <xdr:spPr>
        <a:xfrm>
          <a:off x="7353907" y="174564"/>
          <a:ext cx="799493" cy="390111"/>
        </a:xfrm>
        <a:prstGeom prst="rect">
          <a:avLst/>
        </a:prstGeom>
      </xdr:spPr>
    </xdr:pic>
    <xdr:clientData/>
  </xdr:twoCellAnchor>
  <xdr:twoCellAnchor editAs="oneCell">
    <xdr:from>
      <xdr:col>19</xdr:col>
      <xdr:colOff>114682</xdr:colOff>
      <xdr:row>3</xdr:row>
      <xdr:rowOff>33985</xdr:rowOff>
    </xdr:from>
    <xdr:to>
      <xdr:col>22</xdr:col>
      <xdr:colOff>419101</xdr:colOff>
      <xdr:row>5</xdr:row>
      <xdr:rowOff>702</xdr:rowOff>
    </xdr:to>
    <xdr:pic macro="[0]!cetak_rapor_pkbm">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4"/>
        <a:stretch>
          <a:fillRect/>
        </a:stretch>
      </xdr:blipFill>
      <xdr:spPr>
        <a:xfrm>
          <a:off x="7372732" y="605485"/>
          <a:ext cx="790194" cy="347717"/>
        </a:xfrm>
        <a:prstGeom prst="rect">
          <a:avLst/>
        </a:prstGeom>
      </xdr:spPr>
    </xdr:pic>
    <xdr:clientData/>
  </xdr:twoCellAnchor>
  <xdr:twoCellAnchor>
    <xdr:from>
      <xdr:col>22</xdr:col>
      <xdr:colOff>466725</xdr:colOff>
      <xdr:row>0</xdr:row>
      <xdr:rowOff>183583</xdr:rowOff>
    </xdr:from>
    <xdr:to>
      <xdr:col>25</xdr:col>
      <xdr:colOff>0</xdr:colOff>
      <xdr:row>2</xdr:row>
      <xdr:rowOff>176122</xdr:rowOff>
    </xdr:to>
    <xdr:sp macro="[0]!Module7.simpan_pdf_genap" textlink="">
      <xdr:nvSpPr>
        <xdr:cNvPr id="9" name="Rounded Rectangle 8">
          <a:extLst>
            <a:ext uri="{FF2B5EF4-FFF2-40B4-BE49-F238E27FC236}">
              <a16:creationId xmlns:a16="http://schemas.microsoft.com/office/drawing/2014/main" id="{00000000-0008-0000-0A00-000009000000}"/>
            </a:ext>
          </a:extLst>
        </xdr:cNvPr>
        <xdr:cNvSpPr/>
      </xdr:nvSpPr>
      <xdr:spPr>
        <a:xfrm>
          <a:off x="8210550" y="183583"/>
          <a:ext cx="600075" cy="373539"/>
        </a:xfrm>
        <a:prstGeom prst="roundRect">
          <a:avLst/>
        </a:prstGeom>
        <a:solidFill>
          <a:srgbClr val="999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a:solidFill>
                <a:sysClr val="windowText" lastClr="000000"/>
              </a:solidFill>
              <a:latin typeface="GoudySans BlkIt BT" panose="020E090202020A0A0404" pitchFamily="34" charset="0"/>
            </a:rPr>
            <a:t>Save As Pdf</a:t>
          </a:r>
        </a:p>
      </xdr:txBody>
    </xdr:sp>
    <xdr:clientData/>
  </xdr:twoCellAnchor>
  <xdr:twoCellAnchor>
    <xdr:from>
      <xdr:col>22</xdr:col>
      <xdr:colOff>466725</xdr:colOff>
      <xdr:row>3</xdr:row>
      <xdr:rowOff>38597</xdr:rowOff>
    </xdr:from>
    <xdr:to>
      <xdr:col>25</xdr:col>
      <xdr:colOff>0</xdr:colOff>
      <xdr:row>5</xdr:row>
      <xdr:rowOff>3593</xdr:rowOff>
    </xdr:to>
    <xdr:sp macro="[0]!simpan_all_pdf_genap" textlink="">
      <xdr:nvSpPr>
        <xdr:cNvPr id="10" name="Rounded Rectangle 9">
          <a:extLst>
            <a:ext uri="{FF2B5EF4-FFF2-40B4-BE49-F238E27FC236}">
              <a16:creationId xmlns:a16="http://schemas.microsoft.com/office/drawing/2014/main" id="{00000000-0008-0000-0A00-00000A000000}"/>
            </a:ext>
          </a:extLst>
        </xdr:cNvPr>
        <xdr:cNvSpPr/>
      </xdr:nvSpPr>
      <xdr:spPr>
        <a:xfrm>
          <a:off x="8210550" y="610097"/>
          <a:ext cx="600075" cy="345996"/>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00" b="0">
              <a:solidFill>
                <a:sysClr val="windowText" lastClr="000000"/>
              </a:solidFill>
              <a:latin typeface="GoudySans BlkIt BT" panose="020E090202020A0A0404" pitchFamily="34" charset="0"/>
            </a:rPr>
            <a:t>Save All As Pdf</a:t>
          </a:r>
        </a:p>
      </xdr:txBody>
    </xdr:sp>
    <xdr:clientData/>
  </xdr:twoCellAnchor>
  <xdr:twoCellAnchor>
    <xdr:from>
      <xdr:col>0</xdr:col>
      <xdr:colOff>0</xdr:colOff>
      <xdr:row>0</xdr:row>
      <xdr:rowOff>0</xdr:rowOff>
    </xdr:from>
    <xdr:to>
      <xdr:col>2</xdr:col>
      <xdr:colOff>571500</xdr:colOff>
      <xdr:row>25</xdr:row>
      <xdr:rowOff>127717</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0" y="0"/>
          <a:ext cx="1786283" cy="5329195"/>
          <a:chOff x="0" y="0"/>
          <a:chExt cx="1790700" cy="5280742"/>
        </a:xfrm>
      </xdr:grpSpPr>
      <xdr:sp macro="" textlink="">
        <xdr:nvSpPr>
          <xdr:cNvPr id="12" name="Rectangle 11">
            <a:extLst>
              <a:ext uri="{FF2B5EF4-FFF2-40B4-BE49-F238E27FC236}">
                <a16:creationId xmlns:a16="http://schemas.microsoft.com/office/drawing/2014/main" id="{00000000-0008-0000-0A00-00000C000000}"/>
              </a:ext>
            </a:extLst>
          </xdr:cNvPr>
          <xdr:cNvSpPr/>
        </xdr:nvSpPr>
        <xdr:spPr>
          <a:xfrm>
            <a:off x="0" y="0"/>
            <a:ext cx="1790700" cy="5280742"/>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5"/>
          <a:stretch>
            <a:fillRect/>
          </a:stretch>
        </xdr:blipFill>
        <xdr:spPr>
          <a:xfrm>
            <a:off x="149331" y="4522530"/>
            <a:ext cx="1520441" cy="533483"/>
          </a:xfrm>
          <a:prstGeom prst="rect">
            <a:avLst/>
          </a:prstGeom>
        </xdr:spPr>
      </xdr:pic>
      <xdr:pic macro="[0]!nilpel_s2">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6"/>
          <a:stretch>
            <a:fillRect/>
          </a:stretch>
        </xdr:blipFill>
        <xdr:spPr>
          <a:xfrm>
            <a:off x="163524" y="2580194"/>
            <a:ext cx="1468774" cy="567500"/>
          </a:xfrm>
          <a:prstGeom prst="rect">
            <a:avLst/>
          </a:prstGeom>
        </xdr:spPr>
      </xdr:pic>
      <xdr:pic macro="[0]!nilwk_s2">
        <xdr:nvPicPr>
          <xdr:cNvPr id="16" name="Picture 15">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7"/>
          <a:stretch>
            <a:fillRect/>
          </a:stretch>
        </xdr:blipFill>
        <xdr:spPr>
          <a:xfrm>
            <a:off x="155129" y="3218109"/>
            <a:ext cx="1486537" cy="568444"/>
          </a:xfrm>
          <a:prstGeom prst="rect">
            <a:avLst/>
          </a:prstGeom>
        </xdr:spPr>
      </xdr:pic>
      <xdr:pic macro="[0]!rap_s2">
        <xdr:nvPicPr>
          <xdr:cNvPr id="17" name="Picture 16">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8"/>
          <a:stretch>
            <a:fillRect/>
          </a:stretch>
        </xdr:blipFill>
        <xdr:spPr>
          <a:xfrm>
            <a:off x="132378" y="3872064"/>
            <a:ext cx="1520664" cy="564763"/>
          </a:xfrm>
          <a:prstGeom prst="rect">
            <a:avLst/>
          </a:prstGeom>
        </xdr:spPr>
      </xdr:pic>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8326" y="218128"/>
            <a:ext cx="1015739" cy="1428427"/>
          </a:xfrm>
          <a:prstGeom prst="rect">
            <a:avLst/>
          </a:prstGeom>
        </xdr:spPr>
      </xdr:pic>
      <xdr:pic macro="[0]!menu_genap">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10"/>
          <a:stretch>
            <a:fillRect/>
          </a:stretch>
        </xdr:blipFill>
        <xdr:spPr>
          <a:xfrm>
            <a:off x="170931" y="1857208"/>
            <a:ext cx="1448839" cy="592952"/>
          </a:xfrm>
          <a:prstGeom prst="rect">
            <a:avLst/>
          </a:prstGeom>
        </xdr:spPr>
      </xdr:pic>
    </xdr:grpSp>
    <xdr:clientData/>
  </xdr:twoCellAnchor>
  <xdr:twoCellAnchor>
    <xdr:from>
      <xdr:col>9</xdr:col>
      <xdr:colOff>217713</xdr:colOff>
      <xdr:row>16</xdr:row>
      <xdr:rowOff>8282</xdr:rowOff>
    </xdr:from>
    <xdr:to>
      <xdr:col>22</xdr:col>
      <xdr:colOff>88448</xdr:colOff>
      <xdr:row>46</xdr:row>
      <xdr:rowOff>5067</xdr:rowOff>
    </xdr:to>
    <xdr:sp macro="" textlink="">
      <xdr:nvSpPr>
        <xdr:cNvPr id="19" name="Rectangle 18">
          <a:extLst>
            <a:ext uri="{FF2B5EF4-FFF2-40B4-BE49-F238E27FC236}">
              <a16:creationId xmlns:a16="http://schemas.microsoft.com/office/drawing/2014/main" id="{00000000-0008-0000-0A00-000013000000}"/>
            </a:ext>
          </a:extLst>
        </xdr:cNvPr>
        <xdr:cNvSpPr/>
      </xdr:nvSpPr>
      <xdr:spPr>
        <a:xfrm>
          <a:off x="3510642" y="3382853"/>
          <a:ext cx="4333877" cy="6120000"/>
        </a:xfrm>
        <a:prstGeom prst="rect">
          <a:avLst/>
        </a:prstGeom>
        <a:blipFill dpi="0" rotWithShape="1">
          <a:blip xmlns:r="http://schemas.openxmlformats.org/officeDocument/2006/relationships" r:embed="rId11">
            <a:alphaModFix amt="10000"/>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editAs="oneCell">
    <xdr:from>
      <xdr:col>14</xdr:col>
      <xdr:colOff>201705</xdr:colOff>
      <xdr:row>48</xdr:row>
      <xdr:rowOff>78682</xdr:rowOff>
    </xdr:from>
    <xdr:to>
      <xdr:col>16</xdr:col>
      <xdr:colOff>267820</xdr:colOff>
      <xdr:row>55</xdr:row>
      <xdr:rowOff>101973</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2" cstate="print">
          <a:clrChange>
            <a:clrFrom>
              <a:srgbClr val="FEFEFE"/>
            </a:clrFrom>
            <a:clrTo>
              <a:srgbClr val="FEFEFE">
                <a:alpha val="0"/>
              </a:srgbClr>
            </a:clrTo>
          </a:clrChange>
          <a:extLst>
            <a:ext uri="{28A0092B-C50C-407E-A947-70E740481C1C}">
              <a14:useLocalDpi xmlns:a14="http://schemas.microsoft.com/office/drawing/2010/main" val="0"/>
            </a:ext>
          </a:extLst>
        </a:blip>
        <a:stretch>
          <a:fillRect/>
        </a:stretch>
      </xdr:blipFill>
      <xdr:spPr>
        <a:xfrm>
          <a:off x="5087470" y="10264829"/>
          <a:ext cx="962585" cy="1121468"/>
        </a:xfrm>
        <a:prstGeom prst="rect">
          <a:avLst/>
        </a:prstGeom>
      </xdr:spPr>
    </xdr:pic>
    <xdr:clientData/>
  </xdr:twoCellAnchor>
  <xdr:twoCellAnchor editAs="oneCell">
    <xdr:from>
      <xdr:col>18</xdr:col>
      <xdr:colOff>299196</xdr:colOff>
      <xdr:row>48</xdr:row>
      <xdr:rowOff>29694</xdr:rowOff>
    </xdr:from>
    <xdr:to>
      <xdr:col>24</xdr:col>
      <xdr:colOff>2691</xdr:colOff>
      <xdr:row>56</xdr:row>
      <xdr:rowOff>47821</xdr:rowOff>
    </xdr:to>
    <xdr:pic>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rot="650704">
          <a:off x="7056343" y="10215841"/>
          <a:ext cx="1384377" cy="1284392"/>
        </a:xfrm>
        <a:prstGeom prst="rect">
          <a:avLst/>
        </a:prstGeom>
      </xdr:spPr>
    </xdr:pic>
    <xdr:clientData/>
  </xdr:twoCellAnchor>
  <xdr:twoCellAnchor editAs="oneCell">
    <xdr:from>
      <xdr:col>17</xdr:col>
      <xdr:colOff>248771</xdr:colOff>
      <xdr:row>47</xdr:row>
      <xdr:rowOff>310964</xdr:rowOff>
    </xdr:from>
    <xdr:to>
      <xdr:col>22</xdr:col>
      <xdr:colOff>4580</xdr:colOff>
      <xdr:row>56</xdr:row>
      <xdr:rowOff>56030</xdr:rowOff>
    </xdr:to>
    <xdr:pic>
      <xdr:nvPicPr>
        <xdr:cNvPr id="25" name="Picture 24">
          <a:extLst>
            <a:ext uri="{FF2B5EF4-FFF2-40B4-BE49-F238E27FC236}">
              <a16:creationId xmlns:a16="http://schemas.microsoft.com/office/drawing/2014/main" id="{00000000-0008-0000-0A00-000019000000}"/>
            </a:ext>
          </a:extLst>
        </xdr:cNvPr>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557683" y="10104905"/>
          <a:ext cx="1172135" cy="140353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12700</xdr:colOff>
          <xdr:row>3</xdr:row>
          <xdr:rowOff>12700</xdr:rowOff>
        </xdr:from>
        <xdr:to>
          <xdr:col>13</xdr:col>
          <xdr:colOff>438150</xdr:colOff>
          <xdr:row>4</xdr:row>
          <xdr:rowOff>184150</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20053</xdr:colOff>
      <xdr:row>1</xdr:row>
      <xdr:rowOff>0</xdr:rowOff>
    </xdr:from>
    <xdr:to>
      <xdr:col>4</xdr:col>
      <xdr:colOff>350921</xdr:colOff>
      <xdr:row>2</xdr:row>
      <xdr:rowOff>123825</xdr:rowOff>
    </xdr:to>
    <xdr:sp macro="[0]!ThisWorkbook.Show_Ribbon" textlink="">
      <xdr:nvSpPr>
        <xdr:cNvPr id="31" name="Rounded Rectangle 30">
          <a:extLst>
            <a:ext uri="{FF2B5EF4-FFF2-40B4-BE49-F238E27FC236}">
              <a16:creationId xmlns:a16="http://schemas.microsoft.com/office/drawing/2014/main" id="{00000000-0008-0000-0B00-00001F000000}"/>
            </a:ext>
          </a:extLst>
        </xdr:cNvPr>
        <xdr:cNvSpPr/>
      </xdr:nvSpPr>
      <xdr:spPr>
        <a:xfrm>
          <a:off x="2135606" y="190500"/>
          <a:ext cx="330868" cy="314325"/>
        </a:xfrm>
        <a:prstGeom prst="roundRect">
          <a:avLst/>
        </a:prstGeom>
        <a:solidFill>
          <a:srgbClr val="FF33CC"/>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S</a:t>
          </a:r>
        </a:p>
      </xdr:txBody>
    </xdr:sp>
    <xdr:clientData/>
  </xdr:twoCellAnchor>
  <xdr:twoCellAnchor>
    <xdr:from>
      <xdr:col>4</xdr:col>
      <xdr:colOff>20053</xdr:colOff>
      <xdr:row>3</xdr:row>
      <xdr:rowOff>38100</xdr:rowOff>
    </xdr:from>
    <xdr:to>
      <xdr:col>4</xdr:col>
      <xdr:colOff>350921</xdr:colOff>
      <xdr:row>4</xdr:row>
      <xdr:rowOff>161925</xdr:rowOff>
    </xdr:to>
    <xdr:sp macro="[0]!ThisWorkbook.Hide_Ribbon" textlink="">
      <xdr:nvSpPr>
        <xdr:cNvPr id="34" name="Rounded Rectangle 33">
          <a:extLst>
            <a:ext uri="{FF2B5EF4-FFF2-40B4-BE49-F238E27FC236}">
              <a16:creationId xmlns:a16="http://schemas.microsoft.com/office/drawing/2014/main" id="{00000000-0008-0000-0B00-000022000000}"/>
            </a:ext>
          </a:extLst>
        </xdr:cNvPr>
        <xdr:cNvSpPr/>
      </xdr:nvSpPr>
      <xdr:spPr>
        <a:xfrm>
          <a:off x="2135606" y="609600"/>
          <a:ext cx="330868" cy="314325"/>
        </a:xfrm>
        <a:prstGeom prst="roundRect">
          <a:avLst/>
        </a:prstGeom>
        <a:solidFill>
          <a:srgbClr val="FFFF0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H</a:t>
          </a:r>
        </a:p>
      </xdr:txBody>
    </xdr:sp>
    <xdr:clientData/>
  </xdr:twoCellAnchor>
  <xdr:twoCellAnchor editAs="oneCell">
    <xdr:from>
      <xdr:col>17</xdr:col>
      <xdr:colOff>47731</xdr:colOff>
      <xdr:row>0</xdr:row>
      <xdr:rowOff>177517</xdr:rowOff>
    </xdr:from>
    <xdr:to>
      <xdr:col>19</xdr:col>
      <xdr:colOff>62911</xdr:colOff>
      <xdr:row>2</xdr:row>
      <xdr:rowOff>187545</xdr:rowOff>
    </xdr:to>
    <xdr:pic macro="[0]!cetak_print_rapor_all">
      <xdr:nvPicPr>
        <xdr:cNvPr id="45" name="Picture 44">
          <a:extLst>
            <a:ext uri="{FF2B5EF4-FFF2-40B4-BE49-F238E27FC236}">
              <a16:creationId xmlns:a16="http://schemas.microsoft.com/office/drawing/2014/main" id="{00000000-0008-0000-0B00-00002D000000}"/>
            </a:ext>
          </a:extLst>
        </xdr:cNvPr>
        <xdr:cNvPicPr>
          <a:picLocks noChangeAspect="1"/>
        </xdr:cNvPicPr>
      </xdr:nvPicPr>
      <xdr:blipFill>
        <a:blip xmlns:r="http://schemas.openxmlformats.org/officeDocument/2006/relationships" r:embed="rId1"/>
        <a:stretch>
          <a:fillRect/>
        </a:stretch>
      </xdr:blipFill>
      <xdr:spPr>
        <a:xfrm>
          <a:off x="6373645" y="177517"/>
          <a:ext cx="947973" cy="391028"/>
        </a:xfrm>
        <a:prstGeom prst="rect">
          <a:avLst/>
        </a:prstGeom>
      </xdr:spPr>
    </xdr:pic>
    <xdr:clientData/>
  </xdr:twoCellAnchor>
  <xdr:twoCellAnchor editAs="oneCell">
    <xdr:from>
      <xdr:col>17</xdr:col>
      <xdr:colOff>59210</xdr:colOff>
      <xdr:row>3</xdr:row>
      <xdr:rowOff>24962</xdr:rowOff>
    </xdr:from>
    <xdr:to>
      <xdr:col>19</xdr:col>
      <xdr:colOff>95690</xdr:colOff>
      <xdr:row>5</xdr:row>
      <xdr:rowOff>5912</xdr:rowOff>
    </xdr:to>
    <xdr:pic macro="[0]!privew_print_rapor">
      <xdr:nvPicPr>
        <xdr:cNvPr id="46" name="Picture 45">
          <a:extLst>
            <a:ext uri="{FF2B5EF4-FFF2-40B4-BE49-F238E27FC236}">
              <a16:creationId xmlns:a16="http://schemas.microsoft.com/office/drawing/2014/main" id="{00000000-0008-0000-0B00-00002E000000}"/>
            </a:ext>
          </a:extLst>
        </xdr:cNvPr>
        <xdr:cNvPicPr>
          <a:picLocks noChangeAspect="1"/>
        </xdr:cNvPicPr>
      </xdr:nvPicPr>
      <xdr:blipFill>
        <a:blip xmlns:r="http://schemas.openxmlformats.org/officeDocument/2006/relationships" r:embed="rId2"/>
        <a:stretch>
          <a:fillRect/>
        </a:stretch>
      </xdr:blipFill>
      <xdr:spPr>
        <a:xfrm>
          <a:off x="6385124" y="596462"/>
          <a:ext cx="969273" cy="361950"/>
        </a:xfrm>
        <a:prstGeom prst="rect">
          <a:avLst/>
        </a:prstGeom>
      </xdr:spPr>
    </xdr:pic>
    <xdr:clientData/>
  </xdr:twoCellAnchor>
  <xdr:twoCellAnchor editAs="oneCell">
    <xdr:from>
      <xdr:col>19</xdr:col>
      <xdr:colOff>95857</xdr:colOff>
      <xdr:row>0</xdr:row>
      <xdr:rowOff>174564</xdr:rowOff>
    </xdr:from>
    <xdr:to>
      <xdr:col>23</xdr:col>
      <xdr:colOff>18889</xdr:colOff>
      <xdr:row>2</xdr:row>
      <xdr:rowOff>183675</xdr:rowOff>
    </xdr:to>
    <xdr:pic macro="[0]!cetak_rapor_pondok">
      <xdr:nvPicPr>
        <xdr:cNvPr id="47" name="Picture 46">
          <a:extLst>
            <a:ext uri="{FF2B5EF4-FFF2-40B4-BE49-F238E27FC236}">
              <a16:creationId xmlns:a16="http://schemas.microsoft.com/office/drawing/2014/main" id="{00000000-0008-0000-0B00-00002F000000}"/>
            </a:ext>
          </a:extLst>
        </xdr:cNvPr>
        <xdr:cNvPicPr>
          <a:picLocks noChangeAspect="1"/>
        </xdr:cNvPicPr>
      </xdr:nvPicPr>
      <xdr:blipFill>
        <a:blip xmlns:r="http://schemas.openxmlformats.org/officeDocument/2006/relationships" r:embed="rId3"/>
        <a:stretch>
          <a:fillRect/>
        </a:stretch>
      </xdr:blipFill>
      <xdr:spPr>
        <a:xfrm>
          <a:off x="7354564" y="174564"/>
          <a:ext cx="890398" cy="390111"/>
        </a:xfrm>
        <a:prstGeom prst="rect">
          <a:avLst/>
        </a:prstGeom>
      </xdr:spPr>
    </xdr:pic>
    <xdr:clientData/>
  </xdr:twoCellAnchor>
  <xdr:twoCellAnchor editAs="oneCell">
    <xdr:from>
      <xdr:col>19</xdr:col>
      <xdr:colOff>114681</xdr:colOff>
      <xdr:row>3</xdr:row>
      <xdr:rowOff>33985</xdr:rowOff>
    </xdr:from>
    <xdr:to>
      <xdr:col>23</xdr:col>
      <xdr:colOff>24548</xdr:colOff>
      <xdr:row>5</xdr:row>
      <xdr:rowOff>702</xdr:rowOff>
    </xdr:to>
    <xdr:pic macro="[0]!cetak_rapor_pkbm">
      <xdr:nvPicPr>
        <xdr:cNvPr id="48" name="Picture 47">
          <a:extLst>
            <a:ext uri="{FF2B5EF4-FFF2-40B4-BE49-F238E27FC236}">
              <a16:creationId xmlns:a16="http://schemas.microsoft.com/office/drawing/2014/main" id="{00000000-0008-0000-0B00-000030000000}"/>
            </a:ext>
          </a:extLst>
        </xdr:cNvPr>
        <xdr:cNvPicPr>
          <a:picLocks noChangeAspect="1"/>
        </xdr:cNvPicPr>
      </xdr:nvPicPr>
      <xdr:blipFill>
        <a:blip xmlns:r="http://schemas.openxmlformats.org/officeDocument/2006/relationships" r:embed="rId4"/>
        <a:stretch>
          <a:fillRect/>
        </a:stretch>
      </xdr:blipFill>
      <xdr:spPr>
        <a:xfrm>
          <a:off x="7373388" y="605485"/>
          <a:ext cx="877233" cy="347717"/>
        </a:xfrm>
        <a:prstGeom prst="rect">
          <a:avLst/>
        </a:prstGeom>
      </xdr:spPr>
    </xdr:pic>
    <xdr:clientData/>
  </xdr:twoCellAnchor>
  <xdr:twoCellAnchor>
    <xdr:from>
      <xdr:col>23</xdr:col>
      <xdr:colOff>70183</xdr:colOff>
      <xdr:row>0</xdr:row>
      <xdr:rowOff>183583</xdr:rowOff>
    </xdr:from>
    <xdr:to>
      <xdr:col>25</xdr:col>
      <xdr:colOff>32844</xdr:colOff>
      <xdr:row>2</xdr:row>
      <xdr:rowOff>176122</xdr:rowOff>
    </xdr:to>
    <xdr:sp macro="[0]!simpan_pdf_gasal" textlink="">
      <xdr:nvSpPr>
        <xdr:cNvPr id="23" name="Rounded Rectangle 22">
          <a:extLst>
            <a:ext uri="{FF2B5EF4-FFF2-40B4-BE49-F238E27FC236}">
              <a16:creationId xmlns:a16="http://schemas.microsoft.com/office/drawing/2014/main" id="{00000000-0008-0000-0B00-000017000000}"/>
            </a:ext>
          </a:extLst>
        </xdr:cNvPr>
        <xdr:cNvSpPr/>
      </xdr:nvSpPr>
      <xdr:spPr>
        <a:xfrm>
          <a:off x="8321841" y="183583"/>
          <a:ext cx="544187" cy="373539"/>
        </a:xfrm>
        <a:prstGeom prst="roundRect">
          <a:avLst/>
        </a:prstGeom>
        <a:solidFill>
          <a:srgbClr val="999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a:solidFill>
                <a:sysClr val="windowText" lastClr="000000"/>
              </a:solidFill>
              <a:latin typeface="GoudySans BlkIt BT" panose="020E090202020A0A0404" pitchFamily="34" charset="0"/>
            </a:rPr>
            <a:t>Save As Pdf</a:t>
          </a:r>
        </a:p>
      </xdr:txBody>
    </xdr:sp>
    <xdr:clientData/>
  </xdr:twoCellAnchor>
  <xdr:twoCellAnchor>
    <xdr:from>
      <xdr:col>23</xdr:col>
      <xdr:colOff>60158</xdr:colOff>
      <xdr:row>3</xdr:row>
      <xdr:rowOff>38597</xdr:rowOff>
    </xdr:from>
    <xdr:to>
      <xdr:col>25</xdr:col>
      <xdr:colOff>32349</xdr:colOff>
      <xdr:row>5</xdr:row>
      <xdr:rowOff>3593</xdr:rowOff>
    </xdr:to>
    <xdr:sp macro="[0]!simpan_all_pdf_gasal" textlink="">
      <xdr:nvSpPr>
        <xdr:cNvPr id="24" name="Rounded Rectangle 23">
          <a:extLst>
            <a:ext uri="{FF2B5EF4-FFF2-40B4-BE49-F238E27FC236}">
              <a16:creationId xmlns:a16="http://schemas.microsoft.com/office/drawing/2014/main" id="{00000000-0008-0000-0B00-000018000000}"/>
            </a:ext>
          </a:extLst>
        </xdr:cNvPr>
        <xdr:cNvSpPr/>
      </xdr:nvSpPr>
      <xdr:spPr>
        <a:xfrm>
          <a:off x="8311816" y="610097"/>
          <a:ext cx="553717" cy="345996"/>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00" b="0">
              <a:solidFill>
                <a:sysClr val="windowText" lastClr="000000"/>
              </a:solidFill>
              <a:latin typeface="GoudySans BlkIt BT" panose="020E090202020A0A0404" pitchFamily="34" charset="0"/>
            </a:rPr>
            <a:t>Save All As Pdf</a:t>
          </a:r>
        </a:p>
      </xdr:txBody>
    </xdr:sp>
    <xdr:clientData/>
  </xdr:twoCellAnchor>
  <xdr:twoCellAnchor editAs="absolute">
    <xdr:from>
      <xdr:col>0</xdr:col>
      <xdr:colOff>0</xdr:colOff>
      <xdr:row>0</xdr:row>
      <xdr:rowOff>0</xdr:rowOff>
    </xdr:from>
    <xdr:to>
      <xdr:col>2</xdr:col>
      <xdr:colOff>571500</xdr:colOff>
      <xdr:row>24</xdr:row>
      <xdr:rowOff>196398</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0" y="0"/>
          <a:ext cx="1786283" cy="5370268"/>
          <a:chOff x="0" y="0"/>
          <a:chExt cx="1794711" cy="5309819"/>
        </a:xfrm>
      </xdr:grpSpPr>
      <xdr:sp macro="" textlink="">
        <xdr:nvSpPr>
          <xdr:cNvPr id="38" name="Rectangle 37">
            <a:extLst>
              <a:ext uri="{FF2B5EF4-FFF2-40B4-BE49-F238E27FC236}">
                <a16:creationId xmlns:a16="http://schemas.microsoft.com/office/drawing/2014/main" id="{00000000-0008-0000-0B00-000026000000}"/>
              </a:ext>
            </a:extLst>
          </xdr:cNvPr>
          <xdr:cNvSpPr/>
        </xdr:nvSpPr>
        <xdr:spPr>
          <a:xfrm>
            <a:off x="0" y="0"/>
            <a:ext cx="1794711" cy="5309819"/>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39" name="Picture 38">
            <a:extLst>
              <a:ext uri="{FF2B5EF4-FFF2-40B4-BE49-F238E27FC236}">
                <a16:creationId xmlns:a16="http://schemas.microsoft.com/office/drawing/2014/main" id="{00000000-0008-0000-0B00-000027000000}"/>
              </a:ext>
            </a:extLst>
          </xdr:cNvPr>
          <xdr:cNvPicPr>
            <a:picLocks noChangeAspect="1"/>
          </xdr:cNvPicPr>
        </xdr:nvPicPr>
        <xdr:blipFill>
          <a:blip xmlns:r="http://schemas.openxmlformats.org/officeDocument/2006/relationships" r:embed="rId5"/>
          <a:stretch>
            <a:fillRect/>
          </a:stretch>
        </xdr:blipFill>
        <xdr:spPr>
          <a:xfrm>
            <a:off x="150120" y="4555404"/>
            <a:ext cx="1523024" cy="530049"/>
          </a:xfrm>
          <a:prstGeom prst="rect">
            <a:avLst/>
          </a:prstGeom>
        </xdr:spPr>
      </xdr:pic>
      <xdr:pic macro="[0]!menu_gasal">
        <xdr:nvPicPr>
          <xdr:cNvPr id="41" name="Picture 40">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6"/>
          <a:stretch>
            <a:fillRect/>
          </a:stretch>
        </xdr:blipFill>
        <xdr:spPr>
          <a:xfrm>
            <a:off x="178946" y="1897218"/>
            <a:ext cx="1456525" cy="589466"/>
          </a:xfrm>
          <a:prstGeom prst="rect">
            <a:avLst/>
          </a:prstGeom>
        </xdr:spPr>
      </xdr:pic>
      <xdr:pic macro="[0]!nilpel_s1">
        <xdr:nvPicPr>
          <xdr:cNvPr id="42" name="Picture 41">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7"/>
          <a:stretch>
            <a:fillRect/>
          </a:stretch>
        </xdr:blipFill>
        <xdr:spPr>
          <a:xfrm>
            <a:off x="164389" y="2610834"/>
            <a:ext cx="1471082" cy="571474"/>
          </a:xfrm>
          <a:prstGeom prst="rect">
            <a:avLst/>
          </a:prstGeom>
        </xdr:spPr>
      </xdr:pic>
      <xdr:pic macro="[0]!nilwk_s1">
        <xdr:nvPicPr>
          <xdr:cNvPr id="43" name="Picture 42">
            <a:extLst>
              <a:ext uri="{FF2B5EF4-FFF2-40B4-BE49-F238E27FC236}">
                <a16:creationId xmlns:a16="http://schemas.microsoft.com/office/drawing/2014/main" id="{00000000-0008-0000-0B00-00002B000000}"/>
              </a:ext>
            </a:extLst>
          </xdr:cNvPr>
          <xdr:cNvPicPr>
            <a:picLocks noChangeAspect="1"/>
          </xdr:cNvPicPr>
        </xdr:nvPicPr>
        <xdr:blipFill>
          <a:blip xmlns:r="http://schemas.openxmlformats.org/officeDocument/2006/relationships" r:embed="rId8"/>
          <a:stretch>
            <a:fillRect/>
          </a:stretch>
        </xdr:blipFill>
        <xdr:spPr>
          <a:xfrm>
            <a:off x="155949" y="3253895"/>
            <a:ext cx="1488939" cy="565593"/>
          </a:xfrm>
          <a:prstGeom prst="rect">
            <a:avLst/>
          </a:prstGeom>
        </xdr:spPr>
      </xdr:pic>
      <xdr:pic macro="[0]!rap_s1">
        <xdr:nvPicPr>
          <xdr:cNvPr id="44" name="Picture 43">
            <a:extLst>
              <a:ext uri="{FF2B5EF4-FFF2-40B4-BE49-F238E27FC236}">
                <a16:creationId xmlns:a16="http://schemas.microsoft.com/office/drawing/2014/main" id="{00000000-0008-0000-0B00-00002C000000}"/>
              </a:ext>
            </a:extLst>
          </xdr:cNvPr>
          <xdr:cNvPicPr>
            <a:picLocks noChangeAspect="1"/>
          </xdr:cNvPicPr>
        </xdr:nvPicPr>
        <xdr:blipFill>
          <a:blip xmlns:r="http://schemas.openxmlformats.org/officeDocument/2006/relationships" r:embed="rId9"/>
          <a:stretch>
            <a:fillRect/>
          </a:stretch>
        </xdr:blipFill>
        <xdr:spPr>
          <a:xfrm>
            <a:off x="133077" y="3906423"/>
            <a:ext cx="1523247" cy="561851"/>
          </a:xfrm>
          <a:prstGeom prst="rect">
            <a:avLst/>
          </a:prstGeom>
        </xdr:spPr>
      </xdr:pic>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0273" y="221759"/>
            <a:ext cx="1015653" cy="1446733"/>
          </a:xfrm>
          <a:prstGeom prst="rect">
            <a:avLst/>
          </a:prstGeom>
        </xdr:spPr>
      </xdr:pic>
    </xdr:grpSp>
    <xdr:clientData/>
  </xdr:twoCellAnchor>
  <xdr:twoCellAnchor>
    <xdr:from>
      <xdr:col>9</xdr:col>
      <xdr:colOff>119304</xdr:colOff>
      <xdr:row>15</xdr:row>
      <xdr:rowOff>210552</xdr:rowOff>
    </xdr:from>
    <xdr:to>
      <xdr:col>21</xdr:col>
      <xdr:colOff>57804</xdr:colOff>
      <xdr:row>44</xdr:row>
      <xdr:rowOff>200527</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3417962" y="3428999"/>
          <a:ext cx="4320000" cy="6306554"/>
        </a:xfrm>
        <a:prstGeom prst="rect">
          <a:avLst/>
        </a:prstGeom>
        <a:blipFill dpi="0" rotWithShape="1">
          <a:blip xmlns:r="http://schemas.openxmlformats.org/officeDocument/2006/relationships" r:embed="rId11">
            <a:alphaModFix amt="10000"/>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editAs="oneCell">
    <xdr:from>
      <xdr:col>19</xdr:col>
      <xdr:colOff>30081</xdr:colOff>
      <xdr:row>47</xdr:row>
      <xdr:rowOff>88078</xdr:rowOff>
    </xdr:from>
    <xdr:to>
      <xdr:col>22</xdr:col>
      <xdr:colOff>391028</xdr:colOff>
      <xdr:row>53</xdr:row>
      <xdr:rowOff>85083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309186" y="10445262"/>
          <a:ext cx="862263" cy="1019689"/>
        </a:xfrm>
        <a:prstGeom prst="rect">
          <a:avLst/>
        </a:prstGeom>
      </xdr:spPr>
    </xdr:pic>
    <xdr:clientData/>
  </xdr:twoCellAnchor>
  <xdr:twoCellAnchor editAs="oneCell">
    <xdr:from>
      <xdr:col>18</xdr:col>
      <xdr:colOff>80210</xdr:colOff>
      <xdr:row>47</xdr:row>
      <xdr:rowOff>0</xdr:rowOff>
    </xdr:from>
    <xdr:to>
      <xdr:col>21</xdr:col>
      <xdr:colOff>83159</xdr:colOff>
      <xdr:row>53</xdr:row>
      <xdr:rowOff>86699</xdr:rowOff>
    </xdr:to>
    <xdr:pic>
      <xdr:nvPicPr>
        <xdr:cNvPr id="22" name="Picture 21">
          <a:extLst>
            <a:ext uri="{FF2B5EF4-FFF2-40B4-BE49-F238E27FC236}">
              <a16:creationId xmlns:a16="http://schemas.microsoft.com/office/drawing/2014/main" id="{00000000-0008-0000-0B00-000016000000}"/>
            </a:ext>
          </a:extLst>
        </xdr:cNvPr>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78052" y="10357184"/>
          <a:ext cx="885265" cy="1109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399371</xdr:colOff>
      <xdr:row>26</xdr:row>
      <xdr:rowOff>54427</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0" y="0"/>
          <a:ext cx="9209160" cy="5842953"/>
          <a:chOff x="0" y="0"/>
          <a:chExt cx="9244014" cy="5946320"/>
        </a:xfrm>
      </xdr:grpSpPr>
      <xdr:pic>
        <xdr:nvPicPr>
          <xdr:cNvPr id="14" name="Picture 13">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09106" y="0"/>
            <a:ext cx="7134908" cy="5946320"/>
          </a:xfrm>
          <a:prstGeom prst="rect">
            <a:avLst/>
          </a:prstGeom>
        </xdr:spPr>
      </xdr:pic>
      <xdr:sp macro="" textlink="">
        <xdr:nvSpPr>
          <xdr:cNvPr id="15" name="TextBox 14">
            <a:extLst>
              <a:ext uri="{FF2B5EF4-FFF2-40B4-BE49-F238E27FC236}">
                <a16:creationId xmlns:a16="http://schemas.microsoft.com/office/drawing/2014/main" id="{00000000-0008-0000-0D00-00000F000000}"/>
              </a:ext>
            </a:extLst>
          </xdr:cNvPr>
          <xdr:cNvSpPr txBox="1"/>
        </xdr:nvSpPr>
        <xdr:spPr>
          <a:xfrm>
            <a:off x="2353589" y="1019463"/>
            <a:ext cx="6456840" cy="1243417"/>
          </a:xfrm>
          <a:prstGeom prst="rect">
            <a:avLst/>
          </a:prstGeom>
          <a:solidFill>
            <a:schemeClr val="accent1">
              <a:alpha val="22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0" i="0" u="sng">
                <a:solidFill>
                  <a:schemeClr val="bg1"/>
                </a:solidFill>
                <a:effectLst/>
                <a:latin typeface="Monotype Corsiva" panose="03010101010201010101" pitchFamily="66" charset="0"/>
                <a:ea typeface="+mn-ea"/>
                <a:cs typeface="+mn-cs"/>
              </a:rPr>
              <a:t>Visi dan Misi</a:t>
            </a:r>
          </a:p>
          <a:p>
            <a:pPr algn="ctr" fontAlgn="base"/>
            <a:r>
              <a:rPr lang="en-US" sz="2000" b="0" i="0">
                <a:solidFill>
                  <a:schemeClr val="bg1"/>
                </a:solidFill>
                <a:effectLst/>
                <a:latin typeface="Monotype Corsiva" panose="03010101010201010101" pitchFamily="66" charset="0"/>
                <a:ea typeface="+mn-ea"/>
                <a:cs typeface="+mn-cs"/>
              </a:rPr>
              <a:t>Visi Pondok Pesantren Imam Syafi’i</a:t>
            </a:r>
          </a:p>
          <a:p>
            <a:pPr algn="ctr" fontAlgn="base"/>
            <a:r>
              <a:rPr lang="en-US" sz="2000" b="0" i="0">
                <a:solidFill>
                  <a:schemeClr val="bg1"/>
                </a:solidFill>
                <a:effectLst/>
                <a:latin typeface="Monotype Corsiva" panose="03010101010201010101" pitchFamily="66" charset="0"/>
                <a:ea typeface="+mn-ea"/>
                <a:cs typeface="+mn-cs"/>
              </a:rPr>
              <a:t>“Mencetak Generasi Penghafal Al-Qur’an yang Berakidah Ahlu Sunnah wal Jama’ah dan Berakhlak Mulia”</a:t>
            </a:r>
          </a:p>
        </xdr:txBody>
      </xdr:sp>
      <xdr:sp macro="" textlink="">
        <xdr:nvSpPr>
          <xdr:cNvPr id="16" name="TextBox 15">
            <a:extLst>
              <a:ext uri="{FF2B5EF4-FFF2-40B4-BE49-F238E27FC236}">
                <a16:creationId xmlns:a16="http://schemas.microsoft.com/office/drawing/2014/main" id="{00000000-0008-0000-0D00-000010000000}"/>
              </a:ext>
            </a:extLst>
          </xdr:cNvPr>
          <xdr:cNvSpPr txBox="1"/>
        </xdr:nvSpPr>
        <xdr:spPr>
          <a:xfrm>
            <a:off x="2383346" y="3160294"/>
            <a:ext cx="6582826" cy="2106731"/>
          </a:xfrm>
          <a:prstGeom prst="rect">
            <a:avLst/>
          </a:prstGeom>
          <a:solidFill>
            <a:schemeClr val="accent1">
              <a:alpha val="52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1" i="0" u="sng">
                <a:solidFill>
                  <a:srgbClr val="FFFF00"/>
                </a:solidFill>
                <a:effectLst/>
                <a:latin typeface="Monotype Corsiva" panose="03010101010201010101" pitchFamily="66" charset="0"/>
                <a:ea typeface="+mn-ea"/>
                <a:cs typeface="+mn-cs"/>
              </a:rPr>
              <a:t>Misi Pondok Pesantren Imam Syafi’i</a:t>
            </a:r>
          </a:p>
          <a:p>
            <a:pPr algn="ctr" fontAlgn="base"/>
            <a:r>
              <a:rPr lang="en-US" sz="2000" b="0" i="0">
                <a:solidFill>
                  <a:srgbClr val="FFFF00"/>
                </a:solidFill>
                <a:effectLst/>
                <a:latin typeface="Monotype Corsiva" panose="03010101010201010101" pitchFamily="66" charset="0"/>
                <a:ea typeface="+mn-ea"/>
                <a:cs typeface="+mn-cs"/>
              </a:rPr>
              <a:t>1. Mencetak generasi penghafal dan paham Al-Qur’an serta mampu mengaplikasikan di kehidupan sehari-hari.</a:t>
            </a:r>
          </a:p>
          <a:p>
            <a:pPr algn="ctr" fontAlgn="base"/>
            <a:r>
              <a:rPr lang="en-US" sz="2000" b="0" i="0">
                <a:solidFill>
                  <a:srgbClr val="FFFF00"/>
                </a:solidFill>
                <a:effectLst/>
                <a:latin typeface="Monotype Corsiva" panose="03010101010201010101" pitchFamily="66" charset="0"/>
                <a:ea typeface="+mn-ea"/>
                <a:cs typeface="+mn-cs"/>
              </a:rPr>
              <a:t>2. Menanamkan akidah Ahlu Sunnah wal Jama’ah.</a:t>
            </a:r>
          </a:p>
          <a:p>
            <a:pPr algn="ctr" fontAlgn="base"/>
            <a:r>
              <a:rPr lang="en-US" sz="2000" b="0" i="0">
                <a:solidFill>
                  <a:srgbClr val="FFFF00"/>
                </a:solidFill>
                <a:effectLst/>
                <a:latin typeface="Monotype Corsiva" panose="03010101010201010101" pitchFamily="66" charset="0"/>
                <a:ea typeface="+mn-ea"/>
                <a:cs typeface="+mn-cs"/>
              </a:rPr>
              <a:t>Menjadikan Bahasa Al-Qur’an (Bahasa Arab) sebagai ruh pesantren.</a:t>
            </a:r>
          </a:p>
          <a:p>
            <a:pPr algn="ctr" fontAlgn="base"/>
            <a:r>
              <a:rPr lang="en-US" sz="2000" b="0" i="0">
                <a:solidFill>
                  <a:srgbClr val="FFFF00"/>
                </a:solidFill>
                <a:effectLst/>
                <a:latin typeface="Monotype Corsiva" panose="03010101010201010101" pitchFamily="66" charset="0"/>
                <a:ea typeface="+mn-ea"/>
                <a:cs typeface="+mn-cs"/>
              </a:rPr>
              <a:t>3. Mengadakan pendidikan yang berbasis ilmu syar’i dengan mengedepankan metode qudwah.</a:t>
            </a:r>
          </a:p>
        </xdr:txBody>
      </xdr:sp>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5168409" y="0"/>
            <a:ext cx="4061113" cy="394690"/>
          </a:xfrm>
          <a:prstGeom prst="rect">
            <a:avLst/>
          </a:prstGeom>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2700000" scaled="1"/>
            <a:tileRect/>
          </a:gra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800">
                <a:solidFill>
                  <a:schemeClr val="bg1"/>
                </a:solidFill>
                <a:latin typeface="Belwe Cn BT" panose="02060806050305020504" pitchFamily="18" charset="0"/>
              </a:rPr>
              <a:t>Menu Aplikasi</a:t>
            </a:r>
            <a:r>
              <a:rPr lang="en-US" sz="1800" baseline="0">
                <a:solidFill>
                  <a:schemeClr val="bg1"/>
                </a:solidFill>
                <a:latin typeface="Belwe Cn BT" panose="02060806050305020504" pitchFamily="18" charset="0"/>
              </a:rPr>
              <a:t> </a:t>
            </a:r>
            <a:r>
              <a:rPr lang="en-US" sz="1800">
                <a:solidFill>
                  <a:schemeClr val="bg1"/>
                </a:solidFill>
                <a:latin typeface="Belwe Cn BT" panose="02060806050305020504" pitchFamily="18" charset="0"/>
              </a:rPr>
              <a:t>Rapor Semester</a:t>
            </a:r>
            <a:r>
              <a:rPr lang="en-US" sz="1800" baseline="0">
                <a:solidFill>
                  <a:schemeClr val="bg1"/>
                </a:solidFill>
                <a:latin typeface="Belwe Cn BT" panose="02060806050305020504" pitchFamily="18" charset="0"/>
              </a:rPr>
              <a:t> Genap/ II</a:t>
            </a:r>
            <a:endParaRPr lang="en-US" sz="1800">
              <a:solidFill>
                <a:schemeClr val="bg1"/>
              </a:solidFill>
              <a:latin typeface="Belwe Cn BT" panose="02060806050305020504" pitchFamily="18" charset="0"/>
            </a:endParaRPr>
          </a:p>
        </xdr:txBody>
      </xdr:sp>
      <xdr:grpSp>
        <xdr:nvGrpSpPr>
          <xdr:cNvPr id="3" name="Group 2">
            <a:extLst>
              <a:ext uri="{FF2B5EF4-FFF2-40B4-BE49-F238E27FC236}">
                <a16:creationId xmlns:a16="http://schemas.microsoft.com/office/drawing/2014/main" id="{00000000-0008-0000-0D00-000003000000}"/>
              </a:ext>
            </a:extLst>
          </xdr:cNvPr>
          <xdr:cNvGrpSpPr/>
        </xdr:nvGrpSpPr>
        <xdr:grpSpPr>
          <a:xfrm>
            <a:off x="0" y="0"/>
            <a:ext cx="2132624" cy="5936035"/>
            <a:chOff x="0" y="0"/>
            <a:chExt cx="2098964" cy="5667993"/>
          </a:xfrm>
        </xdr:grpSpPr>
        <xdr:sp macro="" textlink="">
          <xdr:nvSpPr>
            <xdr:cNvPr id="53" name="Rectangle 52">
              <a:extLst>
                <a:ext uri="{FF2B5EF4-FFF2-40B4-BE49-F238E27FC236}">
                  <a16:creationId xmlns:a16="http://schemas.microsoft.com/office/drawing/2014/main" id="{00000000-0008-0000-0D00-000035000000}"/>
                </a:ext>
              </a:extLst>
            </xdr:cNvPr>
            <xdr:cNvSpPr/>
          </xdr:nvSpPr>
          <xdr:spPr>
            <a:xfrm>
              <a:off x="0" y="0"/>
              <a:ext cx="2098964" cy="5667993"/>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menu_genap">
          <xdr:nvPicPr>
            <xdr:cNvPr id="55" name="Picture 54">
              <a:extLst>
                <a:ext uri="{FF2B5EF4-FFF2-40B4-BE49-F238E27FC236}">
                  <a16:creationId xmlns:a16="http://schemas.microsoft.com/office/drawing/2014/main" id="{00000000-0008-0000-0D00-000037000000}"/>
                </a:ext>
              </a:extLst>
            </xdr:cNvPr>
            <xdr:cNvPicPr>
              <a:picLocks noChangeAspect="1"/>
            </xdr:cNvPicPr>
          </xdr:nvPicPr>
          <xdr:blipFill>
            <a:blip xmlns:r="http://schemas.openxmlformats.org/officeDocument/2006/relationships" r:embed="rId2"/>
            <a:stretch>
              <a:fillRect/>
            </a:stretch>
          </xdr:blipFill>
          <xdr:spPr>
            <a:xfrm>
              <a:off x="108156" y="1924209"/>
              <a:ext cx="1887551" cy="577979"/>
            </a:xfrm>
            <a:prstGeom prst="rect">
              <a:avLst/>
            </a:prstGeom>
          </xdr:spPr>
        </xdr:pic>
        <xdr:pic macro="[0]!nilpel_s2">
          <xdr:nvPicPr>
            <xdr:cNvPr id="56" name="Picture 55">
              <a:extLst>
                <a:ext uri="{FF2B5EF4-FFF2-40B4-BE49-F238E27FC236}">
                  <a16:creationId xmlns:a16="http://schemas.microsoft.com/office/drawing/2014/main" id="{00000000-0008-0000-0D00-000038000000}"/>
                </a:ext>
              </a:extLst>
            </xdr:cNvPr>
            <xdr:cNvPicPr>
              <a:picLocks noChangeAspect="1"/>
            </xdr:cNvPicPr>
          </xdr:nvPicPr>
          <xdr:blipFill>
            <a:blip xmlns:r="http://schemas.openxmlformats.org/officeDocument/2006/relationships" r:embed="rId3"/>
            <a:stretch>
              <a:fillRect/>
            </a:stretch>
          </xdr:blipFill>
          <xdr:spPr>
            <a:xfrm>
              <a:off x="92382" y="2687404"/>
              <a:ext cx="1893607" cy="590498"/>
            </a:xfrm>
            <a:prstGeom prst="rect">
              <a:avLst/>
            </a:prstGeom>
          </xdr:spPr>
        </xdr:pic>
        <xdr:pic macro="[0]!nilwk_s2">
          <xdr:nvPicPr>
            <xdr:cNvPr id="57" name="Picture 56">
              <a:extLst>
                <a:ext uri="{FF2B5EF4-FFF2-40B4-BE49-F238E27FC236}">
                  <a16:creationId xmlns:a16="http://schemas.microsoft.com/office/drawing/2014/main" id="{00000000-0008-0000-0D00-000039000000}"/>
                </a:ext>
              </a:extLst>
            </xdr:cNvPr>
            <xdr:cNvPicPr>
              <a:picLocks noChangeAspect="1"/>
            </xdr:cNvPicPr>
          </xdr:nvPicPr>
          <xdr:blipFill>
            <a:blip xmlns:r="http://schemas.openxmlformats.org/officeDocument/2006/relationships" r:embed="rId4"/>
            <a:stretch>
              <a:fillRect/>
            </a:stretch>
          </xdr:blipFill>
          <xdr:spPr>
            <a:xfrm>
              <a:off x="92382" y="3438807"/>
              <a:ext cx="1887551" cy="602290"/>
            </a:xfrm>
            <a:prstGeom prst="rect">
              <a:avLst/>
            </a:prstGeom>
          </xdr:spPr>
        </xdr:pic>
        <xdr:pic macro="[0]!rap_s2">
          <xdr:nvPicPr>
            <xdr:cNvPr id="58" name="Picture 57">
              <a:extLst>
                <a:ext uri="{FF2B5EF4-FFF2-40B4-BE49-F238E27FC236}">
                  <a16:creationId xmlns:a16="http://schemas.microsoft.com/office/drawing/2014/main" id="{00000000-0008-0000-0D00-00003A000000}"/>
                </a:ext>
              </a:extLst>
            </xdr:cNvPr>
            <xdr:cNvPicPr>
              <a:picLocks noChangeAspect="1"/>
            </xdr:cNvPicPr>
          </xdr:nvPicPr>
          <xdr:blipFill>
            <a:blip xmlns:r="http://schemas.openxmlformats.org/officeDocument/2006/relationships" r:embed="rId5"/>
            <a:stretch>
              <a:fillRect/>
            </a:stretch>
          </xdr:blipFill>
          <xdr:spPr>
            <a:xfrm>
              <a:off x="108156" y="4169407"/>
              <a:ext cx="1887551" cy="590498"/>
            </a:xfrm>
            <a:prstGeom prst="rect">
              <a:avLst/>
            </a:prstGeom>
          </xdr:spPr>
        </xdr:pic>
        <xdr:pic macro="[0]!utama">
          <xdr:nvPicPr>
            <xdr:cNvPr id="59" name="Picture 58">
              <a:extLst>
                <a:ext uri="{FF2B5EF4-FFF2-40B4-BE49-F238E27FC236}">
                  <a16:creationId xmlns:a16="http://schemas.microsoft.com/office/drawing/2014/main" id="{00000000-0008-0000-0D00-00003B000000}"/>
                </a:ext>
              </a:extLst>
            </xdr:cNvPr>
            <xdr:cNvPicPr>
              <a:picLocks noChangeAspect="1"/>
            </xdr:cNvPicPr>
          </xdr:nvPicPr>
          <xdr:blipFill>
            <a:blip xmlns:r="http://schemas.openxmlformats.org/officeDocument/2006/relationships" r:embed="rId6"/>
            <a:stretch>
              <a:fillRect/>
            </a:stretch>
          </xdr:blipFill>
          <xdr:spPr>
            <a:xfrm>
              <a:off x="108156" y="4883711"/>
              <a:ext cx="1893607" cy="558476"/>
            </a:xfrm>
            <a:prstGeom prst="rect">
              <a:avLst/>
            </a:prstGeom>
          </xdr:spPr>
        </xdr:pic>
        <xdr:pic>
          <xdr:nvPicPr>
            <xdr:cNvPr id="18" name="Picture 17">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65617" y="204976"/>
              <a:ext cx="1093241" cy="1449801"/>
            </a:xfrm>
            <a:prstGeom prst="rect">
              <a:avLst/>
            </a:prstGeom>
          </xdr:spPr>
        </xdr:pic>
      </xdr:grp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34637</xdr:colOff>
      <xdr:row>24</xdr:row>
      <xdr:rowOff>155863</xdr:rowOff>
    </xdr:to>
    <xdr:grpSp>
      <xdr:nvGrpSpPr>
        <xdr:cNvPr id="15" name="Group 14">
          <a:extLst>
            <a:ext uri="{FF2B5EF4-FFF2-40B4-BE49-F238E27FC236}">
              <a16:creationId xmlns:a16="http://schemas.microsoft.com/office/drawing/2014/main" id="{00000000-0008-0000-0E00-00000F000000}"/>
            </a:ext>
          </a:extLst>
        </xdr:cNvPr>
        <xdr:cNvGrpSpPr/>
      </xdr:nvGrpSpPr>
      <xdr:grpSpPr>
        <a:xfrm>
          <a:off x="0" y="0"/>
          <a:ext cx="2153532" cy="5570074"/>
          <a:chOff x="22201908" y="952500"/>
          <a:chExt cx="2143744" cy="5805302"/>
        </a:xfrm>
      </xdr:grpSpPr>
      <xdr:sp macro="" textlink="">
        <xdr:nvSpPr>
          <xdr:cNvPr id="16" name="Rectangle 15">
            <a:extLst>
              <a:ext uri="{FF2B5EF4-FFF2-40B4-BE49-F238E27FC236}">
                <a16:creationId xmlns:a16="http://schemas.microsoft.com/office/drawing/2014/main" id="{00000000-0008-0000-0E00-000010000000}"/>
              </a:ext>
            </a:extLst>
          </xdr:cNvPr>
          <xdr:cNvSpPr/>
        </xdr:nvSpPr>
        <xdr:spPr>
          <a:xfrm>
            <a:off x="22201908" y="952500"/>
            <a:ext cx="2143744" cy="5805302"/>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menu_gasal">
        <xdr:nvPicPr>
          <xdr:cNvPr id="17" name="Picture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1"/>
          <a:stretch>
            <a:fillRect/>
          </a:stretch>
        </xdr:blipFill>
        <xdr:spPr>
          <a:xfrm>
            <a:off x="22360319" y="3003052"/>
            <a:ext cx="1848329" cy="660565"/>
          </a:xfrm>
          <a:prstGeom prst="rect">
            <a:avLst/>
          </a:prstGeom>
        </xdr:spPr>
      </xdr:pic>
      <xdr:pic macro="[0]!nilpel_s1">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2374088" y="3732481"/>
            <a:ext cx="1863345" cy="615914"/>
          </a:xfrm>
          <a:prstGeom prst="rect">
            <a:avLst/>
          </a:prstGeom>
        </xdr:spPr>
      </xdr:pic>
      <xdr:pic macro="[0]!nilwk_s1">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3"/>
          <a:stretch>
            <a:fillRect/>
          </a:stretch>
        </xdr:blipFill>
        <xdr:spPr>
          <a:xfrm>
            <a:off x="22374086" y="4433851"/>
            <a:ext cx="1849580" cy="609629"/>
          </a:xfrm>
          <a:prstGeom prst="rect">
            <a:avLst/>
          </a:prstGeom>
        </xdr:spPr>
      </xdr:pic>
      <xdr:pic macro="[0]!rap_s1">
        <xdr:nvPicPr>
          <xdr:cNvPr id="20" name="Picture 19">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4"/>
          <a:stretch>
            <a:fillRect/>
          </a:stretch>
        </xdr:blipFill>
        <xdr:spPr>
          <a:xfrm>
            <a:off x="22357893" y="5138523"/>
            <a:ext cx="1868276" cy="615914"/>
          </a:xfrm>
          <a:prstGeom prst="rect">
            <a:avLst/>
          </a:prstGeom>
        </xdr:spPr>
      </xdr:pic>
      <xdr:pic macro="[0]!utama">
        <xdr:nvPicPr>
          <xdr:cNvPr id="21" name="Picture 20">
            <a:extLst>
              <a:ext uri="{FF2B5EF4-FFF2-40B4-BE49-F238E27FC236}">
                <a16:creationId xmlns:a16="http://schemas.microsoft.com/office/drawing/2014/main" id="{00000000-0008-0000-0E00-000015000000}"/>
              </a:ext>
            </a:extLst>
          </xdr:cNvPr>
          <xdr:cNvPicPr>
            <a:picLocks noChangeAspect="1"/>
          </xdr:cNvPicPr>
        </xdr:nvPicPr>
        <xdr:blipFill>
          <a:blip xmlns:r="http://schemas.openxmlformats.org/officeDocument/2006/relationships" r:embed="rId5"/>
          <a:stretch>
            <a:fillRect/>
          </a:stretch>
        </xdr:blipFill>
        <xdr:spPr>
          <a:xfrm>
            <a:off x="22361941" y="5853922"/>
            <a:ext cx="1861724" cy="584489"/>
          </a:xfrm>
          <a:prstGeom prst="rect">
            <a:avLst/>
          </a:prstGeom>
        </xdr:spPr>
      </xdr:pic>
      <xdr:pic>
        <xdr:nvPicPr>
          <xdr:cNvPr id="22" name="Picture 21">
            <a:extLst>
              <a:ext uri="{FF2B5EF4-FFF2-40B4-BE49-F238E27FC236}">
                <a16:creationId xmlns:a16="http://schemas.microsoft.com/office/drawing/2014/main" id="{00000000-0008-0000-0E00-00001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2707832" y="1227145"/>
            <a:ext cx="1104668" cy="1494058"/>
          </a:xfrm>
          <a:prstGeom prst="rect">
            <a:avLst/>
          </a:prstGeom>
        </xdr:spPr>
      </xdr:pic>
    </xdr:grpSp>
    <xdr:clientData/>
  </xdr:twoCellAnchor>
  <xdr:twoCellAnchor editAs="oneCell">
    <xdr:from>
      <xdr:col>4</xdr:col>
      <xdr:colOff>40105</xdr:colOff>
      <xdr:row>0</xdr:row>
      <xdr:rowOff>0</xdr:rowOff>
    </xdr:from>
    <xdr:to>
      <xdr:col>14</xdr:col>
      <xdr:colOff>108043</xdr:colOff>
      <xdr:row>24</xdr:row>
      <xdr:rowOff>170447</xdr:rowOff>
    </xdr:to>
    <xdr:pic>
      <xdr:nvPicPr>
        <xdr:cNvPr id="23" name="Picture 22">
          <a:extLst>
            <a:ext uri="{FF2B5EF4-FFF2-40B4-BE49-F238E27FC236}">
              <a16:creationId xmlns:a16="http://schemas.microsoft.com/office/drawing/2014/main" id="{00000000-0008-0000-0E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155658" y="0"/>
          <a:ext cx="6183990" cy="5664868"/>
        </a:xfrm>
        <a:prstGeom prst="rect">
          <a:avLst/>
        </a:prstGeom>
      </xdr:spPr>
    </xdr:pic>
    <xdr:clientData/>
  </xdr:twoCellAnchor>
  <xdr:oneCellAnchor>
    <xdr:from>
      <xdr:col>4</xdr:col>
      <xdr:colOff>88619</xdr:colOff>
      <xdr:row>3</xdr:row>
      <xdr:rowOff>150394</xdr:rowOff>
    </xdr:from>
    <xdr:ext cx="6136821" cy="1243417"/>
    <xdr:sp macro="" textlink="">
      <xdr:nvSpPr>
        <xdr:cNvPr id="24" name="TextBox 23">
          <a:extLst>
            <a:ext uri="{FF2B5EF4-FFF2-40B4-BE49-F238E27FC236}">
              <a16:creationId xmlns:a16="http://schemas.microsoft.com/office/drawing/2014/main" id="{00000000-0008-0000-0E00-000018000000}"/>
            </a:ext>
          </a:extLst>
        </xdr:cNvPr>
        <xdr:cNvSpPr txBox="1"/>
      </xdr:nvSpPr>
      <xdr:spPr>
        <a:xfrm>
          <a:off x="2204172" y="842210"/>
          <a:ext cx="6136821" cy="1243417"/>
        </a:xfrm>
        <a:prstGeom prst="rect">
          <a:avLst/>
        </a:prstGeom>
        <a:solidFill>
          <a:schemeClr val="accent1">
            <a:alpha val="4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0" i="0" u="sng">
              <a:solidFill>
                <a:schemeClr val="bg1"/>
              </a:solidFill>
              <a:effectLst/>
              <a:latin typeface="Monotype Corsiva" panose="03010101010201010101" pitchFamily="66" charset="0"/>
              <a:ea typeface="+mn-ea"/>
              <a:cs typeface="+mn-cs"/>
            </a:rPr>
            <a:t>Visi dan Misi</a:t>
          </a:r>
        </a:p>
        <a:p>
          <a:pPr algn="ctr" fontAlgn="base"/>
          <a:r>
            <a:rPr lang="en-US" sz="2000" b="0" i="0">
              <a:solidFill>
                <a:schemeClr val="bg1"/>
              </a:solidFill>
              <a:effectLst/>
              <a:latin typeface="Monotype Corsiva" panose="03010101010201010101" pitchFamily="66" charset="0"/>
              <a:ea typeface="+mn-ea"/>
              <a:cs typeface="+mn-cs"/>
            </a:rPr>
            <a:t>Visi Pondok Pesantren Imam Syafi’i</a:t>
          </a:r>
        </a:p>
        <a:p>
          <a:pPr algn="ctr" fontAlgn="base"/>
          <a:r>
            <a:rPr lang="en-US" sz="2000" b="0" i="0">
              <a:solidFill>
                <a:schemeClr val="bg1"/>
              </a:solidFill>
              <a:effectLst/>
              <a:latin typeface="Monotype Corsiva" panose="03010101010201010101" pitchFamily="66" charset="0"/>
              <a:ea typeface="+mn-ea"/>
              <a:cs typeface="+mn-cs"/>
            </a:rPr>
            <a:t>“Mencetak Generasi Penghafal Al-Qur’an yang Berakidah Ahlu Sunnah wal Jama’ah dan Berakhlak Mulia”</a:t>
          </a:r>
        </a:p>
      </xdr:txBody>
    </xdr:sp>
    <xdr:clientData/>
  </xdr:oneCellAnchor>
  <xdr:oneCellAnchor>
    <xdr:from>
      <xdr:col>4</xdr:col>
      <xdr:colOff>36907</xdr:colOff>
      <xdr:row>11</xdr:row>
      <xdr:rowOff>223300</xdr:rowOff>
    </xdr:from>
    <xdr:ext cx="6199462" cy="2394502"/>
    <xdr:sp macro="" textlink="">
      <xdr:nvSpPr>
        <xdr:cNvPr id="25" name="TextBox 24">
          <a:extLst>
            <a:ext uri="{FF2B5EF4-FFF2-40B4-BE49-F238E27FC236}">
              <a16:creationId xmlns:a16="http://schemas.microsoft.com/office/drawing/2014/main" id="{00000000-0008-0000-0E00-000019000000}"/>
            </a:ext>
          </a:extLst>
        </xdr:cNvPr>
        <xdr:cNvSpPr txBox="1"/>
      </xdr:nvSpPr>
      <xdr:spPr>
        <a:xfrm>
          <a:off x="2152460" y="2759958"/>
          <a:ext cx="6199462" cy="2394502"/>
        </a:xfrm>
        <a:prstGeom prst="rect">
          <a:avLst/>
        </a:prstGeom>
        <a:solidFill>
          <a:schemeClr val="accent6">
            <a:alpha val="47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fontAlgn="base"/>
          <a:r>
            <a:rPr lang="en-US" sz="2000" b="1" i="0" u="sng">
              <a:solidFill>
                <a:schemeClr val="bg1"/>
              </a:solidFill>
              <a:effectLst/>
              <a:latin typeface="Monotype Corsiva" panose="03010101010201010101" pitchFamily="66" charset="0"/>
              <a:ea typeface="+mn-ea"/>
              <a:cs typeface="+mn-cs"/>
            </a:rPr>
            <a:t>Misi Pondok Pesantren Imam Syafi’i</a:t>
          </a:r>
        </a:p>
        <a:p>
          <a:pPr algn="ctr" fontAlgn="base"/>
          <a:r>
            <a:rPr lang="en-US" sz="2000" b="0" i="0">
              <a:solidFill>
                <a:schemeClr val="bg1"/>
              </a:solidFill>
              <a:effectLst/>
              <a:latin typeface="Monotype Corsiva" panose="03010101010201010101" pitchFamily="66" charset="0"/>
              <a:ea typeface="+mn-ea"/>
              <a:cs typeface="+mn-cs"/>
            </a:rPr>
            <a:t>1. Mencetak generasi penghafal dan paham Al-Qur’an serta mampu mengaplikasikan di kehidupan sehari-hari.</a:t>
          </a:r>
        </a:p>
        <a:p>
          <a:pPr algn="ctr" fontAlgn="base"/>
          <a:r>
            <a:rPr lang="en-US" sz="2000" b="0" i="0">
              <a:solidFill>
                <a:schemeClr val="bg1"/>
              </a:solidFill>
              <a:effectLst/>
              <a:latin typeface="Monotype Corsiva" panose="03010101010201010101" pitchFamily="66" charset="0"/>
              <a:ea typeface="+mn-ea"/>
              <a:cs typeface="+mn-cs"/>
            </a:rPr>
            <a:t>2. Menanamkan akidah Ahlu Sunnah wal Jama’ah.</a:t>
          </a:r>
        </a:p>
        <a:p>
          <a:pPr algn="ctr" fontAlgn="base"/>
          <a:r>
            <a:rPr lang="en-US" sz="2000" b="0" i="0">
              <a:solidFill>
                <a:schemeClr val="bg1"/>
              </a:solidFill>
              <a:effectLst/>
              <a:latin typeface="Monotype Corsiva" panose="03010101010201010101" pitchFamily="66" charset="0"/>
              <a:ea typeface="+mn-ea"/>
              <a:cs typeface="+mn-cs"/>
            </a:rPr>
            <a:t>Menjadikan Bahasa Al-Qur’an (Bahasa Arab) sebagai ruh pesantren.</a:t>
          </a:r>
        </a:p>
        <a:p>
          <a:pPr algn="ctr" fontAlgn="base"/>
          <a:r>
            <a:rPr lang="en-US" sz="2000" b="0" i="0">
              <a:solidFill>
                <a:schemeClr val="bg1"/>
              </a:solidFill>
              <a:effectLst/>
              <a:latin typeface="Monotype Corsiva" panose="03010101010201010101" pitchFamily="66" charset="0"/>
              <a:ea typeface="+mn-ea"/>
              <a:cs typeface="+mn-cs"/>
            </a:rPr>
            <a:t>3. Mengadakan pendidikan yang berbasis ilmu syar’i dengan mengedepankan metode qudwah.</a:t>
          </a:r>
        </a:p>
      </xdr:txBody>
    </xdr:sp>
    <xdr:clientData/>
  </xdr:oneCellAnchor>
  <xdr:twoCellAnchor>
    <xdr:from>
      <xdr:col>7</xdr:col>
      <xdr:colOff>349425</xdr:colOff>
      <xdr:row>0</xdr:row>
      <xdr:rowOff>0</xdr:rowOff>
    </xdr:from>
    <xdr:to>
      <xdr:col>14</xdr:col>
      <xdr:colOff>112635</xdr:colOff>
      <xdr:row>1</xdr:row>
      <xdr:rowOff>163370</xdr:rowOff>
    </xdr:to>
    <xdr:sp macro="" textlink="">
      <xdr:nvSpPr>
        <xdr:cNvPr id="14" name="TextBox 13">
          <a:extLst>
            <a:ext uri="{FF2B5EF4-FFF2-40B4-BE49-F238E27FC236}">
              <a16:creationId xmlns:a16="http://schemas.microsoft.com/office/drawing/2014/main" id="{00000000-0008-0000-0E00-00000E000000}"/>
            </a:ext>
          </a:extLst>
        </xdr:cNvPr>
        <xdr:cNvSpPr txBox="1"/>
      </xdr:nvSpPr>
      <xdr:spPr>
        <a:xfrm>
          <a:off x="4299793" y="0"/>
          <a:ext cx="4044447" cy="393975"/>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path path="circle">
            <a:fillToRect l="50000" t="50000" r="50000" b="50000"/>
          </a:path>
          <a:tileRect/>
        </a:gra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800">
              <a:solidFill>
                <a:schemeClr val="bg1"/>
              </a:solidFill>
              <a:latin typeface="Belwe Cn BT" panose="02060806050305020504" pitchFamily="18" charset="0"/>
            </a:rPr>
            <a:t>Menu Aplikasi</a:t>
          </a:r>
          <a:r>
            <a:rPr lang="en-US" sz="1800" baseline="0">
              <a:solidFill>
                <a:schemeClr val="bg1"/>
              </a:solidFill>
              <a:latin typeface="Belwe Cn BT" panose="02060806050305020504" pitchFamily="18" charset="0"/>
            </a:rPr>
            <a:t> </a:t>
          </a:r>
          <a:r>
            <a:rPr lang="en-US" sz="1800">
              <a:solidFill>
                <a:schemeClr val="bg1"/>
              </a:solidFill>
              <a:latin typeface="Belwe Cn BT" panose="02060806050305020504" pitchFamily="18" charset="0"/>
            </a:rPr>
            <a:t>Rapor Semester</a:t>
          </a:r>
          <a:r>
            <a:rPr lang="en-US" sz="1800" baseline="0">
              <a:solidFill>
                <a:schemeClr val="bg1"/>
              </a:solidFill>
              <a:latin typeface="Belwe Cn BT" panose="02060806050305020504" pitchFamily="18" charset="0"/>
            </a:rPr>
            <a:t> Gasal / I</a:t>
          </a:r>
          <a:endParaRPr lang="en-US" sz="1800">
            <a:solidFill>
              <a:schemeClr val="bg1"/>
            </a:solidFill>
            <a:latin typeface="Belwe Cn BT" panose="020608060503050205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17319</xdr:rowOff>
    </xdr:from>
    <xdr:to>
      <xdr:col>3</xdr:col>
      <xdr:colOff>34636</xdr:colOff>
      <xdr:row>24</xdr:row>
      <xdr:rowOff>17319</xdr:rowOff>
    </xdr:to>
    <xdr:grpSp>
      <xdr:nvGrpSpPr>
        <xdr:cNvPr id="28" name="Group 27">
          <a:extLst>
            <a:ext uri="{FF2B5EF4-FFF2-40B4-BE49-F238E27FC236}">
              <a16:creationId xmlns:a16="http://schemas.microsoft.com/office/drawing/2014/main" id="{00000000-0008-0000-0F00-00001C000000}"/>
            </a:ext>
          </a:extLst>
        </xdr:cNvPr>
        <xdr:cNvGrpSpPr/>
      </xdr:nvGrpSpPr>
      <xdr:grpSpPr>
        <a:xfrm>
          <a:off x="0" y="17319"/>
          <a:ext cx="1854969" cy="5418667"/>
          <a:chOff x="13443858" y="353786"/>
          <a:chExt cx="1778952" cy="5538106"/>
        </a:xfrm>
      </xdr:grpSpPr>
      <xdr:sp macro="" textlink="">
        <xdr:nvSpPr>
          <xdr:cNvPr id="30" name="Rectangle 29">
            <a:extLst>
              <a:ext uri="{FF2B5EF4-FFF2-40B4-BE49-F238E27FC236}">
                <a16:creationId xmlns:a16="http://schemas.microsoft.com/office/drawing/2014/main" id="{00000000-0008-0000-0F00-00001E000000}"/>
              </a:ext>
            </a:extLst>
          </xdr:cNvPr>
          <xdr:cNvSpPr/>
        </xdr:nvSpPr>
        <xdr:spPr>
          <a:xfrm>
            <a:off x="13443858" y="353786"/>
            <a:ext cx="1778952" cy="5538106"/>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grpSp>
        <xdr:nvGrpSpPr>
          <xdr:cNvPr id="31" name="Group 30">
            <a:extLst>
              <a:ext uri="{FF2B5EF4-FFF2-40B4-BE49-F238E27FC236}">
                <a16:creationId xmlns:a16="http://schemas.microsoft.com/office/drawing/2014/main" id="{00000000-0008-0000-0F00-00001F000000}"/>
              </a:ext>
            </a:extLst>
          </xdr:cNvPr>
          <xdr:cNvGrpSpPr/>
        </xdr:nvGrpSpPr>
        <xdr:grpSpPr>
          <a:xfrm>
            <a:off x="13533553" y="1900992"/>
            <a:ext cx="1630779" cy="567328"/>
            <a:chOff x="90280" y="1503706"/>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ting" textlink="">
          <xdr:nvSpPr>
            <xdr:cNvPr id="56" name="Rounded Rectangle 55">
              <a:extLst>
                <a:ext uri="{FF2B5EF4-FFF2-40B4-BE49-F238E27FC236}">
                  <a16:creationId xmlns:a16="http://schemas.microsoft.com/office/drawing/2014/main" id="{00000000-0008-0000-0F00-000038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57" name="Picture 56">
              <a:extLst>
                <a:ext uri="{FF2B5EF4-FFF2-40B4-BE49-F238E27FC236}">
                  <a16:creationId xmlns:a16="http://schemas.microsoft.com/office/drawing/2014/main" id="{00000000-0008-0000-0F00-00003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grpSp>
        <xdr:nvGrpSpPr>
          <xdr:cNvPr id="32" name="Group 31">
            <a:extLst>
              <a:ext uri="{FF2B5EF4-FFF2-40B4-BE49-F238E27FC236}">
                <a16:creationId xmlns:a16="http://schemas.microsoft.com/office/drawing/2014/main" id="{00000000-0008-0000-0F00-000020000000}"/>
              </a:ext>
            </a:extLst>
          </xdr:cNvPr>
          <xdr:cNvGrpSpPr/>
        </xdr:nvGrpSpPr>
        <xdr:grpSpPr>
          <a:xfrm>
            <a:off x="13533553" y="2564286"/>
            <a:ext cx="1630779" cy="581385"/>
            <a:chOff x="90280" y="2208557"/>
            <a:chExt cx="1652400" cy="561600"/>
          </a:xfrm>
          <a:gradFill flip="none" rotWithShape="1">
            <a:gsLst>
              <a:gs pos="0">
                <a:srgbClr val="FF33CC">
                  <a:shade val="30000"/>
                  <a:satMod val="115000"/>
                </a:srgbClr>
              </a:gs>
              <a:gs pos="50000">
                <a:srgbClr val="FF33CC">
                  <a:shade val="67500"/>
                  <a:satMod val="115000"/>
                </a:srgbClr>
              </a:gs>
              <a:gs pos="100000">
                <a:srgbClr val="FF33CC">
                  <a:shade val="100000"/>
                  <a:satMod val="115000"/>
                </a:srgbClr>
              </a:gs>
            </a:gsLst>
            <a:lin ang="2700000" scaled="1"/>
            <a:tileRect/>
          </a:gradFill>
        </xdr:grpSpPr>
        <xdr:sp macro="[0]!set_dakol" textlink="">
          <xdr:nvSpPr>
            <xdr:cNvPr id="54" name="Rounded Rectangle 53">
              <a:extLst>
                <a:ext uri="{FF2B5EF4-FFF2-40B4-BE49-F238E27FC236}">
                  <a16:creationId xmlns:a16="http://schemas.microsoft.com/office/drawing/2014/main" id="{00000000-0008-0000-0F00-000036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55" name="Picture 54">
              <a:extLst>
                <a:ext uri="{FF2B5EF4-FFF2-40B4-BE49-F238E27FC236}">
                  <a16:creationId xmlns:a16="http://schemas.microsoft.com/office/drawing/2014/main" id="{00000000-0008-0000-0F00-00003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grpSp>
        <xdr:nvGrpSpPr>
          <xdr:cNvPr id="33" name="Group 32">
            <a:extLst>
              <a:ext uri="{FF2B5EF4-FFF2-40B4-BE49-F238E27FC236}">
                <a16:creationId xmlns:a16="http://schemas.microsoft.com/office/drawing/2014/main" id="{00000000-0008-0000-0F00-000021000000}"/>
              </a:ext>
            </a:extLst>
          </xdr:cNvPr>
          <xdr:cNvGrpSpPr/>
        </xdr:nvGrpSpPr>
        <xdr:grpSpPr>
          <a:xfrm>
            <a:off x="13524221" y="3899868"/>
            <a:ext cx="1630779" cy="589511"/>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_kkm" textlink="">
          <xdr:nvSpPr>
            <xdr:cNvPr id="52" name="Rounded Rectangle 51">
              <a:extLst>
                <a:ext uri="{FF2B5EF4-FFF2-40B4-BE49-F238E27FC236}">
                  <a16:creationId xmlns:a16="http://schemas.microsoft.com/office/drawing/2014/main" id="{00000000-0008-0000-0F00-000034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53" name="Picture 52">
              <a:extLst>
                <a:ext uri="{FF2B5EF4-FFF2-40B4-BE49-F238E27FC236}">
                  <a16:creationId xmlns:a16="http://schemas.microsoft.com/office/drawing/2014/main" id="{00000000-0008-0000-0F00-00003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grpSp>
        <xdr:nvGrpSpPr>
          <xdr:cNvPr id="34" name="Group 33">
            <a:extLst>
              <a:ext uri="{FF2B5EF4-FFF2-40B4-BE49-F238E27FC236}">
                <a16:creationId xmlns:a16="http://schemas.microsoft.com/office/drawing/2014/main" id="{00000000-0008-0000-0F00-000022000000}"/>
              </a:ext>
            </a:extLst>
          </xdr:cNvPr>
          <xdr:cNvGrpSpPr/>
        </xdr:nvGrpSpPr>
        <xdr:grpSpPr>
          <a:xfrm>
            <a:off x="13538425" y="5236698"/>
            <a:ext cx="1630779" cy="575455"/>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50" name="Rounded Rectangle 49">
              <a:extLst>
                <a:ext uri="{FF2B5EF4-FFF2-40B4-BE49-F238E27FC236}">
                  <a16:creationId xmlns:a16="http://schemas.microsoft.com/office/drawing/2014/main" id="{00000000-0008-0000-0F00-000032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51" name="Picture 50">
              <a:extLst>
                <a:ext uri="{FF2B5EF4-FFF2-40B4-BE49-F238E27FC236}">
                  <a16:creationId xmlns:a16="http://schemas.microsoft.com/office/drawing/2014/main" id="{00000000-0008-0000-0F00-00003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grpSp>
        <xdr:nvGrpSpPr>
          <xdr:cNvPr id="36" name="Group 35">
            <a:extLst>
              <a:ext uri="{FF2B5EF4-FFF2-40B4-BE49-F238E27FC236}">
                <a16:creationId xmlns:a16="http://schemas.microsoft.com/office/drawing/2014/main" id="{00000000-0008-0000-0F00-000024000000}"/>
              </a:ext>
            </a:extLst>
          </xdr:cNvPr>
          <xdr:cNvGrpSpPr/>
        </xdr:nvGrpSpPr>
        <xdr:grpSpPr>
          <a:xfrm>
            <a:off x="13529091" y="4580152"/>
            <a:ext cx="1630779" cy="575454"/>
            <a:chOff x="85725" y="4143935"/>
            <a:chExt cx="1652400" cy="561599"/>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48" name="Rounded Rectangle 47">
              <a:extLst>
                <a:ext uri="{FF2B5EF4-FFF2-40B4-BE49-F238E27FC236}">
                  <a16:creationId xmlns:a16="http://schemas.microsoft.com/office/drawing/2014/main" id="{00000000-0008-0000-0F00-000030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49" name="Picture 48">
              <a:extLst>
                <a:ext uri="{FF2B5EF4-FFF2-40B4-BE49-F238E27FC236}">
                  <a16:creationId xmlns:a16="http://schemas.microsoft.com/office/drawing/2014/main" id="{00000000-0008-0000-0F00-00003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pic macro="[0]!setting">
        <xdr:nvPicPr>
          <xdr:cNvPr id="37" name="Picture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6"/>
          <a:stretch>
            <a:fillRect/>
          </a:stretch>
        </xdr:blipFill>
        <xdr:spPr>
          <a:xfrm>
            <a:off x="14009344" y="2019072"/>
            <a:ext cx="1134637" cy="323220"/>
          </a:xfrm>
          <a:prstGeom prst="rect">
            <a:avLst/>
          </a:prstGeom>
        </xdr:spPr>
      </xdr:pic>
      <xdr:pic macro="[0]!set_dakol">
        <xdr:nvPicPr>
          <xdr:cNvPr id="39" name="Picture 38">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7"/>
          <a:stretch>
            <a:fillRect/>
          </a:stretch>
        </xdr:blipFill>
        <xdr:spPr>
          <a:xfrm>
            <a:off x="14100487" y="2716892"/>
            <a:ext cx="984712" cy="281170"/>
          </a:xfrm>
          <a:prstGeom prst="rect">
            <a:avLst/>
          </a:prstGeom>
        </xdr:spPr>
      </xdr:pic>
      <xdr:pic macro="[0]!set_kkm">
        <xdr:nvPicPr>
          <xdr:cNvPr id="40" name="Picture 39">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3897689" y="4027764"/>
            <a:ext cx="1218102" cy="320928"/>
          </a:xfrm>
          <a:prstGeom prst="rect">
            <a:avLst/>
          </a:prstGeom>
        </xdr:spPr>
      </xdr:pic>
      <xdr:pic macro="[0]!set_cover">
        <xdr:nvPicPr>
          <xdr:cNvPr id="41" name="Picture 40">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9"/>
          <a:stretch>
            <a:fillRect/>
          </a:stretch>
        </xdr:blipFill>
        <xdr:spPr>
          <a:xfrm>
            <a:off x="13975603" y="4708048"/>
            <a:ext cx="1176789" cy="320928"/>
          </a:xfrm>
          <a:prstGeom prst="rect">
            <a:avLst/>
          </a:prstGeom>
        </xdr:spPr>
      </xdr:pic>
      <xdr:pic macro="[0]!utama">
        <xdr:nvPicPr>
          <xdr:cNvPr id="42" name="Picture 41">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10"/>
          <a:stretch>
            <a:fillRect/>
          </a:stretch>
        </xdr:blipFill>
        <xdr:spPr>
          <a:xfrm>
            <a:off x="13904419" y="5372118"/>
            <a:ext cx="1244269" cy="320928"/>
          </a:xfrm>
          <a:prstGeom prst="rect">
            <a:avLst/>
          </a:prstGeom>
        </xdr:spPr>
      </xdr:pic>
      <xdr:pic>
        <xdr:nvPicPr>
          <xdr:cNvPr id="43" name="Picture 42">
            <a:extLst>
              <a:ext uri="{FF2B5EF4-FFF2-40B4-BE49-F238E27FC236}">
                <a16:creationId xmlns:a16="http://schemas.microsoft.com/office/drawing/2014/main" id="{00000000-0008-0000-0F00-00002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910583" y="563336"/>
            <a:ext cx="828758" cy="1120158"/>
          </a:xfrm>
          <a:prstGeom prst="rect">
            <a:avLst/>
          </a:prstGeom>
        </xdr:spPr>
      </xdr:pic>
      <xdr:grpSp>
        <xdr:nvGrpSpPr>
          <xdr:cNvPr id="44" name="Group 43">
            <a:extLst>
              <a:ext uri="{FF2B5EF4-FFF2-40B4-BE49-F238E27FC236}">
                <a16:creationId xmlns:a16="http://schemas.microsoft.com/office/drawing/2014/main" id="{00000000-0008-0000-0F00-00002C000000}"/>
              </a:ext>
            </a:extLst>
          </xdr:cNvPr>
          <xdr:cNvGrpSpPr/>
        </xdr:nvGrpSpPr>
        <xdr:grpSpPr>
          <a:xfrm>
            <a:off x="13539108" y="3238500"/>
            <a:ext cx="1632192" cy="571447"/>
            <a:chOff x="11329574" y="3216978"/>
            <a:chExt cx="1632192" cy="571447"/>
          </a:xfrm>
        </xdr:grpSpPr>
        <xdr:sp macro="[0]!set_dasis" textlink="">
          <xdr:nvSpPr>
            <xdr:cNvPr id="45" name="Rounded Rectangle 44">
              <a:extLst>
                <a:ext uri="{FF2B5EF4-FFF2-40B4-BE49-F238E27FC236}">
                  <a16:creationId xmlns:a16="http://schemas.microsoft.com/office/drawing/2014/main" id="{00000000-0008-0000-0F00-00002D000000}"/>
                </a:ext>
              </a:extLst>
            </xdr:cNvPr>
            <xdr:cNvSpPr/>
          </xdr:nvSpPr>
          <xdr:spPr>
            <a:xfrm>
              <a:off x="11329574" y="3216978"/>
              <a:ext cx="1632192"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46" name="Picture 45">
              <a:extLst>
                <a:ext uri="{FF2B5EF4-FFF2-40B4-BE49-F238E27FC236}">
                  <a16:creationId xmlns:a16="http://schemas.microsoft.com/office/drawing/2014/main" id="{00000000-0008-0000-0F00-00002E000000}"/>
                </a:ext>
              </a:extLst>
            </xdr:cNvPr>
            <xdr:cNvPicPr>
              <a:picLocks noChangeAspect="1"/>
            </xdr:cNvPicPr>
          </xdr:nvPicPr>
          <xdr:blipFill>
            <a:blip xmlns:r="http://schemas.openxmlformats.org/officeDocument/2006/relationships" r:embed="rId12"/>
            <a:stretch>
              <a:fillRect/>
            </a:stretch>
          </xdr:blipFill>
          <xdr:spPr>
            <a:xfrm>
              <a:off x="11749969" y="3338206"/>
              <a:ext cx="1193659" cy="316189"/>
            </a:xfrm>
            <a:prstGeom prst="rect">
              <a:avLst/>
            </a:prstGeom>
          </xdr:spPr>
        </xdr:pic>
        <xdr:pic>
          <xdr:nvPicPr>
            <xdr:cNvPr id="47" name="Picture 46">
              <a:extLst>
                <a:ext uri="{FF2B5EF4-FFF2-40B4-BE49-F238E27FC236}">
                  <a16:creationId xmlns:a16="http://schemas.microsoft.com/office/drawing/2014/main" id="{00000000-0008-0000-0F00-00002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426111" y="3275239"/>
              <a:ext cx="360560" cy="435179"/>
            </a:xfrm>
            <a:prstGeom prst="rect">
              <a:avLst/>
            </a:prstGeom>
          </xdr:spPr>
        </xdr:pic>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4</xdr:col>
      <xdr:colOff>135405</xdr:colOff>
      <xdr:row>6</xdr:row>
      <xdr:rowOff>160087</xdr:rowOff>
    </xdr:from>
    <xdr:to>
      <xdr:col>23</xdr:col>
      <xdr:colOff>249383</xdr:colOff>
      <xdr:row>50</xdr:row>
      <xdr:rowOff>90622</xdr:rowOff>
    </xdr:to>
    <xdr:pic>
      <xdr:nvPicPr>
        <xdr:cNvPr id="53" name="Picture 52" descr="E:\bingkai sampul.jpg">
          <a:extLst>
            <a:ext uri="{FF2B5EF4-FFF2-40B4-BE49-F238E27FC236}">
              <a16:creationId xmlns:a16="http://schemas.microsoft.com/office/drawing/2014/main" id="{00000000-0008-0000-1000-000035000000}"/>
            </a:ext>
          </a:extLst>
        </xdr:cNvPr>
        <xdr:cNvPicPr/>
      </xdr:nvPicPr>
      <xdr:blipFill>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2391326" y="1463508"/>
          <a:ext cx="6019478" cy="10047088"/>
        </a:xfrm>
        <a:prstGeom prst="rect">
          <a:avLst/>
        </a:prstGeom>
        <a:noFill/>
        <a:ln>
          <a:noFill/>
        </a:ln>
      </xdr:spPr>
    </xdr:pic>
    <xdr:clientData/>
  </xdr:twoCellAnchor>
  <xdr:twoCellAnchor>
    <xdr:from>
      <xdr:col>8</xdr:col>
      <xdr:colOff>95206</xdr:colOff>
      <xdr:row>87</xdr:row>
      <xdr:rowOff>31377</xdr:rowOff>
    </xdr:from>
    <xdr:to>
      <xdr:col>11</xdr:col>
      <xdr:colOff>233912</xdr:colOff>
      <xdr:row>94</xdr:row>
      <xdr:rowOff>137877</xdr:rowOff>
    </xdr:to>
    <xdr:sp macro="" textlink="">
      <xdr:nvSpPr>
        <xdr:cNvPr id="55" name="Rectangles 2">
          <a:extLst>
            <a:ext uri="{FF2B5EF4-FFF2-40B4-BE49-F238E27FC236}">
              <a16:creationId xmlns:a16="http://schemas.microsoft.com/office/drawing/2014/main" id="{00000000-0008-0000-1000-000037000000}"/>
            </a:ext>
          </a:extLst>
        </xdr:cNvPr>
        <xdr:cNvSpPr>
          <a:spLocks/>
        </xdr:cNvSpPr>
      </xdr:nvSpPr>
      <xdr:spPr>
        <a:xfrm>
          <a:off x="3266471" y="18229730"/>
          <a:ext cx="1080000" cy="1440000"/>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nchorCtr="0"/>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sz="1100"/>
            <a:t>PAS FOTO </a:t>
          </a:r>
        </a:p>
        <a:p>
          <a:pPr algn="ctr"/>
          <a:r>
            <a:rPr lang="en-US" sz="1100"/>
            <a:t>3 X 4 CM</a:t>
          </a:r>
        </a:p>
      </xdr:txBody>
    </xdr:sp>
    <xdr:clientData/>
  </xdr:twoCellAnchor>
  <xdr:twoCellAnchor editAs="absolute">
    <xdr:from>
      <xdr:col>4</xdr:col>
      <xdr:colOff>48446</xdr:colOff>
      <xdr:row>51</xdr:row>
      <xdr:rowOff>145677</xdr:rowOff>
    </xdr:from>
    <xdr:to>
      <xdr:col>23</xdr:col>
      <xdr:colOff>277662</xdr:colOff>
      <xdr:row>98</xdr:row>
      <xdr:rowOff>67237</xdr:rowOff>
    </xdr:to>
    <xdr:pic>
      <xdr:nvPicPr>
        <xdr:cNvPr id="56" name="Picture 55" descr="E:\bingkai sampul.jpg">
          <a:extLst>
            <a:ext uri="{FF2B5EF4-FFF2-40B4-BE49-F238E27FC236}">
              <a16:creationId xmlns:a16="http://schemas.microsoft.com/office/drawing/2014/main" id="{00000000-0008-0000-1000-000038000000}"/>
            </a:ext>
          </a:extLst>
        </xdr:cNvPr>
        <xdr:cNvPicPr/>
      </xdr:nvPicPr>
      <xdr:blipFill>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2278417" y="11586883"/>
          <a:ext cx="6190745" cy="9984442"/>
        </a:xfrm>
        <a:prstGeom prst="rect">
          <a:avLst/>
        </a:prstGeom>
        <a:noFill/>
        <a:ln>
          <a:noFill/>
        </a:ln>
      </xdr:spPr>
    </xdr:pic>
    <xdr:clientData/>
  </xdr:twoCellAnchor>
  <xdr:oneCellAnchor>
    <xdr:from>
      <xdr:col>11</xdr:col>
      <xdr:colOff>717</xdr:colOff>
      <xdr:row>109</xdr:row>
      <xdr:rowOff>204106</xdr:rowOff>
    </xdr:from>
    <xdr:ext cx="1905000" cy="2022232"/>
    <xdr:pic>
      <xdr:nvPicPr>
        <xdr:cNvPr id="58" name="Picture 57">
          <a:extLst>
            <a:ext uri="{FF2B5EF4-FFF2-40B4-BE49-F238E27FC236}">
              <a16:creationId xmlns:a16="http://schemas.microsoft.com/office/drawing/2014/main" id="{00000000-0008-0000-1000-00003A000000}"/>
            </a:ext>
          </a:extLst>
        </xdr:cNvPr>
        <xdr:cNvPicPr>
          <a:picLocks noChangeAspect="1"/>
        </xdr:cNvPicPr>
      </xdr:nvPicPr>
      <xdr:blipFill rotWithShape="1">
        <a:blip xmlns:r="http://schemas.openxmlformats.org/officeDocument/2006/relationships" r:embed="rId3">
          <a:clrChange>
            <a:clrFrom>
              <a:srgbClr val="FEFEFE"/>
            </a:clrFrom>
            <a:clrTo>
              <a:srgbClr val="FEFEFE">
                <a:alpha val="0"/>
              </a:srgbClr>
            </a:clrTo>
          </a:clrChange>
          <a:extLst>
            <a:ext uri="{28A0092B-C50C-407E-A947-70E740481C1C}">
              <a14:useLocalDpi xmlns:a14="http://schemas.microsoft.com/office/drawing/2010/main" val="0"/>
            </a:ext>
          </a:extLst>
        </a:blip>
        <a:srcRect l="3332" t="3600" r="3000" b="3762"/>
        <a:stretch/>
      </xdr:blipFill>
      <xdr:spPr>
        <a:xfrm>
          <a:off x="4432349" y="24407632"/>
          <a:ext cx="1905000" cy="2022232"/>
        </a:xfrm>
        <a:prstGeom prst="rect">
          <a:avLst/>
        </a:prstGeom>
      </xdr:spPr>
    </xdr:pic>
    <xdr:clientData/>
  </xdr:oneCellAnchor>
  <xdr:twoCellAnchor editAs="absolute">
    <xdr:from>
      <xdr:col>8</xdr:col>
      <xdr:colOff>208232</xdr:colOff>
      <xdr:row>179</xdr:row>
      <xdr:rowOff>119426</xdr:rowOff>
    </xdr:from>
    <xdr:to>
      <xdr:col>12</xdr:col>
      <xdr:colOff>42234</xdr:colOff>
      <xdr:row>187</xdr:row>
      <xdr:rowOff>35426</xdr:rowOff>
    </xdr:to>
    <xdr:sp macro="" textlink="">
      <xdr:nvSpPr>
        <xdr:cNvPr id="59" name="Rectangles 2">
          <a:extLst>
            <a:ext uri="{FF2B5EF4-FFF2-40B4-BE49-F238E27FC236}">
              <a16:creationId xmlns:a16="http://schemas.microsoft.com/office/drawing/2014/main" id="{00000000-0008-0000-1000-00003B000000}"/>
            </a:ext>
          </a:extLst>
        </xdr:cNvPr>
        <xdr:cNvSpPr>
          <a:spLocks/>
        </xdr:cNvSpPr>
      </xdr:nvSpPr>
      <xdr:spPr>
        <a:xfrm>
          <a:off x="3707416" y="40244742"/>
          <a:ext cx="1077265" cy="1440000"/>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nchorCtr="0"/>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sz="1100"/>
            <a:t>PAS FOTO </a:t>
          </a:r>
        </a:p>
        <a:p>
          <a:pPr algn="ctr"/>
          <a:r>
            <a:rPr lang="en-US" sz="1100"/>
            <a:t>3 X 4 CM</a:t>
          </a:r>
        </a:p>
      </xdr:txBody>
    </xdr:sp>
    <xdr:clientData/>
  </xdr:twoCellAnchor>
  <xdr:twoCellAnchor editAs="absolute">
    <xdr:from>
      <xdr:col>4</xdr:col>
      <xdr:colOff>85940</xdr:colOff>
      <xdr:row>99</xdr:row>
      <xdr:rowOff>100853</xdr:rowOff>
    </xdr:from>
    <xdr:to>
      <xdr:col>23</xdr:col>
      <xdr:colOff>235324</xdr:colOff>
      <xdr:row>143</xdr:row>
      <xdr:rowOff>100853</xdr:rowOff>
    </xdr:to>
    <xdr:pic>
      <xdr:nvPicPr>
        <xdr:cNvPr id="62" name="Picture 61">
          <a:extLst>
            <a:ext uri="{FF2B5EF4-FFF2-40B4-BE49-F238E27FC236}">
              <a16:creationId xmlns:a16="http://schemas.microsoft.com/office/drawing/2014/main" id="{00000000-0008-0000-1000-00003E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extLst>
            <a:ext uri="{BEBA8EAE-BF5A-486C-A8C5-ECC9F3942E4B}">
              <a14:imgProps xmlns:a14="http://schemas.microsoft.com/office/drawing/2010/main">
                <a14:imgLayer r:embed="rId5">
                  <a14:imgEffect>
                    <a14:sharpenSoften amount="250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2315911" y="21705794"/>
          <a:ext cx="6110913" cy="9894794"/>
        </a:xfrm>
        <a:prstGeom prst="rect">
          <a:avLst/>
        </a:prstGeom>
      </xdr:spPr>
    </xdr:pic>
    <xdr:clientData/>
  </xdr:twoCellAnchor>
  <xdr:twoCellAnchor editAs="absolute">
    <xdr:from>
      <xdr:col>4</xdr:col>
      <xdr:colOff>73290</xdr:colOff>
      <xdr:row>144</xdr:row>
      <xdr:rowOff>67825</xdr:rowOff>
    </xdr:from>
    <xdr:to>
      <xdr:col>23</xdr:col>
      <xdr:colOff>252053</xdr:colOff>
      <xdr:row>190</xdr:row>
      <xdr:rowOff>123265</xdr:rowOff>
    </xdr:to>
    <xdr:pic>
      <xdr:nvPicPr>
        <xdr:cNvPr id="64" name="Picture 63">
          <a:extLst>
            <a:ext uri="{FF2B5EF4-FFF2-40B4-BE49-F238E27FC236}">
              <a16:creationId xmlns:a16="http://schemas.microsoft.com/office/drawing/2014/main" id="{00000000-0008-0000-1000-000040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extLst>
            <a:ext uri="{BEBA8EAE-BF5A-486C-A8C5-ECC9F3942E4B}">
              <a14:imgProps xmlns:a14="http://schemas.microsoft.com/office/drawing/2010/main">
                <a14:imgLayer r:embed="rId5">
                  <a14:imgEffect>
                    <a14:sharpenSoften amount="250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2303261" y="31758060"/>
          <a:ext cx="6140292" cy="9961440"/>
        </a:xfrm>
        <a:prstGeom prst="rect">
          <a:avLst/>
        </a:prstGeom>
      </xdr:spPr>
    </xdr:pic>
    <xdr:clientData/>
  </xdr:twoCellAnchor>
  <xdr:twoCellAnchor editAs="absolute">
    <xdr:from>
      <xdr:col>4</xdr:col>
      <xdr:colOff>68035</xdr:colOff>
      <xdr:row>191</xdr:row>
      <xdr:rowOff>35556</xdr:rowOff>
    </xdr:from>
    <xdr:to>
      <xdr:col>23</xdr:col>
      <xdr:colOff>252213</xdr:colOff>
      <xdr:row>237</xdr:row>
      <xdr:rowOff>130807</xdr:rowOff>
    </xdr:to>
    <xdr:pic>
      <xdr:nvPicPr>
        <xdr:cNvPr id="65" name="Picture 64">
          <a:extLst>
            <a:ext uri="{FF2B5EF4-FFF2-40B4-BE49-F238E27FC236}">
              <a16:creationId xmlns:a16="http://schemas.microsoft.com/office/drawing/2014/main" id="{00000000-0008-0000-1000-000041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extLst>
            <a:ext uri="{BEBA8EAE-BF5A-486C-A8C5-ECC9F3942E4B}">
              <a14:imgProps xmlns:a14="http://schemas.microsoft.com/office/drawing/2010/main">
                <a14:imgLayer r:embed="rId5">
                  <a14:imgEffect>
                    <a14:sharpenSoften amount="250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2298006" y="41822291"/>
          <a:ext cx="6145707" cy="10034869"/>
        </a:xfrm>
        <a:prstGeom prst="rect">
          <a:avLst/>
        </a:prstGeom>
      </xdr:spPr>
    </xdr:pic>
    <xdr:clientData/>
  </xdr:twoCellAnchor>
  <xdr:twoCellAnchor editAs="absolute">
    <xdr:from>
      <xdr:col>4</xdr:col>
      <xdr:colOff>65635</xdr:colOff>
      <xdr:row>239</xdr:row>
      <xdr:rowOff>37958</xdr:rowOff>
    </xdr:from>
    <xdr:to>
      <xdr:col>23</xdr:col>
      <xdr:colOff>281246</xdr:colOff>
      <xdr:row>291</xdr:row>
      <xdr:rowOff>34916</xdr:rowOff>
    </xdr:to>
    <xdr:pic>
      <xdr:nvPicPr>
        <xdr:cNvPr id="66" name="Picture 65">
          <a:extLst>
            <a:ext uri="{FF2B5EF4-FFF2-40B4-BE49-F238E27FC236}">
              <a16:creationId xmlns:a16="http://schemas.microsoft.com/office/drawing/2014/main" id="{00000000-0008-0000-1000-00004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extLst>
            <a:ext uri="{BEBA8EAE-BF5A-486C-A8C5-ECC9F3942E4B}">
              <a14:imgProps xmlns:a14="http://schemas.microsoft.com/office/drawing/2010/main">
                <a14:imgLayer r:embed="rId5">
                  <a14:imgEffect>
                    <a14:sharpenSoften amount="250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2295606" y="52044458"/>
          <a:ext cx="6177140" cy="10015017"/>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0</xdr:colOff>
          <xdr:row>3</xdr:row>
          <xdr:rowOff>19050</xdr:rowOff>
        </xdr:from>
        <xdr:to>
          <xdr:col>11</xdr:col>
          <xdr:colOff>0</xdr:colOff>
          <xdr:row>4</xdr:row>
          <xdr:rowOff>190500</xdr:rowOff>
        </xdr:to>
        <xdr:sp macro="" textlink="">
          <xdr:nvSpPr>
            <xdr:cNvPr id="4103" name="Drop Down 7" hidden="1">
              <a:extLst>
                <a:ext uri="{63B3BB69-23CF-44E3-9099-C40C66FF867C}">
                  <a14:compatExt spid="_x0000_s4103"/>
                </a:ext>
                <a:ext uri="{FF2B5EF4-FFF2-40B4-BE49-F238E27FC236}">
                  <a16:creationId xmlns:a16="http://schemas.microsoft.com/office/drawing/2014/main" id="{00000000-0008-0000-1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9525</xdr:colOff>
      <xdr:row>1</xdr:row>
      <xdr:rowOff>28575</xdr:rowOff>
    </xdr:from>
    <xdr:to>
      <xdr:col>3</xdr:col>
      <xdr:colOff>390525</xdr:colOff>
      <xdr:row>2</xdr:row>
      <xdr:rowOff>142875</xdr:rowOff>
    </xdr:to>
    <xdr:sp macro="[0]!ThisWorkbook.Show_Ribbon" textlink="">
      <xdr:nvSpPr>
        <xdr:cNvPr id="54" name="Rounded Rectangle 53">
          <a:extLst>
            <a:ext uri="{FF2B5EF4-FFF2-40B4-BE49-F238E27FC236}">
              <a16:creationId xmlns:a16="http://schemas.microsoft.com/office/drawing/2014/main" id="{00000000-0008-0000-1000-000036000000}"/>
            </a:ext>
          </a:extLst>
        </xdr:cNvPr>
        <xdr:cNvSpPr/>
      </xdr:nvSpPr>
      <xdr:spPr>
        <a:xfrm>
          <a:off x="1838325" y="276225"/>
          <a:ext cx="381000" cy="314325"/>
        </a:xfrm>
        <a:prstGeom prst="roundRect">
          <a:avLst/>
        </a:prstGeom>
        <a:solidFill>
          <a:srgbClr val="FF33CC"/>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S</a:t>
          </a:r>
        </a:p>
      </xdr:txBody>
    </xdr:sp>
    <xdr:clientData/>
  </xdr:twoCellAnchor>
  <xdr:twoCellAnchor>
    <xdr:from>
      <xdr:col>3</xdr:col>
      <xdr:colOff>9525</xdr:colOff>
      <xdr:row>3</xdr:row>
      <xdr:rowOff>57150</xdr:rowOff>
    </xdr:from>
    <xdr:to>
      <xdr:col>3</xdr:col>
      <xdr:colOff>390525</xdr:colOff>
      <xdr:row>4</xdr:row>
      <xdr:rowOff>171450</xdr:rowOff>
    </xdr:to>
    <xdr:sp macro="[0]!ThisWorkbook.Hide_Ribbon" textlink="">
      <xdr:nvSpPr>
        <xdr:cNvPr id="57" name="Rounded Rectangle 56">
          <a:extLst>
            <a:ext uri="{FF2B5EF4-FFF2-40B4-BE49-F238E27FC236}">
              <a16:creationId xmlns:a16="http://schemas.microsoft.com/office/drawing/2014/main" id="{00000000-0008-0000-1000-000039000000}"/>
            </a:ext>
          </a:extLst>
        </xdr:cNvPr>
        <xdr:cNvSpPr/>
      </xdr:nvSpPr>
      <xdr:spPr>
        <a:xfrm>
          <a:off x="1838325" y="695325"/>
          <a:ext cx="381000" cy="314325"/>
        </a:xfrm>
        <a:prstGeom prst="roundRect">
          <a:avLst/>
        </a:prstGeom>
        <a:solidFill>
          <a:srgbClr val="FFFF0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H</a:t>
          </a:r>
        </a:p>
      </xdr:txBody>
    </xdr:sp>
    <xdr:clientData/>
  </xdr:twoCellAnchor>
  <xdr:twoCellAnchor editAs="oneCell">
    <xdr:from>
      <xdr:col>11</xdr:col>
      <xdr:colOff>97970</xdr:colOff>
      <xdr:row>3</xdr:row>
      <xdr:rowOff>52347</xdr:rowOff>
    </xdr:from>
    <xdr:to>
      <xdr:col>14</xdr:col>
      <xdr:colOff>305025</xdr:colOff>
      <xdr:row>5</xdr:row>
      <xdr:rowOff>50347</xdr:rowOff>
    </xdr:to>
    <xdr:pic macro="[0]!cetak_cover_pkbm">
      <xdr:nvPicPr>
        <xdr:cNvPr id="99" name="Picture 98">
          <a:extLst>
            <a:ext uri="{FF2B5EF4-FFF2-40B4-BE49-F238E27FC236}">
              <a16:creationId xmlns:a16="http://schemas.microsoft.com/office/drawing/2014/main" id="{00000000-0008-0000-1000-000063000000}"/>
            </a:ext>
          </a:extLst>
        </xdr:cNvPr>
        <xdr:cNvPicPr>
          <a:picLocks noChangeAspect="1"/>
        </xdr:cNvPicPr>
      </xdr:nvPicPr>
      <xdr:blipFill>
        <a:blip xmlns:r="http://schemas.openxmlformats.org/officeDocument/2006/relationships" r:embed="rId6"/>
        <a:stretch>
          <a:fillRect/>
        </a:stretch>
      </xdr:blipFill>
      <xdr:spPr>
        <a:xfrm>
          <a:off x="4546145" y="690522"/>
          <a:ext cx="1150030" cy="426625"/>
        </a:xfrm>
        <a:prstGeom prst="rect">
          <a:avLst/>
        </a:prstGeom>
      </xdr:spPr>
    </xdr:pic>
    <xdr:clientData/>
  </xdr:twoCellAnchor>
  <xdr:twoCellAnchor editAs="oneCell">
    <xdr:from>
      <xdr:col>15</xdr:col>
      <xdr:colOff>17190</xdr:colOff>
      <xdr:row>0</xdr:row>
      <xdr:rowOff>238124</xdr:rowOff>
    </xdr:from>
    <xdr:to>
      <xdr:col>18</xdr:col>
      <xdr:colOff>264376</xdr:colOff>
      <xdr:row>3</xdr:row>
      <xdr:rowOff>47624</xdr:rowOff>
    </xdr:to>
    <xdr:pic macro="[0]!cetak_cover_pondok">
      <xdr:nvPicPr>
        <xdr:cNvPr id="100" name="Picture 99">
          <a:extLst>
            <a:ext uri="{FF2B5EF4-FFF2-40B4-BE49-F238E27FC236}">
              <a16:creationId xmlns:a16="http://schemas.microsoft.com/office/drawing/2014/main" id="{00000000-0008-0000-1000-000064000000}"/>
            </a:ext>
          </a:extLst>
        </xdr:cNvPr>
        <xdr:cNvPicPr>
          <a:picLocks noChangeAspect="1"/>
        </xdr:cNvPicPr>
      </xdr:nvPicPr>
      <xdr:blipFill>
        <a:blip xmlns:r="http://schemas.openxmlformats.org/officeDocument/2006/relationships" r:embed="rId7"/>
        <a:stretch>
          <a:fillRect/>
        </a:stretch>
      </xdr:blipFill>
      <xdr:spPr>
        <a:xfrm>
          <a:off x="5722665" y="238124"/>
          <a:ext cx="1190161" cy="447675"/>
        </a:xfrm>
        <a:prstGeom prst="rect">
          <a:avLst/>
        </a:prstGeom>
      </xdr:spPr>
    </xdr:pic>
    <xdr:clientData/>
  </xdr:twoCellAnchor>
  <xdr:twoCellAnchor editAs="oneCell">
    <xdr:from>
      <xdr:col>11</xdr:col>
      <xdr:colOff>104774</xdr:colOff>
      <xdr:row>0</xdr:row>
      <xdr:rowOff>236478</xdr:rowOff>
    </xdr:from>
    <xdr:to>
      <xdr:col>14</xdr:col>
      <xdr:colOff>296180</xdr:colOff>
      <xdr:row>3</xdr:row>
      <xdr:rowOff>27866</xdr:rowOff>
    </xdr:to>
    <xdr:pic macro="[0]!cetak_print_cover_all">
      <xdr:nvPicPr>
        <xdr:cNvPr id="102" name="Picture 101">
          <a:extLst>
            <a:ext uri="{FF2B5EF4-FFF2-40B4-BE49-F238E27FC236}">
              <a16:creationId xmlns:a16="http://schemas.microsoft.com/office/drawing/2014/main" id="{00000000-0008-0000-1000-000066000000}"/>
            </a:ext>
          </a:extLst>
        </xdr:cNvPr>
        <xdr:cNvPicPr>
          <a:picLocks noChangeAspect="1"/>
        </xdr:cNvPicPr>
      </xdr:nvPicPr>
      <xdr:blipFill>
        <a:blip xmlns:r="http://schemas.openxmlformats.org/officeDocument/2006/relationships" r:embed="rId8"/>
        <a:stretch>
          <a:fillRect/>
        </a:stretch>
      </xdr:blipFill>
      <xdr:spPr>
        <a:xfrm>
          <a:off x="4552949" y="236478"/>
          <a:ext cx="1134381" cy="429563"/>
        </a:xfrm>
        <a:prstGeom prst="rect">
          <a:avLst/>
        </a:prstGeom>
      </xdr:spPr>
    </xdr:pic>
    <xdr:clientData/>
  </xdr:twoCellAnchor>
  <xdr:twoCellAnchor editAs="oneCell">
    <xdr:from>
      <xdr:col>6</xdr:col>
      <xdr:colOff>1</xdr:colOff>
      <xdr:row>102</xdr:row>
      <xdr:rowOff>149679</xdr:rowOff>
    </xdr:from>
    <xdr:to>
      <xdr:col>22</xdr:col>
      <xdr:colOff>25855</xdr:colOff>
      <xdr:row>106</xdr:row>
      <xdr:rowOff>159205</xdr:rowOff>
    </xdr:to>
    <xdr:pic>
      <xdr:nvPicPr>
        <xdr:cNvPr id="61" name="Picture 60">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84715" y="22778358"/>
          <a:ext cx="5033283" cy="934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272143</xdr:colOff>
      <xdr:row>199</xdr:row>
      <xdr:rowOff>136070</xdr:rowOff>
    </xdr:from>
    <xdr:to>
      <xdr:col>21</xdr:col>
      <xdr:colOff>297997</xdr:colOff>
      <xdr:row>204</xdr:row>
      <xdr:rowOff>104774</xdr:rowOff>
    </xdr:to>
    <xdr:pic>
      <xdr:nvPicPr>
        <xdr:cNvPr id="93" name="Picture 92">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3893" y="43964677"/>
          <a:ext cx="5033283" cy="934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30079</xdr:colOff>
      <xdr:row>3</xdr:row>
      <xdr:rowOff>80210</xdr:rowOff>
    </xdr:from>
    <xdr:to>
      <xdr:col>16</xdr:col>
      <xdr:colOff>260684</xdr:colOff>
      <xdr:row>5</xdr:row>
      <xdr:rowOff>36863</xdr:rowOff>
    </xdr:to>
    <xdr:sp macro="[0]!cover_pdf" textlink="">
      <xdr:nvSpPr>
        <xdr:cNvPr id="49" name="Rounded Rectangle 48">
          <a:extLst>
            <a:ext uri="{FF2B5EF4-FFF2-40B4-BE49-F238E27FC236}">
              <a16:creationId xmlns:a16="http://schemas.microsoft.com/office/drawing/2014/main" id="{00000000-0008-0000-1000-000031000000}"/>
            </a:ext>
          </a:extLst>
        </xdr:cNvPr>
        <xdr:cNvSpPr/>
      </xdr:nvSpPr>
      <xdr:spPr>
        <a:xfrm>
          <a:off x="5704974" y="721894"/>
          <a:ext cx="541421" cy="387785"/>
        </a:xfrm>
        <a:prstGeom prst="roundRect">
          <a:avLst/>
        </a:prstGeom>
        <a:solidFill>
          <a:srgbClr val="999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latin typeface="GoudySans BlkIt BT" panose="020E090202020A0A0404" pitchFamily="34" charset="0"/>
            </a:rPr>
            <a:t>Save As Pdf</a:t>
          </a:r>
        </a:p>
      </xdr:txBody>
    </xdr:sp>
    <xdr:clientData/>
  </xdr:twoCellAnchor>
  <xdr:twoCellAnchor>
    <xdr:from>
      <xdr:col>16</xdr:col>
      <xdr:colOff>290762</xdr:colOff>
      <xdr:row>3</xdr:row>
      <xdr:rowOff>90237</xdr:rowOff>
    </xdr:from>
    <xdr:to>
      <xdr:col>18</xdr:col>
      <xdr:colOff>260684</xdr:colOff>
      <xdr:row>5</xdr:row>
      <xdr:rowOff>33100</xdr:rowOff>
    </xdr:to>
    <xdr:sp macro="[0]!cover_all_pdf" textlink="">
      <xdr:nvSpPr>
        <xdr:cNvPr id="50" name="Rounded Rectangle 49">
          <a:extLst>
            <a:ext uri="{FF2B5EF4-FFF2-40B4-BE49-F238E27FC236}">
              <a16:creationId xmlns:a16="http://schemas.microsoft.com/office/drawing/2014/main" id="{00000000-0008-0000-1000-000032000000}"/>
            </a:ext>
          </a:extLst>
        </xdr:cNvPr>
        <xdr:cNvSpPr/>
      </xdr:nvSpPr>
      <xdr:spPr>
        <a:xfrm>
          <a:off x="6276473" y="731921"/>
          <a:ext cx="591553" cy="373995"/>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a:solidFill>
                <a:sysClr val="windowText" lastClr="000000"/>
              </a:solidFill>
              <a:latin typeface="GoudySans BlkIt BT" panose="020E090202020A0A0404" pitchFamily="34" charset="0"/>
            </a:rPr>
            <a:t>Save All As Pdf</a:t>
          </a:r>
        </a:p>
      </xdr:txBody>
    </xdr:sp>
    <xdr:clientData/>
  </xdr:twoCellAnchor>
  <xdr:twoCellAnchor editAs="oneCell">
    <xdr:from>
      <xdr:col>5</xdr:col>
      <xdr:colOff>235324</xdr:colOff>
      <xdr:row>244</xdr:row>
      <xdr:rowOff>54427</xdr:rowOff>
    </xdr:from>
    <xdr:to>
      <xdr:col>22</xdr:col>
      <xdr:colOff>100853</xdr:colOff>
      <xdr:row>286</xdr:row>
      <xdr:rowOff>100852</xdr:rowOff>
    </xdr:to>
    <xdr:pic>
      <xdr:nvPicPr>
        <xdr:cNvPr id="94" name="Picture 93">
          <a:extLst>
            <a:ext uri="{FF2B5EF4-FFF2-40B4-BE49-F238E27FC236}">
              <a16:creationId xmlns:a16="http://schemas.microsoft.com/office/drawing/2014/main" id="{00000000-0008-0000-1000-00005E000000}"/>
            </a:ext>
          </a:extLst>
        </xdr:cNvPr>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779059" y="53125486"/>
          <a:ext cx="5199529" cy="8047425"/>
        </a:xfrm>
        <a:prstGeom prst="rect">
          <a:avLst/>
        </a:prstGeom>
        <a:noFill/>
        <a:ln>
          <a:noFill/>
        </a:ln>
      </xdr:spPr>
    </xdr:pic>
    <xdr:clientData/>
  </xdr:twoCellAnchor>
  <xdr:twoCellAnchor editAs="oneCell">
    <xdr:from>
      <xdr:col>12</xdr:col>
      <xdr:colOff>79620</xdr:colOff>
      <xdr:row>17</xdr:row>
      <xdr:rowOff>120906</xdr:rowOff>
    </xdr:from>
    <xdr:to>
      <xdr:col>15</xdr:col>
      <xdr:colOff>188731</xdr:colOff>
      <xdr:row>23</xdr:row>
      <xdr:rowOff>191929</xdr:rowOff>
    </xdr:to>
    <xdr:pic>
      <xdr:nvPicPr>
        <xdr:cNvPr id="52" name="Picture 51">
          <a:extLst>
            <a:ext uri="{FF2B5EF4-FFF2-40B4-BE49-F238E27FC236}">
              <a16:creationId xmlns:a16="http://schemas.microsoft.com/office/drawing/2014/main" id="{00000000-0008-0000-1000-00003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822067" y="3960985"/>
          <a:ext cx="1041559" cy="1454655"/>
        </a:xfrm>
        <a:prstGeom prst="rect">
          <a:avLst/>
        </a:prstGeom>
      </xdr:spPr>
    </xdr:pic>
    <xdr:clientData/>
  </xdr:twoCellAnchor>
  <xdr:twoCellAnchor>
    <xdr:from>
      <xdr:col>0</xdr:col>
      <xdr:colOff>0</xdr:colOff>
      <xdr:row>0</xdr:row>
      <xdr:rowOff>0</xdr:rowOff>
    </xdr:from>
    <xdr:to>
      <xdr:col>2</xdr:col>
      <xdr:colOff>502227</xdr:colOff>
      <xdr:row>25</xdr:row>
      <xdr:rowOff>86590</xdr:rowOff>
    </xdr:to>
    <xdr:grpSp>
      <xdr:nvGrpSpPr>
        <xdr:cNvPr id="60" name="Group 59">
          <a:extLst>
            <a:ext uri="{FF2B5EF4-FFF2-40B4-BE49-F238E27FC236}">
              <a16:creationId xmlns:a16="http://schemas.microsoft.com/office/drawing/2014/main" id="{00000000-0008-0000-1000-00003C000000}"/>
            </a:ext>
          </a:extLst>
        </xdr:cNvPr>
        <xdr:cNvGrpSpPr/>
      </xdr:nvGrpSpPr>
      <xdr:grpSpPr>
        <a:xfrm>
          <a:off x="0" y="0"/>
          <a:ext cx="1718753" cy="5687958"/>
          <a:chOff x="19985181" y="779318"/>
          <a:chExt cx="1749136" cy="5663045"/>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19985181" y="779318"/>
            <a:ext cx="1749136" cy="5663045"/>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grpSp>
        <xdr:nvGrpSpPr>
          <xdr:cNvPr id="68" name="Group 67">
            <a:extLst>
              <a:ext uri="{FF2B5EF4-FFF2-40B4-BE49-F238E27FC236}">
                <a16:creationId xmlns:a16="http://schemas.microsoft.com/office/drawing/2014/main" id="{00000000-0008-0000-1000-000044000000}"/>
              </a:ext>
            </a:extLst>
          </xdr:cNvPr>
          <xdr:cNvGrpSpPr/>
        </xdr:nvGrpSpPr>
        <xdr:grpSpPr>
          <a:xfrm>
            <a:off x="20073024" y="2311062"/>
            <a:ext cx="1609814" cy="585135"/>
            <a:chOff x="90280" y="1503706"/>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ting" textlink="">
          <xdr:nvSpPr>
            <xdr:cNvPr id="120" name="Rounded Rectangle 119">
              <a:extLst>
                <a:ext uri="{FF2B5EF4-FFF2-40B4-BE49-F238E27FC236}">
                  <a16:creationId xmlns:a16="http://schemas.microsoft.com/office/drawing/2014/main" id="{00000000-0008-0000-1000-000078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121" name="Picture 120">
              <a:extLst>
                <a:ext uri="{FF2B5EF4-FFF2-40B4-BE49-F238E27FC236}">
                  <a16:creationId xmlns:a16="http://schemas.microsoft.com/office/drawing/2014/main" id="{00000000-0008-0000-1000-000079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grpSp>
        <xdr:nvGrpSpPr>
          <xdr:cNvPr id="95" name="Group 94">
            <a:extLst>
              <a:ext uri="{FF2B5EF4-FFF2-40B4-BE49-F238E27FC236}">
                <a16:creationId xmlns:a16="http://schemas.microsoft.com/office/drawing/2014/main" id="{00000000-0008-0000-1000-00005F000000}"/>
              </a:ext>
            </a:extLst>
          </xdr:cNvPr>
          <xdr:cNvGrpSpPr/>
        </xdr:nvGrpSpPr>
        <xdr:grpSpPr>
          <a:xfrm>
            <a:off x="20073024" y="3007088"/>
            <a:ext cx="1609814" cy="587513"/>
            <a:chOff x="90280" y="220855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2700000" scaled="1"/>
            <a:tileRect/>
          </a:gradFill>
        </xdr:grpSpPr>
        <xdr:sp macro="[0]!set_dakol" textlink="">
          <xdr:nvSpPr>
            <xdr:cNvPr id="118" name="Rounded Rectangle 117">
              <a:extLst>
                <a:ext uri="{FF2B5EF4-FFF2-40B4-BE49-F238E27FC236}">
                  <a16:creationId xmlns:a16="http://schemas.microsoft.com/office/drawing/2014/main" id="{00000000-0008-0000-1000-000076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119" name="Picture 118">
              <a:extLst>
                <a:ext uri="{FF2B5EF4-FFF2-40B4-BE49-F238E27FC236}">
                  <a16:creationId xmlns:a16="http://schemas.microsoft.com/office/drawing/2014/main" id="{00000000-0008-0000-1000-00007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grpSp>
        <xdr:nvGrpSpPr>
          <xdr:cNvPr id="96" name="Group 95">
            <a:extLst>
              <a:ext uri="{FF2B5EF4-FFF2-40B4-BE49-F238E27FC236}">
                <a16:creationId xmlns:a16="http://schemas.microsoft.com/office/drawing/2014/main" id="{00000000-0008-0000-1000-000060000000}"/>
              </a:ext>
            </a:extLst>
          </xdr:cNvPr>
          <xdr:cNvGrpSpPr/>
        </xdr:nvGrpSpPr>
        <xdr:grpSpPr>
          <a:xfrm>
            <a:off x="20063886" y="4384666"/>
            <a:ext cx="1609814" cy="611802"/>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set_kkm" textlink="">
          <xdr:nvSpPr>
            <xdr:cNvPr id="116" name="Rounded Rectangle 115">
              <a:extLst>
                <a:ext uri="{FF2B5EF4-FFF2-40B4-BE49-F238E27FC236}">
                  <a16:creationId xmlns:a16="http://schemas.microsoft.com/office/drawing/2014/main" id="{00000000-0008-0000-1000-000074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117" name="Picture 116">
              <a:extLst>
                <a:ext uri="{FF2B5EF4-FFF2-40B4-BE49-F238E27FC236}">
                  <a16:creationId xmlns:a16="http://schemas.microsoft.com/office/drawing/2014/main" id="{00000000-0008-0000-1000-00007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grpSp>
        <xdr:nvGrpSpPr>
          <xdr:cNvPr id="97" name="Group 96">
            <a:extLst>
              <a:ext uri="{FF2B5EF4-FFF2-40B4-BE49-F238E27FC236}">
                <a16:creationId xmlns:a16="http://schemas.microsoft.com/office/drawing/2014/main" id="{00000000-0008-0000-1000-000061000000}"/>
              </a:ext>
            </a:extLst>
          </xdr:cNvPr>
          <xdr:cNvGrpSpPr/>
        </xdr:nvGrpSpPr>
        <xdr:grpSpPr>
          <a:xfrm>
            <a:off x="20077796" y="5763501"/>
            <a:ext cx="1609814" cy="598688"/>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114" name="Rounded Rectangle 113">
              <a:extLst>
                <a:ext uri="{FF2B5EF4-FFF2-40B4-BE49-F238E27FC236}">
                  <a16:creationId xmlns:a16="http://schemas.microsoft.com/office/drawing/2014/main" id="{00000000-0008-0000-1000-000072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115" name="Picture 114">
              <a:extLst>
                <a:ext uri="{FF2B5EF4-FFF2-40B4-BE49-F238E27FC236}">
                  <a16:creationId xmlns:a16="http://schemas.microsoft.com/office/drawing/2014/main" id="{00000000-0008-0000-1000-00007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grpSp>
        <xdr:nvGrpSpPr>
          <xdr:cNvPr id="98" name="Group 97">
            <a:extLst>
              <a:ext uri="{FF2B5EF4-FFF2-40B4-BE49-F238E27FC236}">
                <a16:creationId xmlns:a16="http://schemas.microsoft.com/office/drawing/2014/main" id="{00000000-0008-0000-1000-000062000000}"/>
              </a:ext>
            </a:extLst>
          </xdr:cNvPr>
          <xdr:cNvGrpSpPr/>
        </xdr:nvGrpSpPr>
        <xdr:grpSpPr>
          <a:xfrm>
            <a:off x="20068654" y="5086018"/>
            <a:ext cx="1609814" cy="598686"/>
            <a:chOff x="85725" y="4143935"/>
            <a:chExt cx="1652400" cy="561599"/>
          </a:xfr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lin ang="2700000" scaled="1"/>
            <a:tileRect/>
          </a:gradFill>
        </xdr:grpSpPr>
        <xdr:sp macro="[0]!set_cover" textlink="">
          <xdr:nvSpPr>
            <xdr:cNvPr id="112" name="Rounded Rectangle 111">
              <a:extLst>
                <a:ext uri="{FF2B5EF4-FFF2-40B4-BE49-F238E27FC236}">
                  <a16:creationId xmlns:a16="http://schemas.microsoft.com/office/drawing/2014/main" id="{00000000-0008-0000-1000-000070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113" name="Picture 112">
              <a:extLst>
                <a:ext uri="{FF2B5EF4-FFF2-40B4-BE49-F238E27FC236}">
                  <a16:creationId xmlns:a16="http://schemas.microsoft.com/office/drawing/2014/main" id="{00000000-0008-0000-1000-00007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pic macro="[0]!setting">
        <xdr:nvPicPr>
          <xdr:cNvPr id="101" name="Picture 100">
            <a:extLst>
              <a:ext uri="{FF2B5EF4-FFF2-40B4-BE49-F238E27FC236}">
                <a16:creationId xmlns:a16="http://schemas.microsoft.com/office/drawing/2014/main" id="{00000000-0008-0000-1000-000065000000}"/>
              </a:ext>
            </a:extLst>
          </xdr:cNvPr>
          <xdr:cNvPicPr>
            <a:picLocks noChangeAspect="1"/>
          </xdr:cNvPicPr>
        </xdr:nvPicPr>
        <xdr:blipFill>
          <a:blip xmlns:r="http://schemas.openxmlformats.org/officeDocument/2006/relationships" r:embed="rId17"/>
          <a:stretch>
            <a:fillRect/>
          </a:stretch>
        </xdr:blipFill>
        <xdr:spPr>
          <a:xfrm>
            <a:off x="20538996" y="2427050"/>
            <a:ext cx="1123914" cy="345169"/>
          </a:xfrm>
          <a:prstGeom prst="rect">
            <a:avLst/>
          </a:prstGeom>
        </xdr:spPr>
      </xdr:pic>
      <xdr:pic macro="[0]!set_dakol">
        <xdr:nvPicPr>
          <xdr:cNvPr id="103" name="Picture 102">
            <a:extLst>
              <a:ext uri="{FF2B5EF4-FFF2-40B4-BE49-F238E27FC236}">
                <a16:creationId xmlns:a16="http://schemas.microsoft.com/office/drawing/2014/main" id="{00000000-0008-0000-1000-000067000000}"/>
              </a:ext>
            </a:extLst>
          </xdr:cNvPr>
          <xdr:cNvPicPr>
            <a:picLocks noChangeAspect="1"/>
          </xdr:cNvPicPr>
        </xdr:nvPicPr>
        <xdr:blipFill>
          <a:blip xmlns:r="http://schemas.openxmlformats.org/officeDocument/2006/relationships" r:embed="rId18"/>
          <a:stretch>
            <a:fillRect/>
          </a:stretch>
        </xdr:blipFill>
        <xdr:spPr>
          <a:xfrm>
            <a:off x="20634604" y="3165293"/>
            <a:ext cx="970736" cy="289508"/>
          </a:xfrm>
          <a:prstGeom prst="rect">
            <a:avLst/>
          </a:prstGeom>
        </xdr:spPr>
      </xdr:pic>
      <xdr:pic macro="[0]!set_kkm">
        <xdr:nvPicPr>
          <xdr:cNvPr id="104" name="Picture 103">
            <a:extLst>
              <a:ext uri="{FF2B5EF4-FFF2-40B4-BE49-F238E27FC236}">
                <a16:creationId xmlns:a16="http://schemas.microsoft.com/office/drawing/2014/main" id="{00000000-0008-0000-1000-000068000000}"/>
              </a:ext>
            </a:extLst>
          </xdr:cNvPr>
          <xdr:cNvPicPr>
            <a:picLocks noChangeAspect="1"/>
          </xdr:cNvPicPr>
        </xdr:nvPicPr>
        <xdr:blipFill>
          <a:blip xmlns:r="http://schemas.openxmlformats.org/officeDocument/2006/relationships" r:embed="rId19"/>
          <a:stretch>
            <a:fillRect/>
          </a:stretch>
        </xdr:blipFill>
        <xdr:spPr>
          <a:xfrm>
            <a:off x="20429646" y="4507382"/>
            <a:ext cx="1205655" cy="340128"/>
          </a:xfrm>
          <a:prstGeom prst="rect">
            <a:avLst/>
          </a:prstGeom>
        </xdr:spPr>
      </xdr:pic>
      <xdr:pic macro="[0]!set_cover">
        <xdr:nvPicPr>
          <xdr:cNvPr id="105" name="Picture 104">
            <a:extLst>
              <a:ext uri="{FF2B5EF4-FFF2-40B4-BE49-F238E27FC236}">
                <a16:creationId xmlns:a16="http://schemas.microsoft.com/office/drawing/2014/main" id="{00000000-0008-0000-1000-000069000000}"/>
              </a:ext>
            </a:extLst>
          </xdr:cNvPr>
          <xdr:cNvPicPr>
            <a:picLocks noChangeAspect="1"/>
          </xdr:cNvPicPr>
        </xdr:nvPicPr>
        <xdr:blipFill>
          <a:blip xmlns:r="http://schemas.openxmlformats.org/officeDocument/2006/relationships" r:embed="rId20"/>
          <a:stretch>
            <a:fillRect/>
          </a:stretch>
        </xdr:blipFill>
        <xdr:spPr>
          <a:xfrm>
            <a:off x="20505951" y="5222114"/>
            <a:ext cx="1165195" cy="326747"/>
          </a:xfrm>
          <a:prstGeom prst="rect">
            <a:avLst/>
          </a:prstGeom>
        </xdr:spPr>
      </xdr:pic>
      <xdr:pic macro="[0]!utama">
        <xdr:nvPicPr>
          <xdr:cNvPr id="106" name="Picture 105">
            <a:extLst>
              <a:ext uri="{FF2B5EF4-FFF2-40B4-BE49-F238E27FC236}">
                <a16:creationId xmlns:a16="http://schemas.microsoft.com/office/drawing/2014/main" id="{00000000-0008-0000-1000-00006A000000}"/>
              </a:ext>
            </a:extLst>
          </xdr:cNvPr>
          <xdr:cNvPicPr>
            <a:picLocks noChangeAspect="1"/>
          </xdr:cNvPicPr>
        </xdr:nvPicPr>
        <xdr:blipFill>
          <a:blip xmlns:r="http://schemas.openxmlformats.org/officeDocument/2006/relationships" r:embed="rId21"/>
          <a:stretch>
            <a:fillRect/>
          </a:stretch>
        </xdr:blipFill>
        <xdr:spPr>
          <a:xfrm>
            <a:off x="20436235" y="5908185"/>
            <a:ext cx="1231282" cy="325725"/>
          </a:xfrm>
          <a:prstGeom prst="rect">
            <a:avLst/>
          </a:prstGeom>
        </xdr:spPr>
      </xdr:pic>
      <xdr:pic>
        <xdr:nvPicPr>
          <xdr:cNvPr id="107" name="Picture 106">
            <a:extLst>
              <a:ext uri="{FF2B5EF4-FFF2-40B4-BE49-F238E27FC236}">
                <a16:creationId xmlns:a16="http://schemas.microsoft.com/office/drawing/2014/main" id="{00000000-0008-0000-1000-00006B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0390659" y="936200"/>
            <a:ext cx="878874" cy="1188673"/>
          </a:xfrm>
          <a:prstGeom prst="rect">
            <a:avLst/>
          </a:prstGeom>
        </xdr:spPr>
      </xdr:pic>
      <xdr:grpSp>
        <xdr:nvGrpSpPr>
          <xdr:cNvPr id="108" name="Group 107">
            <a:extLst>
              <a:ext uri="{FF2B5EF4-FFF2-40B4-BE49-F238E27FC236}">
                <a16:creationId xmlns:a16="http://schemas.microsoft.com/office/drawing/2014/main" id="{00000000-0008-0000-1000-00006C000000}"/>
              </a:ext>
            </a:extLst>
          </xdr:cNvPr>
          <xdr:cNvGrpSpPr/>
        </xdr:nvGrpSpPr>
        <xdr:grpSpPr>
          <a:xfrm>
            <a:off x="20054454" y="3688773"/>
            <a:ext cx="1619822" cy="571447"/>
            <a:chOff x="11329574" y="3216978"/>
            <a:chExt cx="1632192" cy="571447"/>
          </a:xfrm>
        </xdr:grpSpPr>
        <xdr:sp macro="[0]!set_dasis" textlink="">
          <xdr:nvSpPr>
            <xdr:cNvPr id="109" name="Rounded Rectangle 108">
              <a:extLst>
                <a:ext uri="{FF2B5EF4-FFF2-40B4-BE49-F238E27FC236}">
                  <a16:creationId xmlns:a16="http://schemas.microsoft.com/office/drawing/2014/main" id="{00000000-0008-0000-1000-00006D000000}"/>
                </a:ext>
              </a:extLst>
            </xdr:cNvPr>
            <xdr:cNvSpPr/>
          </xdr:nvSpPr>
          <xdr:spPr>
            <a:xfrm>
              <a:off x="11329574" y="3216978"/>
              <a:ext cx="1632192"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110" name="Picture 109">
              <a:extLst>
                <a:ext uri="{FF2B5EF4-FFF2-40B4-BE49-F238E27FC236}">
                  <a16:creationId xmlns:a16="http://schemas.microsoft.com/office/drawing/2014/main" id="{00000000-0008-0000-1000-00006E000000}"/>
                </a:ext>
              </a:extLst>
            </xdr:cNvPr>
            <xdr:cNvPicPr>
              <a:picLocks noChangeAspect="1"/>
            </xdr:cNvPicPr>
          </xdr:nvPicPr>
          <xdr:blipFill>
            <a:blip xmlns:r="http://schemas.openxmlformats.org/officeDocument/2006/relationships" r:embed="rId23"/>
            <a:stretch>
              <a:fillRect/>
            </a:stretch>
          </xdr:blipFill>
          <xdr:spPr>
            <a:xfrm>
              <a:off x="11749969" y="3338206"/>
              <a:ext cx="1193659" cy="316189"/>
            </a:xfrm>
            <a:prstGeom prst="rect">
              <a:avLst/>
            </a:prstGeom>
          </xdr:spPr>
        </xdr:pic>
        <xdr:pic>
          <xdr:nvPicPr>
            <xdr:cNvPr id="111" name="Picture 110">
              <a:extLst>
                <a:ext uri="{FF2B5EF4-FFF2-40B4-BE49-F238E27FC236}">
                  <a16:creationId xmlns:a16="http://schemas.microsoft.com/office/drawing/2014/main" id="{00000000-0008-0000-1000-00006F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1426111" y="3275239"/>
              <a:ext cx="360560" cy="435179"/>
            </a:xfrm>
            <a:prstGeom prst="rect">
              <a:avLst/>
            </a:prstGeom>
          </xdr:spPr>
        </xdr:pic>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554182</xdr:colOff>
      <xdr:row>22</xdr:row>
      <xdr:rowOff>207818</xdr:rowOff>
    </xdr:to>
    <xdr:grpSp>
      <xdr:nvGrpSpPr>
        <xdr:cNvPr id="28" name="Group 27">
          <a:extLst>
            <a:ext uri="{FF2B5EF4-FFF2-40B4-BE49-F238E27FC236}">
              <a16:creationId xmlns:a16="http://schemas.microsoft.com/office/drawing/2014/main" id="{00000000-0008-0000-1100-00001C000000}"/>
            </a:ext>
          </a:extLst>
        </xdr:cNvPr>
        <xdr:cNvGrpSpPr/>
      </xdr:nvGrpSpPr>
      <xdr:grpSpPr>
        <a:xfrm>
          <a:off x="0" y="0"/>
          <a:ext cx="1767738" cy="5062040"/>
          <a:chOff x="17820408" y="658090"/>
          <a:chExt cx="1854282" cy="5616038"/>
        </a:xfrm>
      </xdr:grpSpPr>
      <xdr:sp macro="" textlink="">
        <xdr:nvSpPr>
          <xdr:cNvPr id="30" name="Rectangle 29">
            <a:extLst>
              <a:ext uri="{FF2B5EF4-FFF2-40B4-BE49-F238E27FC236}">
                <a16:creationId xmlns:a16="http://schemas.microsoft.com/office/drawing/2014/main" id="{00000000-0008-0000-1100-00001E000000}"/>
              </a:ext>
            </a:extLst>
          </xdr:cNvPr>
          <xdr:cNvSpPr/>
        </xdr:nvSpPr>
        <xdr:spPr>
          <a:xfrm>
            <a:off x="17820408" y="658090"/>
            <a:ext cx="1854282" cy="5616038"/>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grpSp>
        <xdr:nvGrpSpPr>
          <xdr:cNvPr id="31" name="Group 30">
            <a:extLst>
              <a:ext uri="{FF2B5EF4-FFF2-40B4-BE49-F238E27FC236}">
                <a16:creationId xmlns:a16="http://schemas.microsoft.com/office/drawing/2014/main" id="{00000000-0008-0000-1100-00001F000000}"/>
              </a:ext>
            </a:extLst>
          </xdr:cNvPr>
          <xdr:cNvGrpSpPr/>
        </xdr:nvGrpSpPr>
        <xdr:grpSpPr>
          <a:xfrm>
            <a:off x="17915368" y="2234099"/>
            <a:ext cx="1705186" cy="585016"/>
            <a:chOff x="90280" y="1503706"/>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ting" textlink="">
          <xdr:nvSpPr>
            <xdr:cNvPr id="54" name="Rounded Rectangle 53">
              <a:extLst>
                <a:ext uri="{FF2B5EF4-FFF2-40B4-BE49-F238E27FC236}">
                  <a16:creationId xmlns:a16="http://schemas.microsoft.com/office/drawing/2014/main" id="{00000000-0008-0000-1100-000036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55" name="Picture 54">
              <a:extLst>
                <a:ext uri="{FF2B5EF4-FFF2-40B4-BE49-F238E27FC236}">
                  <a16:creationId xmlns:a16="http://schemas.microsoft.com/office/drawing/2014/main" id="{00000000-0008-0000-11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grpSp>
        <xdr:nvGrpSpPr>
          <xdr:cNvPr id="32" name="Group 31">
            <a:extLst>
              <a:ext uri="{FF2B5EF4-FFF2-40B4-BE49-F238E27FC236}">
                <a16:creationId xmlns:a16="http://schemas.microsoft.com/office/drawing/2014/main" id="{00000000-0008-0000-1100-000020000000}"/>
              </a:ext>
            </a:extLst>
          </xdr:cNvPr>
          <xdr:cNvGrpSpPr/>
        </xdr:nvGrpSpPr>
        <xdr:grpSpPr>
          <a:xfrm>
            <a:off x="17915368" y="2918803"/>
            <a:ext cx="1705186" cy="582974"/>
            <a:chOff x="90280" y="2208555"/>
            <a:chExt cx="1652399"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2700000" scaled="1"/>
            <a:tileRect/>
          </a:gradFill>
        </xdr:grpSpPr>
        <xdr:sp macro="[0]!set_dakol" textlink="">
          <xdr:nvSpPr>
            <xdr:cNvPr id="52" name="Rounded Rectangle 51">
              <a:extLst>
                <a:ext uri="{FF2B5EF4-FFF2-40B4-BE49-F238E27FC236}">
                  <a16:creationId xmlns:a16="http://schemas.microsoft.com/office/drawing/2014/main" id="{00000000-0008-0000-1100-000034000000}"/>
                </a:ext>
              </a:extLst>
            </xdr:cNvPr>
            <xdr:cNvSpPr/>
          </xdr:nvSpPr>
          <xdr:spPr>
            <a:xfrm>
              <a:off x="90280" y="2208555"/>
              <a:ext cx="1652399"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53" name="Picture 52">
              <a:extLst>
                <a:ext uri="{FF2B5EF4-FFF2-40B4-BE49-F238E27FC236}">
                  <a16:creationId xmlns:a16="http://schemas.microsoft.com/office/drawing/2014/main" id="{00000000-0008-0000-11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grpSp>
        <xdr:nvGrpSpPr>
          <xdr:cNvPr id="33" name="Group 32">
            <a:extLst>
              <a:ext uri="{FF2B5EF4-FFF2-40B4-BE49-F238E27FC236}">
                <a16:creationId xmlns:a16="http://schemas.microsoft.com/office/drawing/2014/main" id="{00000000-0008-0000-1100-000021000000}"/>
              </a:ext>
            </a:extLst>
          </xdr:cNvPr>
          <xdr:cNvGrpSpPr/>
        </xdr:nvGrpSpPr>
        <xdr:grpSpPr>
          <a:xfrm>
            <a:off x="17905488" y="4263966"/>
            <a:ext cx="1705186" cy="594414"/>
            <a:chOff x="90280" y="3599205"/>
            <a:chExt cx="1652401" cy="561600"/>
          </a:xfrm>
          <a:gradFill flip="none" rotWithShape="1">
            <a:gsLst>
              <a:gs pos="0">
                <a:srgbClr val="FF00FF">
                  <a:shade val="30000"/>
                  <a:satMod val="115000"/>
                </a:srgbClr>
              </a:gs>
              <a:gs pos="50000">
                <a:srgbClr val="FF00FF">
                  <a:shade val="67500"/>
                  <a:satMod val="115000"/>
                </a:srgbClr>
              </a:gs>
              <a:gs pos="100000">
                <a:srgbClr val="FF00FF">
                  <a:shade val="100000"/>
                  <a:satMod val="115000"/>
                </a:srgbClr>
              </a:gs>
            </a:gsLst>
            <a:lin ang="5400000" scaled="1"/>
            <a:tileRect/>
          </a:gradFill>
        </xdr:grpSpPr>
        <xdr:sp macro="[0]!set_kkm" textlink="">
          <xdr:nvSpPr>
            <xdr:cNvPr id="50" name="Rounded Rectangle 49">
              <a:extLst>
                <a:ext uri="{FF2B5EF4-FFF2-40B4-BE49-F238E27FC236}">
                  <a16:creationId xmlns:a16="http://schemas.microsoft.com/office/drawing/2014/main" id="{00000000-0008-0000-1100-000032000000}"/>
                </a:ext>
              </a:extLst>
            </xdr:cNvPr>
            <xdr:cNvSpPr/>
          </xdr:nvSpPr>
          <xdr:spPr>
            <a:xfrm>
              <a:off x="90280" y="3599205"/>
              <a:ext cx="1652401"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51" name="Picture 50">
              <a:extLst>
                <a:ext uri="{FF2B5EF4-FFF2-40B4-BE49-F238E27FC236}">
                  <a16:creationId xmlns:a16="http://schemas.microsoft.com/office/drawing/2014/main" id="{00000000-0008-0000-1100-00003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grpSp>
        <xdr:nvGrpSpPr>
          <xdr:cNvPr id="34" name="Group 33">
            <a:extLst>
              <a:ext uri="{FF2B5EF4-FFF2-40B4-BE49-F238E27FC236}">
                <a16:creationId xmlns:a16="http://schemas.microsoft.com/office/drawing/2014/main" id="{00000000-0008-0000-1100-000022000000}"/>
              </a:ext>
            </a:extLst>
          </xdr:cNvPr>
          <xdr:cNvGrpSpPr/>
        </xdr:nvGrpSpPr>
        <xdr:grpSpPr>
          <a:xfrm>
            <a:off x="17920526" y="5611961"/>
            <a:ext cx="1705186" cy="578078"/>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48" name="Rounded Rectangle 47">
              <a:extLst>
                <a:ext uri="{FF2B5EF4-FFF2-40B4-BE49-F238E27FC236}">
                  <a16:creationId xmlns:a16="http://schemas.microsoft.com/office/drawing/2014/main" id="{00000000-0008-0000-1100-000030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49" name="Picture 48">
              <a:extLst>
                <a:ext uri="{FF2B5EF4-FFF2-40B4-BE49-F238E27FC236}">
                  <a16:creationId xmlns:a16="http://schemas.microsoft.com/office/drawing/2014/main" id="{00000000-0008-0000-1100-00003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grpSp>
        <xdr:nvGrpSpPr>
          <xdr:cNvPr id="35" name="Group 34">
            <a:extLst>
              <a:ext uri="{FF2B5EF4-FFF2-40B4-BE49-F238E27FC236}">
                <a16:creationId xmlns:a16="http://schemas.microsoft.com/office/drawing/2014/main" id="{00000000-0008-0000-1100-000023000000}"/>
              </a:ext>
            </a:extLst>
          </xdr:cNvPr>
          <xdr:cNvGrpSpPr/>
        </xdr:nvGrpSpPr>
        <xdr:grpSpPr>
          <a:xfrm>
            <a:off x="17910644" y="4949728"/>
            <a:ext cx="1705186" cy="579590"/>
            <a:chOff x="85725" y="4143931"/>
            <a:chExt cx="1652402" cy="561598"/>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46" name="Rounded Rectangle 45">
              <a:extLst>
                <a:ext uri="{FF2B5EF4-FFF2-40B4-BE49-F238E27FC236}">
                  <a16:creationId xmlns:a16="http://schemas.microsoft.com/office/drawing/2014/main" id="{00000000-0008-0000-1100-00002E000000}"/>
                </a:ext>
              </a:extLst>
            </xdr:cNvPr>
            <xdr:cNvSpPr/>
          </xdr:nvSpPr>
          <xdr:spPr>
            <a:xfrm>
              <a:off x="85725" y="4143931"/>
              <a:ext cx="1652402" cy="561598"/>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47" name="Picture 46">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pic macro="[0]!setting">
        <xdr:nvPicPr>
          <xdr:cNvPr id="36" name="Picture 35">
            <a:extLst>
              <a:ext uri="{FF2B5EF4-FFF2-40B4-BE49-F238E27FC236}">
                <a16:creationId xmlns:a16="http://schemas.microsoft.com/office/drawing/2014/main" id="{00000000-0008-0000-1100-000024000000}"/>
              </a:ext>
            </a:extLst>
          </xdr:cNvPr>
          <xdr:cNvPicPr>
            <a:picLocks noChangeAspect="1"/>
          </xdr:cNvPicPr>
        </xdr:nvPicPr>
        <xdr:blipFill>
          <a:blip xmlns:r="http://schemas.openxmlformats.org/officeDocument/2006/relationships" r:embed="rId6"/>
          <a:stretch>
            <a:fillRect/>
          </a:stretch>
        </xdr:blipFill>
        <xdr:spPr>
          <a:xfrm>
            <a:off x="18419086" y="2355752"/>
            <a:ext cx="1179924" cy="333331"/>
          </a:xfrm>
          <a:prstGeom prst="rect">
            <a:avLst/>
          </a:prstGeom>
        </xdr:spPr>
      </xdr:pic>
      <xdr:pic macro="[0]!set_dakol">
        <xdr:nvPicPr>
          <xdr:cNvPr id="37" name="Picture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7"/>
          <a:stretch>
            <a:fillRect/>
          </a:stretch>
        </xdr:blipFill>
        <xdr:spPr>
          <a:xfrm>
            <a:off x="18504923" y="3070702"/>
            <a:ext cx="1031854" cy="284451"/>
          </a:xfrm>
          <a:prstGeom prst="rect">
            <a:avLst/>
          </a:prstGeom>
        </xdr:spPr>
      </xdr:pic>
      <xdr:pic macro="[0]!set_kkm">
        <xdr:nvPicPr>
          <xdr:cNvPr id="38" name="Picture 37">
            <a:extLst>
              <a:ext uri="{FF2B5EF4-FFF2-40B4-BE49-F238E27FC236}">
                <a16:creationId xmlns:a16="http://schemas.microsoft.com/office/drawing/2014/main" id="{00000000-0008-0000-1100-000026000000}"/>
              </a:ext>
            </a:extLst>
          </xdr:cNvPr>
          <xdr:cNvPicPr>
            <a:picLocks noChangeAspect="1"/>
          </xdr:cNvPicPr>
        </xdr:nvPicPr>
        <xdr:blipFill>
          <a:blip xmlns:r="http://schemas.openxmlformats.org/officeDocument/2006/relationships" r:embed="rId8"/>
          <a:stretch>
            <a:fillRect/>
          </a:stretch>
        </xdr:blipFill>
        <xdr:spPr>
          <a:xfrm>
            <a:off x="18300878" y="4392677"/>
            <a:ext cx="1268288" cy="323508"/>
          </a:xfrm>
          <a:prstGeom prst="rect">
            <a:avLst/>
          </a:prstGeom>
        </xdr:spPr>
      </xdr:pic>
      <xdr:pic macro="[0]!set_cover">
        <xdr:nvPicPr>
          <xdr:cNvPr id="39" name="Picture 38">
            <a:extLst>
              <a:ext uri="{FF2B5EF4-FFF2-40B4-BE49-F238E27FC236}">
                <a16:creationId xmlns:a16="http://schemas.microsoft.com/office/drawing/2014/main" id="{00000000-0008-0000-1100-000027000000}"/>
              </a:ext>
            </a:extLst>
          </xdr:cNvPr>
          <xdr:cNvPicPr>
            <a:picLocks noChangeAspect="1"/>
          </xdr:cNvPicPr>
        </xdr:nvPicPr>
        <xdr:blipFill>
          <a:blip xmlns:r="http://schemas.openxmlformats.org/officeDocument/2006/relationships" r:embed="rId9"/>
          <a:stretch>
            <a:fillRect/>
          </a:stretch>
        </xdr:blipFill>
        <xdr:spPr>
          <a:xfrm>
            <a:off x="18383364" y="5078433"/>
            <a:ext cx="1224549" cy="325019"/>
          </a:xfrm>
          <a:prstGeom prst="rect">
            <a:avLst/>
          </a:prstGeom>
        </xdr:spPr>
      </xdr:pic>
      <xdr:pic macro="[0]!utama">
        <xdr:nvPicPr>
          <xdr:cNvPr id="40" name="Picture 39">
            <a:extLst>
              <a:ext uri="{FF2B5EF4-FFF2-40B4-BE49-F238E27FC236}">
                <a16:creationId xmlns:a16="http://schemas.microsoft.com/office/drawing/2014/main" id="{00000000-0008-0000-1100-000028000000}"/>
              </a:ext>
            </a:extLst>
          </xdr:cNvPr>
          <xdr:cNvPicPr>
            <a:picLocks noChangeAspect="1"/>
          </xdr:cNvPicPr>
        </xdr:nvPicPr>
        <xdr:blipFill>
          <a:blip xmlns:r="http://schemas.openxmlformats.org/officeDocument/2006/relationships" r:embed="rId10"/>
          <a:stretch>
            <a:fillRect/>
          </a:stretch>
        </xdr:blipFill>
        <xdr:spPr>
          <a:xfrm>
            <a:off x="18308001" y="5747092"/>
            <a:ext cx="1295990" cy="325019"/>
          </a:xfrm>
          <a:prstGeom prst="rect">
            <a:avLst/>
          </a:prstGeom>
        </xdr:spPr>
      </xdr:pic>
      <xdr:pic>
        <xdr:nvPicPr>
          <xdr:cNvPr id="41" name="Picture 40">
            <a:extLst>
              <a:ext uri="{FF2B5EF4-FFF2-40B4-BE49-F238E27FC236}">
                <a16:creationId xmlns:a16="http://schemas.microsoft.com/office/drawing/2014/main" id="{00000000-0008-0000-1100-00002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296658" y="774507"/>
            <a:ext cx="965526" cy="1295703"/>
          </a:xfrm>
          <a:prstGeom prst="rect">
            <a:avLst/>
          </a:prstGeom>
        </xdr:spPr>
      </xdr:pic>
      <xdr:grpSp>
        <xdr:nvGrpSpPr>
          <xdr:cNvPr id="42" name="Group 41">
            <a:extLst>
              <a:ext uri="{FF2B5EF4-FFF2-40B4-BE49-F238E27FC236}">
                <a16:creationId xmlns:a16="http://schemas.microsoft.com/office/drawing/2014/main" id="{00000000-0008-0000-1100-00002A000000}"/>
              </a:ext>
            </a:extLst>
          </xdr:cNvPr>
          <xdr:cNvGrpSpPr/>
        </xdr:nvGrpSpPr>
        <xdr:grpSpPr>
          <a:xfrm>
            <a:off x="17924316" y="3602182"/>
            <a:ext cx="1679865" cy="571447"/>
            <a:chOff x="11329574" y="3216978"/>
            <a:chExt cx="1632192" cy="571447"/>
          </a:xfrm>
        </xdr:grpSpPr>
        <xdr:sp macro="[0]!set_dasis" textlink="">
          <xdr:nvSpPr>
            <xdr:cNvPr id="43" name="Rounded Rectangle 42">
              <a:extLst>
                <a:ext uri="{FF2B5EF4-FFF2-40B4-BE49-F238E27FC236}">
                  <a16:creationId xmlns:a16="http://schemas.microsoft.com/office/drawing/2014/main" id="{00000000-0008-0000-1100-00002B000000}"/>
                </a:ext>
              </a:extLst>
            </xdr:cNvPr>
            <xdr:cNvSpPr/>
          </xdr:nvSpPr>
          <xdr:spPr>
            <a:xfrm>
              <a:off x="11329574" y="3216978"/>
              <a:ext cx="1632192" cy="571447"/>
            </a:xfrm>
            <a:prstGeom prst="roundRect">
              <a:avLst/>
            </a:prstGeo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44" name="Picture 43">
              <a:extLst>
                <a:ext uri="{FF2B5EF4-FFF2-40B4-BE49-F238E27FC236}">
                  <a16:creationId xmlns:a16="http://schemas.microsoft.com/office/drawing/2014/main" id="{00000000-0008-0000-1100-00002C000000}"/>
                </a:ext>
              </a:extLst>
            </xdr:cNvPr>
            <xdr:cNvPicPr>
              <a:picLocks noChangeAspect="1"/>
            </xdr:cNvPicPr>
          </xdr:nvPicPr>
          <xdr:blipFill>
            <a:blip xmlns:r="http://schemas.openxmlformats.org/officeDocument/2006/relationships" r:embed="rId12"/>
            <a:stretch>
              <a:fillRect/>
            </a:stretch>
          </xdr:blipFill>
          <xdr:spPr>
            <a:xfrm>
              <a:off x="11749969" y="3338206"/>
              <a:ext cx="1193659" cy="316189"/>
            </a:xfrm>
            <a:prstGeom prst="rect">
              <a:avLst/>
            </a:prstGeom>
          </xdr:spPr>
        </xdr:pic>
        <xdr:pic>
          <xdr:nvPicPr>
            <xdr:cNvPr id="45" name="Picture 44">
              <a:extLst>
                <a:ext uri="{FF2B5EF4-FFF2-40B4-BE49-F238E27FC236}">
                  <a16:creationId xmlns:a16="http://schemas.microsoft.com/office/drawing/2014/main" id="{00000000-0008-0000-1100-00002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426111" y="3275239"/>
              <a:ext cx="360560" cy="435179"/>
            </a:xfrm>
            <a:prstGeom prst="rect">
              <a:avLst/>
            </a:prstGeom>
          </xdr:spPr>
        </xdr:pic>
      </xdr:grp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68036</xdr:colOff>
      <xdr:row>26</xdr:row>
      <xdr:rowOff>190500</xdr:rowOff>
    </xdr:to>
    <xdr:grpSp>
      <xdr:nvGrpSpPr>
        <xdr:cNvPr id="28" name="Group 27">
          <a:extLst>
            <a:ext uri="{FF2B5EF4-FFF2-40B4-BE49-F238E27FC236}">
              <a16:creationId xmlns:a16="http://schemas.microsoft.com/office/drawing/2014/main" id="{00000000-0008-0000-1200-00001C000000}"/>
            </a:ext>
          </a:extLst>
        </xdr:cNvPr>
        <xdr:cNvGrpSpPr/>
      </xdr:nvGrpSpPr>
      <xdr:grpSpPr>
        <a:xfrm>
          <a:off x="0" y="0"/>
          <a:ext cx="1896836" cy="6083300"/>
          <a:chOff x="15607393" y="544285"/>
          <a:chExt cx="1886445" cy="6009409"/>
        </a:xfrm>
      </xdr:grpSpPr>
      <xdr:sp macro="" textlink="">
        <xdr:nvSpPr>
          <xdr:cNvPr id="30" name="Rectangle 29">
            <a:extLst>
              <a:ext uri="{FF2B5EF4-FFF2-40B4-BE49-F238E27FC236}">
                <a16:creationId xmlns:a16="http://schemas.microsoft.com/office/drawing/2014/main" id="{00000000-0008-0000-1200-00001E000000}"/>
              </a:ext>
            </a:extLst>
          </xdr:cNvPr>
          <xdr:cNvSpPr/>
        </xdr:nvSpPr>
        <xdr:spPr>
          <a:xfrm>
            <a:off x="15607393" y="544285"/>
            <a:ext cx="1886445" cy="6009409"/>
          </a:xfrm>
          <a:prstGeom prst="rect">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grpSp>
        <xdr:nvGrpSpPr>
          <xdr:cNvPr id="31" name="Group 30">
            <a:extLst>
              <a:ext uri="{FF2B5EF4-FFF2-40B4-BE49-F238E27FC236}">
                <a16:creationId xmlns:a16="http://schemas.microsoft.com/office/drawing/2014/main" id="{00000000-0008-0000-1200-00001F000000}"/>
              </a:ext>
            </a:extLst>
          </xdr:cNvPr>
          <xdr:cNvGrpSpPr/>
        </xdr:nvGrpSpPr>
        <xdr:grpSpPr>
          <a:xfrm>
            <a:off x="15702799" y="2224432"/>
            <a:ext cx="1728836" cy="613686"/>
            <a:chOff x="90280" y="1503706"/>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ting" textlink="">
          <xdr:nvSpPr>
            <xdr:cNvPr id="54" name="Rounded Rectangle 53">
              <a:extLst>
                <a:ext uri="{FF2B5EF4-FFF2-40B4-BE49-F238E27FC236}">
                  <a16:creationId xmlns:a16="http://schemas.microsoft.com/office/drawing/2014/main" id="{00000000-0008-0000-1200-000036000000}"/>
                </a:ext>
              </a:extLst>
            </xdr:cNvPr>
            <xdr:cNvSpPr/>
          </xdr:nvSpPr>
          <xdr:spPr>
            <a:xfrm>
              <a:off x="90280" y="1503706"/>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ting">
          <xdr:nvPicPr>
            <xdr:cNvPr id="55" name="Picture 54">
              <a:extLst>
                <a:ext uri="{FF2B5EF4-FFF2-40B4-BE49-F238E27FC236}">
                  <a16:creationId xmlns:a16="http://schemas.microsoft.com/office/drawing/2014/main" id="{00000000-0008-0000-12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75" y="1600200"/>
              <a:ext cx="484023" cy="457200"/>
            </a:xfrm>
            <a:prstGeom prst="roundRect">
              <a:avLst/>
            </a:prstGeom>
            <a:grpFill/>
          </xdr:spPr>
        </xdr:pic>
      </xdr:grpSp>
      <xdr:grpSp>
        <xdr:nvGrpSpPr>
          <xdr:cNvPr id="32" name="Group 31">
            <a:extLst>
              <a:ext uri="{FF2B5EF4-FFF2-40B4-BE49-F238E27FC236}">
                <a16:creationId xmlns:a16="http://schemas.microsoft.com/office/drawing/2014/main" id="{00000000-0008-0000-1200-000020000000}"/>
              </a:ext>
            </a:extLst>
          </xdr:cNvPr>
          <xdr:cNvGrpSpPr/>
        </xdr:nvGrpSpPr>
        <xdr:grpSpPr>
          <a:xfrm>
            <a:off x="15702799" y="2943442"/>
            <a:ext cx="1728836" cy="629113"/>
            <a:chOff x="90280" y="220855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2700000" scaled="1"/>
            <a:tileRect/>
          </a:gradFill>
        </xdr:grpSpPr>
        <xdr:sp macro="[0]!set_dakol" textlink="">
          <xdr:nvSpPr>
            <xdr:cNvPr id="52" name="Rounded Rectangle 51">
              <a:extLst>
                <a:ext uri="{FF2B5EF4-FFF2-40B4-BE49-F238E27FC236}">
                  <a16:creationId xmlns:a16="http://schemas.microsoft.com/office/drawing/2014/main" id="{00000000-0008-0000-1200-000034000000}"/>
                </a:ext>
              </a:extLst>
            </xdr:cNvPr>
            <xdr:cNvSpPr/>
          </xdr:nvSpPr>
          <xdr:spPr>
            <a:xfrm>
              <a:off x="90280" y="220855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kol">
          <xdr:nvPicPr>
            <xdr:cNvPr id="53" name="Picture 52">
              <a:extLst>
                <a:ext uri="{FF2B5EF4-FFF2-40B4-BE49-F238E27FC236}">
                  <a16:creationId xmlns:a16="http://schemas.microsoft.com/office/drawing/2014/main" id="{00000000-0008-0000-12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2247899"/>
              <a:ext cx="542924" cy="495299"/>
            </a:xfrm>
            <a:prstGeom prst="rect">
              <a:avLst/>
            </a:prstGeom>
            <a:grpFill/>
          </xdr:spPr>
        </xdr:pic>
      </xdr:grpSp>
      <xdr:grpSp>
        <xdr:nvGrpSpPr>
          <xdr:cNvPr id="33" name="Group 32">
            <a:extLst>
              <a:ext uri="{FF2B5EF4-FFF2-40B4-BE49-F238E27FC236}">
                <a16:creationId xmlns:a16="http://schemas.microsoft.com/office/drawing/2014/main" id="{00000000-0008-0000-1200-000021000000}"/>
              </a:ext>
            </a:extLst>
          </xdr:cNvPr>
          <xdr:cNvGrpSpPr/>
        </xdr:nvGrpSpPr>
        <xdr:grpSpPr>
          <a:xfrm>
            <a:off x="15692874" y="4391330"/>
            <a:ext cx="1728836" cy="641018"/>
            <a:chOff x="90280" y="3599207"/>
            <a:chExt cx="1652400" cy="5616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xdr:grpSpPr>
        <xdr:sp macro="[0]!set_kkm" textlink="">
          <xdr:nvSpPr>
            <xdr:cNvPr id="50" name="Rounded Rectangle 49">
              <a:extLst>
                <a:ext uri="{FF2B5EF4-FFF2-40B4-BE49-F238E27FC236}">
                  <a16:creationId xmlns:a16="http://schemas.microsoft.com/office/drawing/2014/main" id="{00000000-0008-0000-1200-000032000000}"/>
                </a:ext>
              </a:extLst>
            </xdr:cNvPr>
            <xdr:cNvSpPr/>
          </xdr:nvSpPr>
          <xdr:spPr>
            <a:xfrm>
              <a:off x="90280" y="3599207"/>
              <a:ext cx="1652400" cy="5616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kkm">
          <xdr:nvPicPr>
            <xdr:cNvPr id="51" name="Picture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49" y="3667124"/>
              <a:ext cx="419101" cy="419101"/>
            </a:xfrm>
            <a:prstGeom prst="rect">
              <a:avLst/>
            </a:prstGeom>
            <a:grpFill/>
          </xdr:spPr>
        </xdr:pic>
      </xdr:grpSp>
      <xdr:grpSp>
        <xdr:nvGrpSpPr>
          <xdr:cNvPr id="34" name="Group 33">
            <a:extLst>
              <a:ext uri="{FF2B5EF4-FFF2-40B4-BE49-F238E27FC236}">
                <a16:creationId xmlns:a16="http://schemas.microsoft.com/office/drawing/2014/main" id="{00000000-0008-0000-1200-000022000000}"/>
              </a:ext>
            </a:extLst>
          </xdr:cNvPr>
          <xdr:cNvGrpSpPr/>
        </xdr:nvGrpSpPr>
        <xdr:grpSpPr>
          <a:xfrm>
            <a:off x="15707982" y="5840589"/>
            <a:ext cx="1728836" cy="625592"/>
            <a:chOff x="185531" y="1456082"/>
            <a:chExt cx="1438275" cy="342900"/>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5400000" scaled="1"/>
            <a:tileRect/>
          </a:gradFill>
        </xdr:grpSpPr>
        <xdr:sp macro="[0]!utama" textlink="">
          <xdr:nvSpPr>
            <xdr:cNvPr id="48" name="Rounded Rectangle 47">
              <a:extLst>
                <a:ext uri="{FF2B5EF4-FFF2-40B4-BE49-F238E27FC236}">
                  <a16:creationId xmlns:a16="http://schemas.microsoft.com/office/drawing/2014/main" id="{00000000-0008-0000-1200-000030000000}"/>
                </a:ext>
              </a:extLst>
            </xdr:cNvPr>
            <xdr:cNvSpPr/>
          </xdr:nvSpPr>
          <xdr:spPr>
            <a:xfrm>
              <a:off x="185531" y="1456082"/>
              <a:ext cx="1438275" cy="342900"/>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utama">
          <xdr:nvPicPr>
            <xdr:cNvPr id="49" name="Picture 48">
              <a:extLst>
                <a:ext uri="{FF2B5EF4-FFF2-40B4-BE49-F238E27FC236}">
                  <a16:creationId xmlns:a16="http://schemas.microsoft.com/office/drawing/2014/main" id="{00000000-0008-0000-1200-00003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6439" y="1481204"/>
              <a:ext cx="375327" cy="292650"/>
            </a:xfrm>
            <a:prstGeom prst="rect">
              <a:avLst/>
            </a:prstGeom>
            <a:grpFill/>
          </xdr:spPr>
        </xdr:pic>
      </xdr:grpSp>
      <xdr:grpSp>
        <xdr:nvGrpSpPr>
          <xdr:cNvPr id="35" name="Group 34">
            <a:extLst>
              <a:ext uri="{FF2B5EF4-FFF2-40B4-BE49-F238E27FC236}">
                <a16:creationId xmlns:a16="http://schemas.microsoft.com/office/drawing/2014/main" id="{00000000-0008-0000-1200-000023000000}"/>
              </a:ext>
            </a:extLst>
          </xdr:cNvPr>
          <xdr:cNvGrpSpPr/>
        </xdr:nvGrpSpPr>
        <xdr:grpSpPr>
          <a:xfrm>
            <a:off x="15698054" y="5128986"/>
            <a:ext cx="1728836" cy="625591"/>
            <a:chOff x="85725" y="4143935"/>
            <a:chExt cx="1652400" cy="561599"/>
          </a:xfrm>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path path="circle">
              <a:fillToRect r="100000" b="100000"/>
            </a:path>
            <a:tileRect l="-100000" t="-100000"/>
          </a:gradFill>
        </xdr:grpSpPr>
        <xdr:sp macro="[0]!set_cover" textlink="">
          <xdr:nvSpPr>
            <xdr:cNvPr id="46" name="Rounded Rectangle 45">
              <a:extLst>
                <a:ext uri="{FF2B5EF4-FFF2-40B4-BE49-F238E27FC236}">
                  <a16:creationId xmlns:a16="http://schemas.microsoft.com/office/drawing/2014/main" id="{00000000-0008-0000-1200-00002E000000}"/>
                </a:ext>
              </a:extLst>
            </xdr:cNvPr>
            <xdr:cNvSpPr/>
          </xdr:nvSpPr>
          <xdr:spPr>
            <a:xfrm>
              <a:off x="85725" y="4143935"/>
              <a:ext cx="1652400" cy="561599"/>
            </a:xfrm>
            <a:prstGeom prst="roundRect">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cover">
          <xdr:nvPicPr>
            <xdr:cNvPr id="47" name="Picture 46">
              <a:extLst>
                <a:ext uri="{FF2B5EF4-FFF2-40B4-BE49-F238E27FC236}">
                  <a16:creationId xmlns:a16="http://schemas.microsoft.com/office/drawing/2014/main" id="{00000000-0008-0000-1200-00002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71448" y="4229101"/>
              <a:ext cx="361949" cy="390524"/>
            </a:xfrm>
            <a:prstGeom prst="rect">
              <a:avLst/>
            </a:prstGeom>
            <a:grpFill/>
          </xdr:spPr>
        </xdr:pic>
      </xdr:grpSp>
      <xdr:pic macro="[0]!setting">
        <xdr:nvPicPr>
          <xdr:cNvPr id="36" name="Picture 35">
            <a:extLst>
              <a:ext uri="{FF2B5EF4-FFF2-40B4-BE49-F238E27FC236}">
                <a16:creationId xmlns:a16="http://schemas.microsoft.com/office/drawing/2014/main" id="{00000000-0008-0000-1200-000024000000}"/>
              </a:ext>
            </a:extLst>
          </xdr:cNvPr>
          <xdr:cNvPicPr>
            <a:picLocks noChangeAspect="1"/>
          </xdr:cNvPicPr>
        </xdr:nvPicPr>
        <xdr:blipFill>
          <a:blip xmlns:r="http://schemas.openxmlformats.org/officeDocument/2006/relationships" r:embed="rId6"/>
          <a:stretch>
            <a:fillRect/>
          </a:stretch>
        </xdr:blipFill>
        <xdr:spPr>
          <a:xfrm>
            <a:off x="16208889" y="2351039"/>
            <a:ext cx="1201101" cy="351750"/>
          </a:xfrm>
          <a:prstGeom prst="rect">
            <a:avLst/>
          </a:prstGeom>
        </xdr:spPr>
      </xdr:pic>
      <xdr:pic macro="[0]!set_dakol">
        <xdr:nvPicPr>
          <xdr:cNvPr id="37" name="Picture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7"/>
          <a:stretch>
            <a:fillRect/>
          </a:stretch>
        </xdr:blipFill>
        <xdr:spPr>
          <a:xfrm>
            <a:off x="16302942" y="3107941"/>
            <a:ext cx="1044523" cy="305598"/>
          </a:xfrm>
          <a:prstGeom prst="rect">
            <a:avLst/>
          </a:prstGeom>
        </xdr:spPr>
      </xdr:pic>
      <xdr:pic macro="[0]!set_kkm">
        <xdr:nvPicPr>
          <xdr:cNvPr id="38" name="Picture 37">
            <a:extLst>
              <a:ext uri="{FF2B5EF4-FFF2-40B4-BE49-F238E27FC236}">
                <a16:creationId xmlns:a16="http://schemas.microsoft.com/office/drawing/2014/main" id="{00000000-0008-0000-1200-000026000000}"/>
              </a:ext>
            </a:extLst>
          </xdr:cNvPr>
          <xdr:cNvPicPr>
            <a:picLocks noChangeAspect="1"/>
          </xdr:cNvPicPr>
        </xdr:nvPicPr>
        <xdr:blipFill>
          <a:blip xmlns:r="http://schemas.openxmlformats.org/officeDocument/2006/relationships" r:embed="rId8"/>
          <a:stretch>
            <a:fillRect/>
          </a:stretch>
        </xdr:blipFill>
        <xdr:spPr>
          <a:xfrm>
            <a:off x="16090124" y="4531697"/>
            <a:ext cx="1289881" cy="346246"/>
          </a:xfrm>
          <a:prstGeom prst="rect">
            <a:avLst/>
          </a:prstGeom>
        </xdr:spPr>
      </xdr:pic>
      <xdr:pic macro="[0]!set_cover">
        <xdr:nvPicPr>
          <xdr:cNvPr id="39" name="Picture 38">
            <a:extLst>
              <a:ext uri="{FF2B5EF4-FFF2-40B4-BE49-F238E27FC236}">
                <a16:creationId xmlns:a16="http://schemas.microsoft.com/office/drawing/2014/main" id="{00000000-0008-0000-1200-000027000000}"/>
              </a:ext>
            </a:extLst>
          </xdr:cNvPr>
          <xdr:cNvPicPr>
            <a:picLocks noChangeAspect="1"/>
          </xdr:cNvPicPr>
        </xdr:nvPicPr>
        <xdr:blipFill>
          <a:blip xmlns:r="http://schemas.openxmlformats.org/officeDocument/2006/relationships" r:embed="rId9"/>
          <a:stretch>
            <a:fillRect/>
          </a:stretch>
        </xdr:blipFill>
        <xdr:spPr>
          <a:xfrm>
            <a:off x="16172999" y="5269352"/>
            <a:ext cx="1245937" cy="346246"/>
          </a:xfrm>
          <a:prstGeom prst="rect">
            <a:avLst/>
          </a:prstGeom>
        </xdr:spPr>
      </xdr:pic>
      <xdr:pic macro="[0]!utama">
        <xdr:nvPicPr>
          <xdr:cNvPr id="40" name="Picture 39">
            <a:extLst>
              <a:ext uri="{FF2B5EF4-FFF2-40B4-BE49-F238E27FC236}">
                <a16:creationId xmlns:a16="http://schemas.microsoft.com/office/drawing/2014/main" id="{00000000-0008-0000-1200-000028000000}"/>
              </a:ext>
            </a:extLst>
          </xdr:cNvPr>
          <xdr:cNvPicPr>
            <a:picLocks noChangeAspect="1"/>
          </xdr:cNvPicPr>
        </xdr:nvPicPr>
        <xdr:blipFill>
          <a:blip xmlns:r="http://schemas.openxmlformats.org/officeDocument/2006/relationships" r:embed="rId10"/>
          <a:stretch>
            <a:fillRect/>
          </a:stretch>
        </xdr:blipFill>
        <xdr:spPr>
          <a:xfrm>
            <a:off x="16097282" y="5989213"/>
            <a:ext cx="1317714" cy="346246"/>
          </a:xfrm>
          <a:prstGeom prst="rect">
            <a:avLst/>
          </a:prstGeom>
        </xdr:spPr>
      </xdr:pic>
      <xdr:pic>
        <xdr:nvPicPr>
          <xdr:cNvPr id="41" name="Picture 40">
            <a:extLst>
              <a:ext uri="{FF2B5EF4-FFF2-40B4-BE49-F238E27FC236}">
                <a16:creationId xmlns:a16="http://schemas.microsoft.com/office/drawing/2014/main" id="{00000000-0008-0000-1200-00002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104809" y="766535"/>
            <a:ext cx="953156" cy="1255568"/>
          </a:xfrm>
          <a:prstGeom prst="rect">
            <a:avLst/>
          </a:prstGeom>
        </xdr:spPr>
      </xdr:pic>
      <xdr:grpSp>
        <xdr:nvGrpSpPr>
          <xdr:cNvPr id="42" name="Group 41">
            <a:extLst>
              <a:ext uri="{FF2B5EF4-FFF2-40B4-BE49-F238E27FC236}">
                <a16:creationId xmlns:a16="http://schemas.microsoft.com/office/drawing/2014/main" id="{00000000-0008-0000-1200-00002A000000}"/>
              </a:ext>
            </a:extLst>
          </xdr:cNvPr>
          <xdr:cNvGrpSpPr/>
        </xdr:nvGrpSpPr>
        <xdr:grpSpPr>
          <a:xfrm>
            <a:off x="15689035" y="3660322"/>
            <a:ext cx="1728108" cy="639536"/>
            <a:chOff x="15729856" y="3714750"/>
            <a:chExt cx="1645800" cy="571500"/>
          </a:xfrm>
        </xdr:grpSpPr>
        <xdr:sp macro="[0]!set_dasis" textlink="">
          <xdr:nvSpPr>
            <xdr:cNvPr id="43" name="Rounded Rectangle 42">
              <a:extLst>
                <a:ext uri="{FF2B5EF4-FFF2-40B4-BE49-F238E27FC236}">
                  <a16:creationId xmlns:a16="http://schemas.microsoft.com/office/drawing/2014/main" id="{00000000-0008-0000-1200-00002B000000}"/>
                </a:ext>
              </a:extLst>
            </xdr:cNvPr>
            <xdr:cNvSpPr/>
          </xdr:nvSpPr>
          <xdr:spPr>
            <a:xfrm>
              <a:off x="15729856" y="3714750"/>
              <a:ext cx="1645800" cy="571500"/>
            </a:xfrm>
            <a:prstGeom prst="roundRect">
              <a:avLst/>
            </a:prstGeom>
            <a:solidFill>
              <a:srgbClr val="FF00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pic macro="[0]!set_dasis">
          <xdr:nvPicPr>
            <xdr:cNvPr id="44" name="Picture 43">
              <a:extLst>
                <a:ext uri="{FF2B5EF4-FFF2-40B4-BE49-F238E27FC236}">
                  <a16:creationId xmlns:a16="http://schemas.microsoft.com/office/drawing/2014/main" id="{00000000-0008-0000-1200-00002C000000}"/>
                </a:ext>
              </a:extLst>
            </xdr:cNvPr>
            <xdr:cNvPicPr>
              <a:picLocks noChangeAspect="1"/>
            </xdr:cNvPicPr>
          </xdr:nvPicPr>
          <xdr:blipFill>
            <a:blip xmlns:r="http://schemas.openxmlformats.org/officeDocument/2006/relationships" r:embed="rId12"/>
            <a:stretch>
              <a:fillRect/>
            </a:stretch>
          </xdr:blipFill>
          <xdr:spPr>
            <a:xfrm>
              <a:off x="16289572" y="3865312"/>
              <a:ext cx="1069827" cy="271019"/>
            </a:xfrm>
            <a:prstGeom prst="rect">
              <a:avLst/>
            </a:prstGeom>
          </xdr:spPr>
        </xdr:pic>
        <xdr:pic>
          <xdr:nvPicPr>
            <xdr:cNvPr id="45" name="Picture 44">
              <a:extLst>
                <a:ext uri="{FF2B5EF4-FFF2-40B4-BE49-F238E27FC236}">
                  <a16:creationId xmlns:a16="http://schemas.microsoft.com/office/drawing/2014/main" id="{00000000-0008-0000-1200-00002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5950530" y="3823004"/>
              <a:ext cx="323155" cy="373011"/>
            </a:xfrm>
            <a:prstGeom prst="rect">
              <a:avLst/>
            </a:prstGeom>
          </xdr:spPr>
        </xdr:pic>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plikasi%20Rapor%20Putra\Rapor%20Kelas%207-gena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PROYEK%20RAPOR%20PPISB\Sumber\RAPOR%20PKBM\Paket%20B%20edit%20Ngopi%20update%20202007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entitas"/>
      <sheetName val="Input Nilai"/>
      <sheetName val="Rapor"/>
      <sheetName val="Sheet1"/>
      <sheetName val="Huruf"/>
    </sheetNames>
    <sheetDataSet>
      <sheetData sheetId="0"/>
      <sheetData sheetId="1">
        <row r="7">
          <cell r="A7">
            <v>1</v>
          </cell>
          <cell r="B7" t="str">
            <v>Abdullah</v>
          </cell>
          <cell r="C7" t="str">
            <v>09.2020.275</v>
          </cell>
          <cell r="D7">
            <v>70</v>
          </cell>
          <cell r="E7">
            <v>71</v>
          </cell>
          <cell r="F7">
            <v>72</v>
          </cell>
          <cell r="G7">
            <v>73</v>
          </cell>
          <cell r="H7">
            <v>74</v>
          </cell>
          <cell r="I7">
            <v>75</v>
          </cell>
          <cell r="J7">
            <v>76</v>
          </cell>
          <cell r="K7">
            <v>77</v>
          </cell>
          <cell r="L7">
            <v>78</v>
          </cell>
          <cell r="M7">
            <v>79</v>
          </cell>
          <cell r="N7">
            <v>80</v>
          </cell>
          <cell r="O7">
            <v>81</v>
          </cell>
          <cell r="P7">
            <v>82</v>
          </cell>
          <cell r="Q7">
            <v>83</v>
          </cell>
          <cell r="R7">
            <v>1071</v>
          </cell>
          <cell r="S7">
            <v>76.5</v>
          </cell>
          <cell r="T7" t="str">
            <v>B</v>
          </cell>
          <cell r="U7" t="str">
            <v>B</v>
          </cell>
          <cell r="V7" t="str">
            <v>B</v>
          </cell>
          <cell r="W7">
            <v>1</v>
          </cell>
          <cell r="X7">
            <v>2</v>
          </cell>
          <cell r="Y7">
            <v>3</v>
          </cell>
          <cell r="Z7" t="str">
            <v>Alhamdulillah, Barokallohu fikum</v>
          </cell>
        </row>
        <row r="8">
          <cell r="A8">
            <v>2</v>
          </cell>
          <cell r="B8" t="str">
            <v>Arrafi Fahrezi</v>
          </cell>
          <cell r="C8" t="str">
            <v>09.2020.276</v>
          </cell>
          <cell r="D8">
            <v>71</v>
          </cell>
          <cell r="E8">
            <v>72</v>
          </cell>
          <cell r="F8">
            <v>73</v>
          </cell>
          <cell r="G8">
            <v>74</v>
          </cell>
          <cell r="H8">
            <v>75</v>
          </cell>
          <cell r="I8">
            <v>76</v>
          </cell>
          <cell r="J8">
            <v>77</v>
          </cell>
          <cell r="K8">
            <v>78</v>
          </cell>
          <cell r="L8">
            <v>79</v>
          </cell>
          <cell r="M8">
            <v>80</v>
          </cell>
          <cell r="N8">
            <v>81</v>
          </cell>
          <cell r="O8">
            <v>82</v>
          </cell>
          <cell r="P8">
            <v>83</v>
          </cell>
          <cell r="Q8">
            <v>84</v>
          </cell>
          <cell r="R8">
            <v>1085</v>
          </cell>
          <cell r="S8">
            <v>77.5</v>
          </cell>
          <cell r="T8" t="str">
            <v>B</v>
          </cell>
          <cell r="U8" t="str">
            <v>B</v>
          </cell>
          <cell r="V8" t="str">
            <v>B</v>
          </cell>
          <cell r="W8">
            <v>1</v>
          </cell>
          <cell r="X8">
            <v>2</v>
          </cell>
          <cell r="Y8">
            <v>3</v>
          </cell>
          <cell r="Z8" t="str">
            <v>Alhamdulillah, Barokallohu fikum</v>
          </cell>
        </row>
        <row r="9">
          <cell r="A9">
            <v>3</v>
          </cell>
          <cell r="B9" t="str">
            <v>Azhar Al-Azham</v>
          </cell>
          <cell r="C9" t="str">
            <v>09.2020.277</v>
          </cell>
          <cell r="D9">
            <v>72</v>
          </cell>
          <cell r="E9">
            <v>73</v>
          </cell>
          <cell r="F9">
            <v>74</v>
          </cell>
          <cell r="G9">
            <v>75</v>
          </cell>
          <cell r="H9">
            <v>76</v>
          </cell>
          <cell r="I9">
            <v>77</v>
          </cell>
          <cell r="J9">
            <v>78</v>
          </cell>
          <cell r="K9">
            <v>79</v>
          </cell>
          <cell r="L9">
            <v>80</v>
          </cell>
          <cell r="M9">
            <v>81</v>
          </cell>
          <cell r="N9">
            <v>82</v>
          </cell>
          <cell r="O9">
            <v>83</v>
          </cell>
          <cell r="P9">
            <v>84</v>
          </cell>
          <cell r="Q9">
            <v>85</v>
          </cell>
          <cell r="R9">
            <v>1099</v>
          </cell>
          <cell r="S9">
            <v>78.5</v>
          </cell>
          <cell r="T9" t="str">
            <v>B</v>
          </cell>
          <cell r="U9" t="str">
            <v>B</v>
          </cell>
          <cell r="V9" t="str">
            <v>B</v>
          </cell>
          <cell r="W9">
            <v>1</v>
          </cell>
          <cell r="X9">
            <v>2</v>
          </cell>
          <cell r="Y9">
            <v>3</v>
          </cell>
          <cell r="Z9" t="str">
            <v>Alhamdulillah, Barokallohu fikum</v>
          </cell>
        </row>
        <row r="10">
          <cell r="A10">
            <v>4</v>
          </cell>
          <cell r="B10" t="str">
            <v>Bima Mei Pratama</v>
          </cell>
          <cell r="C10" t="str">
            <v>09.2020.278</v>
          </cell>
          <cell r="D10">
            <v>73</v>
          </cell>
          <cell r="E10">
            <v>74</v>
          </cell>
          <cell r="F10">
            <v>75</v>
          </cell>
          <cell r="G10">
            <v>76</v>
          </cell>
          <cell r="H10">
            <v>77</v>
          </cell>
          <cell r="I10">
            <v>78</v>
          </cell>
          <cell r="J10">
            <v>79</v>
          </cell>
          <cell r="K10">
            <v>80</v>
          </cell>
          <cell r="L10">
            <v>81</v>
          </cell>
          <cell r="M10">
            <v>82</v>
          </cell>
          <cell r="N10">
            <v>83</v>
          </cell>
          <cell r="O10">
            <v>84</v>
          </cell>
          <cell r="P10">
            <v>85</v>
          </cell>
          <cell r="Q10">
            <v>86</v>
          </cell>
          <cell r="R10">
            <v>1113</v>
          </cell>
          <cell r="S10">
            <v>79.5</v>
          </cell>
          <cell r="T10" t="str">
            <v>B</v>
          </cell>
          <cell r="U10" t="str">
            <v>B</v>
          </cell>
          <cell r="V10" t="str">
            <v>B</v>
          </cell>
          <cell r="W10">
            <v>1</v>
          </cell>
          <cell r="X10">
            <v>2</v>
          </cell>
          <cell r="Y10">
            <v>3</v>
          </cell>
          <cell r="Z10" t="str">
            <v>Alhamdulillah, Barokallohu fikum</v>
          </cell>
        </row>
        <row r="11">
          <cell r="A11">
            <v>5</v>
          </cell>
          <cell r="B11" t="str">
            <v>Fabiansya Hamzaeni</v>
          </cell>
          <cell r="C11" t="str">
            <v>09.2020.279</v>
          </cell>
          <cell r="D11">
            <v>74</v>
          </cell>
          <cell r="E11">
            <v>75</v>
          </cell>
          <cell r="F11">
            <v>76</v>
          </cell>
          <cell r="G11">
            <v>77</v>
          </cell>
          <cell r="H11">
            <v>78</v>
          </cell>
          <cell r="I11">
            <v>79</v>
          </cell>
          <cell r="J11">
            <v>80</v>
          </cell>
          <cell r="K11">
            <v>81</v>
          </cell>
          <cell r="L11">
            <v>82</v>
          </cell>
          <cell r="M11">
            <v>83</v>
          </cell>
          <cell r="N11">
            <v>84</v>
          </cell>
          <cell r="O11">
            <v>85</v>
          </cell>
          <cell r="P11">
            <v>86</v>
          </cell>
          <cell r="Q11">
            <v>87</v>
          </cell>
          <cell r="R11">
            <v>1127</v>
          </cell>
          <cell r="S11">
            <v>80.5</v>
          </cell>
          <cell r="T11" t="str">
            <v>B</v>
          </cell>
          <cell r="U11" t="str">
            <v>B</v>
          </cell>
          <cell r="V11" t="str">
            <v>B</v>
          </cell>
          <cell r="W11">
            <v>1</v>
          </cell>
          <cell r="X11">
            <v>2</v>
          </cell>
          <cell r="Y11">
            <v>3</v>
          </cell>
          <cell r="Z11" t="str">
            <v>Alhamdulillah, Barokallohu fikum</v>
          </cell>
        </row>
        <row r="12">
          <cell r="A12">
            <v>6</v>
          </cell>
          <cell r="B12" t="str">
            <v>Firdaus Al-Fath</v>
          </cell>
          <cell r="C12" t="str">
            <v>09.2020.280</v>
          </cell>
          <cell r="D12">
            <v>75</v>
          </cell>
          <cell r="E12">
            <v>76</v>
          </cell>
          <cell r="F12">
            <v>77</v>
          </cell>
          <cell r="G12">
            <v>78</v>
          </cell>
          <cell r="H12">
            <v>79</v>
          </cell>
          <cell r="I12">
            <v>80</v>
          </cell>
          <cell r="J12">
            <v>81</v>
          </cell>
          <cell r="K12">
            <v>82</v>
          </cell>
          <cell r="L12">
            <v>83</v>
          </cell>
          <cell r="M12">
            <v>84</v>
          </cell>
          <cell r="N12">
            <v>85</v>
          </cell>
          <cell r="O12">
            <v>86</v>
          </cell>
          <cell r="P12">
            <v>87</v>
          </cell>
          <cell r="Q12">
            <v>88</v>
          </cell>
          <cell r="R12">
            <v>1141</v>
          </cell>
          <cell r="S12">
            <v>81.5</v>
          </cell>
          <cell r="T12" t="str">
            <v>B</v>
          </cell>
          <cell r="U12" t="str">
            <v>B</v>
          </cell>
          <cell r="V12" t="str">
            <v>B</v>
          </cell>
          <cell r="W12">
            <v>1</v>
          </cell>
          <cell r="X12">
            <v>2</v>
          </cell>
          <cell r="Y12">
            <v>3</v>
          </cell>
          <cell r="Z12" t="str">
            <v>Alhamdulillah, Barokallohu fikum</v>
          </cell>
        </row>
        <row r="13">
          <cell r="A13">
            <v>7</v>
          </cell>
          <cell r="B13" t="str">
            <v>Huzaifah Ramadhan Maulia Wibowo</v>
          </cell>
          <cell r="C13" t="str">
            <v>09.2020.281</v>
          </cell>
          <cell r="D13">
            <v>76</v>
          </cell>
          <cell r="E13">
            <v>77</v>
          </cell>
          <cell r="F13">
            <v>78</v>
          </cell>
          <cell r="G13">
            <v>79</v>
          </cell>
          <cell r="H13">
            <v>80</v>
          </cell>
          <cell r="I13">
            <v>81</v>
          </cell>
          <cell r="J13">
            <v>82</v>
          </cell>
          <cell r="K13">
            <v>83</v>
          </cell>
          <cell r="L13">
            <v>84</v>
          </cell>
          <cell r="M13">
            <v>85</v>
          </cell>
          <cell r="N13">
            <v>86</v>
          </cell>
          <cell r="O13">
            <v>87</v>
          </cell>
          <cell r="P13">
            <v>88</v>
          </cell>
          <cell r="Q13">
            <v>89</v>
          </cell>
          <cell r="R13">
            <v>1155</v>
          </cell>
          <cell r="S13">
            <v>82.5</v>
          </cell>
          <cell r="T13" t="str">
            <v>B</v>
          </cell>
          <cell r="U13" t="str">
            <v>B</v>
          </cell>
          <cell r="V13" t="str">
            <v>B</v>
          </cell>
          <cell r="W13">
            <v>1</v>
          </cell>
          <cell r="X13">
            <v>2</v>
          </cell>
          <cell r="Y13">
            <v>3</v>
          </cell>
          <cell r="Z13" t="str">
            <v>Alhamdulillah, Barokallohu fikum</v>
          </cell>
        </row>
        <row r="14">
          <cell r="A14">
            <v>8</v>
          </cell>
          <cell r="B14" t="str">
            <v>Indra Kurniawan</v>
          </cell>
          <cell r="C14" t="str">
            <v>09.2020.282</v>
          </cell>
          <cell r="D14">
            <v>77</v>
          </cell>
          <cell r="E14">
            <v>78</v>
          </cell>
          <cell r="F14">
            <v>79</v>
          </cell>
          <cell r="G14">
            <v>80</v>
          </cell>
          <cell r="H14">
            <v>81</v>
          </cell>
          <cell r="I14">
            <v>82</v>
          </cell>
          <cell r="J14">
            <v>83</v>
          </cell>
          <cell r="K14">
            <v>84</v>
          </cell>
          <cell r="L14">
            <v>85</v>
          </cell>
          <cell r="M14">
            <v>86</v>
          </cell>
          <cell r="N14">
            <v>87</v>
          </cell>
          <cell r="O14">
            <v>88</v>
          </cell>
          <cell r="P14">
            <v>89</v>
          </cell>
          <cell r="Q14">
            <v>90</v>
          </cell>
          <cell r="R14">
            <v>1169</v>
          </cell>
          <cell r="S14">
            <v>83.5</v>
          </cell>
          <cell r="T14" t="str">
            <v>B</v>
          </cell>
          <cell r="U14" t="str">
            <v>B</v>
          </cell>
          <cell r="V14" t="str">
            <v>B</v>
          </cell>
          <cell r="W14">
            <v>1</v>
          </cell>
          <cell r="X14">
            <v>2</v>
          </cell>
          <cell r="Y14">
            <v>3</v>
          </cell>
          <cell r="Z14" t="str">
            <v>Alhamdulillah, Barokallohu fikum</v>
          </cell>
        </row>
        <row r="15">
          <cell r="A15">
            <v>9</v>
          </cell>
          <cell r="B15" t="str">
            <v>Leysath Aksa</v>
          </cell>
          <cell r="C15" t="str">
            <v>09.2020.283</v>
          </cell>
          <cell r="D15">
            <v>78</v>
          </cell>
          <cell r="E15">
            <v>79</v>
          </cell>
          <cell r="F15">
            <v>80</v>
          </cell>
          <cell r="G15">
            <v>81</v>
          </cell>
          <cell r="H15">
            <v>82</v>
          </cell>
          <cell r="I15">
            <v>83</v>
          </cell>
          <cell r="J15">
            <v>84</v>
          </cell>
          <cell r="K15">
            <v>85</v>
          </cell>
          <cell r="L15">
            <v>86</v>
          </cell>
          <cell r="M15">
            <v>87</v>
          </cell>
          <cell r="N15">
            <v>88</v>
          </cell>
          <cell r="O15">
            <v>89</v>
          </cell>
          <cell r="P15">
            <v>90</v>
          </cell>
          <cell r="Q15">
            <v>91</v>
          </cell>
          <cell r="R15">
            <v>1183</v>
          </cell>
          <cell r="S15">
            <v>84.5</v>
          </cell>
          <cell r="T15" t="str">
            <v>B</v>
          </cell>
          <cell r="U15" t="str">
            <v>B</v>
          </cell>
          <cell r="V15" t="str">
            <v>B</v>
          </cell>
          <cell r="W15">
            <v>1</v>
          </cell>
          <cell r="X15">
            <v>2</v>
          </cell>
          <cell r="Y15">
            <v>3</v>
          </cell>
          <cell r="Z15" t="str">
            <v>Alhamdulillah, Barokallohu fikum</v>
          </cell>
        </row>
        <row r="16">
          <cell r="A16">
            <v>10</v>
          </cell>
          <cell r="B16" t="str">
            <v>M. Rifqi Kurniawan</v>
          </cell>
          <cell r="C16" t="str">
            <v>09.2020.284</v>
          </cell>
          <cell r="D16">
            <v>79</v>
          </cell>
          <cell r="E16">
            <v>80</v>
          </cell>
          <cell r="F16">
            <v>81</v>
          </cell>
          <cell r="G16">
            <v>82</v>
          </cell>
          <cell r="H16">
            <v>83</v>
          </cell>
          <cell r="I16">
            <v>84</v>
          </cell>
          <cell r="J16">
            <v>85</v>
          </cell>
          <cell r="K16">
            <v>86</v>
          </cell>
          <cell r="L16">
            <v>87</v>
          </cell>
          <cell r="M16">
            <v>88</v>
          </cell>
          <cell r="N16">
            <v>89</v>
          </cell>
          <cell r="O16">
            <v>90</v>
          </cell>
          <cell r="P16">
            <v>91</v>
          </cell>
          <cell r="Q16">
            <v>92</v>
          </cell>
          <cell r="R16">
            <v>1197</v>
          </cell>
          <cell r="S16">
            <v>85.5</v>
          </cell>
          <cell r="T16" t="str">
            <v>B</v>
          </cell>
          <cell r="U16" t="str">
            <v>B</v>
          </cell>
          <cell r="V16" t="str">
            <v>B</v>
          </cell>
          <cell r="W16">
            <v>1</v>
          </cell>
          <cell r="X16">
            <v>2</v>
          </cell>
          <cell r="Y16">
            <v>3</v>
          </cell>
          <cell r="Z16" t="str">
            <v>Alhamdulillah, Barokallohu fikum</v>
          </cell>
        </row>
        <row r="17">
          <cell r="A17">
            <v>11</v>
          </cell>
          <cell r="B17" t="str">
            <v>Mohamad Fatih Haikal</v>
          </cell>
          <cell r="C17" t="str">
            <v>09.2020.286</v>
          </cell>
          <cell r="D17">
            <v>80</v>
          </cell>
          <cell r="E17">
            <v>81</v>
          </cell>
          <cell r="F17">
            <v>82</v>
          </cell>
          <cell r="G17">
            <v>83</v>
          </cell>
          <cell r="H17">
            <v>84</v>
          </cell>
          <cell r="I17">
            <v>85</v>
          </cell>
          <cell r="J17">
            <v>86</v>
          </cell>
          <cell r="K17">
            <v>87</v>
          </cell>
          <cell r="L17">
            <v>88</v>
          </cell>
          <cell r="M17">
            <v>89</v>
          </cell>
          <cell r="N17">
            <v>90</v>
          </cell>
          <cell r="O17">
            <v>91</v>
          </cell>
          <cell r="P17">
            <v>92</v>
          </cell>
          <cell r="Q17">
            <v>93</v>
          </cell>
          <cell r="R17">
            <v>1211</v>
          </cell>
          <cell r="S17">
            <v>86.5</v>
          </cell>
          <cell r="T17" t="str">
            <v>B</v>
          </cell>
          <cell r="U17" t="str">
            <v>B</v>
          </cell>
          <cell r="V17" t="str">
            <v>B</v>
          </cell>
          <cell r="W17">
            <v>1</v>
          </cell>
          <cell r="X17">
            <v>2</v>
          </cell>
          <cell r="Y17">
            <v>3</v>
          </cell>
          <cell r="Z17" t="str">
            <v>Alhamdulillah, Barokallohu fikum</v>
          </cell>
        </row>
        <row r="18">
          <cell r="A18">
            <v>12</v>
          </cell>
          <cell r="B18" t="str">
            <v>Muhammad Ibrahim</v>
          </cell>
          <cell r="C18" t="str">
            <v>09.2020.287</v>
          </cell>
          <cell r="D18">
            <v>81</v>
          </cell>
          <cell r="E18">
            <v>82</v>
          </cell>
          <cell r="F18">
            <v>83</v>
          </cell>
          <cell r="G18">
            <v>84</v>
          </cell>
          <cell r="H18">
            <v>85</v>
          </cell>
          <cell r="I18">
            <v>86</v>
          </cell>
          <cell r="J18">
            <v>87</v>
          </cell>
          <cell r="K18">
            <v>88</v>
          </cell>
          <cell r="L18">
            <v>89</v>
          </cell>
          <cell r="M18">
            <v>90</v>
          </cell>
          <cell r="N18">
            <v>91</v>
          </cell>
          <cell r="O18">
            <v>92</v>
          </cell>
          <cell r="P18">
            <v>93</v>
          </cell>
          <cell r="Q18">
            <v>94</v>
          </cell>
          <cell r="R18">
            <v>1225</v>
          </cell>
          <cell r="S18">
            <v>87.5</v>
          </cell>
          <cell r="T18" t="str">
            <v>B</v>
          </cell>
          <cell r="U18" t="str">
            <v>B</v>
          </cell>
          <cell r="V18" t="str">
            <v>B</v>
          </cell>
          <cell r="W18">
            <v>1</v>
          </cell>
          <cell r="X18">
            <v>2</v>
          </cell>
          <cell r="Y18">
            <v>3</v>
          </cell>
          <cell r="Z18" t="str">
            <v>Alhamdulillah, Barokallohu fikum</v>
          </cell>
        </row>
        <row r="19">
          <cell r="A19">
            <v>13</v>
          </cell>
          <cell r="B19" t="str">
            <v>Muhammad Tsani Najib</v>
          </cell>
          <cell r="C19" t="str">
            <v>09.2020.289</v>
          </cell>
          <cell r="D19">
            <v>82</v>
          </cell>
          <cell r="E19">
            <v>83</v>
          </cell>
          <cell r="F19">
            <v>84</v>
          </cell>
          <cell r="G19">
            <v>85</v>
          </cell>
          <cell r="H19">
            <v>86</v>
          </cell>
          <cell r="I19">
            <v>87</v>
          </cell>
          <cell r="J19">
            <v>88</v>
          </cell>
          <cell r="K19">
            <v>89</v>
          </cell>
          <cell r="L19">
            <v>90</v>
          </cell>
          <cell r="M19">
            <v>91</v>
          </cell>
          <cell r="N19">
            <v>92</v>
          </cell>
          <cell r="O19">
            <v>93</v>
          </cell>
          <cell r="P19">
            <v>94</v>
          </cell>
          <cell r="Q19">
            <v>95</v>
          </cell>
          <cell r="R19">
            <v>1239</v>
          </cell>
          <cell r="S19">
            <v>88.5</v>
          </cell>
          <cell r="T19" t="str">
            <v>B</v>
          </cell>
          <cell r="U19" t="str">
            <v>B</v>
          </cell>
          <cell r="V19" t="str">
            <v>B</v>
          </cell>
          <cell r="W19">
            <v>1</v>
          </cell>
          <cell r="X19">
            <v>2</v>
          </cell>
          <cell r="Y19">
            <v>3</v>
          </cell>
          <cell r="Z19" t="str">
            <v>Alhamdulillah, Barokallohu fikum</v>
          </cell>
        </row>
        <row r="20">
          <cell r="A20">
            <v>14</v>
          </cell>
          <cell r="B20" t="str">
            <v>Muwahid Yusuf Abdullah</v>
          </cell>
          <cell r="C20" t="str">
            <v>09.2020.290</v>
          </cell>
          <cell r="D20">
            <v>83</v>
          </cell>
          <cell r="E20">
            <v>84</v>
          </cell>
          <cell r="F20">
            <v>85</v>
          </cell>
          <cell r="G20">
            <v>86</v>
          </cell>
          <cell r="H20">
            <v>87</v>
          </cell>
          <cell r="I20">
            <v>88</v>
          </cell>
          <cell r="J20">
            <v>89</v>
          </cell>
          <cell r="K20">
            <v>90</v>
          </cell>
          <cell r="L20">
            <v>91</v>
          </cell>
          <cell r="M20">
            <v>92</v>
          </cell>
          <cell r="N20">
            <v>93</v>
          </cell>
          <cell r="O20">
            <v>94</v>
          </cell>
          <cell r="P20">
            <v>95</v>
          </cell>
          <cell r="Q20">
            <v>96</v>
          </cell>
          <cell r="R20">
            <v>1253</v>
          </cell>
          <cell r="S20">
            <v>89.5</v>
          </cell>
          <cell r="T20" t="str">
            <v>B</v>
          </cell>
          <cell r="U20" t="str">
            <v>B</v>
          </cell>
          <cell r="V20" t="str">
            <v>B</v>
          </cell>
          <cell r="W20">
            <v>1</v>
          </cell>
          <cell r="X20">
            <v>2</v>
          </cell>
          <cell r="Y20">
            <v>3</v>
          </cell>
          <cell r="Z20" t="str">
            <v>Alhamdulillah, Barokallohu fikum</v>
          </cell>
        </row>
        <row r="21">
          <cell r="A21">
            <v>15</v>
          </cell>
          <cell r="B21" t="str">
            <v>Nashzar As Syifa</v>
          </cell>
          <cell r="C21" t="str">
            <v>09.2020.291</v>
          </cell>
          <cell r="D21">
            <v>84</v>
          </cell>
          <cell r="E21">
            <v>85</v>
          </cell>
          <cell r="F21">
            <v>86</v>
          </cell>
          <cell r="G21">
            <v>87</v>
          </cell>
          <cell r="H21">
            <v>88</v>
          </cell>
          <cell r="I21">
            <v>89</v>
          </cell>
          <cell r="J21">
            <v>90</v>
          </cell>
          <cell r="K21">
            <v>91</v>
          </cell>
          <cell r="L21">
            <v>92</v>
          </cell>
          <cell r="M21">
            <v>93</v>
          </cell>
          <cell r="N21">
            <v>94</v>
          </cell>
          <cell r="O21">
            <v>95</v>
          </cell>
          <cell r="P21">
            <v>96</v>
          </cell>
          <cell r="Q21">
            <v>97</v>
          </cell>
          <cell r="R21">
            <v>1267</v>
          </cell>
          <cell r="S21">
            <v>90.5</v>
          </cell>
          <cell r="T21" t="str">
            <v>B</v>
          </cell>
          <cell r="U21" t="str">
            <v>B</v>
          </cell>
          <cell r="V21" t="str">
            <v>B</v>
          </cell>
          <cell r="W21">
            <v>1</v>
          </cell>
          <cell r="X21">
            <v>2</v>
          </cell>
          <cell r="Y21">
            <v>3</v>
          </cell>
          <cell r="Z21" t="str">
            <v>Alhamdulillah, Barokallohu fikum</v>
          </cell>
        </row>
        <row r="22">
          <cell r="A22">
            <v>16</v>
          </cell>
          <cell r="B22" t="str">
            <v>Nuh Danial Aziz</v>
          </cell>
          <cell r="C22" t="str">
            <v>09.2020.292</v>
          </cell>
          <cell r="D22">
            <v>85</v>
          </cell>
          <cell r="E22">
            <v>86</v>
          </cell>
          <cell r="F22">
            <v>87</v>
          </cell>
          <cell r="G22">
            <v>88</v>
          </cell>
          <cell r="H22">
            <v>89</v>
          </cell>
          <cell r="I22">
            <v>90</v>
          </cell>
          <cell r="J22">
            <v>91</v>
          </cell>
          <cell r="K22">
            <v>92</v>
          </cell>
          <cell r="L22">
            <v>93</v>
          </cell>
          <cell r="M22">
            <v>94</v>
          </cell>
          <cell r="N22">
            <v>95</v>
          </cell>
          <cell r="O22">
            <v>96</v>
          </cell>
          <cell r="P22">
            <v>97</v>
          </cell>
          <cell r="Q22">
            <v>98</v>
          </cell>
          <cell r="R22">
            <v>1281</v>
          </cell>
          <cell r="S22">
            <v>91.5</v>
          </cell>
          <cell r="T22" t="str">
            <v>B</v>
          </cell>
          <cell r="U22" t="str">
            <v>B</v>
          </cell>
          <cell r="V22" t="str">
            <v>B</v>
          </cell>
          <cell r="W22">
            <v>1</v>
          </cell>
          <cell r="X22">
            <v>2</v>
          </cell>
          <cell r="Y22">
            <v>3</v>
          </cell>
          <cell r="Z22" t="str">
            <v>Alhamdulillah, Barokallohu fikum</v>
          </cell>
        </row>
        <row r="23">
          <cell r="A23">
            <v>17</v>
          </cell>
          <cell r="B23" t="str">
            <v>Prasetiyo Sakti Pratama</v>
          </cell>
          <cell r="C23" t="str">
            <v>09.2020.293</v>
          </cell>
          <cell r="D23">
            <v>70</v>
          </cell>
          <cell r="E23">
            <v>71</v>
          </cell>
          <cell r="F23">
            <v>72</v>
          </cell>
          <cell r="G23">
            <v>73</v>
          </cell>
          <cell r="H23">
            <v>74</v>
          </cell>
          <cell r="I23">
            <v>75</v>
          </cell>
          <cell r="J23">
            <v>76</v>
          </cell>
          <cell r="K23">
            <v>77</v>
          </cell>
          <cell r="L23">
            <v>78</v>
          </cell>
          <cell r="M23">
            <v>79</v>
          </cell>
          <cell r="N23">
            <v>80</v>
          </cell>
          <cell r="O23">
            <v>81</v>
          </cell>
          <cell r="P23">
            <v>82</v>
          </cell>
          <cell r="Q23">
            <v>83</v>
          </cell>
          <cell r="R23">
            <v>1071</v>
          </cell>
          <cell r="S23">
            <v>76.5</v>
          </cell>
          <cell r="T23" t="str">
            <v>B</v>
          </cell>
          <cell r="U23" t="str">
            <v>B</v>
          </cell>
          <cell r="V23" t="str">
            <v>B</v>
          </cell>
          <cell r="W23">
            <v>1</v>
          </cell>
          <cell r="X23">
            <v>2</v>
          </cell>
          <cell r="Y23">
            <v>3</v>
          </cell>
          <cell r="Z23" t="str">
            <v>Alhamdulillah, Barokallohu fikum</v>
          </cell>
        </row>
        <row r="24">
          <cell r="A24">
            <v>18</v>
          </cell>
          <cell r="B24" t="str">
            <v>Raihan Wedo Waluyo</v>
          </cell>
          <cell r="C24" t="str">
            <v>09.2020.294</v>
          </cell>
          <cell r="D24">
            <v>71</v>
          </cell>
          <cell r="E24">
            <v>72</v>
          </cell>
          <cell r="F24">
            <v>73</v>
          </cell>
          <cell r="G24">
            <v>74</v>
          </cell>
          <cell r="H24">
            <v>75</v>
          </cell>
          <cell r="I24">
            <v>76</v>
          </cell>
          <cell r="J24">
            <v>77</v>
          </cell>
          <cell r="K24">
            <v>78</v>
          </cell>
          <cell r="L24">
            <v>79</v>
          </cell>
          <cell r="M24">
            <v>80</v>
          </cell>
          <cell r="N24">
            <v>81</v>
          </cell>
          <cell r="O24">
            <v>82</v>
          </cell>
          <cell r="P24">
            <v>83</v>
          </cell>
          <cell r="Q24">
            <v>84</v>
          </cell>
          <cell r="R24">
            <v>1085</v>
          </cell>
          <cell r="S24">
            <v>77.5</v>
          </cell>
          <cell r="T24" t="str">
            <v>B</v>
          </cell>
          <cell r="U24" t="str">
            <v>B</v>
          </cell>
          <cell r="V24" t="str">
            <v>B</v>
          </cell>
          <cell r="W24">
            <v>1</v>
          </cell>
          <cell r="X24">
            <v>2</v>
          </cell>
          <cell r="Y24">
            <v>3</v>
          </cell>
          <cell r="Z24" t="str">
            <v>Alhamdulillah, Barokallohu fikum</v>
          </cell>
        </row>
        <row r="25">
          <cell r="A25">
            <v>19</v>
          </cell>
          <cell r="B25" t="str">
            <v>Restu Akbar</v>
          </cell>
          <cell r="C25" t="str">
            <v>09.2020.296</v>
          </cell>
          <cell r="D25">
            <v>72</v>
          </cell>
          <cell r="E25">
            <v>73</v>
          </cell>
          <cell r="F25">
            <v>74</v>
          </cell>
          <cell r="G25">
            <v>75</v>
          </cell>
          <cell r="H25">
            <v>76</v>
          </cell>
          <cell r="I25">
            <v>77</v>
          </cell>
          <cell r="J25">
            <v>78</v>
          </cell>
          <cell r="K25">
            <v>79</v>
          </cell>
          <cell r="L25">
            <v>80</v>
          </cell>
          <cell r="M25">
            <v>81</v>
          </cell>
          <cell r="N25">
            <v>82</v>
          </cell>
          <cell r="O25">
            <v>83</v>
          </cell>
          <cell r="P25">
            <v>84</v>
          </cell>
          <cell r="Q25">
            <v>85</v>
          </cell>
          <cell r="R25">
            <v>1099</v>
          </cell>
          <cell r="S25">
            <v>78.5</v>
          </cell>
          <cell r="T25" t="str">
            <v>B</v>
          </cell>
          <cell r="U25" t="str">
            <v>B</v>
          </cell>
          <cell r="V25" t="str">
            <v>B</v>
          </cell>
          <cell r="W25">
            <v>1</v>
          </cell>
          <cell r="X25">
            <v>2</v>
          </cell>
          <cell r="Y25">
            <v>3</v>
          </cell>
          <cell r="Z25" t="str">
            <v>Alhamdulillah, Barokallohu fikum</v>
          </cell>
        </row>
        <row r="26">
          <cell r="A26">
            <v>20</v>
          </cell>
          <cell r="B26" t="str">
            <v>Shubkhan Ni'amurokhman</v>
          </cell>
          <cell r="C26" t="str">
            <v>09.2020.297</v>
          </cell>
          <cell r="D26">
            <v>73</v>
          </cell>
          <cell r="E26">
            <v>74</v>
          </cell>
          <cell r="F26">
            <v>75</v>
          </cell>
          <cell r="G26">
            <v>76</v>
          </cell>
          <cell r="H26">
            <v>77</v>
          </cell>
          <cell r="I26">
            <v>78</v>
          </cell>
          <cell r="J26">
            <v>79</v>
          </cell>
          <cell r="K26">
            <v>80</v>
          </cell>
          <cell r="L26">
            <v>81</v>
          </cell>
          <cell r="M26">
            <v>82</v>
          </cell>
          <cell r="N26">
            <v>83</v>
          </cell>
          <cell r="O26">
            <v>84</v>
          </cell>
          <cell r="P26">
            <v>85</v>
          </cell>
          <cell r="Q26">
            <v>86</v>
          </cell>
          <cell r="R26">
            <v>1113</v>
          </cell>
          <cell r="S26">
            <v>79.5</v>
          </cell>
          <cell r="T26" t="str">
            <v>B</v>
          </cell>
          <cell r="U26" t="str">
            <v>B</v>
          </cell>
          <cell r="V26" t="str">
            <v>B</v>
          </cell>
          <cell r="W26">
            <v>1</v>
          </cell>
          <cell r="X26">
            <v>2</v>
          </cell>
          <cell r="Y26">
            <v>3</v>
          </cell>
          <cell r="Z26" t="str">
            <v>Alhamdulillah, Barokallohu fikum</v>
          </cell>
        </row>
        <row r="27">
          <cell r="A27">
            <v>21</v>
          </cell>
          <cell r="B27" t="str">
            <v>Syarif Faishal firdaus</v>
          </cell>
          <cell r="C27" t="str">
            <v>09.2020.298</v>
          </cell>
          <cell r="D27">
            <v>74</v>
          </cell>
          <cell r="E27">
            <v>75</v>
          </cell>
          <cell r="F27">
            <v>76</v>
          </cell>
          <cell r="G27">
            <v>77</v>
          </cell>
          <cell r="H27">
            <v>78</v>
          </cell>
          <cell r="I27">
            <v>79</v>
          </cell>
          <cell r="J27">
            <v>80</v>
          </cell>
          <cell r="K27">
            <v>81</v>
          </cell>
          <cell r="L27">
            <v>82</v>
          </cell>
          <cell r="M27">
            <v>83</v>
          </cell>
          <cell r="N27">
            <v>84</v>
          </cell>
          <cell r="O27">
            <v>85</v>
          </cell>
          <cell r="P27">
            <v>86</v>
          </cell>
          <cell r="Q27">
            <v>87</v>
          </cell>
          <cell r="R27">
            <v>1127</v>
          </cell>
          <cell r="S27">
            <v>80.5</v>
          </cell>
          <cell r="T27" t="str">
            <v>B</v>
          </cell>
          <cell r="U27" t="str">
            <v>B</v>
          </cell>
          <cell r="V27" t="str">
            <v>B</v>
          </cell>
          <cell r="W27">
            <v>1</v>
          </cell>
          <cell r="X27">
            <v>2</v>
          </cell>
          <cell r="Y27">
            <v>3</v>
          </cell>
          <cell r="Z27" t="str">
            <v>Alhamdulillah, Barokallohu fikum</v>
          </cell>
        </row>
        <row r="28">
          <cell r="A28">
            <v>22</v>
          </cell>
          <cell r="B28" t="str">
            <v>Zhafran Ramadhan</v>
          </cell>
          <cell r="C28" t="str">
            <v>09.2020.299</v>
          </cell>
          <cell r="D28">
            <v>75</v>
          </cell>
          <cell r="E28">
            <v>76</v>
          </cell>
          <cell r="F28">
            <v>77</v>
          </cell>
          <cell r="G28">
            <v>78</v>
          </cell>
          <cell r="H28">
            <v>79</v>
          </cell>
          <cell r="I28">
            <v>80</v>
          </cell>
          <cell r="J28">
            <v>81</v>
          </cell>
          <cell r="K28">
            <v>82</v>
          </cell>
          <cell r="L28">
            <v>83</v>
          </cell>
          <cell r="M28">
            <v>84</v>
          </cell>
          <cell r="N28">
            <v>85</v>
          </cell>
          <cell r="O28">
            <v>86</v>
          </cell>
          <cell r="P28">
            <v>87</v>
          </cell>
          <cell r="Q28">
            <v>88</v>
          </cell>
          <cell r="R28">
            <v>1141</v>
          </cell>
          <cell r="S28">
            <v>81.5</v>
          </cell>
          <cell r="T28" t="str">
            <v>B</v>
          </cell>
          <cell r="U28" t="str">
            <v>B</v>
          </cell>
          <cell r="V28" t="str">
            <v>B</v>
          </cell>
          <cell r="W28">
            <v>1</v>
          </cell>
          <cell r="X28">
            <v>2</v>
          </cell>
          <cell r="Y28">
            <v>3</v>
          </cell>
          <cell r="Z28" t="str">
            <v>Alhamdulillah, Barokallohu fikum</v>
          </cell>
        </row>
        <row r="29">
          <cell r="A29">
            <v>23</v>
          </cell>
          <cell r="R29">
            <v>0</v>
          </cell>
          <cell r="S29" t="str">
            <v/>
          </cell>
        </row>
        <row r="30">
          <cell r="A30">
            <v>24</v>
          </cell>
          <cell r="R30">
            <v>0</v>
          </cell>
          <cell r="S30" t="str">
            <v/>
          </cell>
        </row>
        <row r="31">
          <cell r="A31">
            <v>25</v>
          </cell>
          <cell r="R31">
            <v>0</v>
          </cell>
          <cell r="S31" t="str">
            <v/>
          </cell>
        </row>
        <row r="32">
          <cell r="A32">
            <v>26</v>
          </cell>
          <cell r="R32">
            <v>0</v>
          </cell>
          <cell r="S32" t="str">
            <v/>
          </cell>
        </row>
        <row r="33">
          <cell r="A33">
            <v>27</v>
          </cell>
          <cell r="R33">
            <v>0</v>
          </cell>
          <cell r="S33" t="str">
            <v/>
          </cell>
        </row>
        <row r="34">
          <cell r="A34">
            <v>28</v>
          </cell>
          <cell r="R34">
            <v>0</v>
          </cell>
          <cell r="S34" t="str">
            <v/>
          </cell>
        </row>
        <row r="35">
          <cell r="A35">
            <v>29</v>
          </cell>
          <cell r="R35">
            <v>0</v>
          </cell>
          <cell r="S35" t="str">
            <v/>
          </cell>
        </row>
        <row r="36">
          <cell r="A36">
            <v>30</v>
          </cell>
          <cell r="R36">
            <v>0</v>
          </cell>
          <cell r="S36" t="str">
            <v/>
          </cell>
        </row>
        <row r="37">
          <cell r="A37">
            <v>31</v>
          </cell>
          <cell r="R37">
            <v>0</v>
          </cell>
          <cell r="S37" t="str">
            <v/>
          </cell>
        </row>
        <row r="38">
          <cell r="A38">
            <v>32</v>
          </cell>
          <cell r="R38">
            <v>0</v>
          </cell>
          <cell r="S38" t="str">
            <v/>
          </cell>
        </row>
        <row r="39">
          <cell r="A39">
            <v>33</v>
          </cell>
          <cell r="R39">
            <v>0</v>
          </cell>
          <cell r="S39" t="str">
            <v/>
          </cell>
        </row>
        <row r="40">
          <cell r="A40">
            <v>34</v>
          </cell>
          <cell r="R40">
            <v>0</v>
          </cell>
          <cell r="S40" t="str">
            <v/>
          </cell>
        </row>
        <row r="41">
          <cell r="A41">
            <v>35</v>
          </cell>
          <cell r="R41">
            <v>0</v>
          </cell>
          <cell r="S41" t="str">
            <v/>
          </cell>
        </row>
        <row r="42">
          <cell r="A42">
            <v>36</v>
          </cell>
          <cell r="R42">
            <v>0</v>
          </cell>
          <cell r="S42" t="str">
            <v/>
          </cell>
        </row>
        <row r="43">
          <cell r="A43">
            <v>37</v>
          </cell>
          <cell r="R43">
            <v>0</v>
          </cell>
          <cell r="S43" t="str">
            <v/>
          </cell>
        </row>
        <row r="44">
          <cell r="A44">
            <v>38</v>
          </cell>
          <cell r="R44">
            <v>0</v>
          </cell>
          <cell r="S44" t="str">
            <v/>
          </cell>
        </row>
        <row r="45">
          <cell r="A45">
            <v>39</v>
          </cell>
          <cell r="R45">
            <v>0</v>
          </cell>
          <cell r="S45" t="str">
            <v/>
          </cell>
        </row>
        <row r="46">
          <cell r="A46">
            <v>40</v>
          </cell>
          <cell r="R46">
            <v>0</v>
          </cell>
          <cell r="S46" t="str">
            <v/>
          </cell>
        </row>
      </sheetData>
      <sheetData sheetId="2"/>
      <sheetData sheetId="3">
        <row r="3">
          <cell r="A3">
            <v>0</v>
          </cell>
          <cell r="B3" t="str">
            <v>Nol</v>
          </cell>
        </row>
        <row r="4">
          <cell r="A4">
            <v>1</v>
          </cell>
          <cell r="B4" t="str">
            <v xml:space="preserve">Satu  </v>
          </cell>
        </row>
        <row r="5">
          <cell r="A5">
            <v>2</v>
          </cell>
          <cell r="B5" t="str">
            <v xml:space="preserve">Dua  </v>
          </cell>
        </row>
        <row r="6">
          <cell r="A6">
            <v>3</v>
          </cell>
          <cell r="B6" t="str">
            <v xml:space="preserve">Tiga  </v>
          </cell>
        </row>
        <row r="7">
          <cell r="A7">
            <v>4</v>
          </cell>
          <cell r="B7" t="str">
            <v xml:space="preserve">Empat  </v>
          </cell>
        </row>
        <row r="8">
          <cell r="A8">
            <v>5</v>
          </cell>
          <cell r="B8" t="str">
            <v xml:space="preserve">Lima  </v>
          </cell>
        </row>
        <row r="9">
          <cell r="A9">
            <v>6</v>
          </cell>
          <cell r="B9" t="str">
            <v xml:space="preserve">Enam  </v>
          </cell>
        </row>
        <row r="10">
          <cell r="A10">
            <v>7</v>
          </cell>
          <cell r="B10" t="str">
            <v xml:space="preserve">Tujuh  </v>
          </cell>
        </row>
        <row r="11">
          <cell r="A11">
            <v>8</v>
          </cell>
          <cell r="B11" t="str">
            <v xml:space="preserve">Delapan  </v>
          </cell>
        </row>
        <row r="12">
          <cell r="A12">
            <v>9</v>
          </cell>
          <cell r="B12" t="str">
            <v xml:space="preserve">Sembilan  </v>
          </cell>
        </row>
        <row r="13">
          <cell r="A13">
            <v>10</v>
          </cell>
          <cell r="B13" t="str">
            <v xml:space="preserve">Sepuluh  </v>
          </cell>
        </row>
        <row r="14">
          <cell r="A14">
            <v>11</v>
          </cell>
          <cell r="B14" t="str">
            <v xml:space="preserve">Sebelas  </v>
          </cell>
        </row>
        <row r="15">
          <cell r="A15">
            <v>12</v>
          </cell>
          <cell r="B15" t="str">
            <v xml:space="preserve">Dua belas  </v>
          </cell>
        </row>
        <row r="16">
          <cell r="A16">
            <v>13</v>
          </cell>
          <cell r="B16" t="str">
            <v xml:space="preserve">Tiga belas  </v>
          </cell>
        </row>
        <row r="17">
          <cell r="A17">
            <v>14</v>
          </cell>
          <cell r="B17" t="str">
            <v xml:space="preserve">Empat belas  </v>
          </cell>
        </row>
        <row r="18">
          <cell r="A18">
            <v>15</v>
          </cell>
          <cell r="B18" t="str">
            <v xml:space="preserve">Lima belas  </v>
          </cell>
        </row>
        <row r="19">
          <cell r="A19">
            <v>16</v>
          </cell>
          <cell r="B19" t="str">
            <v xml:space="preserve">Enam belas  </v>
          </cell>
        </row>
        <row r="20">
          <cell r="A20">
            <v>17</v>
          </cell>
          <cell r="B20" t="str">
            <v xml:space="preserve">Tujuh belas  </v>
          </cell>
        </row>
        <row r="21">
          <cell r="A21">
            <v>18</v>
          </cell>
          <cell r="B21" t="str">
            <v xml:space="preserve">Delapan belas  </v>
          </cell>
        </row>
        <row r="22">
          <cell r="A22">
            <v>19</v>
          </cell>
          <cell r="B22" t="str">
            <v xml:space="preserve">Sembilan belas  </v>
          </cell>
        </row>
        <row r="23">
          <cell r="A23">
            <v>20</v>
          </cell>
          <cell r="B23" t="str">
            <v xml:space="preserve">Dua puluh  </v>
          </cell>
        </row>
        <row r="24">
          <cell r="A24">
            <v>21</v>
          </cell>
          <cell r="B24" t="str">
            <v xml:space="preserve">Dua puluh satu  </v>
          </cell>
        </row>
        <row r="25">
          <cell r="A25">
            <v>22</v>
          </cell>
          <cell r="B25" t="str">
            <v xml:space="preserve">Dua puluh dua  </v>
          </cell>
        </row>
        <row r="26">
          <cell r="A26">
            <v>23</v>
          </cell>
          <cell r="B26" t="str">
            <v xml:space="preserve">Dua puluh tiga  </v>
          </cell>
        </row>
        <row r="27">
          <cell r="A27">
            <v>24</v>
          </cell>
          <cell r="B27" t="str">
            <v xml:space="preserve">Dua puluh empat  </v>
          </cell>
        </row>
        <row r="28">
          <cell r="A28">
            <v>25</v>
          </cell>
          <cell r="B28" t="str">
            <v xml:space="preserve">Dua puluh lima  </v>
          </cell>
        </row>
        <row r="29">
          <cell r="A29">
            <v>26</v>
          </cell>
          <cell r="B29" t="str">
            <v xml:space="preserve">Dua puluh enam  </v>
          </cell>
        </row>
        <row r="30">
          <cell r="A30">
            <v>27</v>
          </cell>
          <cell r="B30" t="str">
            <v xml:space="preserve">Dua puluh tujuh  </v>
          </cell>
        </row>
        <row r="31">
          <cell r="A31">
            <v>28</v>
          </cell>
          <cell r="B31" t="str">
            <v xml:space="preserve">Dua puluh delapan  </v>
          </cell>
        </row>
        <row r="32">
          <cell r="A32">
            <v>29</v>
          </cell>
          <cell r="B32" t="str">
            <v xml:space="preserve">Dua puluh sembilan  </v>
          </cell>
        </row>
        <row r="33">
          <cell r="A33">
            <v>30</v>
          </cell>
          <cell r="B33" t="str">
            <v xml:space="preserve">Tiga puluh  </v>
          </cell>
        </row>
        <row r="34">
          <cell r="A34">
            <v>31</v>
          </cell>
          <cell r="B34" t="str">
            <v xml:space="preserve">Tiga puluh satu  </v>
          </cell>
        </row>
        <row r="35">
          <cell r="A35">
            <v>32</v>
          </cell>
          <cell r="B35" t="str">
            <v xml:space="preserve">Tiga puluh dua  </v>
          </cell>
        </row>
        <row r="36">
          <cell r="A36">
            <v>33</v>
          </cell>
          <cell r="B36" t="str">
            <v xml:space="preserve">Tiga puluh tiga  </v>
          </cell>
        </row>
        <row r="37">
          <cell r="A37">
            <v>34</v>
          </cell>
          <cell r="B37" t="str">
            <v xml:space="preserve">Tiga puluh empat  </v>
          </cell>
        </row>
        <row r="38">
          <cell r="A38">
            <v>35</v>
          </cell>
          <cell r="B38" t="str">
            <v xml:space="preserve">Tiga puluh lima  </v>
          </cell>
        </row>
        <row r="39">
          <cell r="A39">
            <v>36</v>
          </cell>
          <cell r="B39" t="str">
            <v xml:space="preserve">Tiga puluh enam  </v>
          </cell>
        </row>
        <row r="40">
          <cell r="A40">
            <v>37</v>
          </cell>
          <cell r="B40" t="str">
            <v xml:space="preserve">Tiga puluh tujuh  </v>
          </cell>
        </row>
        <row r="41">
          <cell r="A41">
            <v>38</v>
          </cell>
          <cell r="B41" t="str">
            <v xml:space="preserve">Tiga puluh delapan  </v>
          </cell>
        </row>
        <row r="42">
          <cell r="A42">
            <v>39</v>
          </cell>
          <cell r="B42" t="str">
            <v xml:space="preserve">Tiga puluh sembilan  </v>
          </cell>
        </row>
        <row r="43">
          <cell r="A43">
            <v>40</v>
          </cell>
          <cell r="B43" t="str">
            <v xml:space="preserve">Empat puluh  </v>
          </cell>
        </row>
        <row r="44">
          <cell r="A44">
            <v>41</v>
          </cell>
          <cell r="B44" t="str">
            <v xml:space="preserve">Empat puluh satu  </v>
          </cell>
        </row>
        <row r="45">
          <cell r="A45">
            <v>42</v>
          </cell>
          <cell r="B45" t="str">
            <v xml:space="preserve">Empat puluh dua  </v>
          </cell>
        </row>
        <row r="46">
          <cell r="A46">
            <v>43</v>
          </cell>
          <cell r="B46" t="str">
            <v xml:space="preserve">Empat puluh tiga  </v>
          </cell>
        </row>
        <row r="47">
          <cell r="A47">
            <v>44</v>
          </cell>
          <cell r="B47" t="str">
            <v xml:space="preserve">Empat puluh empat  </v>
          </cell>
        </row>
        <row r="48">
          <cell r="A48">
            <v>45</v>
          </cell>
          <cell r="B48" t="str">
            <v xml:space="preserve">Empat puluh lima  </v>
          </cell>
        </row>
        <row r="49">
          <cell r="A49">
            <v>46</v>
          </cell>
          <cell r="B49" t="str">
            <v xml:space="preserve">Empat puluh enam  </v>
          </cell>
        </row>
        <row r="50">
          <cell r="A50">
            <v>47</v>
          </cell>
          <cell r="B50" t="str">
            <v xml:space="preserve">Empat puluh tujuh  </v>
          </cell>
        </row>
        <row r="51">
          <cell r="A51">
            <v>48</v>
          </cell>
          <cell r="B51" t="str">
            <v xml:space="preserve">Empat puluh delapan  </v>
          </cell>
        </row>
        <row r="52">
          <cell r="A52">
            <v>49</v>
          </cell>
          <cell r="B52" t="str">
            <v xml:space="preserve">Empat puluh sembilan  </v>
          </cell>
        </row>
        <row r="53">
          <cell r="A53">
            <v>50</v>
          </cell>
          <cell r="B53" t="str">
            <v xml:space="preserve">Lima puluh  </v>
          </cell>
        </row>
        <row r="54">
          <cell r="A54">
            <v>51</v>
          </cell>
          <cell r="B54" t="str">
            <v xml:space="preserve">Lima puluh satu  </v>
          </cell>
        </row>
        <row r="55">
          <cell r="A55">
            <v>52</v>
          </cell>
          <cell r="B55" t="str">
            <v xml:space="preserve">Lima puluh dua  </v>
          </cell>
        </row>
        <row r="56">
          <cell r="A56">
            <v>53</v>
          </cell>
          <cell r="B56" t="str">
            <v xml:space="preserve">Lima puluh tiga  </v>
          </cell>
        </row>
        <row r="57">
          <cell r="A57">
            <v>54</v>
          </cell>
          <cell r="B57" t="str">
            <v xml:space="preserve">Lima puluh empat  </v>
          </cell>
        </row>
        <row r="58">
          <cell r="A58">
            <v>55</v>
          </cell>
          <cell r="B58" t="str">
            <v xml:space="preserve">Lima puluh lima  </v>
          </cell>
        </row>
        <row r="59">
          <cell r="A59">
            <v>56</v>
          </cell>
          <cell r="B59" t="str">
            <v xml:space="preserve">Lima puluh enam  </v>
          </cell>
        </row>
        <row r="60">
          <cell r="A60">
            <v>57</v>
          </cell>
          <cell r="B60" t="str">
            <v xml:space="preserve">Lima puluh tujuh  </v>
          </cell>
        </row>
        <row r="61">
          <cell r="A61">
            <v>58</v>
          </cell>
          <cell r="B61" t="str">
            <v xml:space="preserve">Lima puluh delapan  </v>
          </cell>
        </row>
        <row r="62">
          <cell r="A62">
            <v>59</v>
          </cell>
          <cell r="B62" t="str">
            <v xml:space="preserve">Lima puluh sembilan  </v>
          </cell>
        </row>
        <row r="63">
          <cell r="A63">
            <v>60</v>
          </cell>
          <cell r="B63" t="str">
            <v xml:space="preserve">Enam puluh  </v>
          </cell>
        </row>
        <row r="64">
          <cell r="A64">
            <v>61</v>
          </cell>
          <cell r="B64" t="str">
            <v xml:space="preserve">Enam puluh satu  </v>
          </cell>
        </row>
        <row r="65">
          <cell r="A65">
            <v>62</v>
          </cell>
          <cell r="B65" t="str">
            <v xml:space="preserve">Enam puluh dua  </v>
          </cell>
        </row>
        <row r="66">
          <cell r="A66">
            <v>63</v>
          </cell>
          <cell r="B66" t="str">
            <v xml:space="preserve">Enam puluh tiga  </v>
          </cell>
        </row>
        <row r="67">
          <cell r="A67">
            <v>64</v>
          </cell>
          <cell r="B67" t="str">
            <v xml:space="preserve">Enam puluh empat  </v>
          </cell>
        </row>
        <row r="68">
          <cell r="A68">
            <v>65</v>
          </cell>
          <cell r="B68" t="str">
            <v xml:space="preserve">Enam puluh lima  </v>
          </cell>
        </row>
        <row r="69">
          <cell r="A69">
            <v>66</v>
          </cell>
          <cell r="B69" t="str">
            <v xml:space="preserve">Enam puluh enam  </v>
          </cell>
        </row>
        <row r="70">
          <cell r="A70">
            <v>67</v>
          </cell>
          <cell r="B70" t="str">
            <v xml:space="preserve">Enam puluh tujuh  </v>
          </cell>
        </row>
        <row r="71">
          <cell r="A71">
            <v>68</v>
          </cell>
          <cell r="B71" t="str">
            <v xml:space="preserve">Enam puluh delapan  </v>
          </cell>
        </row>
        <row r="72">
          <cell r="A72">
            <v>69</v>
          </cell>
          <cell r="B72" t="str">
            <v xml:space="preserve">Enam puluh sembilan  </v>
          </cell>
        </row>
        <row r="73">
          <cell r="A73">
            <v>70</v>
          </cell>
          <cell r="B73" t="str">
            <v xml:space="preserve">Tujuh puluh  </v>
          </cell>
        </row>
        <row r="74">
          <cell r="A74">
            <v>71</v>
          </cell>
          <cell r="B74" t="str">
            <v xml:space="preserve">Tujuh puluh satu  </v>
          </cell>
        </row>
        <row r="75">
          <cell r="A75">
            <v>72</v>
          </cell>
          <cell r="B75" t="str">
            <v xml:space="preserve">Tujuh puluh dua  </v>
          </cell>
        </row>
        <row r="76">
          <cell r="A76">
            <v>73</v>
          </cell>
          <cell r="B76" t="str">
            <v xml:space="preserve">Tujuh puluh tiga  </v>
          </cell>
        </row>
        <row r="77">
          <cell r="A77">
            <v>74</v>
          </cell>
          <cell r="B77" t="str">
            <v xml:space="preserve">Tujuh puluh empat  </v>
          </cell>
        </row>
        <row r="78">
          <cell r="A78">
            <v>75</v>
          </cell>
          <cell r="B78" t="str">
            <v xml:space="preserve">Tujuh puluh lima  </v>
          </cell>
        </row>
        <row r="79">
          <cell r="A79">
            <v>76</v>
          </cell>
          <cell r="B79" t="str">
            <v xml:space="preserve">Tujuh puluh enam  </v>
          </cell>
        </row>
        <row r="80">
          <cell r="A80">
            <v>77</v>
          </cell>
          <cell r="B80" t="str">
            <v xml:space="preserve">Tujuh puluh tujuh  </v>
          </cell>
        </row>
        <row r="81">
          <cell r="A81">
            <v>78</v>
          </cell>
          <cell r="B81" t="str">
            <v xml:space="preserve">Tujuh puluh delapan  </v>
          </cell>
        </row>
        <row r="82">
          <cell r="A82">
            <v>79</v>
          </cell>
          <cell r="B82" t="str">
            <v xml:space="preserve">Tujuh puluh sembilan  </v>
          </cell>
        </row>
        <row r="83">
          <cell r="A83">
            <v>80</v>
          </cell>
          <cell r="B83" t="str">
            <v xml:space="preserve">Delapan puluh  </v>
          </cell>
        </row>
        <row r="84">
          <cell r="A84">
            <v>81</v>
          </cell>
          <cell r="B84" t="str">
            <v xml:space="preserve">Delapan puluh satu  </v>
          </cell>
        </row>
        <row r="85">
          <cell r="A85">
            <v>82</v>
          </cell>
          <cell r="B85" t="str">
            <v xml:space="preserve">Delapan puluh dua  </v>
          </cell>
        </row>
        <row r="86">
          <cell r="A86">
            <v>83</v>
          </cell>
          <cell r="B86" t="str">
            <v xml:space="preserve">Delapan puluh tiga  </v>
          </cell>
        </row>
        <row r="87">
          <cell r="A87">
            <v>84</v>
          </cell>
          <cell r="B87" t="str">
            <v xml:space="preserve">Delapan puluh empat  </v>
          </cell>
        </row>
        <row r="88">
          <cell r="A88">
            <v>85</v>
          </cell>
          <cell r="B88" t="str">
            <v xml:space="preserve">Delapan puluh lima  </v>
          </cell>
        </row>
        <row r="89">
          <cell r="A89">
            <v>86</v>
          </cell>
          <cell r="B89" t="str">
            <v xml:space="preserve">Delapan puluh enam  </v>
          </cell>
        </row>
        <row r="90">
          <cell r="A90">
            <v>87</v>
          </cell>
          <cell r="B90" t="str">
            <v xml:space="preserve">Delapan puluh tujuh  </v>
          </cell>
        </row>
        <row r="91">
          <cell r="A91">
            <v>88</v>
          </cell>
          <cell r="B91" t="str">
            <v xml:space="preserve">Delapan puluh delapan  </v>
          </cell>
        </row>
        <row r="92">
          <cell r="A92">
            <v>89</v>
          </cell>
          <cell r="B92" t="str">
            <v xml:space="preserve">Delapan puluh sembilan  </v>
          </cell>
        </row>
        <row r="93">
          <cell r="A93">
            <v>90</v>
          </cell>
          <cell r="B93" t="str">
            <v xml:space="preserve">Sembilan puluh  </v>
          </cell>
        </row>
        <row r="94">
          <cell r="A94">
            <v>91</v>
          </cell>
          <cell r="B94" t="str">
            <v xml:space="preserve">Sembilan puluh satu  </v>
          </cell>
        </row>
        <row r="95">
          <cell r="A95">
            <v>92</v>
          </cell>
          <cell r="B95" t="str">
            <v xml:space="preserve">Sembilan puluh dua  </v>
          </cell>
        </row>
        <row r="96">
          <cell r="A96">
            <v>93</v>
          </cell>
          <cell r="B96" t="str">
            <v xml:space="preserve">Sembilan puluh tiga  </v>
          </cell>
        </row>
        <row r="97">
          <cell r="A97">
            <v>94</v>
          </cell>
          <cell r="B97" t="str">
            <v xml:space="preserve">Sembilan puluh empat  </v>
          </cell>
        </row>
        <row r="98">
          <cell r="A98">
            <v>95</v>
          </cell>
          <cell r="B98" t="str">
            <v xml:space="preserve">Sembilan puluh lima  </v>
          </cell>
        </row>
        <row r="99">
          <cell r="A99">
            <v>96</v>
          </cell>
          <cell r="B99" t="str">
            <v xml:space="preserve">Sembilan puluh enam  </v>
          </cell>
        </row>
        <row r="100">
          <cell r="A100">
            <v>97</v>
          </cell>
          <cell r="B100" t="str">
            <v xml:space="preserve">Sembilan puluh tujuh  </v>
          </cell>
        </row>
        <row r="101">
          <cell r="A101">
            <v>98</v>
          </cell>
          <cell r="B101" t="str">
            <v xml:space="preserve">Sembilan puluh delapan  </v>
          </cell>
        </row>
        <row r="102">
          <cell r="A102">
            <v>99</v>
          </cell>
          <cell r="B102" t="str">
            <v xml:space="preserve">Sembilan puluh sembilan  </v>
          </cell>
        </row>
        <row r="103">
          <cell r="A103">
            <v>100</v>
          </cell>
          <cell r="B103" t="str">
            <v xml:space="preserve">Seratus  </v>
          </cell>
        </row>
        <row r="104">
          <cell r="A104">
            <v>101</v>
          </cell>
          <cell r="B104" t="str">
            <v>Seratus satu</v>
          </cell>
        </row>
        <row r="105">
          <cell r="A105">
            <v>102</v>
          </cell>
          <cell r="B105" t="str">
            <v>Seratus dua</v>
          </cell>
        </row>
        <row r="106">
          <cell r="A106">
            <v>103</v>
          </cell>
          <cell r="B106" t="str">
            <v>Seratus tiga</v>
          </cell>
        </row>
        <row r="107">
          <cell r="A107">
            <v>104</v>
          </cell>
          <cell r="B107" t="str">
            <v>Seratus empat</v>
          </cell>
        </row>
        <row r="108">
          <cell r="A108">
            <v>105</v>
          </cell>
          <cell r="B108" t="str">
            <v>Seratus lima</v>
          </cell>
        </row>
        <row r="109">
          <cell r="A109">
            <v>106</v>
          </cell>
          <cell r="B109" t="str">
            <v>Seratus enam</v>
          </cell>
        </row>
        <row r="110">
          <cell r="A110">
            <v>107</v>
          </cell>
          <cell r="B110" t="str">
            <v>Seratus tujuh</v>
          </cell>
        </row>
        <row r="111">
          <cell r="A111">
            <v>108</v>
          </cell>
          <cell r="B111" t="str">
            <v>Seratus delapan</v>
          </cell>
        </row>
        <row r="112">
          <cell r="A112">
            <v>109</v>
          </cell>
          <cell r="B112" t="str">
            <v>Seratus sembilan</v>
          </cell>
        </row>
        <row r="113">
          <cell r="A113">
            <v>110</v>
          </cell>
          <cell r="B113" t="str">
            <v>Seratus sepuluh</v>
          </cell>
        </row>
        <row r="114">
          <cell r="A114">
            <v>111</v>
          </cell>
          <cell r="B114" t="str">
            <v>Seratus sebelas</v>
          </cell>
        </row>
        <row r="115">
          <cell r="A115">
            <v>112</v>
          </cell>
          <cell r="B115" t="str">
            <v>Seratus dua belas</v>
          </cell>
        </row>
        <row r="116">
          <cell r="A116">
            <v>113</v>
          </cell>
          <cell r="B116" t="str">
            <v>Seratus tiga belas</v>
          </cell>
        </row>
        <row r="117">
          <cell r="A117">
            <v>114</v>
          </cell>
          <cell r="B117" t="str">
            <v>Seratus empat belas</v>
          </cell>
        </row>
        <row r="118">
          <cell r="A118">
            <v>115</v>
          </cell>
          <cell r="B118" t="str">
            <v>Seratus lima belas</v>
          </cell>
        </row>
        <row r="119">
          <cell r="A119">
            <v>116</v>
          </cell>
          <cell r="B119" t="str">
            <v>Seratus enam belas</v>
          </cell>
        </row>
        <row r="120">
          <cell r="A120">
            <v>117</v>
          </cell>
          <cell r="B120" t="str">
            <v>Seratus tujuh belas</v>
          </cell>
        </row>
        <row r="121">
          <cell r="A121">
            <v>118</v>
          </cell>
          <cell r="B121" t="str">
            <v>Seratus delapan belas</v>
          </cell>
        </row>
        <row r="122">
          <cell r="A122">
            <v>119</v>
          </cell>
          <cell r="B122" t="str">
            <v>Seratus sembilan belas</v>
          </cell>
        </row>
        <row r="123">
          <cell r="A123">
            <v>120</v>
          </cell>
          <cell r="B123" t="str">
            <v>Seratus dua puluh</v>
          </cell>
        </row>
        <row r="124">
          <cell r="A124">
            <v>121</v>
          </cell>
          <cell r="B124" t="str">
            <v>Seratus dua puluh satu</v>
          </cell>
        </row>
        <row r="125">
          <cell r="A125">
            <v>122</v>
          </cell>
          <cell r="B125" t="str">
            <v>Seratus dua puluh dua</v>
          </cell>
        </row>
        <row r="126">
          <cell r="A126">
            <v>123</v>
          </cell>
          <cell r="B126" t="str">
            <v>Seratus dua puluh tiga</v>
          </cell>
        </row>
        <row r="127">
          <cell r="A127">
            <v>124</v>
          </cell>
          <cell r="B127" t="str">
            <v>Seratus dua puluh empat</v>
          </cell>
        </row>
        <row r="128">
          <cell r="A128">
            <v>125</v>
          </cell>
          <cell r="B128" t="str">
            <v>Seratus dua puluh lima</v>
          </cell>
        </row>
        <row r="129">
          <cell r="A129">
            <v>126</v>
          </cell>
          <cell r="B129" t="str">
            <v>Seratus dua puluh enam</v>
          </cell>
        </row>
        <row r="130">
          <cell r="A130">
            <v>127</v>
          </cell>
          <cell r="B130" t="str">
            <v>Seratus dua puluh tujuh</v>
          </cell>
        </row>
        <row r="131">
          <cell r="A131">
            <v>128</v>
          </cell>
          <cell r="B131" t="str">
            <v>Seratus dua puluh delapan</v>
          </cell>
        </row>
        <row r="132">
          <cell r="A132">
            <v>129</v>
          </cell>
          <cell r="B132" t="str">
            <v>Seratus dua puluh sembilan</v>
          </cell>
        </row>
        <row r="133">
          <cell r="A133">
            <v>130</v>
          </cell>
          <cell r="B133" t="str">
            <v>Seratus tiga puluh</v>
          </cell>
        </row>
        <row r="134">
          <cell r="A134">
            <v>131</v>
          </cell>
          <cell r="B134" t="str">
            <v>Seratus tiga puluh satu</v>
          </cell>
        </row>
        <row r="135">
          <cell r="A135">
            <v>132</v>
          </cell>
          <cell r="B135" t="str">
            <v>Seratus tiga puluh dua</v>
          </cell>
        </row>
        <row r="136">
          <cell r="A136">
            <v>133</v>
          </cell>
          <cell r="B136" t="str">
            <v>Seratus tiga puluh tiga</v>
          </cell>
        </row>
        <row r="137">
          <cell r="A137">
            <v>134</v>
          </cell>
          <cell r="B137" t="str">
            <v>Seratus tiga puluh empat</v>
          </cell>
        </row>
        <row r="138">
          <cell r="A138">
            <v>135</v>
          </cell>
          <cell r="B138" t="str">
            <v>Seratus tiga puluh lima</v>
          </cell>
        </row>
        <row r="139">
          <cell r="A139">
            <v>136</v>
          </cell>
          <cell r="B139" t="str">
            <v>Seratus tiga puluh enam</v>
          </cell>
        </row>
        <row r="140">
          <cell r="A140">
            <v>137</v>
          </cell>
          <cell r="B140" t="str">
            <v>Seratus tiga puluh tujuh</v>
          </cell>
        </row>
        <row r="141">
          <cell r="A141">
            <v>138</v>
          </cell>
          <cell r="B141" t="str">
            <v>Seratus tiga puluh delapan</v>
          </cell>
        </row>
        <row r="142">
          <cell r="A142">
            <v>139</v>
          </cell>
          <cell r="B142" t="str">
            <v>Seratus tiga puluh sembilan</v>
          </cell>
        </row>
        <row r="143">
          <cell r="A143">
            <v>140</v>
          </cell>
          <cell r="B143" t="str">
            <v>Seratus empat puluh</v>
          </cell>
        </row>
        <row r="144">
          <cell r="A144">
            <v>141</v>
          </cell>
          <cell r="B144" t="str">
            <v>Seratus empat puluh satu</v>
          </cell>
        </row>
        <row r="145">
          <cell r="A145">
            <v>142</v>
          </cell>
          <cell r="B145" t="str">
            <v>Seratus empat puluh dua</v>
          </cell>
        </row>
        <row r="146">
          <cell r="A146">
            <v>143</v>
          </cell>
          <cell r="B146" t="str">
            <v>Seratus empat puluh tiga</v>
          </cell>
        </row>
        <row r="147">
          <cell r="A147">
            <v>144</v>
          </cell>
          <cell r="B147" t="str">
            <v>Seratus empat puluh empat</v>
          </cell>
        </row>
        <row r="148">
          <cell r="A148">
            <v>145</v>
          </cell>
          <cell r="B148" t="str">
            <v>Seratus empat puluh lima</v>
          </cell>
        </row>
        <row r="149">
          <cell r="A149">
            <v>146</v>
          </cell>
          <cell r="B149" t="str">
            <v>Seratus empat puluh enam</v>
          </cell>
        </row>
        <row r="150">
          <cell r="A150">
            <v>147</v>
          </cell>
          <cell r="B150" t="str">
            <v>Seratus empat puluh tujuh</v>
          </cell>
        </row>
        <row r="151">
          <cell r="A151">
            <v>148</v>
          </cell>
          <cell r="B151" t="str">
            <v>Seratus empat puluh delapan</v>
          </cell>
        </row>
        <row r="152">
          <cell r="A152">
            <v>149</v>
          </cell>
          <cell r="B152" t="str">
            <v>Seratus empat puluh sembilan</v>
          </cell>
        </row>
        <row r="153">
          <cell r="A153">
            <v>150</v>
          </cell>
          <cell r="B153" t="str">
            <v>Seratus lima puluh</v>
          </cell>
        </row>
        <row r="154">
          <cell r="A154">
            <v>151</v>
          </cell>
          <cell r="B154" t="str">
            <v>Seratus lima puluh satu</v>
          </cell>
        </row>
        <row r="155">
          <cell r="A155">
            <v>152</v>
          </cell>
          <cell r="B155" t="str">
            <v>Seratus lima puluh dua</v>
          </cell>
        </row>
        <row r="156">
          <cell r="A156">
            <v>153</v>
          </cell>
          <cell r="B156" t="str">
            <v>Seratus lima puluh tiga</v>
          </cell>
        </row>
        <row r="157">
          <cell r="A157">
            <v>154</v>
          </cell>
          <cell r="B157" t="str">
            <v>Seratus lima puluh empat</v>
          </cell>
        </row>
        <row r="158">
          <cell r="A158">
            <v>155</v>
          </cell>
          <cell r="B158" t="str">
            <v>Seratus lima puluh lima</v>
          </cell>
        </row>
        <row r="159">
          <cell r="A159">
            <v>156</v>
          </cell>
          <cell r="B159" t="str">
            <v>Seratus lima puluh enam</v>
          </cell>
        </row>
        <row r="160">
          <cell r="A160">
            <v>157</v>
          </cell>
          <cell r="B160" t="str">
            <v>Seratus lima puluh tujuh</v>
          </cell>
        </row>
        <row r="161">
          <cell r="A161">
            <v>158</v>
          </cell>
          <cell r="B161" t="str">
            <v>Seratus lima puluh delapan</v>
          </cell>
        </row>
        <row r="162">
          <cell r="A162">
            <v>159</v>
          </cell>
          <cell r="B162" t="str">
            <v>Seratus lima puluh sembilan</v>
          </cell>
        </row>
        <row r="163">
          <cell r="A163">
            <v>160</v>
          </cell>
          <cell r="B163" t="str">
            <v>Seratus enam puluh</v>
          </cell>
        </row>
        <row r="164">
          <cell r="A164">
            <v>161</v>
          </cell>
          <cell r="B164" t="str">
            <v>Seratus enam puluh satu</v>
          </cell>
        </row>
        <row r="165">
          <cell r="A165">
            <v>162</v>
          </cell>
          <cell r="B165" t="str">
            <v>Seratus enam puluh dua</v>
          </cell>
        </row>
        <row r="166">
          <cell r="A166">
            <v>163</v>
          </cell>
          <cell r="B166" t="str">
            <v>Seratus enam puluh tiga</v>
          </cell>
        </row>
        <row r="167">
          <cell r="A167">
            <v>164</v>
          </cell>
          <cell r="B167" t="str">
            <v>Seratus enam puluh empat</v>
          </cell>
        </row>
        <row r="168">
          <cell r="A168">
            <v>165</v>
          </cell>
          <cell r="B168" t="str">
            <v>Seratus enam puluh lima</v>
          </cell>
        </row>
        <row r="169">
          <cell r="A169">
            <v>166</v>
          </cell>
          <cell r="B169" t="str">
            <v>Seratus enam puluh enam</v>
          </cell>
        </row>
        <row r="170">
          <cell r="A170">
            <v>167</v>
          </cell>
          <cell r="B170" t="str">
            <v>Seratus enam puluh tujuh</v>
          </cell>
        </row>
        <row r="171">
          <cell r="A171">
            <v>168</v>
          </cell>
          <cell r="B171" t="str">
            <v>Seratus enam puluh delapan</v>
          </cell>
        </row>
        <row r="172">
          <cell r="A172">
            <v>169</v>
          </cell>
          <cell r="B172" t="str">
            <v>Seratus enam puluh sembilan</v>
          </cell>
        </row>
        <row r="173">
          <cell r="A173">
            <v>170</v>
          </cell>
          <cell r="B173" t="str">
            <v>Seratus tujuh puluh</v>
          </cell>
        </row>
        <row r="174">
          <cell r="A174">
            <v>171</v>
          </cell>
          <cell r="B174" t="str">
            <v>Seratus tujuh puluh satu</v>
          </cell>
        </row>
        <row r="175">
          <cell r="A175">
            <v>172</v>
          </cell>
          <cell r="B175" t="str">
            <v>Seratus tujuh puluh dua</v>
          </cell>
        </row>
        <row r="176">
          <cell r="A176">
            <v>173</v>
          </cell>
          <cell r="B176" t="str">
            <v>Seratus tujuh puluh tiga</v>
          </cell>
        </row>
        <row r="177">
          <cell r="A177">
            <v>174</v>
          </cell>
          <cell r="B177" t="str">
            <v>Seratus tujuh puluh empat</v>
          </cell>
        </row>
        <row r="178">
          <cell r="A178">
            <v>175</v>
          </cell>
          <cell r="B178" t="str">
            <v>Seratus tujuh puluh lima</v>
          </cell>
        </row>
        <row r="179">
          <cell r="A179">
            <v>176</v>
          </cell>
          <cell r="B179" t="str">
            <v>Seratus tujuh puluh enam</v>
          </cell>
        </row>
        <row r="180">
          <cell r="A180">
            <v>177</v>
          </cell>
          <cell r="B180" t="str">
            <v>Seratus tujuh puluh tujuh</v>
          </cell>
        </row>
        <row r="181">
          <cell r="A181">
            <v>178</v>
          </cell>
          <cell r="B181" t="str">
            <v>Seratus tujuh puluh delapan</v>
          </cell>
        </row>
        <row r="182">
          <cell r="A182">
            <v>179</v>
          </cell>
          <cell r="B182" t="str">
            <v>Seratus tujuh puluh sembilan</v>
          </cell>
        </row>
        <row r="183">
          <cell r="A183">
            <v>180</v>
          </cell>
          <cell r="B183" t="str">
            <v>Seratus delapan puluh</v>
          </cell>
        </row>
        <row r="184">
          <cell r="A184">
            <v>181</v>
          </cell>
          <cell r="B184" t="str">
            <v>Seratus delapan puluh satu</v>
          </cell>
        </row>
        <row r="185">
          <cell r="A185">
            <v>182</v>
          </cell>
          <cell r="B185" t="str">
            <v>Seratus delapan puluh dua</v>
          </cell>
        </row>
        <row r="186">
          <cell r="A186">
            <v>183</v>
          </cell>
          <cell r="B186" t="str">
            <v>Seratus delapan puluh tiga</v>
          </cell>
        </row>
        <row r="187">
          <cell r="A187">
            <v>184</v>
          </cell>
          <cell r="B187" t="str">
            <v>Seratus delapan puluh empat</v>
          </cell>
        </row>
        <row r="188">
          <cell r="A188">
            <v>185</v>
          </cell>
          <cell r="B188" t="str">
            <v>Seratus delapan puluh lima</v>
          </cell>
        </row>
        <row r="189">
          <cell r="A189">
            <v>186</v>
          </cell>
          <cell r="B189" t="str">
            <v>Seratus delapan puluh enam</v>
          </cell>
        </row>
        <row r="190">
          <cell r="A190">
            <v>187</v>
          </cell>
          <cell r="B190" t="str">
            <v>Seratus delapan puluh tujuh</v>
          </cell>
        </row>
        <row r="191">
          <cell r="A191">
            <v>188</v>
          </cell>
          <cell r="B191" t="str">
            <v>Seratus delapan puluh delapan</v>
          </cell>
        </row>
        <row r="192">
          <cell r="A192">
            <v>189</v>
          </cell>
          <cell r="B192" t="str">
            <v>Seratus delapan puluh sembilan</v>
          </cell>
        </row>
        <row r="193">
          <cell r="A193">
            <v>190</v>
          </cell>
          <cell r="B193" t="str">
            <v>Seratus sembilan puluh</v>
          </cell>
        </row>
        <row r="194">
          <cell r="A194">
            <v>191</v>
          </cell>
          <cell r="B194" t="str">
            <v>Seratus sembilan puluh satu</v>
          </cell>
        </row>
        <row r="195">
          <cell r="A195">
            <v>192</v>
          </cell>
          <cell r="B195" t="str">
            <v>Seratus sembilan puluh dua</v>
          </cell>
        </row>
        <row r="196">
          <cell r="A196">
            <v>193</v>
          </cell>
          <cell r="B196" t="str">
            <v>Seratus sembilan puluh tiga</v>
          </cell>
        </row>
        <row r="197">
          <cell r="A197">
            <v>194</v>
          </cell>
          <cell r="B197" t="str">
            <v>Seratus sembilan puluh empat</v>
          </cell>
        </row>
        <row r="198">
          <cell r="A198">
            <v>195</v>
          </cell>
          <cell r="B198" t="str">
            <v>Seratus sembilan puluh lima</v>
          </cell>
        </row>
        <row r="199">
          <cell r="A199">
            <v>196</v>
          </cell>
          <cell r="B199" t="str">
            <v>Seratus sembilan puluh enam</v>
          </cell>
        </row>
        <row r="200">
          <cell r="A200">
            <v>197</v>
          </cell>
          <cell r="B200" t="str">
            <v>Seratus sembilan puluh tujuh</v>
          </cell>
        </row>
        <row r="201">
          <cell r="A201">
            <v>198</v>
          </cell>
          <cell r="B201" t="str">
            <v>Seratus sembilan puluh delapan</v>
          </cell>
        </row>
        <row r="202">
          <cell r="A202">
            <v>199</v>
          </cell>
          <cell r="B202" t="str">
            <v>Seratus sembilan puluh sembilan</v>
          </cell>
        </row>
        <row r="203">
          <cell r="A203">
            <v>200</v>
          </cell>
          <cell r="B203" t="str">
            <v>Dua ratus</v>
          </cell>
        </row>
        <row r="204">
          <cell r="A204">
            <v>201</v>
          </cell>
          <cell r="B204" t="str">
            <v>Dua ratus satu</v>
          </cell>
        </row>
        <row r="205">
          <cell r="A205">
            <v>202</v>
          </cell>
          <cell r="B205" t="str">
            <v>Dua ratus dua</v>
          </cell>
        </row>
        <row r="206">
          <cell r="A206">
            <v>203</v>
          </cell>
          <cell r="B206" t="str">
            <v>Dua ratus tiga</v>
          </cell>
        </row>
        <row r="207">
          <cell r="A207">
            <v>204</v>
          </cell>
          <cell r="B207" t="str">
            <v>Dua ratus empat</v>
          </cell>
        </row>
        <row r="208">
          <cell r="A208">
            <v>205</v>
          </cell>
          <cell r="B208" t="str">
            <v>Dua ratus lima</v>
          </cell>
        </row>
        <row r="209">
          <cell r="A209">
            <v>206</v>
          </cell>
          <cell r="B209" t="str">
            <v>Dua ratus enam</v>
          </cell>
        </row>
        <row r="210">
          <cell r="A210">
            <v>207</v>
          </cell>
          <cell r="B210" t="str">
            <v>Dua ratus tujuh</v>
          </cell>
        </row>
        <row r="211">
          <cell r="A211">
            <v>208</v>
          </cell>
          <cell r="B211" t="str">
            <v>Dua ratus delapan</v>
          </cell>
        </row>
        <row r="212">
          <cell r="A212">
            <v>209</v>
          </cell>
          <cell r="B212" t="str">
            <v>Dua ratus sembilan</v>
          </cell>
        </row>
        <row r="213">
          <cell r="A213">
            <v>210</v>
          </cell>
          <cell r="B213" t="str">
            <v>Dua ratus sepuluh</v>
          </cell>
        </row>
        <row r="214">
          <cell r="A214">
            <v>211</v>
          </cell>
          <cell r="B214" t="str">
            <v>Dua ratus sebelas</v>
          </cell>
        </row>
        <row r="215">
          <cell r="A215">
            <v>212</v>
          </cell>
          <cell r="B215" t="str">
            <v>Dua ratus dua belas</v>
          </cell>
        </row>
        <row r="216">
          <cell r="A216">
            <v>213</v>
          </cell>
          <cell r="B216" t="str">
            <v>Dua ratus tiga belas</v>
          </cell>
        </row>
        <row r="217">
          <cell r="A217">
            <v>214</v>
          </cell>
          <cell r="B217" t="str">
            <v>Dua ratus empat belas</v>
          </cell>
        </row>
        <row r="218">
          <cell r="A218">
            <v>215</v>
          </cell>
          <cell r="B218" t="str">
            <v>Dua ratus lima belas</v>
          </cell>
        </row>
        <row r="219">
          <cell r="A219">
            <v>216</v>
          </cell>
          <cell r="B219" t="str">
            <v>Dua ratus enam belas</v>
          </cell>
        </row>
        <row r="220">
          <cell r="A220">
            <v>217</v>
          </cell>
          <cell r="B220" t="str">
            <v>Dua ratus tujuh belas</v>
          </cell>
        </row>
        <row r="221">
          <cell r="A221">
            <v>218</v>
          </cell>
          <cell r="B221" t="str">
            <v>Dua ratus delapan belas</v>
          </cell>
        </row>
        <row r="222">
          <cell r="A222">
            <v>219</v>
          </cell>
          <cell r="B222" t="str">
            <v>Dua ratus sembilan belas</v>
          </cell>
        </row>
        <row r="223">
          <cell r="A223">
            <v>220</v>
          </cell>
          <cell r="B223" t="str">
            <v>Dua ratus dua puluh</v>
          </cell>
        </row>
        <row r="224">
          <cell r="A224">
            <v>221</v>
          </cell>
          <cell r="B224" t="str">
            <v>Dua ratus dua puluh satu</v>
          </cell>
        </row>
        <row r="225">
          <cell r="A225">
            <v>222</v>
          </cell>
          <cell r="B225" t="str">
            <v>Dua ratus dua puluh dua</v>
          </cell>
        </row>
        <row r="226">
          <cell r="A226">
            <v>223</v>
          </cell>
          <cell r="B226" t="str">
            <v>Dua ratus dua puluh tiga</v>
          </cell>
        </row>
        <row r="227">
          <cell r="A227">
            <v>224</v>
          </cell>
          <cell r="B227" t="str">
            <v>Dua ratus dua puluh empat</v>
          </cell>
        </row>
        <row r="228">
          <cell r="A228">
            <v>225</v>
          </cell>
          <cell r="B228" t="str">
            <v>Dua ratus dua puluh lima</v>
          </cell>
        </row>
        <row r="229">
          <cell r="A229">
            <v>226</v>
          </cell>
          <cell r="B229" t="str">
            <v>Dua ratus dua puluh enam</v>
          </cell>
        </row>
        <row r="230">
          <cell r="A230">
            <v>227</v>
          </cell>
          <cell r="B230" t="str">
            <v>Dua ratus dua puluh tujuh</v>
          </cell>
        </row>
        <row r="231">
          <cell r="A231">
            <v>228</v>
          </cell>
          <cell r="B231" t="str">
            <v>Dua ratus dua puluh delapan</v>
          </cell>
        </row>
        <row r="232">
          <cell r="A232">
            <v>229</v>
          </cell>
          <cell r="B232" t="str">
            <v>Dua ratus dua puluh sembilan</v>
          </cell>
        </row>
        <row r="233">
          <cell r="A233">
            <v>230</v>
          </cell>
          <cell r="B233" t="str">
            <v>Dua ratus tiga puluh</v>
          </cell>
        </row>
        <row r="234">
          <cell r="A234">
            <v>231</v>
          </cell>
          <cell r="B234" t="str">
            <v>Dua ratus tiga puluh satu</v>
          </cell>
        </row>
        <row r="235">
          <cell r="A235">
            <v>232</v>
          </cell>
          <cell r="B235" t="str">
            <v>Dua ratus tiga puluh dua</v>
          </cell>
        </row>
        <row r="236">
          <cell r="A236">
            <v>233</v>
          </cell>
          <cell r="B236" t="str">
            <v>Dua ratus tiga puluh tiga</v>
          </cell>
        </row>
        <row r="237">
          <cell r="A237">
            <v>234</v>
          </cell>
          <cell r="B237" t="str">
            <v>Dua ratus tiga puluh empat</v>
          </cell>
        </row>
        <row r="238">
          <cell r="A238">
            <v>235</v>
          </cell>
          <cell r="B238" t="str">
            <v>Dua ratus tiga puluh lima</v>
          </cell>
        </row>
        <row r="239">
          <cell r="A239">
            <v>236</v>
          </cell>
          <cell r="B239" t="str">
            <v>Dua ratus tiga puluh enam</v>
          </cell>
        </row>
        <row r="240">
          <cell r="A240">
            <v>237</v>
          </cell>
          <cell r="B240" t="str">
            <v>Dua ratus tiga puluh tujuh</v>
          </cell>
        </row>
        <row r="241">
          <cell r="A241">
            <v>238</v>
          </cell>
          <cell r="B241" t="str">
            <v>Dua ratus tiga puluh delapan</v>
          </cell>
        </row>
        <row r="242">
          <cell r="A242">
            <v>239</v>
          </cell>
          <cell r="B242" t="str">
            <v>Dua ratus tiga puluh sembilan</v>
          </cell>
        </row>
        <row r="243">
          <cell r="A243">
            <v>240</v>
          </cell>
          <cell r="B243" t="str">
            <v>Dua ratus empat puluh</v>
          </cell>
        </row>
        <row r="244">
          <cell r="A244">
            <v>241</v>
          </cell>
          <cell r="B244" t="str">
            <v>Dua ratus empat puluh satu</v>
          </cell>
        </row>
        <row r="245">
          <cell r="A245">
            <v>242</v>
          </cell>
          <cell r="B245" t="str">
            <v>Dua ratus empat puluh dua</v>
          </cell>
        </row>
        <row r="246">
          <cell r="A246">
            <v>243</v>
          </cell>
          <cell r="B246" t="str">
            <v>Dua ratus empat puluh tiga</v>
          </cell>
        </row>
        <row r="247">
          <cell r="A247">
            <v>244</v>
          </cell>
          <cell r="B247" t="str">
            <v>Dua ratus empat puluh empat</v>
          </cell>
        </row>
        <row r="248">
          <cell r="A248">
            <v>245</v>
          </cell>
          <cell r="B248" t="str">
            <v>Dua ratus empat puluh lima</v>
          </cell>
        </row>
        <row r="249">
          <cell r="A249">
            <v>246</v>
          </cell>
          <cell r="B249" t="str">
            <v>Dua ratus empat puluh enam</v>
          </cell>
        </row>
        <row r="250">
          <cell r="A250">
            <v>247</v>
          </cell>
          <cell r="B250" t="str">
            <v>Dua ratus empat puluh tujuh</v>
          </cell>
        </row>
        <row r="251">
          <cell r="A251">
            <v>248</v>
          </cell>
          <cell r="B251" t="str">
            <v>Dua ratus empat puluh delapan</v>
          </cell>
        </row>
        <row r="252">
          <cell r="A252">
            <v>249</v>
          </cell>
          <cell r="B252" t="str">
            <v>Dua ratus empat puluh sembilan</v>
          </cell>
        </row>
        <row r="253">
          <cell r="A253">
            <v>250</v>
          </cell>
          <cell r="B253" t="str">
            <v>Dua ratus lima puluh</v>
          </cell>
        </row>
        <row r="254">
          <cell r="A254">
            <v>251</v>
          </cell>
          <cell r="B254" t="str">
            <v>Dua ratus lima puluh satu</v>
          </cell>
        </row>
        <row r="255">
          <cell r="A255">
            <v>252</v>
          </cell>
          <cell r="B255" t="str">
            <v>Dua ratus lima puluh dua</v>
          </cell>
        </row>
        <row r="256">
          <cell r="A256">
            <v>253</v>
          </cell>
          <cell r="B256" t="str">
            <v>Dua ratus lima puluh tiga</v>
          </cell>
        </row>
        <row r="257">
          <cell r="A257">
            <v>254</v>
          </cell>
          <cell r="B257" t="str">
            <v>Dua ratus lima puluh empat</v>
          </cell>
        </row>
        <row r="258">
          <cell r="A258">
            <v>255</v>
          </cell>
          <cell r="B258" t="str">
            <v>Dua ratus lima puluh lima</v>
          </cell>
        </row>
        <row r="259">
          <cell r="A259">
            <v>256</v>
          </cell>
          <cell r="B259" t="str">
            <v>Dua ratus lima puluh enam</v>
          </cell>
        </row>
        <row r="260">
          <cell r="A260">
            <v>257</v>
          </cell>
          <cell r="B260" t="str">
            <v>Dua ratus lima puluh tujuh</v>
          </cell>
        </row>
        <row r="261">
          <cell r="A261">
            <v>258</v>
          </cell>
          <cell r="B261" t="str">
            <v>Dua ratus lima puluh delapan</v>
          </cell>
        </row>
        <row r="262">
          <cell r="A262">
            <v>259</v>
          </cell>
          <cell r="B262" t="str">
            <v>Dua ratus lima puluh sembilan</v>
          </cell>
        </row>
        <row r="263">
          <cell r="A263">
            <v>260</v>
          </cell>
          <cell r="B263" t="str">
            <v>Dua ratus enam puluh</v>
          </cell>
        </row>
        <row r="264">
          <cell r="A264">
            <v>261</v>
          </cell>
          <cell r="B264" t="str">
            <v>Dua ratus enam puluh satu</v>
          </cell>
        </row>
        <row r="265">
          <cell r="A265">
            <v>262</v>
          </cell>
          <cell r="B265" t="str">
            <v>Dua ratus enam puluh dua</v>
          </cell>
        </row>
        <row r="266">
          <cell r="A266">
            <v>263</v>
          </cell>
          <cell r="B266" t="str">
            <v>Dua ratus enam puluh tiga</v>
          </cell>
        </row>
        <row r="267">
          <cell r="A267">
            <v>264</v>
          </cell>
          <cell r="B267" t="str">
            <v>Dua ratus enam puluh empat</v>
          </cell>
        </row>
        <row r="268">
          <cell r="A268">
            <v>265</v>
          </cell>
          <cell r="B268" t="str">
            <v>Dua ratus enam puluh lima</v>
          </cell>
        </row>
        <row r="269">
          <cell r="A269">
            <v>266</v>
          </cell>
          <cell r="B269" t="str">
            <v>Dua ratus enam puluh enam</v>
          </cell>
        </row>
        <row r="270">
          <cell r="A270">
            <v>267</v>
          </cell>
          <cell r="B270" t="str">
            <v>Dua ratus enam puluh tujuh</v>
          </cell>
        </row>
        <row r="271">
          <cell r="A271">
            <v>268</v>
          </cell>
          <cell r="B271" t="str">
            <v>Dua ratus enam puluh delapan</v>
          </cell>
        </row>
        <row r="272">
          <cell r="A272">
            <v>269</v>
          </cell>
          <cell r="B272" t="str">
            <v>Dua ratus enam puluh sembilan</v>
          </cell>
        </row>
        <row r="273">
          <cell r="A273">
            <v>270</v>
          </cell>
          <cell r="B273" t="str">
            <v>Dua ratus tujuh puluh</v>
          </cell>
        </row>
        <row r="274">
          <cell r="A274">
            <v>271</v>
          </cell>
          <cell r="B274" t="str">
            <v>Dua ratus tujuh puluh satu</v>
          </cell>
        </row>
        <row r="275">
          <cell r="A275">
            <v>272</v>
          </cell>
          <cell r="B275" t="str">
            <v>Dua ratus tujuh puluh dua</v>
          </cell>
        </row>
        <row r="276">
          <cell r="A276">
            <v>273</v>
          </cell>
          <cell r="B276" t="str">
            <v>Dua ratus tujuh puluh tiga</v>
          </cell>
        </row>
        <row r="277">
          <cell r="A277">
            <v>274</v>
          </cell>
          <cell r="B277" t="str">
            <v>Dua ratus tujuh puluh empat</v>
          </cell>
        </row>
        <row r="278">
          <cell r="A278">
            <v>275</v>
          </cell>
          <cell r="B278" t="str">
            <v>Dua ratus tujuh puluh lima</v>
          </cell>
        </row>
        <row r="279">
          <cell r="A279">
            <v>276</v>
          </cell>
          <cell r="B279" t="str">
            <v>Dua ratus tujuh puluh enam</v>
          </cell>
        </row>
        <row r="280">
          <cell r="A280">
            <v>277</v>
          </cell>
          <cell r="B280" t="str">
            <v>Dua ratus tujuh puluh tujuh</v>
          </cell>
        </row>
        <row r="281">
          <cell r="A281">
            <v>278</v>
          </cell>
          <cell r="B281" t="str">
            <v>Dua ratus tujuh puluh delapan</v>
          </cell>
        </row>
        <row r="282">
          <cell r="A282">
            <v>279</v>
          </cell>
          <cell r="B282" t="str">
            <v>Dua ratus tujuh puluh sembilan</v>
          </cell>
        </row>
        <row r="283">
          <cell r="A283">
            <v>280</v>
          </cell>
          <cell r="B283" t="str">
            <v>Dua ratus delapan puluh</v>
          </cell>
        </row>
        <row r="284">
          <cell r="A284">
            <v>281</v>
          </cell>
          <cell r="B284" t="str">
            <v>Dua ratus delapan puluh satu</v>
          </cell>
        </row>
        <row r="285">
          <cell r="A285">
            <v>282</v>
          </cell>
          <cell r="B285" t="str">
            <v>Dua ratus delapan puluh dua</v>
          </cell>
        </row>
        <row r="286">
          <cell r="A286">
            <v>283</v>
          </cell>
          <cell r="B286" t="str">
            <v>Dua ratus delapan puluh tiga</v>
          </cell>
        </row>
        <row r="287">
          <cell r="A287">
            <v>284</v>
          </cell>
          <cell r="B287" t="str">
            <v>Dua ratus delapan puluh empat</v>
          </cell>
        </row>
        <row r="288">
          <cell r="A288">
            <v>285</v>
          </cell>
          <cell r="B288" t="str">
            <v>Dua ratus delapan puluh lima</v>
          </cell>
        </row>
        <row r="289">
          <cell r="A289">
            <v>286</v>
          </cell>
          <cell r="B289" t="str">
            <v>Dua ratus delapan puluh enam</v>
          </cell>
        </row>
        <row r="290">
          <cell r="A290">
            <v>287</v>
          </cell>
          <cell r="B290" t="str">
            <v>Dua ratus delapan puluh tujuh</v>
          </cell>
        </row>
        <row r="291">
          <cell r="A291">
            <v>288</v>
          </cell>
          <cell r="B291" t="str">
            <v>Dua ratus delapan puluh delapan</v>
          </cell>
        </row>
        <row r="292">
          <cell r="A292">
            <v>289</v>
          </cell>
          <cell r="B292" t="str">
            <v>Dua ratus delapan puluh sembilan</v>
          </cell>
        </row>
        <row r="293">
          <cell r="A293">
            <v>290</v>
          </cell>
          <cell r="B293" t="str">
            <v>Dua ratus sembilan puluh</v>
          </cell>
        </row>
        <row r="294">
          <cell r="A294">
            <v>291</v>
          </cell>
          <cell r="B294" t="str">
            <v>Dua ratus sembilan puluh satu</v>
          </cell>
        </row>
        <row r="295">
          <cell r="A295">
            <v>292</v>
          </cell>
          <cell r="B295" t="str">
            <v>Dua ratus sembilan puluh dua</v>
          </cell>
        </row>
        <row r="296">
          <cell r="A296">
            <v>293</v>
          </cell>
          <cell r="B296" t="str">
            <v>Dua ratus sembilan puluh tiga</v>
          </cell>
        </row>
        <row r="297">
          <cell r="A297">
            <v>294</v>
          </cell>
          <cell r="B297" t="str">
            <v>Dua ratus sembilan puluh empat</v>
          </cell>
        </row>
        <row r="298">
          <cell r="A298">
            <v>295</v>
          </cell>
          <cell r="B298" t="str">
            <v>Dua ratus sembilan puluh lima</v>
          </cell>
        </row>
        <row r="299">
          <cell r="A299">
            <v>296</v>
          </cell>
          <cell r="B299" t="str">
            <v>Dua ratus sembilan puluh enam</v>
          </cell>
        </row>
        <row r="300">
          <cell r="A300">
            <v>297</v>
          </cell>
          <cell r="B300" t="str">
            <v>Dua ratus sembilan puluh tujuh</v>
          </cell>
        </row>
        <row r="301">
          <cell r="A301">
            <v>298</v>
          </cell>
          <cell r="B301" t="str">
            <v>Dua ratus sembilan puluh delapan</v>
          </cell>
        </row>
        <row r="302">
          <cell r="A302">
            <v>299</v>
          </cell>
          <cell r="B302" t="str">
            <v>Dua ratus sembilan puluh sembilan</v>
          </cell>
        </row>
        <row r="303">
          <cell r="A303">
            <v>300</v>
          </cell>
          <cell r="B303" t="str">
            <v>Tiga ratus</v>
          </cell>
        </row>
        <row r="304">
          <cell r="A304">
            <v>301</v>
          </cell>
          <cell r="B304" t="str">
            <v>Tiga ratus satu</v>
          </cell>
        </row>
        <row r="305">
          <cell r="A305">
            <v>302</v>
          </cell>
          <cell r="B305" t="str">
            <v>Tiga ratus dua</v>
          </cell>
        </row>
        <row r="306">
          <cell r="A306">
            <v>303</v>
          </cell>
          <cell r="B306" t="str">
            <v>Tiga ratus tiga</v>
          </cell>
        </row>
        <row r="307">
          <cell r="A307">
            <v>304</v>
          </cell>
          <cell r="B307" t="str">
            <v>Tiga ratus empat</v>
          </cell>
        </row>
        <row r="308">
          <cell r="A308">
            <v>305</v>
          </cell>
          <cell r="B308" t="str">
            <v>Tiga ratus lima</v>
          </cell>
        </row>
        <row r="309">
          <cell r="A309">
            <v>306</v>
          </cell>
          <cell r="B309" t="str">
            <v>Tiga ratus enam</v>
          </cell>
        </row>
        <row r="310">
          <cell r="A310">
            <v>307</v>
          </cell>
          <cell r="B310" t="str">
            <v>Tiga ratus tujuh</v>
          </cell>
        </row>
        <row r="311">
          <cell r="A311">
            <v>308</v>
          </cell>
          <cell r="B311" t="str">
            <v>Tiga ratus delapan</v>
          </cell>
        </row>
        <row r="312">
          <cell r="A312">
            <v>309</v>
          </cell>
          <cell r="B312" t="str">
            <v>Tiga ratus sembilan</v>
          </cell>
        </row>
        <row r="313">
          <cell r="A313">
            <v>310</v>
          </cell>
          <cell r="B313" t="str">
            <v>Tiga ratus sepuluh</v>
          </cell>
        </row>
        <row r="314">
          <cell r="A314">
            <v>311</v>
          </cell>
          <cell r="B314" t="str">
            <v>Tiga ratus sebelas</v>
          </cell>
        </row>
        <row r="315">
          <cell r="A315">
            <v>312</v>
          </cell>
          <cell r="B315" t="str">
            <v>Tiga ratus dua belas</v>
          </cell>
        </row>
        <row r="316">
          <cell r="A316">
            <v>313</v>
          </cell>
          <cell r="B316" t="str">
            <v>Tiga ratus tiga belas</v>
          </cell>
        </row>
        <row r="317">
          <cell r="A317">
            <v>314</v>
          </cell>
          <cell r="B317" t="str">
            <v>Tiga ratus empat belas</v>
          </cell>
        </row>
        <row r="318">
          <cell r="A318">
            <v>315</v>
          </cell>
          <cell r="B318" t="str">
            <v>Tiga ratus lima belas</v>
          </cell>
        </row>
        <row r="319">
          <cell r="A319">
            <v>316</v>
          </cell>
          <cell r="B319" t="str">
            <v>Tiga ratus enam belas</v>
          </cell>
        </row>
        <row r="320">
          <cell r="A320">
            <v>317</v>
          </cell>
          <cell r="B320" t="str">
            <v>Tiga ratus tujuh belas</v>
          </cell>
        </row>
        <row r="321">
          <cell r="A321">
            <v>318</v>
          </cell>
          <cell r="B321" t="str">
            <v>Tiga ratus delapan belas</v>
          </cell>
        </row>
        <row r="322">
          <cell r="A322">
            <v>319</v>
          </cell>
          <cell r="B322" t="str">
            <v>Tiga ratus sembilan belas</v>
          </cell>
        </row>
        <row r="323">
          <cell r="A323">
            <v>320</v>
          </cell>
          <cell r="B323" t="str">
            <v>Tiga ratus dua puluh</v>
          </cell>
        </row>
        <row r="324">
          <cell r="A324">
            <v>321</v>
          </cell>
          <cell r="B324" t="str">
            <v>Tiga ratus dua puluh satu</v>
          </cell>
        </row>
        <row r="325">
          <cell r="A325">
            <v>322</v>
          </cell>
          <cell r="B325" t="str">
            <v>Tiga ratus dua puluh dua</v>
          </cell>
        </row>
        <row r="326">
          <cell r="A326">
            <v>323</v>
          </cell>
          <cell r="B326" t="str">
            <v>Tiga ratus dua puluh tiga</v>
          </cell>
        </row>
        <row r="327">
          <cell r="A327">
            <v>324</v>
          </cell>
          <cell r="B327" t="str">
            <v>Tiga ratus dua puluh empat</v>
          </cell>
        </row>
        <row r="328">
          <cell r="A328">
            <v>325</v>
          </cell>
          <cell r="B328" t="str">
            <v>Tiga ratus dua puluh lima</v>
          </cell>
        </row>
        <row r="329">
          <cell r="A329">
            <v>326</v>
          </cell>
          <cell r="B329" t="str">
            <v>Tiga ratus dua puluh enam</v>
          </cell>
        </row>
        <row r="330">
          <cell r="A330">
            <v>327</v>
          </cell>
          <cell r="B330" t="str">
            <v>Tiga ratus dua puluh tujuh</v>
          </cell>
        </row>
        <row r="331">
          <cell r="A331">
            <v>328</v>
          </cell>
          <cell r="B331" t="str">
            <v>Tiga ratus dua puluh delapan</v>
          </cell>
        </row>
        <row r="332">
          <cell r="A332">
            <v>329</v>
          </cell>
          <cell r="B332" t="str">
            <v>Tiga ratus dua puluh sembilan</v>
          </cell>
        </row>
        <row r="333">
          <cell r="A333">
            <v>330</v>
          </cell>
          <cell r="B333" t="str">
            <v>Tiga ratus tiga puluh</v>
          </cell>
        </row>
        <row r="334">
          <cell r="A334">
            <v>331</v>
          </cell>
          <cell r="B334" t="str">
            <v>Tiga ratus tiga puluh satu</v>
          </cell>
        </row>
        <row r="335">
          <cell r="A335">
            <v>332</v>
          </cell>
          <cell r="B335" t="str">
            <v>Tiga ratus tiga puluh dua</v>
          </cell>
        </row>
        <row r="336">
          <cell r="A336">
            <v>333</v>
          </cell>
          <cell r="B336" t="str">
            <v>Tiga ratus tiga puluh tiga</v>
          </cell>
        </row>
        <row r="337">
          <cell r="A337">
            <v>334</v>
          </cell>
          <cell r="B337" t="str">
            <v>Tiga ratus tiga puluh empat</v>
          </cell>
        </row>
        <row r="338">
          <cell r="A338">
            <v>335</v>
          </cell>
          <cell r="B338" t="str">
            <v>Tiga ratus tiga puluh lima</v>
          </cell>
        </row>
        <row r="339">
          <cell r="A339">
            <v>336</v>
          </cell>
          <cell r="B339" t="str">
            <v>Tiga ratus tiga puluh enam</v>
          </cell>
        </row>
        <row r="340">
          <cell r="A340">
            <v>337</v>
          </cell>
          <cell r="B340" t="str">
            <v>Tiga ratus tiga puluh tujuh</v>
          </cell>
        </row>
        <row r="341">
          <cell r="A341">
            <v>338</v>
          </cell>
          <cell r="B341" t="str">
            <v>Tiga ratus tiga puluh delapan</v>
          </cell>
        </row>
        <row r="342">
          <cell r="A342">
            <v>339</v>
          </cell>
          <cell r="B342" t="str">
            <v>Tiga ratus tiga puluh sembilan</v>
          </cell>
        </row>
        <row r="343">
          <cell r="A343">
            <v>340</v>
          </cell>
          <cell r="B343" t="str">
            <v>Tiga ratus empat puluh</v>
          </cell>
        </row>
        <row r="344">
          <cell r="A344">
            <v>341</v>
          </cell>
          <cell r="B344" t="str">
            <v>Tiga ratus empat puluh satu</v>
          </cell>
        </row>
        <row r="345">
          <cell r="A345">
            <v>342</v>
          </cell>
          <cell r="B345" t="str">
            <v>Tiga ratus empat puluh dua</v>
          </cell>
        </row>
        <row r="346">
          <cell r="A346">
            <v>343</v>
          </cell>
          <cell r="B346" t="str">
            <v>Tiga ratus empat puluh tiga</v>
          </cell>
        </row>
        <row r="347">
          <cell r="A347">
            <v>344</v>
          </cell>
          <cell r="B347" t="str">
            <v>Tiga ratus empat puluh empat</v>
          </cell>
        </row>
        <row r="348">
          <cell r="A348">
            <v>345</v>
          </cell>
          <cell r="B348" t="str">
            <v>Tiga ratus empat puluh lima</v>
          </cell>
        </row>
        <row r="349">
          <cell r="A349">
            <v>346</v>
          </cell>
          <cell r="B349" t="str">
            <v>Tiga ratus empat puluh enam</v>
          </cell>
        </row>
        <row r="350">
          <cell r="A350">
            <v>347</v>
          </cell>
          <cell r="B350" t="str">
            <v>Tiga ratus empat puluh tujuh</v>
          </cell>
        </row>
        <row r="351">
          <cell r="A351">
            <v>348</v>
          </cell>
          <cell r="B351" t="str">
            <v>Tiga ratus empat puluh delapan</v>
          </cell>
        </row>
        <row r="352">
          <cell r="A352">
            <v>349</v>
          </cell>
          <cell r="B352" t="str">
            <v>Tiga ratus empat puluh sembilan</v>
          </cell>
        </row>
        <row r="353">
          <cell r="A353">
            <v>350</v>
          </cell>
          <cell r="B353" t="str">
            <v>Tiga ratus lima puluh</v>
          </cell>
        </row>
        <row r="354">
          <cell r="A354">
            <v>351</v>
          </cell>
          <cell r="B354" t="str">
            <v>Tiga ratus lima puluh satu</v>
          </cell>
        </row>
        <row r="355">
          <cell r="A355">
            <v>352</v>
          </cell>
          <cell r="B355" t="str">
            <v>Tiga ratus lima puluh dua</v>
          </cell>
        </row>
        <row r="356">
          <cell r="A356">
            <v>353</v>
          </cell>
          <cell r="B356" t="str">
            <v>Tiga ratus lima puluh tiga</v>
          </cell>
        </row>
        <row r="357">
          <cell r="A357">
            <v>354</v>
          </cell>
          <cell r="B357" t="str">
            <v>Tiga ratus lima puluh empat</v>
          </cell>
        </row>
        <row r="358">
          <cell r="A358">
            <v>355</v>
          </cell>
          <cell r="B358" t="str">
            <v>Tiga ratus lima puluh lima</v>
          </cell>
        </row>
        <row r="359">
          <cell r="A359">
            <v>356</v>
          </cell>
          <cell r="B359" t="str">
            <v>Tiga ratus lima puluh enam</v>
          </cell>
        </row>
        <row r="360">
          <cell r="A360">
            <v>357</v>
          </cell>
          <cell r="B360" t="str">
            <v>Tiga ratus lima puluh tujuh</v>
          </cell>
        </row>
        <row r="361">
          <cell r="A361">
            <v>358</v>
          </cell>
          <cell r="B361" t="str">
            <v>Tiga ratus lima puluh delapan</v>
          </cell>
        </row>
        <row r="362">
          <cell r="A362">
            <v>359</v>
          </cell>
          <cell r="B362" t="str">
            <v>Tiga ratus lima puluh sembilan</v>
          </cell>
        </row>
        <row r="363">
          <cell r="A363">
            <v>360</v>
          </cell>
          <cell r="B363" t="str">
            <v>Tiga ratus enam puluh</v>
          </cell>
        </row>
        <row r="364">
          <cell r="A364">
            <v>361</v>
          </cell>
          <cell r="B364" t="str">
            <v>Tiga ratus enam puluh satu</v>
          </cell>
        </row>
        <row r="365">
          <cell r="A365">
            <v>362</v>
          </cell>
          <cell r="B365" t="str">
            <v>Tiga ratus enam puluh dua</v>
          </cell>
        </row>
        <row r="366">
          <cell r="A366">
            <v>363</v>
          </cell>
          <cell r="B366" t="str">
            <v>Tiga ratus enam puluh tiga</v>
          </cell>
        </row>
        <row r="367">
          <cell r="A367">
            <v>364</v>
          </cell>
          <cell r="B367" t="str">
            <v>Tiga ratus enam puluh empat</v>
          </cell>
        </row>
        <row r="368">
          <cell r="A368">
            <v>365</v>
          </cell>
          <cell r="B368" t="str">
            <v>Tiga ratus enam puluh lima</v>
          </cell>
        </row>
        <row r="369">
          <cell r="A369">
            <v>366</v>
          </cell>
          <cell r="B369" t="str">
            <v>Tiga ratus enam puluh enam</v>
          </cell>
        </row>
        <row r="370">
          <cell r="A370">
            <v>367</v>
          </cell>
          <cell r="B370" t="str">
            <v>Tiga ratus enam puluh tujuh</v>
          </cell>
        </row>
        <row r="371">
          <cell r="A371">
            <v>368</v>
          </cell>
          <cell r="B371" t="str">
            <v>Tiga ratus enam puluh delapan</v>
          </cell>
        </row>
        <row r="372">
          <cell r="A372">
            <v>369</v>
          </cell>
          <cell r="B372" t="str">
            <v>Tiga ratus enam puluh sembilan</v>
          </cell>
        </row>
        <row r="373">
          <cell r="A373">
            <v>370</v>
          </cell>
          <cell r="B373" t="str">
            <v>Tiga ratus tujuh puluh</v>
          </cell>
        </row>
        <row r="374">
          <cell r="A374">
            <v>371</v>
          </cell>
          <cell r="B374" t="str">
            <v>Tiga ratus tujuh puluh satu</v>
          </cell>
        </row>
        <row r="375">
          <cell r="A375">
            <v>372</v>
          </cell>
          <cell r="B375" t="str">
            <v>Tiga ratus tujuh puluh dua</v>
          </cell>
        </row>
        <row r="376">
          <cell r="A376">
            <v>373</v>
          </cell>
          <cell r="B376" t="str">
            <v>Tiga ratus tujuh puluh tiga</v>
          </cell>
        </row>
        <row r="377">
          <cell r="A377">
            <v>374</v>
          </cell>
          <cell r="B377" t="str">
            <v>Tiga ratus tujuh puluh empat</v>
          </cell>
        </row>
        <row r="378">
          <cell r="A378">
            <v>375</v>
          </cell>
          <cell r="B378" t="str">
            <v>Tiga ratus tujuh puluh lima</v>
          </cell>
        </row>
        <row r="379">
          <cell r="A379">
            <v>376</v>
          </cell>
          <cell r="B379" t="str">
            <v>Tiga ratus tujuh puluh enam</v>
          </cell>
        </row>
        <row r="380">
          <cell r="A380">
            <v>377</v>
          </cell>
          <cell r="B380" t="str">
            <v>Tiga ratus tujuh puluh tujuh</v>
          </cell>
        </row>
        <row r="381">
          <cell r="A381">
            <v>378</v>
          </cell>
          <cell r="B381" t="str">
            <v>Tiga ratus tujuh puluh delapan</v>
          </cell>
        </row>
        <row r="382">
          <cell r="A382">
            <v>379</v>
          </cell>
          <cell r="B382" t="str">
            <v>Tiga ratus tujuh puluh sembilan</v>
          </cell>
        </row>
        <row r="383">
          <cell r="A383">
            <v>380</v>
          </cell>
          <cell r="B383" t="str">
            <v>Tiga ratus delapan puluh</v>
          </cell>
        </row>
        <row r="384">
          <cell r="A384">
            <v>381</v>
          </cell>
          <cell r="B384" t="str">
            <v>Tiga ratus delapan puluh satu</v>
          </cell>
        </row>
        <row r="385">
          <cell r="A385">
            <v>382</v>
          </cell>
          <cell r="B385" t="str">
            <v>Tiga ratus delapan puluh dua</v>
          </cell>
        </row>
        <row r="386">
          <cell r="A386">
            <v>383</v>
          </cell>
          <cell r="B386" t="str">
            <v>Tiga ratus delapan puluh tiga</v>
          </cell>
        </row>
        <row r="387">
          <cell r="A387">
            <v>384</v>
          </cell>
          <cell r="B387" t="str">
            <v>Tiga ratus delapan puluh empat</v>
          </cell>
        </row>
        <row r="388">
          <cell r="A388">
            <v>385</v>
          </cell>
          <cell r="B388" t="str">
            <v>Tiga ratus delapan puluh lima</v>
          </cell>
        </row>
        <row r="389">
          <cell r="A389">
            <v>386</v>
          </cell>
          <cell r="B389" t="str">
            <v>Tiga ratus delapan puluh enam</v>
          </cell>
        </row>
        <row r="390">
          <cell r="A390">
            <v>387</v>
          </cell>
          <cell r="B390" t="str">
            <v>Tiga ratus delapan puluh tujuh</v>
          </cell>
        </row>
        <row r="391">
          <cell r="A391">
            <v>388</v>
          </cell>
          <cell r="B391" t="str">
            <v>Tiga ratus delapan puluh delapan</v>
          </cell>
        </row>
        <row r="392">
          <cell r="A392">
            <v>389</v>
          </cell>
          <cell r="B392" t="str">
            <v>Tiga ratus delapan puluh sembilan</v>
          </cell>
        </row>
        <row r="393">
          <cell r="A393">
            <v>390</v>
          </cell>
          <cell r="B393" t="str">
            <v>Tiga ratus sembilan puluh</v>
          </cell>
        </row>
        <row r="394">
          <cell r="A394">
            <v>391</v>
          </cell>
          <cell r="B394" t="str">
            <v>Tiga ratus sembilan puluh satu</v>
          </cell>
        </row>
        <row r="395">
          <cell r="A395">
            <v>392</v>
          </cell>
          <cell r="B395" t="str">
            <v>Tiga ratus sembilan puluh dua</v>
          </cell>
        </row>
        <row r="396">
          <cell r="A396">
            <v>393</v>
          </cell>
          <cell r="B396" t="str">
            <v>Tiga ratus sembilan puluh tiga</v>
          </cell>
        </row>
        <row r="397">
          <cell r="A397">
            <v>394</v>
          </cell>
          <cell r="B397" t="str">
            <v>Tiga ratus sembilan puluh empat</v>
          </cell>
        </row>
        <row r="398">
          <cell r="A398">
            <v>395</v>
          </cell>
          <cell r="B398" t="str">
            <v>Tiga ratus sembilan puluh lima</v>
          </cell>
        </row>
        <row r="399">
          <cell r="A399">
            <v>396</v>
          </cell>
          <cell r="B399" t="str">
            <v>Tiga ratus sembilan puluh enam</v>
          </cell>
        </row>
        <row r="400">
          <cell r="A400">
            <v>397</v>
          </cell>
          <cell r="B400" t="str">
            <v>Tiga ratus sembilan puluh tujuh</v>
          </cell>
        </row>
        <row r="401">
          <cell r="A401">
            <v>398</v>
          </cell>
          <cell r="B401" t="str">
            <v>Tiga ratus sembilan puluh delapan</v>
          </cell>
        </row>
        <row r="402">
          <cell r="A402">
            <v>399</v>
          </cell>
          <cell r="B402" t="str">
            <v>Tiga ratus sembilan puluh sembilan</v>
          </cell>
        </row>
        <row r="403">
          <cell r="A403">
            <v>400</v>
          </cell>
          <cell r="B403" t="str">
            <v>Empat ratus</v>
          </cell>
        </row>
        <row r="404">
          <cell r="A404">
            <v>401</v>
          </cell>
          <cell r="B404" t="str">
            <v>Empat ratus satu</v>
          </cell>
        </row>
        <row r="405">
          <cell r="A405">
            <v>402</v>
          </cell>
          <cell r="B405" t="str">
            <v>Empat ratus dua</v>
          </cell>
        </row>
        <row r="406">
          <cell r="A406">
            <v>403</v>
          </cell>
          <cell r="B406" t="str">
            <v>Empat ratus tiga</v>
          </cell>
        </row>
        <row r="407">
          <cell r="A407">
            <v>404</v>
          </cell>
          <cell r="B407" t="str">
            <v>Empat ratus empat</v>
          </cell>
        </row>
        <row r="408">
          <cell r="A408">
            <v>405</v>
          </cell>
          <cell r="B408" t="str">
            <v>Empat ratus lima</v>
          </cell>
        </row>
        <row r="409">
          <cell r="A409">
            <v>406</v>
          </cell>
          <cell r="B409" t="str">
            <v>Empat ratus enam</v>
          </cell>
        </row>
        <row r="410">
          <cell r="A410">
            <v>407</v>
          </cell>
          <cell r="B410" t="str">
            <v>Empat ratus tujuh</v>
          </cell>
        </row>
        <row r="411">
          <cell r="A411">
            <v>408</v>
          </cell>
          <cell r="B411" t="str">
            <v>Empat ratus delapan</v>
          </cell>
        </row>
        <row r="412">
          <cell r="A412">
            <v>409</v>
          </cell>
          <cell r="B412" t="str">
            <v>Empat ratus sembilan</v>
          </cell>
        </row>
        <row r="413">
          <cell r="A413">
            <v>410</v>
          </cell>
          <cell r="B413" t="str">
            <v>Empat ratus sepuluh</v>
          </cell>
        </row>
        <row r="414">
          <cell r="A414">
            <v>411</v>
          </cell>
          <cell r="B414" t="str">
            <v>Empat ratus sebelas</v>
          </cell>
        </row>
        <row r="415">
          <cell r="A415">
            <v>412</v>
          </cell>
          <cell r="B415" t="str">
            <v>Empat ratus dua belas</v>
          </cell>
        </row>
        <row r="416">
          <cell r="A416">
            <v>413</v>
          </cell>
          <cell r="B416" t="str">
            <v>Empat ratus tiga belas</v>
          </cell>
        </row>
        <row r="417">
          <cell r="A417">
            <v>414</v>
          </cell>
          <cell r="B417" t="str">
            <v>Empat ratus empat belas</v>
          </cell>
        </row>
        <row r="418">
          <cell r="A418">
            <v>415</v>
          </cell>
          <cell r="B418" t="str">
            <v>Empat ratus lima belas</v>
          </cell>
        </row>
        <row r="419">
          <cell r="A419">
            <v>416</v>
          </cell>
          <cell r="B419" t="str">
            <v>Empat ratus enam belas</v>
          </cell>
        </row>
        <row r="420">
          <cell r="A420">
            <v>417</v>
          </cell>
          <cell r="B420" t="str">
            <v>Empat ratus tujuh belas</v>
          </cell>
        </row>
        <row r="421">
          <cell r="A421">
            <v>418</v>
          </cell>
          <cell r="B421" t="str">
            <v>Empat ratus delapan belas</v>
          </cell>
        </row>
        <row r="422">
          <cell r="A422">
            <v>419</v>
          </cell>
          <cell r="B422" t="str">
            <v>Empat ratus sembilan belas</v>
          </cell>
        </row>
        <row r="423">
          <cell r="A423">
            <v>420</v>
          </cell>
          <cell r="B423" t="str">
            <v>Empat ratus dua puluh</v>
          </cell>
        </row>
        <row r="424">
          <cell r="A424">
            <v>421</v>
          </cell>
          <cell r="B424" t="str">
            <v>Empat ratus dua puluh satu</v>
          </cell>
        </row>
        <row r="425">
          <cell r="A425">
            <v>422</v>
          </cell>
          <cell r="B425" t="str">
            <v>Empat ratus dua puluh dua</v>
          </cell>
        </row>
        <row r="426">
          <cell r="A426">
            <v>423</v>
          </cell>
          <cell r="B426" t="str">
            <v>Empat ratus dua puluh tiga</v>
          </cell>
        </row>
        <row r="427">
          <cell r="A427">
            <v>424</v>
          </cell>
          <cell r="B427" t="str">
            <v>Empat ratus dua puluh empat</v>
          </cell>
        </row>
        <row r="428">
          <cell r="A428">
            <v>425</v>
          </cell>
          <cell r="B428" t="str">
            <v>Empat ratus dua puluh lima</v>
          </cell>
        </row>
        <row r="429">
          <cell r="A429">
            <v>426</v>
          </cell>
          <cell r="B429" t="str">
            <v>Empat ratus dua puluh enam</v>
          </cell>
        </row>
        <row r="430">
          <cell r="A430">
            <v>427</v>
          </cell>
          <cell r="B430" t="str">
            <v>Empat ratus dua puluh tujuh</v>
          </cell>
        </row>
        <row r="431">
          <cell r="A431">
            <v>428</v>
          </cell>
          <cell r="B431" t="str">
            <v>Empat ratus dua puluh delapan</v>
          </cell>
        </row>
        <row r="432">
          <cell r="A432">
            <v>429</v>
          </cell>
          <cell r="B432" t="str">
            <v>Empat ratus dua puluh sembilan</v>
          </cell>
        </row>
        <row r="433">
          <cell r="A433">
            <v>430</v>
          </cell>
          <cell r="B433" t="str">
            <v>Empat ratus tiga puluh</v>
          </cell>
        </row>
        <row r="434">
          <cell r="A434">
            <v>431</v>
          </cell>
          <cell r="B434" t="str">
            <v>Empat ratus tiga puluh satu</v>
          </cell>
        </row>
        <row r="435">
          <cell r="A435">
            <v>432</v>
          </cell>
          <cell r="B435" t="str">
            <v>Empat ratus tiga puluh dua</v>
          </cell>
        </row>
        <row r="436">
          <cell r="A436">
            <v>433</v>
          </cell>
          <cell r="B436" t="str">
            <v>Empat ratus tiga puluh tiga</v>
          </cell>
        </row>
        <row r="437">
          <cell r="A437">
            <v>434</v>
          </cell>
          <cell r="B437" t="str">
            <v>Empat ratus tiga puluh empat</v>
          </cell>
        </row>
        <row r="438">
          <cell r="A438">
            <v>435</v>
          </cell>
          <cell r="B438" t="str">
            <v>Empat ratus tiga puluh lima</v>
          </cell>
        </row>
        <row r="439">
          <cell r="A439">
            <v>436</v>
          </cell>
          <cell r="B439" t="str">
            <v>Empat ratus tiga puluh enam</v>
          </cell>
        </row>
        <row r="440">
          <cell r="A440">
            <v>437</v>
          </cell>
          <cell r="B440" t="str">
            <v>Empat ratus tiga puluh tujuh</v>
          </cell>
        </row>
        <row r="441">
          <cell r="A441">
            <v>438</v>
          </cell>
          <cell r="B441" t="str">
            <v>Empat ratus tiga puluh delapan</v>
          </cell>
        </row>
        <row r="442">
          <cell r="A442">
            <v>439</v>
          </cell>
          <cell r="B442" t="str">
            <v>Empat ratus tiga puluh sembilan</v>
          </cell>
        </row>
        <row r="443">
          <cell r="A443">
            <v>440</v>
          </cell>
          <cell r="B443" t="str">
            <v>Empat ratus empat puluh</v>
          </cell>
        </row>
        <row r="444">
          <cell r="A444">
            <v>441</v>
          </cell>
          <cell r="B444" t="str">
            <v>Empat ratus empat puluh satu</v>
          </cell>
        </row>
        <row r="445">
          <cell r="A445">
            <v>442</v>
          </cell>
          <cell r="B445" t="str">
            <v>Empat ratus empat puluh dua</v>
          </cell>
        </row>
        <row r="446">
          <cell r="A446">
            <v>443</v>
          </cell>
          <cell r="B446" t="str">
            <v>Empat ratus empat puluh tiga</v>
          </cell>
        </row>
        <row r="447">
          <cell r="A447">
            <v>444</v>
          </cell>
          <cell r="B447" t="str">
            <v>Empat ratus empat puluh empat</v>
          </cell>
        </row>
        <row r="448">
          <cell r="A448">
            <v>445</v>
          </cell>
          <cell r="B448" t="str">
            <v>Empat ratus empat puluh lima</v>
          </cell>
        </row>
        <row r="449">
          <cell r="A449">
            <v>446</v>
          </cell>
          <cell r="B449" t="str">
            <v>Empat ratus empat puluh enam</v>
          </cell>
        </row>
        <row r="450">
          <cell r="A450">
            <v>447</v>
          </cell>
          <cell r="B450" t="str">
            <v>Empat ratus empat puluh tujuh</v>
          </cell>
        </row>
        <row r="451">
          <cell r="A451">
            <v>448</v>
          </cell>
          <cell r="B451" t="str">
            <v>Empat ratus empat puluh delapan</v>
          </cell>
        </row>
        <row r="452">
          <cell r="A452">
            <v>449</v>
          </cell>
          <cell r="B452" t="str">
            <v>Empat ratus empat puluh sembilan</v>
          </cell>
        </row>
        <row r="453">
          <cell r="A453">
            <v>450</v>
          </cell>
          <cell r="B453" t="str">
            <v>Empat ratus lima puluh</v>
          </cell>
        </row>
        <row r="454">
          <cell r="A454">
            <v>451</v>
          </cell>
          <cell r="B454" t="str">
            <v>Empat ratus lima puluh satu</v>
          </cell>
        </row>
        <row r="455">
          <cell r="A455">
            <v>452</v>
          </cell>
          <cell r="B455" t="str">
            <v>Empat ratus lima puluh dua</v>
          </cell>
        </row>
        <row r="456">
          <cell r="A456">
            <v>453</v>
          </cell>
          <cell r="B456" t="str">
            <v>Empat ratus lima puluh tiga</v>
          </cell>
        </row>
        <row r="457">
          <cell r="A457">
            <v>454</v>
          </cell>
          <cell r="B457" t="str">
            <v>Empat ratus lima puluh empat</v>
          </cell>
        </row>
        <row r="458">
          <cell r="A458">
            <v>455</v>
          </cell>
          <cell r="B458" t="str">
            <v>Empat ratus lima puluh lima</v>
          </cell>
        </row>
        <row r="459">
          <cell r="A459">
            <v>456</v>
          </cell>
          <cell r="B459" t="str">
            <v>Empat ratus lima puluh enam</v>
          </cell>
        </row>
        <row r="460">
          <cell r="A460">
            <v>457</v>
          </cell>
          <cell r="B460" t="str">
            <v>Empat ratus lima puluh tujuh</v>
          </cell>
        </row>
        <row r="461">
          <cell r="A461">
            <v>458</v>
          </cell>
          <cell r="B461" t="str">
            <v>Empat ratus lima puluh delapan</v>
          </cell>
        </row>
        <row r="462">
          <cell r="A462">
            <v>459</v>
          </cell>
          <cell r="B462" t="str">
            <v>Empat ratus lima puluh sembilan</v>
          </cell>
        </row>
        <row r="463">
          <cell r="A463">
            <v>460</v>
          </cell>
          <cell r="B463" t="str">
            <v>Empat ratus enam puluh</v>
          </cell>
        </row>
        <row r="464">
          <cell r="A464">
            <v>461</v>
          </cell>
          <cell r="B464" t="str">
            <v>Empat ratus enam puluh satu</v>
          </cell>
        </row>
        <row r="465">
          <cell r="A465">
            <v>462</v>
          </cell>
          <cell r="B465" t="str">
            <v>Empat ratus enam puluh dua</v>
          </cell>
        </row>
        <row r="466">
          <cell r="A466">
            <v>463</v>
          </cell>
          <cell r="B466" t="str">
            <v>Empat ratus enam puluh tiga</v>
          </cell>
        </row>
        <row r="467">
          <cell r="A467">
            <v>464</v>
          </cell>
          <cell r="B467" t="str">
            <v>Empat ratus enam puluh empat</v>
          </cell>
        </row>
        <row r="468">
          <cell r="A468">
            <v>465</v>
          </cell>
          <cell r="B468" t="str">
            <v>Empat ratus enam puluh lima</v>
          </cell>
        </row>
        <row r="469">
          <cell r="A469">
            <v>466</v>
          </cell>
          <cell r="B469" t="str">
            <v>Empat ratus enam puluh enam</v>
          </cell>
        </row>
        <row r="470">
          <cell r="A470">
            <v>467</v>
          </cell>
          <cell r="B470" t="str">
            <v>Empat ratus enam puluh tujuh</v>
          </cell>
        </row>
        <row r="471">
          <cell r="A471">
            <v>468</v>
          </cell>
          <cell r="B471" t="str">
            <v>Empat ratus enam puluh delapan</v>
          </cell>
        </row>
        <row r="472">
          <cell r="A472">
            <v>469</v>
          </cell>
          <cell r="B472" t="str">
            <v>Empat ratus enam puluh sembilan</v>
          </cell>
        </row>
        <row r="473">
          <cell r="A473">
            <v>470</v>
          </cell>
          <cell r="B473" t="str">
            <v>Empat ratus tujuh puluh</v>
          </cell>
        </row>
        <row r="474">
          <cell r="A474">
            <v>471</v>
          </cell>
          <cell r="B474" t="str">
            <v>Empat ratus tujuh puluh satu</v>
          </cell>
        </row>
        <row r="475">
          <cell r="A475">
            <v>472</v>
          </cell>
          <cell r="B475" t="str">
            <v>Empat ratus tujuh puluh dua</v>
          </cell>
        </row>
        <row r="476">
          <cell r="A476">
            <v>473</v>
          </cell>
          <cell r="B476" t="str">
            <v>Empat ratus tujuh puluh tiga</v>
          </cell>
        </row>
        <row r="477">
          <cell r="A477">
            <v>474</v>
          </cell>
          <cell r="B477" t="str">
            <v>Empat ratus tujuh puluh empat</v>
          </cell>
        </row>
        <row r="478">
          <cell r="A478">
            <v>475</v>
          </cell>
          <cell r="B478" t="str">
            <v>Empat ratus tujuh puluh lima</v>
          </cell>
        </row>
        <row r="479">
          <cell r="A479">
            <v>476</v>
          </cell>
          <cell r="B479" t="str">
            <v>Empat ratus tujuh puluh enam</v>
          </cell>
        </row>
        <row r="480">
          <cell r="A480">
            <v>477</v>
          </cell>
          <cell r="B480" t="str">
            <v>Empat ratus tujuh puluh tujuh</v>
          </cell>
        </row>
        <row r="481">
          <cell r="A481">
            <v>478</v>
          </cell>
          <cell r="B481" t="str">
            <v>Empat ratus tujuh puluh delapan</v>
          </cell>
        </row>
        <row r="482">
          <cell r="A482">
            <v>479</v>
          </cell>
          <cell r="B482" t="str">
            <v>Empat ratus tujuh puluh sembilan</v>
          </cell>
        </row>
        <row r="483">
          <cell r="A483">
            <v>480</v>
          </cell>
          <cell r="B483" t="str">
            <v>Empat ratus delapan puluh</v>
          </cell>
        </row>
        <row r="484">
          <cell r="A484">
            <v>481</v>
          </cell>
          <cell r="B484" t="str">
            <v>Empat ratus delapan puluh satu</v>
          </cell>
        </row>
        <row r="485">
          <cell r="A485">
            <v>482</v>
          </cell>
          <cell r="B485" t="str">
            <v>Empat ratus delapan puluh dua</v>
          </cell>
        </row>
        <row r="486">
          <cell r="A486">
            <v>483</v>
          </cell>
          <cell r="B486" t="str">
            <v>Empat ratus delapan puluh tiga</v>
          </cell>
        </row>
        <row r="487">
          <cell r="A487">
            <v>484</v>
          </cell>
          <cell r="B487" t="str">
            <v>Empat ratus delapan puluh empat</v>
          </cell>
        </row>
        <row r="488">
          <cell r="A488">
            <v>485</v>
          </cell>
          <cell r="B488" t="str">
            <v>Empat ratus delapan puluh lima</v>
          </cell>
        </row>
        <row r="489">
          <cell r="A489">
            <v>486</v>
          </cell>
          <cell r="B489" t="str">
            <v>Empat ratus delapan puluh enam</v>
          </cell>
        </row>
        <row r="490">
          <cell r="A490">
            <v>487</v>
          </cell>
          <cell r="B490" t="str">
            <v>Empat ratus delapan puluh tujuh</v>
          </cell>
        </row>
        <row r="491">
          <cell r="A491">
            <v>488</v>
          </cell>
          <cell r="B491" t="str">
            <v>Empat ratus delapan puluh delapan</v>
          </cell>
        </row>
        <row r="492">
          <cell r="A492">
            <v>489</v>
          </cell>
          <cell r="B492" t="str">
            <v>Empat ratus delapan puluh sembilan</v>
          </cell>
        </row>
        <row r="493">
          <cell r="A493">
            <v>490</v>
          </cell>
          <cell r="B493" t="str">
            <v>Empat ratus sembilan puluh</v>
          </cell>
        </row>
        <row r="494">
          <cell r="A494">
            <v>491</v>
          </cell>
          <cell r="B494" t="str">
            <v>Empat ratus sembilan puluh satu</v>
          </cell>
        </row>
        <row r="495">
          <cell r="A495">
            <v>492</v>
          </cell>
          <cell r="B495" t="str">
            <v>Empat ratus sembilan puluh dua</v>
          </cell>
        </row>
        <row r="496">
          <cell r="A496">
            <v>493</v>
          </cell>
          <cell r="B496" t="str">
            <v>Empat ratus sembilan puluh tiga</v>
          </cell>
        </row>
        <row r="497">
          <cell r="A497">
            <v>494</v>
          </cell>
          <cell r="B497" t="str">
            <v>Empat ratus sembilan puluh empat</v>
          </cell>
        </row>
        <row r="498">
          <cell r="A498">
            <v>495</v>
          </cell>
          <cell r="B498" t="str">
            <v>Empat ratus sembilan puluh lima</v>
          </cell>
        </row>
        <row r="499">
          <cell r="A499">
            <v>496</v>
          </cell>
          <cell r="B499" t="str">
            <v>Empat ratus sembilan puluh enam</v>
          </cell>
        </row>
        <row r="500">
          <cell r="A500">
            <v>497</v>
          </cell>
          <cell r="B500" t="str">
            <v>Empat ratus sembilan puluh tujuh</v>
          </cell>
        </row>
        <row r="501">
          <cell r="A501">
            <v>498</v>
          </cell>
          <cell r="B501" t="str">
            <v>Empat ratus sembilan puluh delapan</v>
          </cell>
        </row>
        <row r="502">
          <cell r="A502">
            <v>499</v>
          </cell>
          <cell r="B502" t="str">
            <v>Empat ratus sembilan puluh sembilan</v>
          </cell>
        </row>
        <row r="503">
          <cell r="A503">
            <v>500</v>
          </cell>
          <cell r="B503" t="str">
            <v>Lima ratus</v>
          </cell>
        </row>
        <row r="504">
          <cell r="A504">
            <v>501</v>
          </cell>
          <cell r="B504" t="str">
            <v>Lima ratus satu</v>
          </cell>
        </row>
        <row r="505">
          <cell r="A505">
            <v>502</v>
          </cell>
          <cell r="B505" t="str">
            <v>Lima ratus dua</v>
          </cell>
        </row>
        <row r="506">
          <cell r="A506">
            <v>503</v>
          </cell>
          <cell r="B506" t="str">
            <v>Lima ratus tiga</v>
          </cell>
        </row>
        <row r="507">
          <cell r="A507">
            <v>504</v>
          </cell>
          <cell r="B507" t="str">
            <v>Lima ratus empat</v>
          </cell>
        </row>
        <row r="508">
          <cell r="A508">
            <v>505</v>
          </cell>
          <cell r="B508" t="str">
            <v>Lima ratus lima</v>
          </cell>
        </row>
        <row r="509">
          <cell r="A509">
            <v>506</v>
          </cell>
          <cell r="B509" t="str">
            <v>Lima ratus enam</v>
          </cell>
        </row>
        <row r="510">
          <cell r="A510">
            <v>507</v>
          </cell>
          <cell r="B510" t="str">
            <v>Lima ratus tujuh</v>
          </cell>
        </row>
        <row r="511">
          <cell r="A511">
            <v>508</v>
          </cell>
          <cell r="B511" t="str">
            <v>Lima ratus delapan</v>
          </cell>
        </row>
        <row r="512">
          <cell r="A512">
            <v>509</v>
          </cell>
          <cell r="B512" t="str">
            <v>Lima ratus sembilan</v>
          </cell>
        </row>
        <row r="513">
          <cell r="A513">
            <v>510</v>
          </cell>
          <cell r="B513" t="str">
            <v>Lima ratus sepuluh</v>
          </cell>
        </row>
        <row r="514">
          <cell r="A514">
            <v>511</v>
          </cell>
          <cell r="B514" t="str">
            <v>Lima ratus sebelas</v>
          </cell>
        </row>
        <row r="515">
          <cell r="A515">
            <v>512</v>
          </cell>
          <cell r="B515" t="str">
            <v>Lima ratus dua belas</v>
          </cell>
        </row>
        <row r="516">
          <cell r="A516">
            <v>513</v>
          </cell>
          <cell r="B516" t="str">
            <v>Lima ratus tiga belas</v>
          </cell>
        </row>
        <row r="517">
          <cell r="A517">
            <v>514</v>
          </cell>
          <cell r="B517" t="str">
            <v>Lima ratus empat belas</v>
          </cell>
        </row>
        <row r="518">
          <cell r="A518">
            <v>515</v>
          </cell>
          <cell r="B518" t="str">
            <v>Lima ratus lima belas</v>
          </cell>
        </row>
        <row r="519">
          <cell r="A519">
            <v>516</v>
          </cell>
          <cell r="B519" t="str">
            <v>Lima ratus enam belas</v>
          </cell>
        </row>
        <row r="520">
          <cell r="A520">
            <v>517</v>
          </cell>
          <cell r="B520" t="str">
            <v>Lima ratus tujuh belas</v>
          </cell>
        </row>
        <row r="521">
          <cell r="A521">
            <v>518</v>
          </cell>
          <cell r="B521" t="str">
            <v>Lima ratus delapan belas</v>
          </cell>
        </row>
        <row r="522">
          <cell r="A522">
            <v>519</v>
          </cell>
          <cell r="B522" t="str">
            <v>Lima ratus sembilan belas</v>
          </cell>
        </row>
        <row r="523">
          <cell r="A523">
            <v>520</v>
          </cell>
          <cell r="B523" t="str">
            <v>Lima ratus dua puluh</v>
          </cell>
        </row>
        <row r="524">
          <cell r="A524">
            <v>521</v>
          </cell>
          <cell r="B524" t="str">
            <v>Lima ratus dua puluh satu</v>
          </cell>
        </row>
        <row r="525">
          <cell r="A525">
            <v>522</v>
          </cell>
          <cell r="B525" t="str">
            <v>Lima ratus dua puluh dua</v>
          </cell>
        </row>
        <row r="526">
          <cell r="A526">
            <v>523</v>
          </cell>
          <cell r="B526" t="str">
            <v>Lima ratus dua puluh tiga</v>
          </cell>
        </row>
        <row r="527">
          <cell r="A527">
            <v>524</v>
          </cell>
          <cell r="B527" t="str">
            <v>Lima ratus dua puluh empat</v>
          </cell>
        </row>
        <row r="528">
          <cell r="A528">
            <v>525</v>
          </cell>
          <cell r="B528" t="str">
            <v>Lima ratus dua puluh lima</v>
          </cell>
        </row>
        <row r="529">
          <cell r="A529">
            <v>526</v>
          </cell>
          <cell r="B529" t="str">
            <v>Lima ratus dua puluh enam</v>
          </cell>
        </row>
        <row r="530">
          <cell r="A530">
            <v>527</v>
          </cell>
          <cell r="B530" t="str">
            <v>Lima ratus dua puluh tujuh</v>
          </cell>
        </row>
        <row r="531">
          <cell r="A531">
            <v>528</v>
          </cell>
          <cell r="B531" t="str">
            <v>Lima ratus dua puluh delapan</v>
          </cell>
        </row>
        <row r="532">
          <cell r="A532">
            <v>529</v>
          </cell>
          <cell r="B532" t="str">
            <v>Lima ratus dua puluh sembilan</v>
          </cell>
        </row>
        <row r="533">
          <cell r="A533">
            <v>530</v>
          </cell>
          <cell r="B533" t="str">
            <v>Lima ratus tiga puluh</v>
          </cell>
        </row>
        <row r="534">
          <cell r="A534">
            <v>531</v>
          </cell>
          <cell r="B534" t="str">
            <v>Lima ratus tiga puluh satu</v>
          </cell>
        </row>
        <row r="535">
          <cell r="A535">
            <v>532</v>
          </cell>
          <cell r="B535" t="str">
            <v>Lima ratus tiga puluh dua</v>
          </cell>
        </row>
        <row r="536">
          <cell r="A536">
            <v>533</v>
          </cell>
          <cell r="B536" t="str">
            <v>Lima ratus tiga puluh tiga</v>
          </cell>
        </row>
        <row r="537">
          <cell r="A537">
            <v>534</v>
          </cell>
          <cell r="B537" t="str">
            <v>Lima ratus tiga puluh empat</v>
          </cell>
        </row>
        <row r="538">
          <cell r="A538">
            <v>535</v>
          </cell>
          <cell r="B538" t="str">
            <v>Lima ratus tiga puluh lima</v>
          </cell>
        </row>
        <row r="539">
          <cell r="A539">
            <v>536</v>
          </cell>
          <cell r="B539" t="str">
            <v>Lima ratus tiga puluh enam</v>
          </cell>
        </row>
        <row r="540">
          <cell r="A540">
            <v>537</v>
          </cell>
          <cell r="B540" t="str">
            <v>Lima ratus tiga puluh tujuh</v>
          </cell>
        </row>
        <row r="541">
          <cell r="A541">
            <v>538</v>
          </cell>
          <cell r="B541" t="str">
            <v>Lima ratus tiga puluh delapan</v>
          </cell>
        </row>
        <row r="542">
          <cell r="A542">
            <v>539</v>
          </cell>
          <cell r="B542" t="str">
            <v>Lima ratus tiga puluh sembilan</v>
          </cell>
        </row>
        <row r="543">
          <cell r="A543">
            <v>540</v>
          </cell>
          <cell r="B543" t="str">
            <v>Lima ratus empat puluh</v>
          </cell>
        </row>
        <row r="544">
          <cell r="A544">
            <v>541</v>
          </cell>
          <cell r="B544" t="str">
            <v>Lima ratus empat puluh satu</v>
          </cell>
        </row>
        <row r="545">
          <cell r="A545">
            <v>542</v>
          </cell>
          <cell r="B545" t="str">
            <v>Lima ratus empat puluh dua</v>
          </cell>
        </row>
        <row r="546">
          <cell r="A546">
            <v>543</v>
          </cell>
          <cell r="B546" t="str">
            <v>Lima ratus empat puluh tiga</v>
          </cell>
        </row>
        <row r="547">
          <cell r="A547">
            <v>544</v>
          </cell>
          <cell r="B547" t="str">
            <v>Lima ratus empat puluh empat</v>
          </cell>
        </row>
        <row r="548">
          <cell r="A548">
            <v>545</v>
          </cell>
          <cell r="B548" t="str">
            <v>Lima ratus empat puluh lima</v>
          </cell>
        </row>
        <row r="549">
          <cell r="A549">
            <v>546</v>
          </cell>
          <cell r="B549" t="str">
            <v>Lima ratus empat puluh enam</v>
          </cell>
        </row>
        <row r="550">
          <cell r="A550">
            <v>547</v>
          </cell>
          <cell r="B550" t="str">
            <v>Lima ratus empat puluh tujuh</v>
          </cell>
        </row>
        <row r="551">
          <cell r="A551">
            <v>548</v>
          </cell>
          <cell r="B551" t="str">
            <v>Lima ratus empat puluh delapan</v>
          </cell>
        </row>
        <row r="552">
          <cell r="A552">
            <v>549</v>
          </cell>
          <cell r="B552" t="str">
            <v>Lima ratus empat puluh sembilan</v>
          </cell>
        </row>
        <row r="553">
          <cell r="A553">
            <v>550</v>
          </cell>
          <cell r="B553" t="str">
            <v>Lima ratus lima puluh</v>
          </cell>
        </row>
        <row r="554">
          <cell r="A554">
            <v>551</v>
          </cell>
          <cell r="B554" t="str">
            <v>Lima ratus lima puluh satu</v>
          </cell>
        </row>
        <row r="555">
          <cell r="A555">
            <v>552</v>
          </cell>
          <cell r="B555" t="str">
            <v>Lima ratus lima puluh dua</v>
          </cell>
        </row>
        <row r="556">
          <cell r="A556">
            <v>553</v>
          </cell>
          <cell r="B556" t="str">
            <v>Lima ratus lima puluh tiga</v>
          </cell>
        </row>
        <row r="557">
          <cell r="A557">
            <v>554</v>
          </cell>
          <cell r="B557" t="str">
            <v>Lima ratus lima puluh empat</v>
          </cell>
        </row>
        <row r="558">
          <cell r="A558">
            <v>555</v>
          </cell>
          <cell r="B558" t="str">
            <v>Lima ratus lima puluh lima</v>
          </cell>
        </row>
        <row r="559">
          <cell r="A559">
            <v>556</v>
          </cell>
          <cell r="B559" t="str">
            <v>Lima ratus lima puluh enam</v>
          </cell>
        </row>
        <row r="560">
          <cell r="A560">
            <v>557</v>
          </cell>
          <cell r="B560" t="str">
            <v>Lima ratus lima puluh tujuh</v>
          </cell>
        </row>
        <row r="561">
          <cell r="A561">
            <v>558</v>
          </cell>
          <cell r="B561" t="str">
            <v>Lima ratus lima puluh delapan</v>
          </cell>
        </row>
        <row r="562">
          <cell r="A562">
            <v>559</v>
          </cell>
          <cell r="B562" t="str">
            <v>Lima ratus lima puluh sembilan</v>
          </cell>
        </row>
        <row r="563">
          <cell r="A563">
            <v>560</v>
          </cell>
          <cell r="B563" t="str">
            <v>Lima ratus enam puluh</v>
          </cell>
        </row>
        <row r="564">
          <cell r="A564">
            <v>561</v>
          </cell>
          <cell r="B564" t="str">
            <v>Lima ratus enam puluh satu</v>
          </cell>
        </row>
        <row r="565">
          <cell r="A565">
            <v>562</v>
          </cell>
          <cell r="B565" t="str">
            <v>Lima ratus enam puluh dua</v>
          </cell>
        </row>
        <row r="566">
          <cell r="A566">
            <v>563</v>
          </cell>
          <cell r="B566" t="str">
            <v>Lima ratus enam puluh tiga</v>
          </cell>
        </row>
        <row r="567">
          <cell r="A567">
            <v>564</v>
          </cell>
          <cell r="B567" t="str">
            <v>Lima ratus enam puluh empat</v>
          </cell>
        </row>
        <row r="568">
          <cell r="A568">
            <v>565</v>
          </cell>
          <cell r="B568" t="str">
            <v>Lima ratus enam puluh lima</v>
          </cell>
        </row>
        <row r="569">
          <cell r="A569">
            <v>566</v>
          </cell>
          <cell r="B569" t="str">
            <v>Lima ratus enam puluh enam</v>
          </cell>
        </row>
        <row r="570">
          <cell r="A570">
            <v>567</v>
          </cell>
          <cell r="B570" t="str">
            <v>Lima ratus enam puluh tujuh</v>
          </cell>
        </row>
        <row r="571">
          <cell r="A571">
            <v>568</v>
          </cell>
          <cell r="B571" t="str">
            <v>Lima ratus enam puluh delapan</v>
          </cell>
        </row>
        <row r="572">
          <cell r="A572">
            <v>569</v>
          </cell>
          <cell r="B572" t="str">
            <v>Lima ratus enam puluh sembilan</v>
          </cell>
        </row>
        <row r="573">
          <cell r="A573">
            <v>570</v>
          </cell>
          <cell r="B573" t="str">
            <v>Lima ratus tujuh puluh</v>
          </cell>
        </row>
        <row r="574">
          <cell r="A574">
            <v>571</v>
          </cell>
          <cell r="B574" t="str">
            <v>Lima ratus tujuh puluh satu</v>
          </cell>
        </row>
        <row r="575">
          <cell r="A575">
            <v>572</v>
          </cell>
          <cell r="B575" t="str">
            <v>Lima ratus tujuh puluh dua</v>
          </cell>
        </row>
        <row r="576">
          <cell r="A576">
            <v>573</v>
          </cell>
          <cell r="B576" t="str">
            <v>Lima ratus tujuh puluh tiga</v>
          </cell>
        </row>
        <row r="577">
          <cell r="A577">
            <v>574</v>
          </cell>
          <cell r="B577" t="str">
            <v>Lima ratus tujuh puluh empat</v>
          </cell>
        </row>
        <row r="578">
          <cell r="A578">
            <v>575</v>
          </cell>
          <cell r="B578" t="str">
            <v>Lima ratus tujuh puluh lima</v>
          </cell>
        </row>
        <row r="579">
          <cell r="A579">
            <v>576</v>
          </cell>
          <cell r="B579" t="str">
            <v>Lima ratus tujuh puluh enam</v>
          </cell>
        </row>
        <row r="580">
          <cell r="A580">
            <v>577</v>
          </cell>
          <cell r="B580" t="str">
            <v>Lima ratus tujuh puluh tujuh</v>
          </cell>
        </row>
        <row r="581">
          <cell r="A581">
            <v>578</v>
          </cell>
          <cell r="B581" t="str">
            <v>Lima ratus tujuh puluh delapan</v>
          </cell>
        </row>
        <row r="582">
          <cell r="A582">
            <v>579</v>
          </cell>
          <cell r="B582" t="str">
            <v>Lima ratus tujuh puluh sembilan</v>
          </cell>
        </row>
        <row r="583">
          <cell r="A583">
            <v>580</v>
          </cell>
          <cell r="B583" t="str">
            <v>Lima ratus delapan puluh</v>
          </cell>
        </row>
        <row r="584">
          <cell r="A584">
            <v>581</v>
          </cell>
          <cell r="B584" t="str">
            <v>Lima ratus delapan puluh satu</v>
          </cell>
        </row>
        <row r="585">
          <cell r="A585">
            <v>582</v>
          </cell>
          <cell r="B585" t="str">
            <v>Lima ratus delapan puluh dua</v>
          </cell>
        </row>
        <row r="586">
          <cell r="A586">
            <v>583</v>
          </cell>
          <cell r="B586" t="str">
            <v>Lima ratus delapan puluh tiga</v>
          </cell>
        </row>
        <row r="587">
          <cell r="A587">
            <v>584</v>
          </cell>
          <cell r="B587" t="str">
            <v>Lima ratus delapan puluh empat</v>
          </cell>
        </row>
        <row r="588">
          <cell r="A588">
            <v>585</v>
          </cell>
          <cell r="B588" t="str">
            <v>Lima ratus delapan puluh lima</v>
          </cell>
        </row>
        <row r="589">
          <cell r="A589">
            <v>586</v>
          </cell>
          <cell r="B589" t="str">
            <v>Lima ratus delapan puluh enam</v>
          </cell>
        </row>
        <row r="590">
          <cell r="A590">
            <v>587</v>
          </cell>
          <cell r="B590" t="str">
            <v>Lima ratus delapan puluh tujuh</v>
          </cell>
        </row>
        <row r="591">
          <cell r="A591">
            <v>588</v>
          </cell>
          <cell r="B591" t="str">
            <v>Lima ratus delapan puluh delapan</v>
          </cell>
        </row>
        <row r="592">
          <cell r="A592">
            <v>589</v>
          </cell>
          <cell r="B592" t="str">
            <v>Lima ratus delapan puluh sembilan</v>
          </cell>
        </row>
        <row r="593">
          <cell r="A593">
            <v>590</v>
          </cell>
          <cell r="B593" t="str">
            <v>Lima ratus sembilan puluh</v>
          </cell>
        </row>
        <row r="594">
          <cell r="A594">
            <v>591</v>
          </cell>
          <cell r="B594" t="str">
            <v>Lima ratus sembilan puluh satu</v>
          </cell>
        </row>
        <row r="595">
          <cell r="A595">
            <v>592</v>
          </cell>
          <cell r="B595" t="str">
            <v>Lima ratus sembilan puluh dua</v>
          </cell>
        </row>
        <row r="596">
          <cell r="A596">
            <v>593</v>
          </cell>
          <cell r="B596" t="str">
            <v>Lima ratus sembilan puluh tiga</v>
          </cell>
        </row>
        <row r="597">
          <cell r="A597">
            <v>594</v>
          </cell>
          <cell r="B597" t="str">
            <v>Lima ratus sembilan puluh empat</v>
          </cell>
        </row>
        <row r="598">
          <cell r="A598">
            <v>595</v>
          </cell>
          <cell r="B598" t="str">
            <v>Lima ratus sembilan puluh lima</v>
          </cell>
        </row>
        <row r="599">
          <cell r="A599">
            <v>596</v>
          </cell>
          <cell r="B599" t="str">
            <v>Lima ratus sembilan puluh enam</v>
          </cell>
        </row>
        <row r="600">
          <cell r="A600">
            <v>597</v>
          </cell>
          <cell r="B600" t="str">
            <v>Lima ratus sembilan puluh tujuh</v>
          </cell>
        </row>
        <row r="601">
          <cell r="A601">
            <v>598</v>
          </cell>
          <cell r="B601" t="str">
            <v>Lima ratus sembilan puluh delapan</v>
          </cell>
        </row>
        <row r="602">
          <cell r="A602">
            <v>599</v>
          </cell>
          <cell r="B602" t="str">
            <v>Lima ratus sembilan puluh sembilan</v>
          </cell>
        </row>
        <row r="603">
          <cell r="A603">
            <v>600</v>
          </cell>
          <cell r="B603" t="str">
            <v>Enam ratus</v>
          </cell>
        </row>
        <row r="604">
          <cell r="A604">
            <v>601</v>
          </cell>
          <cell r="B604" t="str">
            <v>Enam ratus satu</v>
          </cell>
        </row>
        <row r="605">
          <cell r="A605">
            <v>602</v>
          </cell>
          <cell r="B605" t="str">
            <v>Enam ratus dua</v>
          </cell>
        </row>
        <row r="606">
          <cell r="A606">
            <v>603</v>
          </cell>
          <cell r="B606" t="str">
            <v>Enam ratus tiga</v>
          </cell>
        </row>
        <row r="607">
          <cell r="A607">
            <v>604</v>
          </cell>
          <cell r="B607" t="str">
            <v>Enam ratus empat</v>
          </cell>
        </row>
        <row r="608">
          <cell r="A608">
            <v>605</v>
          </cell>
          <cell r="B608" t="str">
            <v>Enam ratus lima</v>
          </cell>
        </row>
        <row r="609">
          <cell r="A609">
            <v>606</v>
          </cell>
          <cell r="B609" t="str">
            <v>Enam ratus enam</v>
          </cell>
        </row>
        <row r="610">
          <cell r="A610">
            <v>607</v>
          </cell>
          <cell r="B610" t="str">
            <v>Enam ratus tujuh</v>
          </cell>
        </row>
        <row r="611">
          <cell r="A611">
            <v>608</v>
          </cell>
          <cell r="B611" t="str">
            <v>Enam ratus delapan</v>
          </cell>
        </row>
        <row r="612">
          <cell r="A612">
            <v>609</v>
          </cell>
          <cell r="B612" t="str">
            <v>Enam ratus sembilan</v>
          </cell>
        </row>
        <row r="613">
          <cell r="A613">
            <v>610</v>
          </cell>
          <cell r="B613" t="str">
            <v>Enam ratus sepuluh</v>
          </cell>
        </row>
        <row r="614">
          <cell r="A614">
            <v>611</v>
          </cell>
          <cell r="B614" t="str">
            <v>Enam ratus sebelas</v>
          </cell>
        </row>
        <row r="615">
          <cell r="A615">
            <v>612</v>
          </cell>
          <cell r="B615" t="str">
            <v>Enam ratus dua belas</v>
          </cell>
        </row>
        <row r="616">
          <cell r="A616">
            <v>613</v>
          </cell>
          <cell r="B616" t="str">
            <v>Enam ratus tiga belas</v>
          </cell>
        </row>
        <row r="617">
          <cell r="A617">
            <v>614</v>
          </cell>
          <cell r="B617" t="str">
            <v>Enam ratus empat belas</v>
          </cell>
        </row>
        <row r="618">
          <cell r="A618">
            <v>615</v>
          </cell>
          <cell r="B618" t="str">
            <v>Enam ratus lima belas</v>
          </cell>
        </row>
        <row r="619">
          <cell r="A619">
            <v>616</v>
          </cell>
          <cell r="B619" t="str">
            <v>Enam ratus enam belas</v>
          </cell>
        </row>
        <row r="620">
          <cell r="A620">
            <v>617</v>
          </cell>
          <cell r="B620" t="str">
            <v>Enam ratus tujuh belas</v>
          </cell>
        </row>
        <row r="621">
          <cell r="A621">
            <v>618</v>
          </cell>
          <cell r="B621" t="str">
            <v>Enam ratus delapan belas</v>
          </cell>
        </row>
        <row r="622">
          <cell r="A622">
            <v>619</v>
          </cell>
          <cell r="B622" t="str">
            <v>Enam ratus sembilan belas</v>
          </cell>
        </row>
        <row r="623">
          <cell r="A623">
            <v>620</v>
          </cell>
          <cell r="B623" t="str">
            <v>Enam ratus dua puluh</v>
          </cell>
        </row>
        <row r="624">
          <cell r="A624">
            <v>621</v>
          </cell>
          <cell r="B624" t="str">
            <v>Enam ratus dua puluh satu</v>
          </cell>
        </row>
        <row r="625">
          <cell r="A625">
            <v>622</v>
          </cell>
          <cell r="B625" t="str">
            <v>Enam ratus dua puluh dua</v>
          </cell>
        </row>
        <row r="626">
          <cell r="A626">
            <v>623</v>
          </cell>
          <cell r="B626" t="str">
            <v>Enam ratus dua puluh tiga</v>
          </cell>
        </row>
        <row r="627">
          <cell r="A627">
            <v>624</v>
          </cell>
          <cell r="B627" t="str">
            <v>Enam ratus dua puluh empat</v>
          </cell>
        </row>
        <row r="628">
          <cell r="A628">
            <v>625</v>
          </cell>
          <cell r="B628" t="str">
            <v>Enam ratus dua puluh lima</v>
          </cell>
        </row>
        <row r="629">
          <cell r="A629">
            <v>626</v>
          </cell>
          <cell r="B629" t="str">
            <v>Enam ratus dua puluh enam</v>
          </cell>
        </row>
        <row r="630">
          <cell r="A630">
            <v>627</v>
          </cell>
          <cell r="B630" t="str">
            <v>Enam ratus dua puluh tujuh</v>
          </cell>
        </row>
        <row r="631">
          <cell r="A631">
            <v>628</v>
          </cell>
          <cell r="B631" t="str">
            <v>Enam ratus dua puluh delapan</v>
          </cell>
        </row>
        <row r="632">
          <cell r="A632">
            <v>629</v>
          </cell>
          <cell r="B632" t="str">
            <v>Enam ratus dua puluh sembilan</v>
          </cell>
        </row>
        <row r="633">
          <cell r="A633">
            <v>630</v>
          </cell>
          <cell r="B633" t="str">
            <v>Enam ratus tiga puluh</v>
          </cell>
        </row>
        <row r="634">
          <cell r="A634">
            <v>631</v>
          </cell>
          <cell r="B634" t="str">
            <v>Enam ratus tiga puluh satu</v>
          </cell>
        </row>
        <row r="635">
          <cell r="A635">
            <v>632</v>
          </cell>
          <cell r="B635" t="str">
            <v>Enam ratus tiga puluh dua</v>
          </cell>
        </row>
        <row r="636">
          <cell r="A636">
            <v>633</v>
          </cell>
          <cell r="B636" t="str">
            <v>Enam ratus tiga puluh tiga</v>
          </cell>
        </row>
        <row r="637">
          <cell r="A637">
            <v>634</v>
          </cell>
          <cell r="B637" t="str">
            <v>Enam ratus tiga puluh empat</v>
          </cell>
        </row>
        <row r="638">
          <cell r="A638">
            <v>635</v>
          </cell>
          <cell r="B638" t="str">
            <v>Enam ratus tiga puluh lima</v>
          </cell>
        </row>
        <row r="639">
          <cell r="A639">
            <v>636</v>
          </cell>
          <cell r="B639" t="str">
            <v>Enam ratus tiga puluh enam</v>
          </cell>
        </row>
        <row r="640">
          <cell r="A640">
            <v>637</v>
          </cell>
          <cell r="B640" t="str">
            <v>Enam ratus tiga puluh tujuh</v>
          </cell>
        </row>
        <row r="641">
          <cell r="A641">
            <v>638</v>
          </cell>
          <cell r="B641" t="str">
            <v>Enam ratus tiga puluh delapan</v>
          </cell>
        </row>
        <row r="642">
          <cell r="A642">
            <v>639</v>
          </cell>
          <cell r="B642" t="str">
            <v>Enam ratus tiga puluh sembilan</v>
          </cell>
        </row>
        <row r="643">
          <cell r="A643">
            <v>640</v>
          </cell>
          <cell r="B643" t="str">
            <v>Enam ratus empat puluh</v>
          </cell>
        </row>
        <row r="644">
          <cell r="A644">
            <v>641</v>
          </cell>
          <cell r="B644" t="str">
            <v>Enam ratus empat puluh satu</v>
          </cell>
        </row>
        <row r="645">
          <cell r="A645">
            <v>642</v>
          </cell>
          <cell r="B645" t="str">
            <v>Enam ratus empat puluh dua</v>
          </cell>
        </row>
        <row r="646">
          <cell r="A646">
            <v>643</v>
          </cell>
          <cell r="B646" t="str">
            <v>Enam ratus empat puluh tiga</v>
          </cell>
        </row>
        <row r="647">
          <cell r="A647">
            <v>644</v>
          </cell>
          <cell r="B647" t="str">
            <v>Enam ratus empat puluh empat</v>
          </cell>
        </row>
        <row r="648">
          <cell r="A648">
            <v>645</v>
          </cell>
          <cell r="B648" t="str">
            <v>Enam ratus empat puluh lima</v>
          </cell>
        </row>
        <row r="649">
          <cell r="A649">
            <v>646</v>
          </cell>
          <cell r="B649" t="str">
            <v>Enam ratus empat puluh enam</v>
          </cell>
        </row>
        <row r="650">
          <cell r="A650">
            <v>647</v>
          </cell>
          <cell r="B650" t="str">
            <v>Enam ratus empat puluh tujuh</v>
          </cell>
        </row>
        <row r="651">
          <cell r="A651">
            <v>648</v>
          </cell>
          <cell r="B651" t="str">
            <v>Enam ratus empat puluh delapan</v>
          </cell>
        </row>
        <row r="652">
          <cell r="A652">
            <v>649</v>
          </cell>
          <cell r="B652" t="str">
            <v>Enam ratus empat puluh sembilan</v>
          </cell>
        </row>
        <row r="653">
          <cell r="A653">
            <v>650</v>
          </cell>
          <cell r="B653" t="str">
            <v>Enam ratus lima puluh</v>
          </cell>
        </row>
        <row r="654">
          <cell r="A654">
            <v>651</v>
          </cell>
          <cell r="B654" t="str">
            <v>Enam ratus lima puluh satu</v>
          </cell>
        </row>
        <row r="655">
          <cell r="A655">
            <v>652</v>
          </cell>
          <cell r="B655" t="str">
            <v>Enam ratus lima puluh dua</v>
          </cell>
        </row>
        <row r="656">
          <cell r="A656">
            <v>653</v>
          </cell>
          <cell r="B656" t="str">
            <v>Enam ratus lima puluh tiga</v>
          </cell>
        </row>
        <row r="657">
          <cell r="A657">
            <v>654</v>
          </cell>
          <cell r="B657" t="str">
            <v>Enam ratus lima puluh empat</v>
          </cell>
        </row>
        <row r="658">
          <cell r="A658">
            <v>655</v>
          </cell>
          <cell r="B658" t="str">
            <v>Enam ratus lima puluh lima</v>
          </cell>
        </row>
        <row r="659">
          <cell r="A659">
            <v>656</v>
          </cell>
          <cell r="B659" t="str">
            <v>Enam ratus lima puluh enam</v>
          </cell>
        </row>
        <row r="660">
          <cell r="A660">
            <v>657</v>
          </cell>
          <cell r="B660" t="str">
            <v>Enam ratus lima puluh tujuh</v>
          </cell>
        </row>
        <row r="661">
          <cell r="A661">
            <v>658</v>
          </cell>
          <cell r="B661" t="str">
            <v>Enam ratus lima puluh delapan</v>
          </cell>
        </row>
        <row r="662">
          <cell r="A662">
            <v>659</v>
          </cell>
          <cell r="B662" t="str">
            <v>Enam ratus lima puluh sembilan</v>
          </cell>
        </row>
        <row r="663">
          <cell r="A663">
            <v>660</v>
          </cell>
          <cell r="B663" t="str">
            <v>Enam ratus enam puluh</v>
          </cell>
        </row>
        <row r="664">
          <cell r="A664">
            <v>661</v>
          </cell>
          <cell r="B664" t="str">
            <v>Enam ratus enam puluh satu</v>
          </cell>
        </row>
        <row r="665">
          <cell r="A665">
            <v>662</v>
          </cell>
          <cell r="B665" t="str">
            <v>Enam ratus enam puluh dua</v>
          </cell>
        </row>
        <row r="666">
          <cell r="A666">
            <v>663</v>
          </cell>
          <cell r="B666" t="str">
            <v>Enam ratus enam puluh tiga</v>
          </cell>
        </row>
        <row r="667">
          <cell r="A667">
            <v>664</v>
          </cell>
          <cell r="B667" t="str">
            <v>Enam ratus enam puluh empat</v>
          </cell>
        </row>
        <row r="668">
          <cell r="A668">
            <v>665</v>
          </cell>
          <cell r="B668" t="str">
            <v>Enam ratus enam puluh lima</v>
          </cell>
        </row>
        <row r="669">
          <cell r="A669">
            <v>666</v>
          </cell>
          <cell r="B669" t="str">
            <v>Enam ratus enam puluh enam</v>
          </cell>
        </row>
        <row r="670">
          <cell r="A670">
            <v>667</v>
          </cell>
          <cell r="B670" t="str">
            <v>Enam ratus enam puluh tujuh</v>
          </cell>
        </row>
        <row r="671">
          <cell r="A671">
            <v>668</v>
          </cell>
          <cell r="B671" t="str">
            <v>Enam ratus enam puluh delapan</v>
          </cell>
        </row>
        <row r="672">
          <cell r="A672">
            <v>669</v>
          </cell>
          <cell r="B672" t="str">
            <v>Enam ratus enam puluh sembilan</v>
          </cell>
        </row>
        <row r="673">
          <cell r="A673">
            <v>670</v>
          </cell>
          <cell r="B673" t="str">
            <v>Enam ratus tujuh puluh</v>
          </cell>
        </row>
        <row r="674">
          <cell r="A674">
            <v>671</v>
          </cell>
          <cell r="B674" t="str">
            <v>Enam ratus tujuh puluh satu</v>
          </cell>
        </row>
        <row r="675">
          <cell r="A675">
            <v>672</v>
          </cell>
          <cell r="B675" t="str">
            <v>Enam ratus tujuh puluh dua</v>
          </cell>
        </row>
        <row r="676">
          <cell r="A676">
            <v>673</v>
          </cell>
          <cell r="B676" t="str">
            <v>Enam ratus tujuh puluh tiga</v>
          </cell>
        </row>
        <row r="677">
          <cell r="A677">
            <v>674</v>
          </cell>
          <cell r="B677" t="str">
            <v>Enam ratus tujuh puluh empat</v>
          </cell>
        </row>
        <row r="678">
          <cell r="A678">
            <v>675</v>
          </cell>
          <cell r="B678" t="str">
            <v>Enam ratus tujuh puluh lima</v>
          </cell>
        </row>
        <row r="679">
          <cell r="A679">
            <v>676</v>
          </cell>
          <cell r="B679" t="str">
            <v>Enam ratus tujuh puluh enam</v>
          </cell>
        </row>
        <row r="680">
          <cell r="A680">
            <v>677</v>
          </cell>
          <cell r="B680" t="str">
            <v>Enam ratus tujuh puluh tujuh</v>
          </cell>
        </row>
        <row r="681">
          <cell r="A681">
            <v>678</v>
          </cell>
          <cell r="B681" t="str">
            <v>Enam ratus tujuh puluh delapan</v>
          </cell>
        </row>
        <row r="682">
          <cell r="A682">
            <v>679</v>
          </cell>
          <cell r="B682" t="str">
            <v>Enam ratus tujuh puluh sembilan</v>
          </cell>
        </row>
        <row r="683">
          <cell r="A683">
            <v>680</v>
          </cell>
          <cell r="B683" t="str">
            <v>Enam ratus delapan puluh</v>
          </cell>
        </row>
        <row r="684">
          <cell r="A684">
            <v>681</v>
          </cell>
          <cell r="B684" t="str">
            <v>Enam ratus delapan puluh satu</v>
          </cell>
        </row>
        <row r="685">
          <cell r="A685">
            <v>682</v>
          </cell>
          <cell r="B685" t="str">
            <v>Enam ratus delapan puluh dua</v>
          </cell>
        </row>
        <row r="686">
          <cell r="A686">
            <v>683</v>
          </cell>
          <cell r="B686" t="str">
            <v>Enam ratus delapan puluh tiga</v>
          </cell>
        </row>
        <row r="687">
          <cell r="A687">
            <v>684</v>
          </cell>
          <cell r="B687" t="str">
            <v>Enam ratus delapan puluh empat</v>
          </cell>
        </row>
        <row r="688">
          <cell r="A688">
            <v>685</v>
          </cell>
          <cell r="B688" t="str">
            <v>Enam ratus delapan puluh lima</v>
          </cell>
        </row>
        <row r="689">
          <cell r="A689">
            <v>686</v>
          </cell>
          <cell r="B689" t="str">
            <v>Enam ratus delapan puluh enam</v>
          </cell>
        </row>
        <row r="690">
          <cell r="A690">
            <v>687</v>
          </cell>
          <cell r="B690" t="str">
            <v>Enam ratus delapan puluh tujuh</v>
          </cell>
        </row>
        <row r="691">
          <cell r="A691">
            <v>688</v>
          </cell>
          <cell r="B691" t="str">
            <v>Enam ratus delapan puluh delapan</v>
          </cell>
        </row>
        <row r="692">
          <cell r="A692">
            <v>689</v>
          </cell>
          <cell r="B692" t="str">
            <v>Enam ratus delapan puluh sembilan</v>
          </cell>
        </row>
        <row r="693">
          <cell r="A693">
            <v>690</v>
          </cell>
          <cell r="B693" t="str">
            <v>Enam ratus sembilan puluh</v>
          </cell>
        </row>
        <row r="694">
          <cell r="A694">
            <v>691</v>
          </cell>
          <cell r="B694" t="str">
            <v>Enam ratus sembilan puluh satu</v>
          </cell>
        </row>
        <row r="695">
          <cell r="A695">
            <v>692</v>
          </cell>
          <cell r="B695" t="str">
            <v>Enam ratus sembilan puluh dua</v>
          </cell>
        </row>
        <row r="696">
          <cell r="A696">
            <v>693</v>
          </cell>
          <cell r="B696" t="str">
            <v>Enam ratus sembilan puluh tiga</v>
          </cell>
        </row>
        <row r="697">
          <cell r="A697">
            <v>694</v>
          </cell>
          <cell r="B697" t="str">
            <v>Enam ratus sembilan puluh empat</v>
          </cell>
        </row>
        <row r="698">
          <cell r="A698">
            <v>695</v>
          </cell>
          <cell r="B698" t="str">
            <v>Enam ratus sembilan puluh lima</v>
          </cell>
        </row>
        <row r="699">
          <cell r="A699">
            <v>696</v>
          </cell>
          <cell r="B699" t="str">
            <v>Enam ratus sembilan puluh enam</v>
          </cell>
        </row>
        <row r="700">
          <cell r="A700">
            <v>697</v>
          </cell>
          <cell r="B700" t="str">
            <v>Enam ratus sembilan puluh tujuh</v>
          </cell>
        </row>
        <row r="701">
          <cell r="A701">
            <v>698</v>
          </cell>
          <cell r="B701" t="str">
            <v>Enam ratus sembilan puluh delapan</v>
          </cell>
        </row>
        <row r="702">
          <cell r="A702">
            <v>699</v>
          </cell>
          <cell r="B702" t="str">
            <v>Enam ratus sembilan puluh sembilan</v>
          </cell>
        </row>
        <row r="703">
          <cell r="A703">
            <v>700</v>
          </cell>
          <cell r="B703" t="str">
            <v>Tujuh ratus</v>
          </cell>
        </row>
        <row r="704">
          <cell r="A704">
            <v>701</v>
          </cell>
          <cell r="B704" t="str">
            <v>Tujuh ratus satu</v>
          </cell>
        </row>
        <row r="705">
          <cell r="A705">
            <v>702</v>
          </cell>
          <cell r="B705" t="str">
            <v>Tujuh ratus dua</v>
          </cell>
        </row>
        <row r="706">
          <cell r="A706">
            <v>703</v>
          </cell>
          <cell r="B706" t="str">
            <v>Tujuh ratus tiga</v>
          </cell>
        </row>
        <row r="707">
          <cell r="A707">
            <v>704</v>
          </cell>
          <cell r="B707" t="str">
            <v>Tujuh ratus empat</v>
          </cell>
        </row>
        <row r="708">
          <cell r="A708">
            <v>705</v>
          </cell>
          <cell r="B708" t="str">
            <v>Tujuh ratus lima</v>
          </cell>
        </row>
        <row r="709">
          <cell r="A709">
            <v>706</v>
          </cell>
          <cell r="B709" t="str">
            <v>Tujuh ratus enam</v>
          </cell>
        </row>
        <row r="710">
          <cell r="A710">
            <v>707</v>
          </cell>
          <cell r="B710" t="str">
            <v>Tujuh ratus tujuh</v>
          </cell>
        </row>
        <row r="711">
          <cell r="A711">
            <v>708</v>
          </cell>
          <cell r="B711" t="str">
            <v>Tujuh ratus delapan</v>
          </cell>
        </row>
        <row r="712">
          <cell r="A712">
            <v>709</v>
          </cell>
          <cell r="B712" t="str">
            <v>Tujuh ratus sembilan</v>
          </cell>
        </row>
        <row r="713">
          <cell r="A713">
            <v>710</v>
          </cell>
          <cell r="B713" t="str">
            <v>Tujuh ratus sepuluh</v>
          </cell>
        </row>
        <row r="714">
          <cell r="A714">
            <v>711</v>
          </cell>
          <cell r="B714" t="str">
            <v>Tujuh ratus sebelas</v>
          </cell>
        </row>
        <row r="715">
          <cell r="A715">
            <v>712</v>
          </cell>
          <cell r="B715" t="str">
            <v>Tujuh ratus dua belas</v>
          </cell>
        </row>
        <row r="716">
          <cell r="A716">
            <v>713</v>
          </cell>
          <cell r="B716" t="str">
            <v>Tujuh ratus tiga belas</v>
          </cell>
        </row>
        <row r="717">
          <cell r="A717">
            <v>714</v>
          </cell>
          <cell r="B717" t="str">
            <v>Tujuh ratus empat belas</v>
          </cell>
        </row>
        <row r="718">
          <cell r="A718">
            <v>715</v>
          </cell>
          <cell r="B718" t="str">
            <v>Tujuh ratus lima belas</v>
          </cell>
        </row>
        <row r="719">
          <cell r="A719">
            <v>716</v>
          </cell>
          <cell r="B719" t="str">
            <v>Tujuh ratus enam belas</v>
          </cell>
        </row>
        <row r="720">
          <cell r="A720">
            <v>717</v>
          </cell>
          <cell r="B720" t="str">
            <v>Tujuh ratus tujuh belas</v>
          </cell>
        </row>
        <row r="721">
          <cell r="A721">
            <v>718</v>
          </cell>
          <cell r="B721" t="str">
            <v>Tujuh ratus delapan belas</v>
          </cell>
        </row>
        <row r="722">
          <cell r="A722">
            <v>719</v>
          </cell>
          <cell r="B722" t="str">
            <v>Tujuh ratus sembilan belas</v>
          </cell>
        </row>
        <row r="723">
          <cell r="A723">
            <v>720</v>
          </cell>
          <cell r="B723" t="str">
            <v>Tujuh ratus dua puluh</v>
          </cell>
        </row>
        <row r="724">
          <cell r="A724">
            <v>721</v>
          </cell>
          <cell r="B724" t="str">
            <v>Tujuh ratus dua puluh satu</v>
          </cell>
        </row>
        <row r="725">
          <cell r="A725">
            <v>722</v>
          </cell>
          <cell r="B725" t="str">
            <v>Tujuh ratus dua puluh dua</v>
          </cell>
        </row>
        <row r="726">
          <cell r="A726">
            <v>723</v>
          </cell>
          <cell r="B726" t="str">
            <v>Tujuh ratus dua puluh tiga</v>
          </cell>
        </row>
        <row r="727">
          <cell r="A727">
            <v>724</v>
          </cell>
          <cell r="B727" t="str">
            <v>Tujuh ratus dua puluh empat</v>
          </cell>
        </row>
        <row r="728">
          <cell r="A728">
            <v>725</v>
          </cell>
          <cell r="B728" t="str">
            <v>Tujuh ratus dua puluh lima</v>
          </cell>
        </row>
        <row r="729">
          <cell r="A729">
            <v>726</v>
          </cell>
          <cell r="B729" t="str">
            <v>Tujuh ratus dua puluh enam</v>
          </cell>
        </row>
        <row r="730">
          <cell r="A730">
            <v>727</v>
          </cell>
          <cell r="B730" t="str">
            <v>Tujuh ratus dua puluh tujuh</v>
          </cell>
        </row>
        <row r="731">
          <cell r="A731">
            <v>728</v>
          </cell>
          <cell r="B731" t="str">
            <v>Tujuh ratus dua puluh delapan</v>
          </cell>
        </row>
        <row r="732">
          <cell r="A732">
            <v>729</v>
          </cell>
          <cell r="B732" t="str">
            <v>Tujuh ratus dua puluh sembilan</v>
          </cell>
        </row>
        <row r="733">
          <cell r="A733">
            <v>730</v>
          </cell>
          <cell r="B733" t="str">
            <v>Tujuh ratus tiga puluh</v>
          </cell>
        </row>
        <row r="734">
          <cell r="A734">
            <v>731</v>
          </cell>
          <cell r="B734" t="str">
            <v>Tujuh ratus tiga puluh satu</v>
          </cell>
        </row>
        <row r="735">
          <cell r="A735">
            <v>732</v>
          </cell>
          <cell r="B735" t="str">
            <v>Tujuh ratus tiga puluh dua</v>
          </cell>
        </row>
        <row r="736">
          <cell r="A736">
            <v>733</v>
          </cell>
          <cell r="B736" t="str">
            <v>Tujuh ratus tiga puluh tiga</v>
          </cell>
        </row>
        <row r="737">
          <cell r="A737">
            <v>734</v>
          </cell>
          <cell r="B737" t="str">
            <v>Tujuh ratus tiga puluh empat</v>
          </cell>
        </row>
        <row r="738">
          <cell r="A738">
            <v>735</v>
          </cell>
          <cell r="B738" t="str">
            <v>Tujuh ratus tiga puluh lima</v>
          </cell>
        </row>
        <row r="739">
          <cell r="A739">
            <v>736</v>
          </cell>
          <cell r="B739" t="str">
            <v>Tujuh ratus tiga puluh enam</v>
          </cell>
        </row>
        <row r="740">
          <cell r="A740">
            <v>737</v>
          </cell>
          <cell r="B740" t="str">
            <v>Tujuh ratus tiga puluh tujuh</v>
          </cell>
        </row>
        <row r="741">
          <cell r="A741">
            <v>738</v>
          </cell>
          <cell r="B741" t="str">
            <v>Tujuh ratus tiga puluh delapan</v>
          </cell>
        </row>
        <row r="742">
          <cell r="A742">
            <v>739</v>
          </cell>
          <cell r="B742" t="str">
            <v>Tujuh ratus tiga puluh sembilan</v>
          </cell>
        </row>
        <row r="743">
          <cell r="A743">
            <v>740</v>
          </cell>
          <cell r="B743" t="str">
            <v>Tujuh ratus empat puluh</v>
          </cell>
        </row>
        <row r="744">
          <cell r="A744">
            <v>741</v>
          </cell>
          <cell r="B744" t="str">
            <v>Tujuh ratus empat puluh satu</v>
          </cell>
        </row>
        <row r="745">
          <cell r="A745">
            <v>742</v>
          </cell>
          <cell r="B745" t="str">
            <v>Tujuh ratus empat puluh dua</v>
          </cell>
        </row>
        <row r="746">
          <cell r="A746">
            <v>743</v>
          </cell>
          <cell r="B746" t="str">
            <v>Tujuh ratus empat puluh tiga</v>
          </cell>
        </row>
        <row r="747">
          <cell r="A747">
            <v>744</v>
          </cell>
          <cell r="B747" t="str">
            <v>Tujuh ratus empat puluh empat</v>
          </cell>
        </row>
        <row r="748">
          <cell r="A748">
            <v>745</v>
          </cell>
          <cell r="B748" t="str">
            <v>Tujuh ratus empat puluh lima</v>
          </cell>
        </row>
        <row r="749">
          <cell r="A749">
            <v>746</v>
          </cell>
          <cell r="B749" t="str">
            <v>Tujuh ratus empat puluh enam</v>
          </cell>
        </row>
        <row r="750">
          <cell r="A750">
            <v>747</v>
          </cell>
          <cell r="B750" t="str">
            <v>Tujuh ratus empat puluh tujuh</v>
          </cell>
        </row>
        <row r="751">
          <cell r="A751">
            <v>748</v>
          </cell>
          <cell r="B751" t="str">
            <v>Tujuh ratus empat puluh delapan</v>
          </cell>
        </row>
        <row r="752">
          <cell r="A752">
            <v>749</v>
          </cell>
          <cell r="B752" t="str">
            <v>Tujuh ratus empat puluh sembilan</v>
          </cell>
        </row>
        <row r="753">
          <cell r="A753">
            <v>750</v>
          </cell>
          <cell r="B753" t="str">
            <v>Tujuh ratus lima puluh</v>
          </cell>
        </row>
        <row r="754">
          <cell r="A754">
            <v>751</v>
          </cell>
          <cell r="B754" t="str">
            <v>Tujuh ratus lima puluh satu</v>
          </cell>
        </row>
        <row r="755">
          <cell r="A755">
            <v>752</v>
          </cell>
          <cell r="B755" t="str">
            <v>Tujuh ratus lima puluh dua</v>
          </cell>
        </row>
        <row r="756">
          <cell r="A756">
            <v>753</v>
          </cell>
          <cell r="B756" t="str">
            <v>Tujuh ratus lima puluh tiga</v>
          </cell>
        </row>
        <row r="757">
          <cell r="A757">
            <v>754</v>
          </cell>
          <cell r="B757" t="str">
            <v>Tujuh ratus lima puluh empat</v>
          </cell>
        </row>
        <row r="758">
          <cell r="A758">
            <v>755</v>
          </cell>
          <cell r="B758" t="str">
            <v>Tujuh ratus lima puluh lima</v>
          </cell>
        </row>
        <row r="759">
          <cell r="A759">
            <v>756</v>
          </cell>
          <cell r="B759" t="str">
            <v>Tujuh ratus lima puluh enam</v>
          </cell>
        </row>
        <row r="760">
          <cell r="A760">
            <v>757</v>
          </cell>
          <cell r="B760" t="str">
            <v>Tujuh ratus lima puluh tujuh</v>
          </cell>
        </row>
        <row r="761">
          <cell r="A761">
            <v>758</v>
          </cell>
          <cell r="B761" t="str">
            <v>Tujuh ratus lima puluh delapan</v>
          </cell>
        </row>
        <row r="762">
          <cell r="A762">
            <v>759</v>
          </cell>
          <cell r="B762" t="str">
            <v>Tujuh ratus lima puluh sembilan</v>
          </cell>
        </row>
        <row r="763">
          <cell r="A763">
            <v>760</v>
          </cell>
          <cell r="B763" t="str">
            <v>Tujuh ratus enam puluh</v>
          </cell>
        </row>
        <row r="764">
          <cell r="A764">
            <v>761</v>
          </cell>
          <cell r="B764" t="str">
            <v>Tujuh ratus enam puluh satu</v>
          </cell>
        </row>
        <row r="765">
          <cell r="A765">
            <v>762</v>
          </cell>
          <cell r="B765" t="str">
            <v>Tujuh ratus enam puluh dua</v>
          </cell>
        </row>
        <row r="766">
          <cell r="A766">
            <v>763</v>
          </cell>
          <cell r="B766" t="str">
            <v>Tujuh ratus enam puluh tiga</v>
          </cell>
        </row>
        <row r="767">
          <cell r="A767">
            <v>764</v>
          </cell>
          <cell r="B767" t="str">
            <v>Tujuh ratus enam puluh empat</v>
          </cell>
        </row>
        <row r="768">
          <cell r="A768">
            <v>765</v>
          </cell>
          <cell r="B768" t="str">
            <v>Tujuh ratus enam puluh lima</v>
          </cell>
        </row>
        <row r="769">
          <cell r="A769">
            <v>766</v>
          </cell>
          <cell r="B769" t="str">
            <v>Tujuh ratus enam puluh enam</v>
          </cell>
        </row>
        <row r="770">
          <cell r="A770">
            <v>767</v>
          </cell>
          <cell r="B770" t="str">
            <v>Tujuh ratus enam puluh tujuh</v>
          </cell>
        </row>
        <row r="771">
          <cell r="A771">
            <v>768</v>
          </cell>
          <cell r="B771" t="str">
            <v>Tujuh ratus enam puluh delapan</v>
          </cell>
        </row>
        <row r="772">
          <cell r="A772">
            <v>769</v>
          </cell>
          <cell r="B772" t="str">
            <v>Tujuh ratus enam puluh sembilan</v>
          </cell>
        </row>
        <row r="773">
          <cell r="A773">
            <v>770</v>
          </cell>
          <cell r="B773" t="str">
            <v>Tujuh ratus tujuh puluh</v>
          </cell>
        </row>
        <row r="774">
          <cell r="A774">
            <v>771</v>
          </cell>
          <cell r="B774" t="str">
            <v>Tujuh ratus tujuh puluh satu</v>
          </cell>
        </row>
        <row r="775">
          <cell r="A775">
            <v>772</v>
          </cell>
          <cell r="B775" t="str">
            <v>Tujuh ratus tujuh puluh dua</v>
          </cell>
        </row>
        <row r="776">
          <cell r="A776">
            <v>773</v>
          </cell>
          <cell r="B776" t="str">
            <v>Tujuh ratus tujuh puluh tiga</v>
          </cell>
        </row>
        <row r="777">
          <cell r="A777">
            <v>774</v>
          </cell>
          <cell r="B777" t="str">
            <v>Tujuh ratus tujuh puluh empat</v>
          </cell>
        </row>
        <row r="778">
          <cell r="A778">
            <v>775</v>
          </cell>
          <cell r="B778" t="str">
            <v>Tujuh ratus tujuh puluh lima</v>
          </cell>
        </row>
        <row r="779">
          <cell r="A779">
            <v>776</v>
          </cell>
          <cell r="B779" t="str">
            <v>Tujuh ratus tujuh puluh enam</v>
          </cell>
        </row>
        <row r="780">
          <cell r="A780">
            <v>777</v>
          </cell>
          <cell r="B780" t="str">
            <v>Tujuh ratus tujuh puluh tujuh</v>
          </cell>
        </row>
        <row r="781">
          <cell r="A781">
            <v>778</v>
          </cell>
          <cell r="B781" t="str">
            <v>Tujuh ratus tujuh puluh delapan</v>
          </cell>
        </row>
        <row r="782">
          <cell r="A782">
            <v>779</v>
          </cell>
          <cell r="B782" t="str">
            <v>Tujuh ratus tujuh puluh sembilan</v>
          </cell>
        </row>
        <row r="783">
          <cell r="A783">
            <v>780</v>
          </cell>
          <cell r="B783" t="str">
            <v>Tujuh ratus delapan puluh</v>
          </cell>
        </row>
        <row r="784">
          <cell r="A784">
            <v>781</v>
          </cell>
          <cell r="B784" t="str">
            <v>Tujuh ratus delapan puluh satu</v>
          </cell>
        </row>
        <row r="785">
          <cell r="A785">
            <v>782</v>
          </cell>
          <cell r="B785" t="str">
            <v>Tujuh ratus delapan puluh dua</v>
          </cell>
        </row>
        <row r="786">
          <cell r="A786">
            <v>783</v>
          </cell>
          <cell r="B786" t="str">
            <v>Tujuh ratus delapan puluh tiga</v>
          </cell>
        </row>
        <row r="787">
          <cell r="A787">
            <v>784</v>
          </cell>
          <cell r="B787" t="str">
            <v>Tujuh ratus delapan puluh empat</v>
          </cell>
        </row>
        <row r="788">
          <cell r="A788">
            <v>785</v>
          </cell>
          <cell r="B788" t="str">
            <v>Tujuh ratus delapan puluh lima</v>
          </cell>
        </row>
        <row r="789">
          <cell r="A789">
            <v>786</v>
          </cell>
          <cell r="B789" t="str">
            <v>Tujuh ratus delapan puluh enam</v>
          </cell>
        </row>
        <row r="790">
          <cell r="A790">
            <v>787</v>
          </cell>
          <cell r="B790" t="str">
            <v>Tujuh ratus delapan puluh tujuh</v>
          </cell>
        </row>
        <row r="791">
          <cell r="A791">
            <v>788</v>
          </cell>
          <cell r="B791" t="str">
            <v>Tujuh ratus delapan puluh delapan</v>
          </cell>
        </row>
        <row r="792">
          <cell r="A792">
            <v>789</v>
          </cell>
          <cell r="B792" t="str">
            <v>Tujuh ratus delapan puluh sembilan</v>
          </cell>
        </row>
        <row r="793">
          <cell r="A793">
            <v>790</v>
          </cell>
          <cell r="B793" t="str">
            <v>Tujuh ratus sembilan puluh</v>
          </cell>
        </row>
        <row r="794">
          <cell r="A794">
            <v>791</v>
          </cell>
          <cell r="B794" t="str">
            <v>Tujuh ratus sembilan puluh satu</v>
          </cell>
        </row>
        <row r="795">
          <cell r="A795">
            <v>792</v>
          </cell>
          <cell r="B795" t="str">
            <v>Tujuh ratus sembilan puluh dua</v>
          </cell>
        </row>
        <row r="796">
          <cell r="A796">
            <v>793</v>
          </cell>
          <cell r="B796" t="str">
            <v>Tujuh ratus sembilan puluh tiga</v>
          </cell>
        </row>
        <row r="797">
          <cell r="A797">
            <v>794</v>
          </cell>
          <cell r="B797" t="str">
            <v>Tujuh ratus sembilan puluh empat</v>
          </cell>
        </row>
        <row r="798">
          <cell r="A798">
            <v>795</v>
          </cell>
          <cell r="B798" t="str">
            <v>Tujuh ratus sembilan puluh lima</v>
          </cell>
        </row>
        <row r="799">
          <cell r="A799">
            <v>796</v>
          </cell>
          <cell r="B799" t="str">
            <v>Tujuh ratus sembilan puluh enam</v>
          </cell>
        </row>
        <row r="800">
          <cell r="A800">
            <v>797</v>
          </cell>
          <cell r="B800" t="str">
            <v>Tujuh ratus sembilan puluh tujuh</v>
          </cell>
        </row>
        <row r="801">
          <cell r="A801">
            <v>798</v>
          </cell>
          <cell r="B801" t="str">
            <v>Tujuh ratus sembilan puluh delapan</v>
          </cell>
        </row>
        <row r="802">
          <cell r="A802">
            <v>799</v>
          </cell>
          <cell r="B802" t="str">
            <v>Tujuh ratus sembilan puluh sembilan</v>
          </cell>
        </row>
        <row r="803">
          <cell r="A803">
            <v>800</v>
          </cell>
          <cell r="B803" t="str">
            <v>Delapan ratus</v>
          </cell>
        </row>
        <row r="804">
          <cell r="A804">
            <v>801</v>
          </cell>
          <cell r="B804" t="str">
            <v>Delapan ratus satu</v>
          </cell>
        </row>
        <row r="805">
          <cell r="A805">
            <v>802</v>
          </cell>
          <cell r="B805" t="str">
            <v>Delapan ratus dua</v>
          </cell>
        </row>
        <row r="806">
          <cell r="A806">
            <v>803</v>
          </cell>
          <cell r="B806" t="str">
            <v>Delapan ratus tiga</v>
          </cell>
        </row>
        <row r="807">
          <cell r="A807">
            <v>804</v>
          </cell>
          <cell r="B807" t="str">
            <v>Delapan ratus empat</v>
          </cell>
        </row>
        <row r="808">
          <cell r="A808">
            <v>805</v>
          </cell>
          <cell r="B808" t="str">
            <v>Delapan ratus lima</v>
          </cell>
        </row>
        <row r="809">
          <cell r="A809">
            <v>806</v>
          </cell>
          <cell r="B809" t="str">
            <v>Delapan ratus enam</v>
          </cell>
        </row>
        <row r="810">
          <cell r="A810">
            <v>807</v>
          </cell>
          <cell r="B810" t="str">
            <v>Delapan ratus tujuh</v>
          </cell>
        </row>
        <row r="811">
          <cell r="A811">
            <v>808</v>
          </cell>
          <cell r="B811" t="str">
            <v>Delapan ratus delapan</v>
          </cell>
        </row>
        <row r="812">
          <cell r="A812">
            <v>809</v>
          </cell>
          <cell r="B812" t="str">
            <v>Delapan ratus sembilan</v>
          </cell>
        </row>
        <row r="813">
          <cell r="A813">
            <v>810</v>
          </cell>
          <cell r="B813" t="str">
            <v>Delapan ratus sepuluh</v>
          </cell>
        </row>
        <row r="814">
          <cell r="A814">
            <v>811</v>
          </cell>
          <cell r="B814" t="str">
            <v>Delapan ratus sebelas</v>
          </cell>
        </row>
        <row r="815">
          <cell r="A815">
            <v>812</v>
          </cell>
          <cell r="B815" t="str">
            <v>Delapan ratus dua belas</v>
          </cell>
        </row>
        <row r="816">
          <cell r="A816">
            <v>813</v>
          </cell>
          <cell r="B816" t="str">
            <v>Delapan ratus tiga belas</v>
          </cell>
        </row>
        <row r="817">
          <cell r="A817">
            <v>814</v>
          </cell>
          <cell r="B817" t="str">
            <v>Delapan ratus empat belas</v>
          </cell>
        </row>
        <row r="818">
          <cell r="A818">
            <v>815</v>
          </cell>
          <cell r="B818" t="str">
            <v>Delapan ratus lima belas</v>
          </cell>
        </row>
        <row r="819">
          <cell r="A819">
            <v>816</v>
          </cell>
          <cell r="B819" t="str">
            <v>Delapan ratus enam belas</v>
          </cell>
        </row>
        <row r="820">
          <cell r="A820">
            <v>817</v>
          </cell>
          <cell r="B820" t="str">
            <v>Delapan ratus tujuh belas</v>
          </cell>
        </row>
        <row r="821">
          <cell r="A821">
            <v>818</v>
          </cell>
          <cell r="B821" t="str">
            <v>Delapan ratus delapan belas</v>
          </cell>
        </row>
        <row r="822">
          <cell r="A822">
            <v>819</v>
          </cell>
          <cell r="B822" t="str">
            <v>Delapan ratus sembilan belas</v>
          </cell>
        </row>
        <row r="823">
          <cell r="A823">
            <v>820</v>
          </cell>
          <cell r="B823" t="str">
            <v>Delapan ratus dua puluh</v>
          </cell>
        </row>
        <row r="824">
          <cell r="A824">
            <v>821</v>
          </cell>
          <cell r="B824" t="str">
            <v>Delapan ratus dua puluh satu</v>
          </cell>
        </row>
        <row r="825">
          <cell r="A825">
            <v>822</v>
          </cell>
          <cell r="B825" t="str">
            <v>Delapan ratus dua puluh dua</v>
          </cell>
        </row>
        <row r="826">
          <cell r="A826">
            <v>823</v>
          </cell>
          <cell r="B826" t="str">
            <v>Delapan ratus dua puluh tiga</v>
          </cell>
        </row>
        <row r="827">
          <cell r="A827">
            <v>824</v>
          </cell>
          <cell r="B827" t="str">
            <v>Delapan ratus dua puluh empat</v>
          </cell>
        </row>
        <row r="828">
          <cell r="A828">
            <v>825</v>
          </cell>
          <cell r="B828" t="str">
            <v>Delapan ratus dua puluh lima</v>
          </cell>
        </row>
        <row r="829">
          <cell r="A829">
            <v>826</v>
          </cell>
          <cell r="B829" t="str">
            <v>Delapan ratus dua puluh enam</v>
          </cell>
        </row>
        <row r="830">
          <cell r="A830">
            <v>827</v>
          </cell>
          <cell r="B830" t="str">
            <v>Delapan ratus dua puluh tujuh</v>
          </cell>
        </row>
        <row r="831">
          <cell r="A831">
            <v>828</v>
          </cell>
          <cell r="B831" t="str">
            <v>Delapan ratus dua puluh delapan</v>
          </cell>
        </row>
        <row r="832">
          <cell r="A832">
            <v>829</v>
          </cell>
          <cell r="B832" t="str">
            <v>Delapan ratus dua puluh sembilan</v>
          </cell>
        </row>
        <row r="833">
          <cell r="A833">
            <v>830</v>
          </cell>
          <cell r="B833" t="str">
            <v>Delapan ratus tiga puluh</v>
          </cell>
        </row>
        <row r="834">
          <cell r="A834">
            <v>831</v>
          </cell>
          <cell r="B834" t="str">
            <v>Delapan ratus tiga puluh satu</v>
          </cell>
        </row>
        <row r="835">
          <cell r="A835">
            <v>832</v>
          </cell>
          <cell r="B835" t="str">
            <v>Delapan ratus tiga puluh dua</v>
          </cell>
        </row>
        <row r="836">
          <cell r="A836">
            <v>833</v>
          </cell>
          <cell r="B836" t="str">
            <v>Delapan ratus tiga puluh tiga</v>
          </cell>
        </row>
        <row r="837">
          <cell r="A837">
            <v>834</v>
          </cell>
          <cell r="B837" t="str">
            <v>Delapan ratus tiga puluh empat</v>
          </cell>
        </row>
        <row r="838">
          <cell r="A838">
            <v>835</v>
          </cell>
          <cell r="B838" t="str">
            <v>Delapan ratus tiga puluh lima</v>
          </cell>
        </row>
        <row r="839">
          <cell r="A839">
            <v>836</v>
          </cell>
          <cell r="B839" t="str">
            <v>Delapan ratus tiga puluh enam</v>
          </cell>
        </row>
        <row r="840">
          <cell r="A840">
            <v>837</v>
          </cell>
          <cell r="B840" t="str">
            <v>Delapan ratus tiga puluh tujuh</v>
          </cell>
        </row>
        <row r="841">
          <cell r="A841">
            <v>838</v>
          </cell>
          <cell r="B841" t="str">
            <v>Delapan ratus tiga puluh delapan</v>
          </cell>
        </row>
        <row r="842">
          <cell r="A842">
            <v>839</v>
          </cell>
          <cell r="B842" t="str">
            <v>Delapan ratus tiga puluh sembilan</v>
          </cell>
        </row>
        <row r="843">
          <cell r="A843">
            <v>840</v>
          </cell>
          <cell r="B843" t="str">
            <v>Delapan ratus empat puluh</v>
          </cell>
        </row>
        <row r="844">
          <cell r="A844">
            <v>841</v>
          </cell>
          <cell r="B844" t="str">
            <v>Delapan ratus empat puluh satu</v>
          </cell>
        </row>
        <row r="845">
          <cell r="A845">
            <v>842</v>
          </cell>
          <cell r="B845" t="str">
            <v>Delapan ratus empat puluh dua</v>
          </cell>
        </row>
        <row r="846">
          <cell r="A846">
            <v>843</v>
          </cell>
          <cell r="B846" t="str">
            <v>Delapan ratus empat puluh tiga</v>
          </cell>
        </row>
        <row r="847">
          <cell r="A847">
            <v>844</v>
          </cell>
          <cell r="B847" t="str">
            <v>Delapan ratus empat puluh empat</v>
          </cell>
        </row>
        <row r="848">
          <cell r="A848">
            <v>845</v>
          </cell>
          <cell r="B848" t="str">
            <v>Delapan ratus empat puluh lima</v>
          </cell>
        </row>
        <row r="849">
          <cell r="A849">
            <v>846</v>
          </cell>
          <cell r="B849" t="str">
            <v>Delapan ratus empat puluh enam</v>
          </cell>
        </row>
        <row r="850">
          <cell r="A850">
            <v>847</v>
          </cell>
          <cell r="B850" t="str">
            <v>Delapan ratus empat puluh tujuh</v>
          </cell>
        </row>
        <row r="851">
          <cell r="A851">
            <v>848</v>
          </cell>
          <cell r="B851" t="str">
            <v>Delapan ratus empat puluh delapan</v>
          </cell>
        </row>
        <row r="852">
          <cell r="A852">
            <v>849</v>
          </cell>
          <cell r="B852" t="str">
            <v>Delapan ratus empat puluh sembilan</v>
          </cell>
        </row>
        <row r="853">
          <cell r="A853">
            <v>850</v>
          </cell>
          <cell r="B853" t="str">
            <v>Delapan ratus lima puluh</v>
          </cell>
        </row>
        <row r="854">
          <cell r="A854">
            <v>851</v>
          </cell>
          <cell r="B854" t="str">
            <v>Delapan ratus lima puluh satu</v>
          </cell>
        </row>
        <row r="855">
          <cell r="A855">
            <v>852</v>
          </cell>
          <cell r="B855" t="str">
            <v>Delapan ratus lima puluh dua</v>
          </cell>
        </row>
        <row r="856">
          <cell r="A856">
            <v>853</v>
          </cell>
          <cell r="B856" t="str">
            <v>Delapan ratus lima puluh tiga</v>
          </cell>
        </row>
        <row r="857">
          <cell r="A857">
            <v>854</v>
          </cell>
          <cell r="B857" t="str">
            <v>Delapan ratus lima puluh empat</v>
          </cell>
        </row>
        <row r="858">
          <cell r="A858">
            <v>855</v>
          </cell>
          <cell r="B858" t="str">
            <v>Delapan ratus lima puluh lima</v>
          </cell>
        </row>
        <row r="859">
          <cell r="A859">
            <v>856</v>
          </cell>
          <cell r="B859" t="str">
            <v>Delapan ratus lima puluh enam</v>
          </cell>
        </row>
        <row r="860">
          <cell r="A860">
            <v>857</v>
          </cell>
          <cell r="B860" t="str">
            <v>Delapan ratus lima puluh tujuh</v>
          </cell>
        </row>
        <row r="861">
          <cell r="A861">
            <v>858</v>
          </cell>
          <cell r="B861" t="str">
            <v>Delapan ratus lima puluh delapan</v>
          </cell>
        </row>
        <row r="862">
          <cell r="A862">
            <v>859</v>
          </cell>
          <cell r="B862" t="str">
            <v>Delapan ratus lima puluh sembilan</v>
          </cell>
        </row>
        <row r="863">
          <cell r="A863">
            <v>860</v>
          </cell>
          <cell r="B863" t="str">
            <v>Delapan ratus enam puluh</v>
          </cell>
        </row>
        <row r="864">
          <cell r="A864">
            <v>861</v>
          </cell>
          <cell r="B864" t="str">
            <v>Delapan ratus enam puluh satu</v>
          </cell>
        </row>
        <row r="865">
          <cell r="A865">
            <v>862</v>
          </cell>
          <cell r="B865" t="str">
            <v>Delapan ratus enam puluh dua</v>
          </cell>
        </row>
        <row r="866">
          <cell r="A866">
            <v>863</v>
          </cell>
          <cell r="B866" t="str">
            <v>Delapan ratus enam puluh tiga</v>
          </cell>
        </row>
        <row r="867">
          <cell r="A867">
            <v>864</v>
          </cell>
          <cell r="B867" t="str">
            <v>Delapan ratus enam puluh empat</v>
          </cell>
        </row>
        <row r="868">
          <cell r="A868">
            <v>865</v>
          </cell>
          <cell r="B868" t="str">
            <v>Delapan ratus enam puluh lima</v>
          </cell>
        </row>
        <row r="869">
          <cell r="A869">
            <v>866</v>
          </cell>
          <cell r="B869" t="str">
            <v>Delapan ratus enam puluh enam</v>
          </cell>
        </row>
        <row r="870">
          <cell r="A870">
            <v>867</v>
          </cell>
          <cell r="B870" t="str">
            <v>Delapan ratus enam puluh tujuh</v>
          </cell>
        </row>
        <row r="871">
          <cell r="A871">
            <v>868</v>
          </cell>
          <cell r="B871" t="str">
            <v>Delapan ratus enam puluh delapan</v>
          </cell>
        </row>
        <row r="872">
          <cell r="A872">
            <v>869</v>
          </cell>
          <cell r="B872" t="str">
            <v>Delapan ratus enam puluh sembilan</v>
          </cell>
        </row>
        <row r="873">
          <cell r="A873">
            <v>870</v>
          </cell>
          <cell r="B873" t="str">
            <v>Delapan ratus tujuh puluh</v>
          </cell>
        </row>
        <row r="874">
          <cell r="A874">
            <v>871</v>
          </cell>
          <cell r="B874" t="str">
            <v>Delapan ratus tujuh puluh satu</v>
          </cell>
        </row>
        <row r="875">
          <cell r="A875">
            <v>872</v>
          </cell>
          <cell r="B875" t="str">
            <v>Delapan ratus tujuh puluh dua</v>
          </cell>
        </row>
        <row r="876">
          <cell r="A876">
            <v>873</v>
          </cell>
          <cell r="B876" t="str">
            <v>Delapan ratus tujuh puluh tiga</v>
          </cell>
        </row>
        <row r="877">
          <cell r="A877">
            <v>874</v>
          </cell>
          <cell r="B877" t="str">
            <v>Delapan ratus tujuh puluh empat</v>
          </cell>
        </row>
        <row r="878">
          <cell r="A878">
            <v>875</v>
          </cell>
          <cell r="B878" t="str">
            <v>Delapan ratus tujuh puluh lima</v>
          </cell>
        </row>
        <row r="879">
          <cell r="A879">
            <v>876</v>
          </cell>
          <cell r="B879" t="str">
            <v>Delapan ratus tujuh puluh enam</v>
          </cell>
        </row>
        <row r="880">
          <cell r="A880">
            <v>877</v>
          </cell>
          <cell r="B880" t="str">
            <v>Delapan ratus tujuh puluh tujuh</v>
          </cell>
        </row>
        <row r="881">
          <cell r="A881">
            <v>878</v>
          </cell>
          <cell r="B881" t="str">
            <v>Delapan ratus tujuh puluh delapan</v>
          </cell>
        </row>
        <row r="882">
          <cell r="A882">
            <v>879</v>
          </cell>
          <cell r="B882" t="str">
            <v>Delapan ratus tujuh puluh sembilan</v>
          </cell>
        </row>
        <row r="883">
          <cell r="A883">
            <v>880</v>
          </cell>
          <cell r="B883" t="str">
            <v>Delapan ratus delapan puluh</v>
          </cell>
        </row>
        <row r="884">
          <cell r="A884">
            <v>881</v>
          </cell>
          <cell r="B884" t="str">
            <v>Delapan ratus delapan puluh satu</v>
          </cell>
        </row>
        <row r="885">
          <cell r="A885">
            <v>882</v>
          </cell>
          <cell r="B885" t="str">
            <v>Delapan ratus delapan puluh dua</v>
          </cell>
        </row>
        <row r="886">
          <cell r="A886">
            <v>883</v>
          </cell>
          <cell r="B886" t="str">
            <v>Delapan ratus delapan puluh tiga</v>
          </cell>
        </row>
        <row r="887">
          <cell r="A887">
            <v>884</v>
          </cell>
          <cell r="B887" t="str">
            <v>Delapan ratus delapan puluh empat</v>
          </cell>
        </row>
        <row r="888">
          <cell r="A888">
            <v>885</v>
          </cell>
          <cell r="B888" t="str">
            <v>Delapan ratus delapan puluh lima</v>
          </cell>
        </row>
        <row r="889">
          <cell r="A889">
            <v>886</v>
          </cell>
          <cell r="B889" t="str">
            <v>Delapan ratus delapan puluh enam</v>
          </cell>
        </row>
        <row r="890">
          <cell r="A890">
            <v>887</v>
          </cell>
          <cell r="B890" t="str">
            <v>Delapan ratus delapan puluh tujuh</v>
          </cell>
        </row>
        <row r="891">
          <cell r="A891">
            <v>888</v>
          </cell>
          <cell r="B891" t="str">
            <v>Delapan ratus delapan puluh delapan</v>
          </cell>
        </row>
        <row r="892">
          <cell r="A892">
            <v>889</v>
          </cell>
          <cell r="B892" t="str">
            <v>Delapan ratus delapan puluh sembilan</v>
          </cell>
        </row>
        <row r="893">
          <cell r="A893">
            <v>890</v>
          </cell>
          <cell r="B893" t="str">
            <v>Delapan ratus sembilan puluh</v>
          </cell>
        </row>
        <row r="894">
          <cell r="A894">
            <v>891</v>
          </cell>
          <cell r="B894" t="str">
            <v>Delapan ratus sembilan puluh satu</v>
          </cell>
        </row>
        <row r="895">
          <cell r="A895">
            <v>892</v>
          </cell>
          <cell r="B895" t="str">
            <v>Delapan ratus sembilan puluh dua</v>
          </cell>
        </row>
        <row r="896">
          <cell r="A896">
            <v>893</v>
          </cell>
          <cell r="B896" t="str">
            <v>Delapan ratus sembilan puluh tiga</v>
          </cell>
        </row>
        <row r="897">
          <cell r="A897">
            <v>894</v>
          </cell>
          <cell r="B897" t="str">
            <v>Delapan ratus sembilan puluh empat</v>
          </cell>
        </row>
        <row r="898">
          <cell r="A898">
            <v>895</v>
          </cell>
          <cell r="B898" t="str">
            <v>Delapan ratus sembilan puluh lima</v>
          </cell>
        </row>
        <row r="899">
          <cell r="A899">
            <v>896</v>
          </cell>
          <cell r="B899" t="str">
            <v>Delapan ratus sembilan puluh enam</v>
          </cell>
        </row>
        <row r="900">
          <cell r="A900">
            <v>897</v>
          </cell>
          <cell r="B900" t="str">
            <v>Delapan ratus sembilan puluh tujuh</v>
          </cell>
        </row>
        <row r="901">
          <cell r="A901">
            <v>898</v>
          </cell>
          <cell r="B901" t="str">
            <v>Delapan ratus sembilan puluh delapan</v>
          </cell>
        </row>
        <row r="902">
          <cell r="A902">
            <v>899</v>
          </cell>
          <cell r="B902" t="str">
            <v>Delapan ratus sembilan puluh sembilan</v>
          </cell>
        </row>
        <row r="903">
          <cell r="A903">
            <v>900</v>
          </cell>
          <cell r="B903" t="str">
            <v>Sembilan ratus</v>
          </cell>
        </row>
        <row r="904">
          <cell r="A904">
            <v>901</v>
          </cell>
          <cell r="B904" t="str">
            <v>Sembilan ratus satu</v>
          </cell>
        </row>
        <row r="905">
          <cell r="A905">
            <v>902</v>
          </cell>
          <cell r="B905" t="str">
            <v>Sembilan ratus dua</v>
          </cell>
        </row>
        <row r="906">
          <cell r="A906">
            <v>903</v>
          </cell>
          <cell r="B906" t="str">
            <v>Sembilan ratus tiga</v>
          </cell>
        </row>
        <row r="907">
          <cell r="A907">
            <v>904</v>
          </cell>
          <cell r="B907" t="str">
            <v>Sembilan ratus empat</v>
          </cell>
        </row>
        <row r="908">
          <cell r="A908">
            <v>905</v>
          </cell>
          <cell r="B908" t="str">
            <v>Sembilan ratus lima</v>
          </cell>
        </row>
        <row r="909">
          <cell r="A909">
            <v>906</v>
          </cell>
          <cell r="B909" t="str">
            <v>Sembilan ratus enam</v>
          </cell>
        </row>
        <row r="910">
          <cell r="A910">
            <v>907</v>
          </cell>
          <cell r="B910" t="str">
            <v>Sembilan ratus tujuh</v>
          </cell>
        </row>
        <row r="911">
          <cell r="A911">
            <v>908</v>
          </cell>
          <cell r="B911" t="str">
            <v>Sembilan ratus delapan</v>
          </cell>
        </row>
        <row r="912">
          <cell r="A912">
            <v>909</v>
          </cell>
          <cell r="B912" t="str">
            <v>Sembilan ratus sembilan</v>
          </cell>
        </row>
        <row r="913">
          <cell r="A913">
            <v>910</v>
          </cell>
          <cell r="B913" t="str">
            <v>Sembilan ratus sepuluh</v>
          </cell>
        </row>
        <row r="914">
          <cell r="A914">
            <v>911</v>
          </cell>
          <cell r="B914" t="str">
            <v>Sembilan ratus sebelas</v>
          </cell>
        </row>
        <row r="915">
          <cell r="A915">
            <v>912</v>
          </cell>
          <cell r="B915" t="str">
            <v>Sembilan ratus dua belas</v>
          </cell>
        </row>
        <row r="916">
          <cell r="A916">
            <v>913</v>
          </cell>
          <cell r="B916" t="str">
            <v>Sembilan ratus tiga belas</v>
          </cell>
        </row>
        <row r="917">
          <cell r="A917">
            <v>914</v>
          </cell>
          <cell r="B917" t="str">
            <v>Sembilan ratus empat belas</v>
          </cell>
        </row>
        <row r="918">
          <cell r="A918">
            <v>915</v>
          </cell>
          <cell r="B918" t="str">
            <v>Sembilan ratus lima belas</v>
          </cell>
        </row>
        <row r="919">
          <cell r="A919">
            <v>916</v>
          </cell>
          <cell r="B919" t="str">
            <v>Sembilan ratus enam belas</v>
          </cell>
        </row>
        <row r="920">
          <cell r="A920">
            <v>917</v>
          </cell>
          <cell r="B920" t="str">
            <v>Sembilan ratus tujuh belas</v>
          </cell>
        </row>
        <row r="921">
          <cell r="A921">
            <v>918</v>
          </cell>
          <cell r="B921" t="str">
            <v>Sembilan ratus delapan belas</v>
          </cell>
        </row>
        <row r="922">
          <cell r="A922">
            <v>919</v>
          </cell>
          <cell r="B922" t="str">
            <v>Sembilan ratus sembilan belas</v>
          </cell>
        </row>
        <row r="923">
          <cell r="A923">
            <v>920</v>
          </cell>
          <cell r="B923" t="str">
            <v>Sembilan ratus dua puluh</v>
          </cell>
        </row>
        <row r="924">
          <cell r="A924">
            <v>921</v>
          </cell>
          <cell r="B924" t="str">
            <v>Sembilan ratus dua puluh satu</v>
          </cell>
        </row>
        <row r="925">
          <cell r="A925">
            <v>922</v>
          </cell>
          <cell r="B925" t="str">
            <v>Sembilan ratus dua puluh dua</v>
          </cell>
        </row>
        <row r="926">
          <cell r="A926">
            <v>923</v>
          </cell>
          <cell r="B926" t="str">
            <v>Sembilan ratus dua puluh tiga</v>
          </cell>
        </row>
        <row r="927">
          <cell r="A927">
            <v>924</v>
          </cell>
          <cell r="B927" t="str">
            <v>Sembilan ratus dua puluh empat</v>
          </cell>
        </row>
        <row r="928">
          <cell r="A928">
            <v>925</v>
          </cell>
          <cell r="B928" t="str">
            <v>Sembilan ratus dua puluh lima</v>
          </cell>
        </row>
        <row r="929">
          <cell r="A929">
            <v>926</v>
          </cell>
          <cell r="B929" t="str">
            <v>Sembilan ratus dua puluh enam</v>
          </cell>
        </row>
        <row r="930">
          <cell r="A930">
            <v>927</v>
          </cell>
          <cell r="B930" t="str">
            <v>Sembilan ratus dua puluh tujuh</v>
          </cell>
        </row>
        <row r="931">
          <cell r="A931">
            <v>928</v>
          </cell>
          <cell r="B931" t="str">
            <v>Sembilan ratus dua puluh delapan</v>
          </cell>
        </row>
        <row r="932">
          <cell r="A932">
            <v>929</v>
          </cell>
          <cell r="B932" t="str">
            <v>Sembilan ratus dua puluh sembilan</v>
          </cell>
        </row>
        <row r="933">
          <cell r="A933">
            <v>930</v>
          </cell>
          <cell r="B933" t="str">
            <v>Sembilan ratus tiga puluh</v>
          </cell>
        </row>
        <row r="934">
          <cell r="A934">
            <v>931</v>
          </cell>
          <cell r="B934" t="str">
            <v>Sembilan ratus tiga puluh satu</v>
          </cell>
        </row>
        <row r="935">
          <cell r="A935">
            <v>932</v>
          </cell>
          <cell r="B935" t="str">
            <v>Sembilan ratus tiga puluh dua</v>
          </cell>
        </row>
        <row r="936">
          <cell r="A936">
            <v>933</v>
          </cell>
          <cell r="B936" t="str">
            <v>Sembilan ratus tiga puluh tiga</v>
          </cell>
        </row>
        <row r="937">
          <cell r="A937">
            <v>934</v>
          </cell>
          <cell r="B937" t="str">
            <v>Sembilan ratus tiga puluh empat</v>
          </cell>
        </row>
        <row r="938">
          <cell r="A938">
            <v>935</v>
          </cell>
          <cell r="B938" t="str">
            <v>Sembilan ratus tiga puluh lima</v>
          </cell>
        </row>
        <row r="939">
          <cell r="A939">
            <v>936</v>
          </cell>
          <cell r="B939" t="str">
            <v>Sembilan ratus tiga puluh enam</v>
          </cell>
        </row>
        <row r="940">
          <cell r="A940">
            <v>937</v>
          </cell>
          <cell r="B940" t="str">
            <v>Sembilan ratus tiga puluh tujuh</v>
          </cell>
        </row>
        <row r="941">
          <cell r="A941">
            <v>938</v>
          </cell>
          <cell r="B941" t="str">
            <v>Sembilan ratus tiga puluh delapan</v>
          </cell>
        </row>
        <row r="942">
          <cell r="A942">
            <v>939</v>
          </cell>
          <cell r="B942" t="str">
            <v>Sembilan ratus tiga puluh sembilan</v>
          </cell>
        </row>
        <row r="943">
          <cell r="A943">
            <v>940</v>
          </cell>
          <cell r="B943" t="str">
            <v>Sembilan ratus empat puluh</v>
          </cell>
        </row>
        <row r="944">
          <cell r="A944">
            <v>941</v>
          </cell>
          <cell r="B944" t="str">
            <v>Sembilan ratus empat puluh satu</v>
          </cell>
        </row>
        <row r="945">
          <cell r="A945">
            <v>942</v>
          </cell>
          <cell r="B945" t="str">
            <v>Sembilan ratus empat puluh dua</v>
          </cell>
        </row>
        <row r="946">
          <cell r="A946">
            <v>943</v>
          </cell>
          <cell r="B946" t="str">
            <v>Sembilan ratus empat puluh tiga</v>
          </cell>
        </row>
        <row r="947">
          <cell r="A947">
            <v>944</v>
          </cell>
          <cell r="B947" t="str">
            <v>Sembilan ratus empat puluh empat</v>
          </cell>
        </row>
        <row r="948">
          <cell r="A948">
            <v>945</v>
          </cell>
          <cell r="B948" t="str">
            <v>Sembilan ratus empat puluh lima</v>
          </cell>
        </row>
        <row r="949">
          <cell r="A949">
            <v>946</v>
          </cell>
          <cell r="B949" t="str">
            <v>Sembilan ratus empat puluh enam</v>
          </cell>
        </row>
        <row r="950">
          <cell r="A950">
            <v>947</v>
          </cell>
          <cell r="B950" t="str">
            <v>Sembilan ratus empat puluh tujuh</v>
          </cell>
        </row>
        <row r="951">
          <cell r="A951">
            <v>948</v>
          </cell>
          <cell r="B951" t="str">
            <v>Sembilan ratus empat puluh delapan</v>
          </cell>
        </row>
        <row r="952">
          <cell r="A952">
            <v>949</v>
          </cell>
          <cell r="B952" t="str">
            <v>Sembilan ratus empat puluh sembilan</v>
          </cell>
        </row>
        <row r="953">
          <cell r="A953">
            <v>950</v>
          </cell>
          <cell r="B953" t="str">
            <v>Sembilan ratus lima puluh</v>
          </cell>
        </row>
        <row r="954">
          <cell r="A954">
            <v>951</v>
          </cell>
          <cell r="B954" t="str">
            <v>Sembilan ratus lima puluh satu</v>
          </cell>
        </row>
        <row r="955">
          <cell r="A955">
            <v>952</v>
          </cell>
          <cell r="B955" t="str">
            <v>Sembilan ratus lima puluh dua</v>
          </cell>
        </row>
        <row r="956">
          <cell r="A956">
            <v>953</v>
          </cell>
          <cell r="B956" t="str">
            <v>Sembilan ratus lima puluh tiga</v>
          </cell>
        </row>
        <row r="957">
          <cell r="A957">
            <v>954</v>
          </cell>
          <cell r="B957" t="str">
            <v>Sembilan ratus lima puluh empat</v>
          </cell>
        </row>
        <row r="958">
          <cell r="A958">
            <v>955</v>
          </cell>
          <cell r="B958" t="str">
            <v>Sembilan ratus lima puluh lima</v>
          </cell>
        </row>
        <row r="959">
          <cell r="A959">
            <v>956</v>
          </cell>
          <cell r="B959" t="str">
            <v>Sembilan ratus lima puluh enam</v>
          </cell>
        </row>
        <row r="960">
          <cell r="A960">
            <v>957</v>
          </cell>
          <cell r="B960" t="str">
            <v>Sembilan ratus lima puluh tujuh</v>
          </cell>
        </row>
        <row r="961">
          <cell r="A961">
            <v>958</v>
          </cell>
          <cell r="B961" t="str">
            <v>Sembilan ratus lima puluh delapan</v>
          </cell>
        </row>
        <row r="962">
          <cell r="A962">
            <v>959</v>
          </cell>
          <cell r="B962" t="str">
            <v>Sembilan ratus lima puluh sembilan</v>
          </cell>
        </row>
        <row r="963">
          <cell r="A963">
            <v>960</v>
          </cell>
          <cell r="B963" t="str">
            <v>Sembilan ratus enam puluh</v>
          </cell>
        </row>
        <row r="964">
          <cell r="A964">
            <v>961</v>
          </cell>
          <cell r="B964" t="str">
            <v>Sembilan ratus enam puluh satu</v>
          </cell>
        </row>
        <row r="965">
          <cell r="A965">
            <v>962</v>
          </cell>
          <cell r="B965" t="str">
            <v>Sembilan ratus enam puluh dua</v>
          </cell>
        </row>
        <row r="966">
          <cell r="A966">
            <v>963</v>
          </cell>
          <cell r="B966" t="str">
            <v>Sembilan ratus enam puluh tiga</v>
          </cell>
        </row>
        <row r="967">
          <cell r="A967">
            <v>964</v>
          </cell>
          <cell r="B967" t="str">
            <v>Sembilan ratus enam puluh empat</v>
          </cell>
        </row>
        <row r="968">
          <cell r="A968">
            <v>965</v>
          </cell>
          <cell r="B968" t="str">
            <v>Sembilan ratus enam puluh lima</v>
          </cell>
        </row>
        <row r="969">
          <cell r="A969">
            <v>966</v>
          </cell>
          <cell r="B969" t="str">
            <v>Sembilan ratus enam puluh enam</v>
          </cell>
        </row>
        <row r="970">
          <cell r="A970">
            <v>967</v>
          </cell>
          <cell r="B970" t="str">
            <v>Sembilan ratus enam puluh tujuh</v>
          </cell>
        </row>
        <row r="971">
          <cell r="A971">
            <v>968</v>
          </cell>
          <cell r="B971" t="str">
            <v>Sembilan ratus enam puluh delapan</v>
          </cell>
        </row>
        <row r="972">
          <cell r="A972">
            <v>969</v>
          </cell>
          <cell r="B972" t="str">
            <v>Sembilan ratus enam puluh sembilan</v>
          </cell>
        </row>
        <row r="973">
          <cell r="A973">
            <v>970</v>
          </cell>
          <cell r="B973" t="str">
            <v>Sembilan ratus tujuh puluh</v>
          </cell>
        </row>
        <row r="974">
          <cell r="A974">
            <v>971</v>
          </cell>
          <cell r="B974" t="str">
            <v>Sembilan ratus tujuh puluh satu</v>
          </cell>
        </row>
        <row r="975">
          <cell r="A975">
            <v>972</v>
          </cell>
          <cell r="B975" t="str">
            <v>Sembilan ratus tujuh puluh dua</v>
          </cell>
        </row>
        <row r="976">
          <cell r="A976">
            <v>973</v>
          </cell>
          <cell r="B976" t="str">
            <v>Sembilan ratus tujuh puluh tiga</v>
          </cell>
        </row>
        <row r="977">
          <cell r="A977">
            <v>974</v>
          </cell>
          <cell r="B977" t="str">
            <v>Sembilan ratus tujuh puluh empat</v>
          </cell>
        </row>
        <row r="978">
          <cell r="A978">
            <v>975</v>
          </cell>
          <cell r="B978" t="str">
            <v>Sembilan ratus tujuh puluh lima</v>
          </cell>
        </row>
        <row r="979">
          <cell r="A979">
            <v>976</v>
          </cell>
          <cell r="B979" t="str">
            <v>Sembilan ratus tujuh puluh enam</v>
          </cell>
        </row>
        <row r="980">
          <cell r="A980">
            <v>977</v>
          </cell>
          <cell r="B980" t="str">
            <v>Sembilan ratus tujuh puluh tujuh</v>
          </cell>
        </row>
        <row r="981">
          <cell r="A981">
            <v>978</v>
          </cell>
          <cell r="B981" t="str">
            <v>Sembilan ratus tujuh puluh delapan</v>
          </cell>
        </row>
        <row r="982">
          <cell r="A982">
            <v>979</v>
          </cell>
          <cell r="B982" t="str">
            <v>Sembilan ratus tujuh puluh sembilan</v>
          </cell>
        </row>
        <row r="983">
          <cell r="A983">
            <v>980</v>
          </cell>
          <cell r="B983" t="str">
            <v>Sembilan ratus delapan puluh</v>
          </cell>
        </row>
        <row r="984">
          <cell r="A984">
            <v>981</v>
          </cell>
          <cell r="B984" t="str">
            <v>Sembilan ratus delapan puluh satu</v>
          </cell>
        </row>
        <row r="985">
          <cell r="A985">
            <v>982</v>
          </cell>
          <cell r="B985" t="str">
            <v>Sembilan ratus delapan puluh dua</v>
          </cell>
        </row>
        <row r="986">
          <cell r="A986">
            <v>983</v>
          </cell>
          <cell r="B986" t="str">
            <v>Sembilan ratus delapan puluh tiga</v>
          </cell>
        </row>
        <row r="987">
          <cell r="A987">
            <v>984</v>
          </cell>
          <cell r="B987" t="str">
            <v>Sembilan ratus delapan puluh empat</v>
          </cell>
        </row>
        <row r="988">
          <cell r="A988">
            <v>985</v>
          </cell>
          <cell r="B988" t="str">
            <v>Sembilan ratus delapan puluh lima</v>
          </cell>
        </row>
        <row r="989">
          <cell r="A989">
            <v>986</v>
          </cell>
          <cell r="B989" t="str">
            <v>Sembilan ratus delapan puluh enam</v>
          </cell>
        </row>
        <row r="990">
          <cell r="A990">
            <v>987</v>
          </cell>
          <cell r="B990" t="str">
            <v>Sembilan ratus delapan puluh tujuh</v>
          </cell>
        </row>
        <row r="991">
          <cell r="A991">
            <v>988</v>
          </cell>
          <cell r="B991" t="str">
            <v>Sembilan ratus delapan puluh delapan</v>
          </cell>
        </row>
        <row r="992">
          <cell r="A992">
            <v>989</v>
          </cell>
          <cell r="B992" t="str">
            <v>Sembilan ratus delapan puluh sembilan</v>
          </cell>
        </row>
        <row r="993">
          <cell r="A993">
            <v>990</v>
          </cell>
          <cell r="B993" t="str">
            <v>Sembilan ratus sembilan puluh</v>
          </cell>
        </row>
        <row r="994">
          <cell r="A994">
            <v>991</v>
          </cell>
          <cell r="B994" t="str">
            <v>Sembilan ratus sembilan puluh satu</v>
          </cell>
        </row>
        <row r="995">
          <cell r="A995">
            <v>992</v>
          </cell>
          <cell r="B995" t="str">
            <v>Sembilan ratus sembilan puluh dua</v>
          </cell>
        </row>
        <row r="996">
          <cell r="A996">
            <v>993</v>
          </cell>
          <cell r="B996" t="str">
            <v>Sembilan ratus sembilan puluh tiga</v>
          </cell>
        </row>
        <row r="997">
          <cell r="A997">
            <v>994</v>
          </cell>
          <cell r="B997" t="str">
            <v>Sembilan ratus sembilan puluh empat</v>
          </cell>
        </row>
        <row r="998">
          <cell r="A998">
            <v>995</v>
          </cell>
          <cell r="B998" t="str">
            <v>Sembilan ratus sembilan puluh lima</v>
          </cell>
        </row>
        <row r="999">
          <cell r="A999">
            <v>996</v>
          </cell>
          <cell r="B999" t="str">
            <v>Sembilan ratus sembilan puluh enam</v>
          </cell>
        </row>
        <row r="1000">
          <cell r="A1000">
            <v>997</v>
          </cell>
          <cell r="B1000" t="str">
            <v>Sembilan ratus sembilan puluh tujuh</v>
          </cell>
        </row>
        <row r="1001">
          <cell r="A1001">
            <v>998</v>
          </cell>
          <cell r="B1001" t="str">
            <v>Sembilan ratus sembilan puluh delapan</v>
          </cell>
        </row>
        <row r="1002">
          <cell r="A1002">
            <v>999</v>
          </cell>
          <cell r="B1002" t="str">
            <v>Sembilan ratus sembilan puluh sembilan</v>
          </cell>
        </row>
        <row r="1003">
          <cell r="A1003">
            <v>1000</v>
          </cell>
          <cell r="B1003" t="str">
            <v>Seribu</v>
          </cell>
        </row>
        <row r="1004">
          <cell r="A1004">
            <v>1001</v>
          </cell>
          <cell r="B1004" t="str">
            <v>Seribu satu</v>
          </cell>
        </row>
        <row r="1005">
          <cell r="A1005">
            <v>1002</v>
          </cell>
          <cell r="B1005" t="str">
            <v>Seribu dua</v>
          </cell>
        </row>
        <row r="1006">
          <cell r="A1006">
            <v>1003</v>
          </cell>
          <cell r="B1006" t="str">
            <v>Seribu tiga</v>
          </cell>
        </row>
        <row r="1007">
          <cell r="A1007">
            <v>1004</v>
          </cell>
          <cell r="B1007" t="str">
            <v>Seribu empat</v>
          </cell>
        </row>
        <row r="1008">
          <cell r="A1008">
            <v>1005</v>
          </cell>
          <cell r="B1008" t="str">
            <v>Seribu lima</v>
          </cell>
        </row>
        <row r="1009">
          <cell r="A1009">
            <v>1006</v>
          </cell>
          <cell r="B1009" t="str">
            <v>Seribu enam</v>
          </cell>
        </row>
        <row r="1010">
          <cell r="A1010">
            <v>1007</v>
          </cell>
          <cell r="B1010" t="str">
            <v>Seribu tujuh</v>
          </cell>
        </row>
        <row r="1011">
          <cell r="A1011">
            <v>1008</v>
          </cell>
          <cell r="B1011" t="str">
            <v>Seribu delapan</v>
          </cell>
        </row>
        <row r="1012">
          <cell r="A1012">
            <v>1009</v>
          </cell>
          <cell r="B1012" t="str">
            <v>Seribu sembilan</v>
          </cell>
        </row>
        <row r="1013">
          <cell r="A1013">
            <v>1010</v>
          </cell>
          <cell r="B1013" t="str">
            <v>Seribu sepuluh</v>
          </cell>
        </row>
        <row r="1014">
          <cell r="A1014">
            <v>1011</v>
          </cell>
          <cell r="B1014" t="str">
            <v>Seribu sebelas</v>
          </cell>
        </row>
        <row r="1015">
          <cell r="A1015">
            <v>1012</v>
          </cell>
          <cell r="B1015" t="str">
            <v>Seribu dua belas</v>
          </cell>
        </row>
        <row r="1016">
          <cell r="A1016">
            <v>1013</v>
          </cell>
          <cell r="B1016" t="str">
            <v>Seribu tiga belas</v>
          </cell>
        </row>
        <row r="1017">
          <cell r="A1017">
            <v>1014</v>
          </cell>
          <cell r="B1017" t="str">
            <v>Seribu empat belas</v>
          </cell>
        </row>
        <row r="1018">
          <cell r="A1018">
            <v>1015</v>
          </cell>
          <cell r="B1018" t="str">
            <v>Seribu lima belas</v>
          </cell>
        </row>
        <row r="1019">
          <cell r="A1019">
            <v>1016</v>
          </cell>
          <cell r="B1019" t="str">
            <v>Seribu enam belas</v>
          </cell>
        </row>
        <row r="1020">
          <cell r="A1020">
            <v>1017</v>
          </cell>
          <cell r="B1020" t="str">
            <v>Seribu tujuh belas</v>
          </cell>
        </row>
        <row r="1021">
          <cell r="A1021">
            <v>1018</v>
          </cell>
          <cell r="B1021" t="str">
            <v>Seribu delapan belas</v>
          </cell>
        </row>
        <row r="1022">
          <cell r="A1022">
            <v>1019</v>
          </cell>
          <cell r="B1022" t="str">
            <v>Seribu sembilan belas</v>
          </cell>
        </row>
        <row r="1023">
          <cell r="A1023">
            <v>1020</v>
          </cell>
          <cell r="B1023" t="str">
            <v>Seribu dua puluh</v>
          </cell>
        </row>
        <row r="1024">
          <cell r="A1024">
            <v>1021</v>
          </cell>
          <cell r="B1024" t="str">
            <v>Seribu dua puluh satu</v>
          </cell>
        </row>
        <row r="1025">
          <cell r="A1025">
            <v>1022</v>
          </cell>
          <cell r="B1025" t="str">
            <v>Seribu dua puluh dua</v>
          </cell>
        </row>
        <row r="1026">
          <cell r="A1026">
            <v>1023</v>
          </cell>
          <cell r="B1026" t="str">
            <v>Seribu dua puluh tiga</v>
          </cell>
        </row>
        <row r="1027">
          <cell r="A1027">
            <v>1024</v>
          </cell>
          <cell r="B1027" t="str">
            <v>Seribu dua puluh empat</v>
          </cell>
        </row>
        <row r="1028">
          <cell r="A1028">
            <v>1025</v>
          </cell>
          <cell r="B1028" t="str">
            <v>Seribu dua puluh lima</v>
          </cell>
        </row>
        <row r="1029">
          <cell r="A1029">
            <v>1026</v>
          </cell>
          <cell r="B1029" t="str">
            <v>Seribu dua puluh enam</v>
          </cell>
        </row>
        <row r="1030">
          <cell r="A1030">
            <v>1027</v>
          </cell>
          <cell r="B1030" t="str">
            <v>Seribu dua puluh tujuh</v>
          </cell>
        </row>
        <row r="1031">
          <cell r="A1031">
            <v>1028</v>
          </cell>
          <cell r="B1031" t="str">
            <v>Seribu dua puluh delapan</v>
          </cell>
        </row>
        <row r="1032">
          <cell r="A1032">
            <v>1029</v>
          </cell>
          <cell r="B1032" t="str">
            <v>Seribu dua puluh sembilan</v>
          </cell>
        </row>
        <row r="1033">
          <cell r="A1033">
            <v>1030</v>
          </cell>
          <cell r="B1033" t="str">
            <v>Seribu tiga puluh</v>
          </cell>
        </row>
        <row r="1034">
          <cell r="A1034">
            <v>1031</v>
          </cell>
          <cell r="B1034" t="str">
            <v>Seribu tiga puluh satu</v>
          </cell>
        </row>
        <row r="1035">
          <cell r="A1035">
            <v>1032</v>
          </cell>
          <cell r="B1035" t="str">
            <v>Seribu tiga puluh dua</v>
          </cell>
        </row>
        <row r="1036">
          <cell r="A1036">
            <v>1033</v>
          </cell>
          <cell r="B1036" t="str">
            <v>Seribu tiga puluh tiga</v>
          </cell>
        </row>
        <row r="1037">
          <cell r="A1037">
            <v>1034</v>
          </cell>
          <cell r="B1037" t="str">
            <v>Seribu tiga puluh empat</v>
          </cell>
        </row>
        <row r="1038">
          <cell r="A1038">
            <v>1035</v>
          </cell>
          <cell r="B1038" t="str">
            <v>Seribu tiga puluh lima</v>
          </cell>
        </row>
        <row r="1039">
          <cell r="A1039">
            <v>1036</v>
          </cell>
          <cell r="B1039" t="str">
            <v>Seribu tiga puluh enam</v>
          </cell>
        </row>
        <row r="1040">
          <cell r="A1040">
            <v>1037</v>
          </cell>
          <cell r="B1040" t="str">
            <v>Seribu tiga puluh tujuh</v>
          </cell>
        </row>
        <row r="1041">
          <cell r="A1041">
            <v>1038</v>
          </cell>
          <cell r="B1041" t="str">
            <v>Seribu tiga puluh delapan</v>
          </cell>
        </row>
        <row r="1042">
          <cell r="A1042">
            <v>1039</v>
          </cell>
          <cell r="B1042" t="str">
            <v>Seribu tiga puluh sembilan</v>
          </cell>
        </row>
        <row r="1043">
          <cell r="A1043">
            <v>1040</v>
          </cell>
          <cell r="B1043" t="str">
            <v>Seribu empat puluh</v>
          </cell>
        </row>
        <row r="1044">
          <cell r="A1044">
            <v>1041</v>
          </cell>
          <cell r="B1044" t="str">
            <v>Seribu empat puluh satu</v>
          </cell>
        </row>
        <row r="1045">
          <cell r="A1045">
            <v>1042</v>
          </cell>
          <cell r="B1045" t="str">
            <v>Seribu empat puluh dua</v>
          </cell>
        </row>
        <row r="1046">
          <cell r="A1046">
            <v>1043</v>
          </cell>
          <cell r="B1046" t="str">
            <v>Seribu empat puluh tiga</v>
          </cell>
        </row>
        <row r="1047">
          <cell r="A1047">
            <v>1044</v>
          </cell>
          <cell r="B1047" t="str">
            <v>Seribu empat puluh empat</v>
          </cell>
        </row>
        <row r="1048">
          <cell r="A1048">
            <v>1045</v>
          </cell>
          <cell r="B1048" t="str">
            <v>Seribu empat puluh lima</v>
          </cell>
        </row>
        <row r="1049">
          <cell r="A1049">
            <v>1046</v>
          </cell>
          <cell r="B1049" t="str">
            <v>Seribu empat puluh enam</v>
          </cell>
        </row>
        <row r="1050">
          <cell r="A1050">
            <v>1047</v>
          </cell>
          <cell r="B1050" t="str">
            <v>Seribu empat puluh tujuh</v>
          </cell>
        </row>
        <row r="1051">
          <cell r="A1051">
            <v>1048</v>
          </cell>
          <cell r="B1051" t="str">
            <v>Seribu empat puluh delapan</v>
          </cell>
        </row>
        <row r="1052">
          <cell r="A1052">
            <v>1049</v>
          </cell>
          <cell r="B1052" t="str">
            <v>Seribu empat puluh sembilan</v>
          </cell>
        </row>
        <row r="1053">
          <cell r="A1053">
            <v>1050</v>
          </cell>
          <cell r="B1053" t="str">
            <v>Seribu lima puluh</v>
          </cell>
        </row>
        <row r="1054">
          <cell r="A1054">
            <v>1051</v>
          </cell>
          <cell r="B1054" t="str">
            <v>Seribu lima puluh satu</v>
          </cell>
        </row>
        <row r="1055">
          <cell r="A1055">
            <v>1052</v>
          </cell>
          <cell r="B1055" t="str">
            <v>Seribu lima puluh dua</v>
          </cell>
        </row>
        <row r="1056">
          <cell r="A1056">
            <v>1053</v>
          </cell>
          <cell r="B1056" t="str">
            <v>Seribu lima puluh tiga</v>
          </cell>
        </row>
        <row r="1057">
          <cell r="A1057">
            <v>1054</v>
          </cell>
          <cell r="B1057" t="str">
            <v>Seribu lima puluh empat</v>
          </cell>
        </row>
        <row r="1058">
          <cell r="A1058">
            <v>1055</v>
          </cell>
          <cell r="B1058" t="str">
            <v>Seribu lima puluh lima</v>
          </cell>
        </row>
        <row r="1059">
          <cell r="A1059">
            <v>1056</v>
          </cell>
          <cell r="B1059" t="str">
            <v>Seribu lima puluh enam</v>
          </cell>
        </row>
        <row r="1060">
          <cell r="A1060">
            <v>1057</v>
          </cell>
          <cell r="B1060" t="str">
            <v>Seribu lima puluh tujuh</v>
          </cell>
        </row>
        <row r="1061">
          <cell r="A1061">
            <v>1058</v>
          </cell>
          <cell r="B1061" t="str">
            <v>Seribu lima puluh delapan</v>
          </cell>
        </row>
        <row r="1062">
          <cell r="A1062">
            <v>1059</v>
          </cell>
          <cell r="B1062" t="str">
            <v>Seribu lima puluh sembilan</v>
          </cell>
        </row>
        <row r="1063">
          <cell r="A1063">
            <v>1060</v>
          </cell>
          <cell r="B1063" t="str">
            <v>Seribu enam puluh</v>
          </cell>
        </row>
        <row r="1064">
          <cell r="A1064">
            <v>1061</v>
          </cell>
          <cell r="B1064" t="str">
            <v>Seribu enam puluh satu</v>
          </cell>
        </row>
        <row r="1065">
          <cell r="A1065">
            <v>1062</v>
          </cell>
          <cell r="B1065" t="str">
            <v>Seribu enam puluh dua</v>
          </cell>
        </row>
        <row r="1066">
          <cell r="A1066">
            <v>1063</v>
          </cell>
          <cell r="B1066" t="str">
            <v>Seribu enam puluh tiga</v>
          </cell>
        </row>
        <row r="1067">
          <cell r="A1067">
            <v>1064</v>
          </cell>
          <cell r="B1067" t="str">
            <v>Seribu enam puluh empat</v>
          </cell>
        </row>
        <row r="1068">
          <cell r="A1068">
            <v>1065</v>
          </cell>
          <cell r="B1068" t="str">
            <v>Seribu enam puluh lima</v>
          </cell>
        </row>
        <row r="1069">
          <cell r="A1069">
            <v>1066</v>
          </cell>
          <cell r="B1069" t="str">
            <v>Seribu enam puluh enam</v>
          </cell>
        </row>
        <row r="1070">
          <cell r="A1070">
            <v>1067</v>
          </cell>
          <cell r="B1070" t="str">
            <v>Seribu enam puluh tujuh</v>
          </cell>
        </row>
        <row r="1071">
          <cell r="A1071">
            <v>1068</v>
          </cell>
          <cell r="B1071" t="str">
            <v>Seribu enam puluh delapan</v>
          </cell>
        </row>
        <row r="1072">
          <cell r="A1072">
            <v>1069</v>
          </cell>
          <cell r="B1072" t="str">
            <v>Seribu enam puluh sembilan</v>
          </cell>
        </row>
        <row r="1073">
          <cell r="A1073">
            <v>1070</v>
          </cell>
          <cell r="B1073" t="str">
            <v>Seribu tujuh puluh</v>
          </cell>
        </row>
        <row r="1074">
          <cell r="A1074">
            <v>1071</v>
          </cell>
          <cell r="B1074" t="str">
            <v>Seribu tujuh puluh satu</v>
          </cell>
        </row>
        <row r="1075">
          <cell r="A1075">
            <v>1072</v>
          </cell>
          <cell r="B1075" t="str">
            <v>Seribu tujuh puluh dua</v>
          </cell>
        </row>
        <row r="1076">
          <cell r="A1076">
            <v>1073</v>
          </cell>
          <cell r="B1076" t="str">
            <v>Seribu tujuh puluh tiga</v>
          </cell>
        </row>
        <row r="1077">
          <cell r="A1077">
            <v>1074</v>
          </cell>
          <cell r="B1077" t="str">
            <v>Seribu tujuh puluh empat</v>
          </cell>
        </row>
        <row r="1078">
          <cell r="A1078">
            <v>1075</v>
          </cell>
          <cell r="B1078" t="str">
            <v>Seribu tujuh puluh lima</v>
          </cell>
        </row>
        <row r="1079">
          <cell r="A1079">
            <v>1076</v>
          </cell>
          <cell r="B1079" t="str">
            <v>Seribu tujuh puluh enam</v>
          </cell>
        </row>
        <row r="1080">
          <cell r="A1080">
            <v>1077</v>
          </cell>
          <cell r="B1080" t="str">
            <v>Seribu tujuh puluh tujuh</v>
          </cell>
        </row>
        <row r="1081">
          <cell r="A1081">
            <v>1078</v>
          </cell>
          <cell r="B1081" t="str">
            <v>Seribu tujuh puluh delapan</v>
          </cell>
        </row>
        <row r="1082">
          <cell r="A1082">
            <v>1079</v>
          </cell>
          <cell r="B1082" t="str">
            <v>Seribu tujuh puluh sembilan</v>
          </cell>
        </row>
        <row r="1083">
          <cell r="A1083">
            <v>1080</v>
          </cell>
          <cell r="B1083" t="str">
            <v>Seribu delapan puluh</v>
          </cell>
        </row>
        <row r="1084">
          <cell r="A1084">
            <v>1081</v>
          </cell>
          <cell r="B1084" t="str">
            <v>Seribu delapan puluh satu</v>
          </cell>
        </row>
        <row r="1085">
          <cell r="A1085">
            <v>1082</v>
          </cell>
          <cell r="B1085" t="str">
            <v>Seribu delapan puluh dua</v>
          </cell>
        </row>
        <row r="1086">
          <cell r="A1086">
            <v>1083</v>
          </cell>
          <cell r="B1086" t="str">
            <v>Seribu delapan puluh tiga</v>
          </cell>
        </row>
        <row r="1087">
          <cell r="A1087">
            <v>1084</v>
          </cell>
          <cell r="B1087" t="str">
            <v>Seribu delapan puluh empat</v>
          </cell>
        </row>
        <row r="1088">
          <cell r="A1088">
            <v>1085</v>
          </cell>
          <cell r="B1088" t="str">
            <v>Seribu delapan puluh lima</v>
          </cell>
        </row>
        <row r="1089">
          <cell r="A1089">
            <v>1086</v>
          </cell>
          <cell r="B1089" t="str">
            <v>Seribu delapan puluh enam</v>
          </cell>
        </row>
        <row r="1090">
          <cell r="A1090">
            <v>1087</v>
          </cell>
          <cell r="B1090" t="str">
            <v>Seribu delapan puluh tujuh</v>
          </cell>
        </row>
        <row r="1091">
          <cell r="A1091">
            <v>1088</v>
          </cell>
          <cell r="B1091" t="str">
            <v>Seribu delapan puluh delapan</v>
          </cell>
        </row>
        <row r="1092">
          <cell r="A1092">
            <v>1089</v>
          </cell>
          <cell r="B1092" t="str">
            <v>Seribu delapan puluh sembilan</v>
          </cell>
        </row>
        <row r="1093">
          <cell r="A1093">
            <v>1090</v>
          </cell>
          <cell r="B1093" t="str">
            <v>Seribu sembilan puluh</v>
          </cell>
        </row>
        <row r="1094">
          <cell r="A1094">
            <v>1091</v>
          </cell>
          <cell r="B1094" t="str">
            <v>Seribu sembilan puluh satu</v>
          </cell>
        </row>
        <row r="1095">
          <cell r="A1095">
            <v>1092</v>
          </cell>
          <cell r="B1095" t="str">
            <v>Seribu sembilan puluh dua</v>
          </cell>
        </row>
        <row r="1096">
          <cell r="A1096">
            <v>1093</v>
          </cell>
          <cell r="B1096" t="str">
            <v>Seribu sembilan puluh tiga</v>
          </cell>
        </row>
        <row r="1097">
          <cell r="A1097">
            <v>1094</v>
          </cell>
          <cell r="B1097" t="str">
            <v>Seribu sembilan puluh empat</v>
          </cell>
        </row>
        <row r="1098">
          <cell r="A1098">
            <v>1095</v>
          </cell>
          <cell r="B1098" t="str">
            <v>Seribu sembilan puluh lima</v>
          </cell>
        </row>
        <row r="1099">
          <cell r="A1099">
            <v>1096</v>
          </cell>
          <cell r="B1099" t="str">
            <v>Seribu sembilan puluh enam</v>
          </cell>
        </row>
        <row r="1100">
          <cell r="A1100">
            <v>1097</v>
          </cell>
          <cell r="B1100" t="str">
            <v>Seribu sembilan puluh tujuh</v>
          </cell>
        </row>
        <row r="1101">
          <cell r="A1101">
            <v>1098</v>
          </cell>
          <cell r="B1101" t="str">
            <v>Seribu sembilan puluh delapan</v>
          </cell>
        </row>
        <row r="1102">
          <cell r="A1102">
            <v>1099</v>
          </cell>
          <cell r="B1102" t="str">
            <v>Seribu sembilan puluh sembilan</v>
          </cell>
        </row>
        <row r="1103">
          <cell r="A1103">
            <v>1100</v>
          </cell>
          <cell r="B1103" t="str">
            <v>Seribu seratus</v>
          </cell>
        </row>
        <row r="1104">
          <cell r="A1104">
            <v>1101</v>
          </cell>
          <cell r="B1104" t="str">
            <v>Seribu seratus satu</v>
          </cell>
        </row>
        <row r="1105">
          <cell r="A1105">
            <v>1102</v>
          </cell>
          <cell r="B1105" t="str">
            <v>Seribu seratus dua</v>
          </cell>
        </row>
        <row r="1106">
          <cell r="A1106">
            <v>1103</v>
          </cell>
          <cell r="B1106" t="str">
            <v>Seribu seratus tiga</v>
          </cell>
        </row>
        <row r="1107">
          <cell r="A1107">
            <v>1104</v>
          </cell>
          <cell r="B1107" t="str">
            <v>Seribu seratus empat</v>
          </cell>
        </row>
        <row r="1108">
          <cell r="A1108">
            <v>1105</v>
          </cell>
          <cell r="B1108" t="str">
            <v>Seribu seratus lima</v>
          </cell>
        </row>
        <row r="1109">
          <cell r="A1109">
            <v>1106</v>
          </cell>
          <cell r="B1109" t="str">
            <v>Seribu seratus enam</v>
          </cell>
        </row>
        <row r="1110">
          <cell r="A1110">
            <v>1107</v>
          </cell>
          <cell r="B1110" t="str">
            <v>Seribu seratus tujuh</v>
          </cell>
        </row>
        <row r="1111">
          <cell r="A1111">
            <v>1108</v>
          </cell>
          <cell r="B1111" t="str">
            <v>Seribu seratus delapan</v>
          </cell>
        </row>
        <row r="1112">
          <cell r="A1112">
            <v>1109</v>
          </cell>
          <cell r="B1112" t="str">
            <v>Seribu seratus sembilan</v>
          </cell>
        </row>
        <row r="1113">
          <cell r="A1113">
            <v>1110</v>
          </cell>
          <cell r="B1113" t="str">
            <v>Seribu seratus sepuluh</v>
          </cell>
        </row>
        <row r="1114">
          <cell r="A1114">
            <v>1111</v>
          </cell>
          <cell r="B1114" t="str">
            <v>Seribu seratus sebelas</v>
          </cell>
        </row>
        <row r="1115">
          <cell r="A1115">
            <v>1112</v>
          </cell>
          <cell r="B1115" t="str">
            <v>Seribu seratus dua belas</v>
          </cell>
        </row>
        <row r="1116">
          <cell r="A1116">
            <v>1113</v>
          </cell>
          <cell r="B1116" t="str">
            <v>Seribu seratus tiga belas</v>
          </cell>
        </row>
        <row r="1117">
          <cell r="A1117">
            <v>1114</v>
          </cell>
          <cell r="B1117" t="str">
            <v>Seribu seratus empat belas</v>
          </cell>
        </row>
        <row r="1118">
          <cell r="A1118">
            <v>1115</v>
          </cell>
          <cell r="B1118" t="str">
            <v>Seribu seratus lima belas</v>
          </cell>
        </row>
        <row r="1119">
          <cell r="A1119">
            <v>1116</v>
          </cell>
          <cell r="B1119" t="str">
            <v>Seribu seratus enam belas</v>
          </cell>
        </row>
        <row r="1120">
          <cell r="A1120">
            <v>1117</v>
          </cell>
          <cell r="B1120" t="str">
            <v>Seribu seratus tujuh belas</v>
          </cell>
        </row>
        <row r="1121">
          <cell r="A1121">
            <v>1118</v>
          </cell>
          <cell r="B1121" t="str">
            <v>Seribu seratus delapan belas</v>
          </cell>
        </row>
        <row r="1122">
          <cell r="A1122">
            <v>1119</v>
          </cell>
          <cell r="B1122" t="str">
            <v>Seribu seratus sembilan belas</v>
          </cell>
        </row>
        <row r="1123">
          <cell r="A1123">
            <v>1120</v>
          </cell>
          <cell r="B1123" t="str">
            <v>Seribu seratus dua puluh</v>
          </cell>
        </row>
        <row r="1124">
          <cell r="A1124">
            <v>1121</v>
          </cell>
          <cell r="B1124" t="str">
            <v>Seribu seratus dua puluh satu</v>
          </cell>
        </row>
        <row r="1125">
          <cell r="A1125">
            <v>1122</v>
          </cell>
          <cell r="B1125" t="str">
            <v>Seribu seratus dua puluh dua</v>
          </cell>
        </row>
        <row r="1126">
          <cell r="A1126">
            <v>1123</v>
          </cell>
          <cell r="B1126" t="str">
            <v>Seribu seratus dua puluh tiga</v>
          </cell>
        </row>
        <row r="1127">
          <cell r="A1127">
            <v>1124</v>
          </cell>
          <cell r="B1127" t="str">
            <v>Seribu seratus dua puluh empat</v>
          </cell>
        </row>
        <row r="1128">
          <cell r="A1128">
            <v>1125</v>
          </cell>
          <cell r="B1128" t="str">
            <v>Seribu seratus dua puluh lima</v>
          </cell>
        </row>
        <row r="1129">
          <cell r="A1129">
            <v>1126</v>
          </cell>
          <cell r="B1129" t="str">
            <v>Seribu seratus dua puluh enam</v>
          </cell>
        </row>
        <row r="1130">
          <cell r="A1130">
            <v>1127</v>
          </cell>
          <cell r="B1130" t="str">
            <v>Seribu seratus dua puluh tujuh</v>
          </cell>
        </row>
        <row r="1131">
          <cell r="A1131">
            <v>1128</v>
          </cell>
          <cell r="B1131" t="str">
            <v>Seribu seratus dua puluh delapan</v>
          </cell>
        </row>
        <row r="1132">
          <cell r="A1132">
            <v>1129</v>
          </cell>
          <cell r="B1132" t="str">
            <v>Seribu seratus dua puluh sembilan</v>
          </cell>
        </row>
        <row r="1133">
          <cell r="A1133">
            <v>1130</v>
          </cell>
          <cell r="B1133" t="str">
            <v>Seribu seratus tiga puluh</v>
          </cell>
        </row>
        <row r="1134">
          <cell r="A1134">
            <v>1131</v>
          </cell>
          <cell r="B1134" t="str">
            <v>Seribu seratus tiga puluh satu</v>
          </cell>
        </row>
        <row r="1135">
          <cell r="A1135">
            <v>1132</v>
          </cell>
          <cell r="B1135" t="str">
            <v>Seribu seratus tiga puluh dua</v>
          </cell>
        </row>
        <row r="1136">
          <cell r="A1136">
            <v>1133</v>
          </cell>
          <cell r="B1136" t="str">
            <v>Seribu seratus tiga puluh tiga</v>
          </cell>
        </row>
        <row r="1137">
          <cell r="A1137">
            <v>1134</v>
          </cell>
          <cell r="B1137" t="str">
            <v>Seribu seratus tiga puluh empat</v>
          </cell>
        </row>
        <row r="1138">
          <cell r="A1138">
            <v>1135</v>
          </cell>
          <cell r="B1138" t="str">
            <v>Seribu seratus tiga puluh lima</v>
          </cell>
        </row>
        <row r="1139">
          <cell r="A1139">
            <v>1136</v>
          </cell>
          <cell r="B1139" t="str">
            <v>Seribu seratus tiga puluh enam</v>
          </cell>
        </row>
        <row r="1140">
          <cell r="A1140">
            <v>1137</v>
          </cell>
          <cell r="B1140" t="str">
            <v>Seribu seratus tiga puluh tujuh</v>
          </cell>
        </row>
        <row r="1141">
          <cell r="A1141">
            <v>1138</v>
          </cell>
          <cell r="B1141" t="str">
            <v>Seribu seratus tiga puluh delapan</v>
          </cell>
        </row>
        <row r="1142">
          <cell r="A1142">
            <v>1139</v>
          </cell>
          <cell r="B1142" t="str">
            <v>Seribu seratus tiga puluh sembilan</v>
          </cell>
        </row>
        <row r="1143">
          <cell r="A1143">
            <v>1140</v>
          </cell>
          <cell r="B1143" t="str">
            <v>Seribu seratus empat puluh</v>
          </cell>
        </row>
        <row r="1144">
          <cell r="A1144">
            <v>1141</v>
          </cell>
          <cell r="B1144" t="str">
            <v>Seribu seratus empat puluh satu</v>
          </cell>
        </row>
        <row r="1145">
          <cell r="A1145">
            <v>1142</v>
          </cell>
          <cell r="B1145" t="str">
            <v>Seribu seratus empat puluh dua</v>
          </cell>
        </row>
        <row r="1146">
          <cell r="A1146">
            <v>1143</v>
          </cell>
          <cell r="B1146" t="str">
            <v>Seribu seratus empat puluh tiga</v>
          </cell>
        </row>
        <row r="1147">
          <cell r="A1147">
            <v>1144</v>
          </cell>
          <cell r="B1147" t="str">
            <v>Seribu seratus empat puluh empat</v>
          </cell>
        </row>
        <row r="1148">
          <cell r="A1148">
            <v>1145</v>
          </cell>
          <cell r="B1148" t="str">
            <v>Seribu seratus empat puluh lima</v>
          </cell>
        </row>
        <row r="1149">
          <cell r="A1149">
            <v>1146</v>
          </cell>
          <cell r="B1149" t="str">
            <v>Seribu seratus empat puluh enam</v>
          </cell>
        </row>
        <row r="1150">
          <cell r="A1150">
            <v>1147</v>
          </cell>
          <cell r="B1150" t="str">
            <v>Seribu seratus empat puluh tujuh</v>
          </cell>
        </row>
        <row r="1151">
          <cell r="A1151">
            <v>1148</v>
          </cell>
          <cell r="B1151" t="str">
            <v>Seribu seratus empat puluh delapan</v>
          </cell>
        </row>
        <row r="1152">
          <cell r="A1152">
            <v>1149</v>
          </cell>
          <cell r="B1152" t="str">
            <v>Seribu seratus empat puluh sembilan</v>
          </cell>
        </row>
        <row r="1153">
          <cell r="A1153">
            <v>1150</v>
          </cell>
          <cell r="B1153" t="str">
            <v>Seribu seratus lima puluh</v>
          </cell>
        </row>
        <row r="1154">
          <cell r="A1154">
            <v>1151</v>
          </cell>
          <cell r="B1154" t="str">
            <v xml:space="preserve">Seribu seratus lima puluh satu  </v>
          </cell>
        </row>
        <row r="1155">
          <cell r="A1155">
            <v>1152</v>
          </cell>
          <cell r="B1155" t="str">
            <v xml:space="preserve">Seribu seratus lima puluh dua  </v>
          </cell>
        </row>
        <row r="1156">
          <cell r="A1156">
            <v>1153</v>
          </cell>
          <cell r="B1156" t="str">
            <v xml:space="preserve">Seribu seratus lima puluh tiga  </v>
          </cell>
        </row>
        <row r="1157">
          <cell r="A1157">
            <v>1154</v>
          </cell>
          <cell r="B1157" t="str">
            <v xml:space="preserve">Seribu seratus lima puluh empat  </v>
          </cell>
        </row>
        <row r="1158">
          <cell r="A1158">
            <v>1155</v>
          </cell>
          <cell r="B1158" t="str">
            <v xml:space="preserve">Seribu seratus lima puluh lima  </v>
          </cell>
        </row>
        <row r="1159">
          <cell r="A1159">
            <v>1156</v>
          </cell>
          <cell r="B1159" t="str">
            <v xml:space="preserve">Seribu seratus lima puluh enam  </v>
          </cell>
        </row>
        <row r="1160">
          <cell r="A1160">
            <v>1157</v>
          </cell>
          <cell r="B1160" t="str">
            <v xml:space="preserve">Seribu seratus lima puluh tujuh  </v>
          </cell>
        </row>
        <row r="1161">
          <cell r="A1161">
            <v>1158</v>
          </cell>
          <cell r="B1161" t="str">
            <v xml:space="preserve">Seribu seratus lima puluh delapan  </v>
          </cell>
        </row>
        <row r="1162">
          <cell r="A1162">
            <v>1159</v>
          </cell>
          <cell r="B1162" t="str">
            <v xml:space="preserve">Seribu seratus lima puluh sembilan  </v>
          </cell>
        </row>
        <row r="1163">
          <cell r="A1163">
            <v>1160</v>
          </cell>
          <cell r="B1163" t="str">
            <v xml:space="preserve">Seribu seratus enam puluh  </v>
          </cell>
        </row>
        <row r="1164">
          <cell r="A1164">
            <v>1161</v>
          </cell>
          <cell r="B1164" t="str">
            <v xml:space="preserve">Seribu seratus enam puluh satu  </v>
          </cell>
        </row>
        <row r="1165">
          <cell r="A1165">
            <v>1162</v>
          </cell>
          <cell r="B1165" t="str">
            <v xml:space="preserve">Seribu seratus enam puluh dua  </v>
          </cell>
        </row>
        <row r="1166">
          <cell r="A1166">
            <v>1163</v>
          </cell>
          <cell r="B1166" t="str">
            <v xml:space="preserve">Seribu seratus enam puluh tiga  </v>
          </cell>
        </row>
        <row r="1167">
          <cell r="A1167">
            <v>1164</v>
          </cell>
          <cell r="B1167" t="str">
            <v xml:space="preserve">Seribu seratus enam puluh empat  </v>
          </cell>
        </row>
        <row r="1168">
          <cell r="A1168">
            <v>1165</v>
          </cell>
          <cell r="B1168" t="str">
            <v xml:space="preserve">Seribu seratus enam puluh lima  </v>
          </cell>
        </row>
        <row r="1169">
          <cell r="A1169">
            <v>1166</v>
          </cell>
          <cell r="B1169" t="str">
            <v xml:space="preserve">Seribu seratus enam puluh enam  </v>
          </cell>
        </row>
        <row r="1170">
          <cell r="A1170">
            <v>1167</v>
          </cell>
          <cell r="B1170" t="str">
            <v xml:space="preserve">Seribu seratus enam puluh tujuh  </v>
          </cell>
        </row>
        <row r="1171">
          <cell r="A1171">
            <v>1168</v>
          </cell>
          <cell r="B1171" t="str">
            <v xml:space="preserve">Seribu seratus enam puluh delapan  </v>
          </cell>
        </row>
        <row r="1172">
          <cell r="A1172">
            <v>1169</v>
          </cell>
          <cell r="B1172" t="str">
            <v xml:space="preserve">Seribu seratus enam puluh sembilan  </v>
          </cell>
        </row>
        <row r="1173">
          <cell r="A1173">
            <v>1170</v>
          </cell>
          <cell r="B1173" t="str">
            <v xml:space="preserve">Seribu seratus tujuh puluh  </v>
          </cell>
        </row>
        <row r="1174">
          <cell r="A1174">
            <v>1171</v>
          </cell>
          <cell r="B1174" t="str">
            <v xml:space="preserve">Seribu seratus tujuh puluh satu  </v>
          </cell>
        </row>
        <row r="1175">
          <cell r="A1175">
            <v>1172</v>
          </cell>
          <cell r="B1175" t="str">
            <v xml:space="preserve">Seribu seratus tujuh puluh dua  </v>
          </cell>
        </row>
        <row r="1176">
          <cell r="A1176">
            <v>1173</v>
          </cell>
          <cell r="B1176" t="str">
            <v xml:space="preserve">Seribu seratus tujuh puluh tiga  </v>
          </cell>
        </row>
        <row r="1177">
          <cell r="A1177">
            <v>1174</v>
          </cell>
          <cell r="B1177" t="str">
            <v xml:space="preserve">Seribu seratus tujuh puluh empat  </v>
          </cell>
        </row>
        <row r="1178">
          <cell r="A1178">
            <v>1175</v>
          </cell>
          <cell r="B1178" t="str">
            <v xml:space="preserve">Seribu seratus tujuh puluh lima  </v>
          </cell>
        </row>
        <row r="1179">
          <cell r="A1179">
            <v>1176</v>
          </cell>
          <cell r="B1179" t="str">
            <v xml:space="preserve">Seribu seratus tujuh puluh enam  </v>
          </cell>
        </row>
        <row r="1180">
          <cell r="A1180">
            <v>1177</v>
          </cell>
          <cell r="B1180" t="str">
            <v xml:space="preserve">Seribu seratus tujuh puluh tujuh  </v>
          </cell>
        </row>
        <row r="1181">
          <cell r="A1181">
            <v>1178</v>
          </cell>
          <cell r="B1181" t="str">
            <v xml:space="preserve">Seribu seratus tujuh puluh delapan  </v>
          </cell>
        </row>
        <row r="1182">
          <cell r="A1182">
            <v>1179</v>
          </cell>
          <cell r="B1182" t="str">
            <v xml:space="preserve">Seribu seratus tujuh puluh sembilan  </v>
          </cell>
        </row>
        <row r="1183">
          <cell r="A1183">
            <v>1180</v>
          </cell>
          <cell r="B1183" t="str">
            <v xml:space="preserve">Seribu seratus delapan puluh  </v>
          </cell>
        </row>
        <row r="1184">
          <cell r="A1184">
            <v>1181</v>
          </cell>
          <cell r="B1184" t="str">
            <v xml:space="preserve">Seribu seratus delapan puluh satu  </v>
          </cell>
        </row>
        <row r="1185">
          <cell r="A1185">
            <v>1182</v>
          </cell>
          <cell r="B1185" t="str">
            <v xml:space="preserve">Seribu seratus delapan puluh dua  </v>
          </cell>
        </row>
        <row r="1186">
          <cell r="A1186">
            <v>1183</v>
          </cell>
          <cell r="B1186" t="str">
            <v xml:space="preserve">Seribu seratus delapan puluh tiga  </v>
          </cell>
        </row>
        <row r="1187">
          <cell r="A1187">
            <v>1184</v>
          </cell>
          <cell r="B1187" t="str">
            <v xml:space="preserve">Seribu seratus delapan puluh empat  </v>
          </cell>
        </row>
        <row r="1188">
          <cell r="A1188">
            <v>1185</v>
          </cell>
          <cell r="B1188" t="str">
            <v xml:space="preserve">Seribu seratus delapan puluh lima  </v>
          </cell>
        </row>
        <row r="1189">
          <cell r="A1189">
            <v>1186</v>
          </cell>
          <cell r="B1189" t="str">
            <v xml:space="preserve">Seribu seratus delapan puluh enam  </v>
          </cell>
        </row>
        <row r="1190">
          <cell r="A1190">
            <v>1187</v>
          </cell>
          <cell r="B1190" t="str">
            <v xml:space="preserve">Seribu seratus delapan puluh tujuh  </v>
          </cell>
        </row>
        <row r="1191">
          <cell r="A1191">
            <v>1188</v>
          </cell>
          <cell r="B1191" t="str">
            <v xml:space="preserve">Seribu seratus delapan puluh delapan  </v>
          </cell>
        </row>
        <row r="1192">
          <cell r="A1192">
            <v>1189</v>
          </cell>
          <cell r="B1192" t="str">
            <v xml:space="preserve">Seribu seratus delapan puluh sembilan  </v>
          </cell>
        </row>
        <row r="1193">
          <cell r="A1193">
            <v>1190</v>
          </cell>
          <cell r="B1193" t="str">
            <v xml:space="preserve">Seribu seratus sembilan puluh  </v>
          </cell>
        </row>
        <row r="1194">
          <cell r="A1194">
            <v>1191</v>
          </cell>
          <cell r="B1194" t="str">
            <v xml:space="preserve">Seribu seratus sembilan puluh satu  </v>
          </cell>
        </row>
        <row r="1195">
          <cell r="A1195">
            <v>1192</v>
          </cell>
          <cell r="B1195" t="str">
            <v xml:space="preserve">Seribu seratus sembilan puluh dua  </v>
          </cell>
        </row>
        <row r="1196">
          <cell r="A1196">
            <v>1193</v>
          </cell>
          <cell r="B1196" t="str">
            <v xml:space="preserve">Seribu seratus sembilan puluh tiga  </v>
          </cell>
        </row>
        <row r="1197">
          <cell r="A1197">
            <v>1194</v>
          </cell>
          <cell r="B1197" t="str">
            <v xml:space="preserve">Seribu seratus sembilan puluh empat  </v>
          </cell>
        </row>
        <row r="1198">
          <cell r="A1198">
            <v>1195</v>
          </cell>
          <cell r="B1198" t="str">
            <v xml:space="preserve">Seribu seratus sembilan puluh lima  </v>
          </cell>
        </row>
        <row r="1199">
          <cell r="A1199">
            <v>1196</v>
          </cell>
          <cell r="B1199" t="str">
            <v xml:space="preserve">Seribu seratus sembilan puluh enam  </v>
          </cell>
        </row>
        <row r="1200">
          <cell r="A1200">
            <v>1197</v>
          </cell>
          <cell r="B1200" t="str">
            <v xml:space="preserve">Seribu seratus sembilan puluh tujuh  </v>
          </cell>
        </row>
        <row r="1201">
          <cell r="A1201">
            <v>1198</v>
          </cell>
          <cell r="B1201" t="str">
            <v xml:space="preserve">Seribu seratus sembilan puluh delapan  </v>
          </cell>
        </row>
        <row r="1202">
          <cell r="A1202">
            <v>1199</v>
          </cell>
          <cell r="B1202" t="str">
            <v xml:space="preserve">Seribu seratus sembilan puluh sembilan  </v>
          </cell>
        </row>
        <row r="1203">
          <cell r="A1203">
            <v>1200</v>
          </cell>
          <cell r="B1203" t="str">
            <v xml:space="preserve">Seribu dua ratus  </v>
          </cell>
        </row>
        <row r="1204">
          <cell r="A1204">
            <v>1201</v>
          </cell>
          <cell r="B1204" t="str">
            <v xml:space="preserve">Seribu dua ratus satu  </v>
          </cell>
        </row>
        <row r="1205">
          <cell r="A1205">
            <v>1202</v>
          </cell>
          <cell r="B1205" t="str">
            <v xml:space="preserve">Seribu dua ratus dua  </v>
          </cell>
        </row>
        <row r="1206">
          <cell r="A1206">
            <v>1203</v>
          </cell>
          <cell r="B1206" t="str">
            <v xml:space="preserve">Seribu dua ratus tiga  </v>
          </cell>
        </row>
        <row r="1207">
          <cell r="A1207">
            <v>1204</v>
          </cell>
          <cell r="B1207" t="str">
            <v xml:space="preserve">Seribu dua ratus empat  </v>
          </cell>
        </row>
        <row r="1208">
          <cell r="A1208">
            <v>1205</v>
          </cell>
          <cell r="B1208" t="str">
            <v xml:space="preserve">Seribu dua ratus lima  </v>
          </cell>
        </row>
        <row r="1209">
          <cell r="A1209">
            <v>1206</v>
          </cell>
          <cell r="B1209" t="str">
            <v xml:space="preserve">Seribu dua ratus enam  </v>
          </cell>
        </row>
        <row r="1210">
          <cell r="A1210">
            <v>1207</v>
          </cell>
          <cell r="B1210" t="str">
            <v xml:space="preserve">Seribu dua ratus tujuh  </v>
          </cell>
        </row>
        <row r="1211">
          <cell r="A1211">
            <v>1208</v>
          </cell>
          <cell r="B1211" t="str">
            <v xml:space="preserve">Seribu dua ratus delapan  </v>
          </cell>
        </row>
        <row r="1212">
          <cell r="A1212">
            <v>1209</v>
          </cell>
          <cell r="B1212" t="str">
            <v xml:space="preserve">Seribu dua ratus sembilan  </v>
          </cell>
        </row>
        <row r="1213">
          <cell r="A1213">
            <v>1210</v>
          </cell>
          <cell r="B1213" t="str">
            <v xml:space="preserve">Seribu dua ratus sepuluh  </v>
          </cell>
        </row>
        <row r="1214">
          <cell r="A1214">
            <v>1211</v>
          </cell>
          <cell r="B1214" t="str">
            <v xml:space="preserve">Seribu dua ratus sebelas  </v>
          </cell>
        </row>
        <row r="1215">
          <cell r="A1215">
            <v>1212</v>
          </cell>
          <cell r="B1215" t="str">
            <v xml:space="preserve">Seribu dua ratus dua belas  </v>
          </cell>
        </row>
        <row r="1216">
          <cell r="A1216">
            <v>1213</v>
          </cell>
          <cell r="B1216" t="str">
            <v xml:space="preserve">Seribu dua ratus tiga belas  </v>
          </cell>
        </row>
        <row r="1217">
          <cell r="A1217">
            <v>1214</v>
          </cell>
          <cell r="B1217" t="str">
            <v xml:space="preserve">Seribu dua ratus empat belas  </v>
          </cell>
        </row>
        <row r="1218">
          <cell r="A1218">
            <v>1215</v>
          </cell>
          <cell r="B1218" t="str">
            <v xml:space="preserve">Seribu dua ratus lima belas  </v>
          </cell>
        </row>
        <row r="1219">
          <cell r="A1219">
            <v>1216</v>
          </cell>
          <cell r="B1219" t="str">
            <v xml:space="preserve">Seribu dua ratus enam belas  </v>
          </cell>
        </row>
        <row r="1220">
          <cell r="A1220">
            <v>1217</v>
          </cell>
          <cell r="B1220" t="str">
            <v xml:space="preserve">Seribu dua ratus tujuh belas  </v>
          </cell>
        </row>
        <row r="1221">
          <cell r="A1221">
            <v>1218</v>
          </cell>
          <cell r="B1221" t="str">
            <v xml:space="preserve">Seribu dua ratus delapan belas  </v>
          </cell>
        </row>
        <row r="1222">
          <cell r="A1222">
            <v>1219</v>
          </cell>
          <cell r="B1222" t="str">
            <v xml:space="preserve">Seribu dua ratus sembilan belas  </v>
          </cell>
        </row>
        <row r="1223">
          <cell r="A1223">
            <v>1220</v>
          </cell>
          <cell r="B1223" t="str">
            <v xml:space="preserve">Seribu dua ratus dua puluh  </v>
          </cell>
        </row>
        <row r="1224">
          <cell r="A1224">
            <v>1221</v>
          </cell>
          <cell r="B1224" t="str">
            <v xml:space="preserve">Seribu dua ratus dua puluh satu  </v>
          </cell>
        </row>
        <row r="1225">
          <cell r="A1225">
            <v>1222</v>
          </cell>
          <cell r="B1225" t="str">
            <v xml:space="preserve">Seribu dua ratus dua puluh dua  </v>
          </cell>
        </row>
        <row r="1226">
          <cell r="A1226">
            <v>1223</v>
          </cell>
          <cell r="B1226" t="str">
            <v xml:space="preserve">Seribu dua ratus dua puluh tiga  </v>
          </cell>
        </row>
        <row r="1227">
          <cell r="A1227">
            <v>1224</v>
          </cell>
          <cell r="B1227" t="str">
            <v xml:space="preserve">Seribu dua ratus dua puluh empat  </v>
          </cell>
        </row>
        <row r="1228">
          <cell r="A1228">
            <v>1225</v>
          </cell>
          <cell r="B1228" t="str">
            <v xml:space="preserve">Seribu dua ratus dua puluh lima  </v>
          </cell>
        </row>
        <row r="1229">
          <cell r="A1229">
            <v>1226</v>
          </cell>
          <cell r="B1229" t="str">
            <v xml:space="preserve">Seribu dua ratus dua puluh enam  </v>
          </cell>
        </row>
        <row r="1230">
          <cell r="A1230">
            <v>1227</v>
          </cell>
          <cell r="B1230" t="str">
            <v xml:space="preserve">Seribu dua ratus dua puluh tujuh  </v>
          </cell>
        </row>
        <row r="1231">
          <cell r="A1231">
            <v>1228</v>
          </cell>
          <cell r="B1231" t="str">
            <v xml:space="preserve">Seribu dua ratus dua puluh delapan  </v>
          </cell>
        </row>
        <row r="1232">
          <cell r="A1232">
            <v>1229</v>
          </cell>
          <cell r="B1232" t="str">
            <v xml:space="preserve">Seribu dua ratus dua puluh sembilan  </v>
          </cell>
        </row>
        <row r="1233">
          <cell r="A1233">
            <v>1230</v>
          </cell>
          <cell r="B1233" t="str">
            <v xml:space="preserve">Seribu dua ratus tiga puluh  </v>
          </cell>
        </row>
        <row r="1234">
          <cell r="A1234">
            <v>1231</v>
          </cell>
          <cell r="B1234" t="str">
            <v xml:space="preserve">Seribu dua ratus tiga puluh satu  </v>
          </cell>
        </row>
        <row r="1235">
          <cell r="A1235">
            <v>1232</v>
          </cell>
          <cell r="B1235" t="str">
            <v xml:space="preserve">Seribu dua ratus tiga puluh dua  </v>
          </cell>
        </row>
        <row r="1236">
          <cell r="A1236">
            <v>1233</v>
          </cell>
          <cell r="B1236" t="str">
            <v xml:space="preserve">Seribu dua ratus tiga puluh tiga  </v>
          </cell>
        </row>
        <row r="1237">
          <cell r="A1237">
            <v>1234</v>
          </cell>
          <cell r="B1237" t="str">
            <v xml:space="preserve">Seribu dua ratus tiga puluh empat  </v>
          </cell>
        </row>
        <row r="1238">
          <cell r="A1238">
            <v>1235</v>
          </cell>
          <cell r="B1238" t="str">
            <v xml:space="preserve">Seribu dua ratus tiga puluh lima  </v>
          </cell>
        </row>
        <row r="1239">
          <cell r="A1239">
            <v>1236</v>
          </cell>
          <cell r="B1239" t="str">
            <v xml:space="preserve">Seribu dua ratus tiga puluh enam  </v>
          </cell>
        </row>
        <row r="1240">
          <cell r="A1240">
            <v>1237</v>
          </cell>
          <cell r="B1240" t="str">
            <v xml:space="preserve">Seribu dua ratus tiga puluh tujuh  </v>
          </cell>
        </row>
        <row r="1241">
          <cell r="A1241">
            <v>1238</v>
          </cell>
          <cell r="B1241" t="str">
            <v xml:space="preserve">Seribu dua ratus tiga puluh delapan  </v>
          </cell>
        </row>
        <row r="1242">
          <cell r="A1242">
            <v>1239</v>
          </cell>
          <cell r="B1242" t="str">
            <v xml:space="preserve">Seribu dua ratus tiga puluh sembilan  </v>
          </cell>
        </row>
        <row r="1243">
          <cell r="A1243">
            <v>1240</v>
          </cell>
          <cell r="B1243" t="str">
            <v xml:space="preserve">Seribu dua ratus empat puluh  </v>
          </cell>
        </row>
        <row r="1244">
          <cell r="A1244">
            <v>1241</v>
          </cell>
          <cell r="B1244" t="str">
            <v xml:space="preserve">Seribu dua ratus empat puluh satu  </v>
          </cell>
        </row>
        <row r="1245">
          <cell r="A1245">
            <v>1242</v>
          </cell>
          <cell r="B1245" t="str">
            <v xml:space="preserve">Seribu dua ratus empat puluh dua  </v>
          </cell>
        </row>
        <row r="1246">
          <cell r="A1246">
            <v>1243</v>
          </cell>
          <cell r="B1246" t="str">
            <v xml:space="preserve">Seribu dua ratus empat puluh tiga  </v>
          </cell>
        </row>
        <row r="1247">
          <cell r="A1247">
            <v>1244</v>
          </cell>
          <cell r="B1247" t="str">
            <v xml:space="preserve">Seribu dua ratus empat puluh empat  </v>
          </cell>
        </row>
        <row r="1248">
          <cell r="A1248">
            <v>1245</v>
          </cell>
          <cell r="B1248" t="str">
            <v xml:space="preserve">Seribu dua ratus empat puluh lima  </v>
          </cell>
        </row>
        <row r="1249">
          <cell r="A1249">
            <v>1246</v>
          </cell>
          <cell r="B1249" t="str">
            <v xml:space="preserve">Seribu dua ratus empat puluh enam  </v>
          </cell>
        </row>
        <row r="1250">
          <cell r="A1250">
            <v>1247</v>
          </cell>
          <cell r="B1250" t="str">
            <v xml:space="preserve">Seribu dua ratus empat puluh tujuh  </v>
          </cell>
        </row>
        <row r="1251">
          <cell r="A1251">
            <v>1248</v>
          </cell>
          <cell r="B1251" t="str">
            <v xml:space="preserve">Seribu dua ratus empat puluh delapan  </v>
          </cell>
        </row>
        <row r="1252">
          <cell r="A1252">
            <v>1249</v>
          </cell>
          <cell r="B1252" t="str">
            <v xml:space="preserve">Seribu dua ratus empat puluh sembilan  </v>
          </cell>
        </row>
        <row r="1253">
          <cell r="A1253">
            <v>1250</v>
          </cell>
          <cell r="B1253" t="str">
            <v xml:space="preserve">Seribu dua ratus lima puluh  </v>
          </cell>
        </row>
        <row r="1254">
          <cell r="A1254">
            <v>1251</v>
          </cell>
          <cell r="B1254" t="str">
            <v xml:space="preserve">Seribu dua ratus lima puluh satu  </v>
          </cell>
        </row>
        <row r="1255">
          <cell r="A1255">
            <v>1252</v>
          </cell>
          <cell r="B1255" t="str">
            <v xml:space="preserve">Seribu dua ratus lima puluh dua  </v>
          </cell>
        </row>
        <row r="1256">
          <cell r="A1256">
            <v>1253</v>
          </cell>
          <cell r="B1256" t="str">
            <v xml:space="preserve">Seribu dua ratus lima puluh tiga  </v>
          </cell>
        </row>
        <row r="1257">
          <cell r="A1257">
            <v>1254</v>
          </cell>
          <cell r="B1257" t="str">
            <v xml:space="preserve">Seribu dua ratus lima puluh empat  </v>
          </cell>
        </row>
        <row r="1258">
          <cell r="A1258">
            <v>1255</v>
          </cell>
          <cell r="B1258" t="str">
            <v xml:space="preserve">Seribu dua ratus lima puluh lima  </v>
          </cell>
        </row>
        <row r="1259">
          <cell r="A1259">
            <v>1256</v>
          </cell>
          <cell r="B1259" t="str">
            <v xml:space="preserve">Seribu dua ratus lima puluh enam  </v>
          </cell>
        </row>
        <row r="1260">
          <cell r="A1260">
            <v>1257</v>
          </cell>
          <cell r="B1260" t="str">
            <v xml:space="preserve">Seribu dua ratus lima puluh tujuh  </v>
          </cell>
        </row>
        <row r="1261">
          <cell r="A1261">
            <v>1258</v>
          </cell>
          <cell r="B1261" t="str">
            <v xml:space="preserve">Seribu dua ratus lima puluh delapan  </v>
          </cell>
        </row>
        <row r="1262">
          <cell r="A1262">
            <v>1259</v>
          </cell>
          <cell r="B1262" t="str">
            <v xml:space="preserve">Seribu dua ratus lima puluh sembilan  </v>
          </cell>
        </row>
        <row r="1263">
          <cell r="A1263">
            <v>1260</v>
          </cell>
          <cell r="B1263" t="str">
            <v xml:space="preserve">Seribu dua ratus enam puluh  </v>
          </cell>
        </row>
        <row r="1264">
          <cell r="A1264">
            <v>1261</v>
          </cell>
          <cell r="B1264" t="str">
            <v xml:space="preserve">Seribu dua ratus enam puluh satu  </v>
          </cell>
        </row>
        <row r="1265">
          <cell r="A1265">
            <v>1262</v>
          </cell>
          <cell r="B1265" t="str">
            <v xml:space="preserve">Seribu dua ratus enam puluh dua  </v>
          </cell>
        </row>
        <row r="1266">
          <cell r="A1266">
            <v>1263</v>
          </cell>
          <cell r="B1266" t="str">
            <v xml:space="preserve">Seribu dua ratus enam puluh tiga  </v>
          </cell>
        </row>
        <row r="1267">
          <cell r="A1267">
            <v>1264</v>
          </cell>
          <cell r="B1267" t="str">
            <v xml:space="preserve">Seribu dua ratus enam puluh empat  </v>
          </cell>
        </row>
        <row r="1268">
          <cell r="A1268">
            <v>1265</v>
          </cell>
          <cell r="B1268" t="str">
            <v xml:space="preserve">Seribu dua ratus enam puluh lima  </v>
          </cell>
        </row>
        <row r="1269">
          <cell r="A1269">
            <v>1266</v>
          </cell>
          <cell r="B1269" t="str">
            <v xml:space="preserve">Seribu dua ratus enam puluh enam  </v>
          </cell>
        </row>
        <row r="1270">
          <cell r="A1270">
            <v>1267</v>
          </cell>
          <cell r="B1270" t="str">
            <v xml:space="preserve">Seribu dua ratus enam puluh tujuh  </v>
          </cell>
        </row>
        <row r="1271">
          <cell r="A1271">
            <v>1268</v>
          </cell>
          <cell r="B1271" t="str">
            <v xml:space="preserve">Seribu dua ratus enam puluh delapan  </v>
          </cell>
        </row>
        <row r="1272">
          <cell r="A1272">
            <v>1269</v>
          </cell>
          <cell r="B1272" t="str">
            <v xml:space="preserve">Seribu dua ratus enam puluh sembilan  </v>
          </cell>
        </row>
        <row r="1273">
          <cell r="A1273">
            <v>1270</v>
          </cell>
          <cell r="B1273" t="str">
            <v xml:space="preserve">Seribu dua ratus tujuh puluh  </v>
          </cell>
        </row>
        <row r="1274">
          <cell r="A1274">
            <v>1271</v>
          </cell>
          <cell r="B1274" t="str">
            <v xml:space="preserve">Seribu dua ratus tujuh puluh satu  </v>
          </cell>
        </row>
        <row r="1275">
          <cell r="A1275">
            <v>1272</v>
          </cell>
          <cell r="B1275" t="str">
            <v xml:space="preserve">Seribu dua ratus tujuh puluh dua  </v>
          </cell>
        </row>
        <row r="1276">
          <cell r="A1276">
            <v>1273</v>
          </cell>
          <cell r="B1276" t="str">
            <v xml:space="preserve">Seribu dua ratus tujuh puluh tiga  </v>
          </cell>
        </row>
        <row r="1277">
          <cell r="A1277">
            <v>1274</v>
          </cell>
          <cell r="B1277" t="str">
            <v xml:space="preserve">Seribu dua ratus tujuh puluh empat  </v>
          </cell>
        </row>
        <row r="1278">
          <cell r="A1278">
            <v>1275</v>
          </cell>
          <cell r="B1278" t="str">
            <v xml:space="preserve">Seribu dua ratus tujuh puluh lima  </v>
          </cell>
        </row>
        <row r="1279">
          <cell r="A1279">
            <v>1276</v>
          </cell>
          <cell r="B1279" t="str">
            <v xml:space="preserve">Seribu dua ratus tujuh puluh enam  </v>
          </cell>
        </row>
        <row r="1280">
          <cell r="A1280">
            <v>1277</v>
          </cell>
          <cell r="B1280" t="str">
            <v xml:space="preserve">Seribu dua ratus tujuh puluh tujuh  </v>
          </cell>
        </row>
        <row r="1281">
          <cell r="A1281">
            <v>1278</v>
          </cell>
          <cell r="B1281" t="str">
            <v xml:space="preserve">Seribu dua ratus tujuh puluh delapan  </v>
          </cell>
        </row>
        <row r="1282">
          <cell r="A1282">
            <v>1279</v>
          </cell>
          <cell r="B1282" t="str">
            <v xml:space="preserve">Seribu dua ratus tujuh puluh sembilan  </v>
          </cell>
        </row>
        <row r="1283">
          <cell r="A1283">
            <v>1280</v>
          </cell>
          <cell r="B1283" t="str">
            <v xml:space="preserve">Seribu dua ratus delapan puluh  </v>
          </cell>
        </row>
        <row r="1284">
          <cell r="A1284">
            <v>1281</v>
          </cell>
          <cell r="B1284" t="str">
            <v xml:space="preserve">Seribu dua ratus delapan puluh satu  </v>
          </cell>
        </row>
        <row r="1285">
          <cell r="A1285">
            <v>1282</v>
          </cell>
          <cell r="B1285" t="str">
            <v xml:space="preserve">Seribu dua ratus delapan puluh dua  </v>
          </cell>
        </row>
        <row r="1286">
          <cell r="A1286">
            <v>1283</v>
          </cell>
          <cell r="B1286" t="str">
            <v xml:space="preserve">Seribu dua ratus delapan puluh tiga  </v>
          </cell>
        </row>
        <row r="1287">
          <cell r="A1287">
            <v>1284</v>
          </cell>
          <cell r="B1287" t="str">
            <v xml:space="preserve">Seribu dua ratus delapan puluh empat  </v>
          </cell>
        </row>
        <row r="1288">
          <cell r="A1288">
            <v>1285</v>
          </cell>
          <cell r="B1288" t="str">
            <v xml:space="preserve">Seribu dua ratus delapan puluh lima  </v>
          </cell>
        </row>
        <row r="1289">
          <cell r="A1289">
            <v>1286</v>
          </cell>
          <cell r="B1289" t="str">
            <v xml:space="preserve">Seribu dua ratus delapan puluh enam  </v>
          </cell>
        </row>
        <row r="1290">
          <cell r="A1290">
            <v>1287</v>
          </cell>
          <cell r="B1290" t="str">
            <v xml:space="preserve">Seribu dua ratus delapan puluh tujuh  </v>
          </cell>
        </row>
        <row r="1291">
          <cell r="A1291">
            <v>1288</v>
          </cell>
          <cell r="B1291" t="str">
            <v xml:space="preserve">Seribu dua ratus delapan puluh delapan  </v>
          </cell>
        </row>
        <row r="1292">
          <cell r="A1292">
            <v>1289</v>
          </cell>
          <cell r="B1292" t="str">
            <v xml:space="preserve">Seribu dua ratus delapan puluh sembilan  </v>
          </cell>
        </row>
        <row r="1293">
          <cell r="A1293">
            <v>1290</v>
          </cell>
          <cell r="B1293" t="str">
            <v xml:space="preserve">Seribu dua ratus sembilan puluh  </v>
          </cell>
        </row>
        <row r="1294">
          <cell r="A1294">
            <v>1291</v>
          </cell>
          <cell r="B1294" t="str">
            <v xml:space="preserve">Seribu dua ratus sembilan puluh satu  </v>
          </cell>
        </row>
        <row r="1295">
          <cell r="A1295">
            <v>1292</v>
          </cell>
          <cell r="B1295" t="str">
            <v xml:space="preserve">Seribu dua ratus sembilan puluh dua  </v>
          </cell>
        </row>
        <row r="1296">
          <cell r="A1296">
            <v>1293</v>
          </cell>
          <cell r="B1296" t="str">
            <v xml:space="preserve">Seribu dua ratus sembilan puluh tiga  </v>
          </cell>
        </row>
        <row r="1297">
          <cell r="A1297">
            <v>1294</v>
          </cell>
          <cell r="B1297" t="str">
            <v xml:space="preserve">Seribu dua ratus sembilan puluh empat  </v>
          </cell>
        </row>
        <row r="1298">
          <cell r="A1298">
            <v>1295</v>
          </cell>
          <cell r="B1298" t="str">
            <v xml:space="preserve">Seribu dua ratus sembilan puluh lima  </v>
          </cell>
        </row>
        <row r="1299">
          <cell r="A1299">
            <v>1296</v>
          </cell>
          <cell r="B1299" t="str">
            <v xml:space="preserve">Seribu dua ratus sembilan puluh enam  </v>
          </cell>
        </row>
        <row r="1300">
          <cell r="A1300">
            <v>1297</v>
          </cell>
          <cell r="B1300" t="str">
            <v xml:space="preserve">Seribu dua ratus sembilan puluh tujuh  </v>
          </cell>
        </row>
        <row r="1301">
          <cell r="A1301">
            <v>1298</v>
          </cell>
          <cell r="B1301" t="str">
            <v xml:space="preserve">Seribu dua ratus sembilan puluh delapan  </v>
          </cell>
        </row>
        <row r="1302">
          <cell r="A1302">
            <v>1299</v>
          </cell>
          <cell r="B1302" t="str">
            <v xml:space="preserve">Seribu dua ratus sembilan puluh sembilan  </v>
          </cell>
        </row>
        <row r="1303">
          <cell r="A1303">
            <v>1300</v>
          </cell>
          <cell r="B1303" t="str">
            <v xml:space="preserve">Seribu tiga ratus  </v>
          </cell>
        </row>
        <row r="1304">
          <cell r="A1304">
            <v>1301</v>
          </cell>
          <cell r="B1304" t="str">
            <v xml:space="preserve">Seribu tiga ratus satu  </v>
          </cell>
        </row>
        <row r="1305">
          <cell r="A1305">
            <v>1302</v>
          </cell>
          <cell r="B1305" t="str">
            <v xml:space="preserve">Seribu tiga ratus dua  </v>
          </cell>
        </row>
        <row r="1306">
          <cell r="A1306">
            <v>1303</v>
          </cell>
          <cell r="B1306" t="str">
            <v xml:space="preserve">Seribu tiga ratus tiga  </v>
          </cell>
        </row>
        <row r="1307">
          <cell r="A1307">
            <v>1304</v>
          </cell>
          <cell r="B1307" t="str">
            <v xml:space="preserve">Seribu tiga ratus empat  </v>
          </cell>
        </row>
        <row r="1308">
          <cell r="A1308">
            <v>1305</v>
          </cell>
          <cell r="B1308" t="str">
            <v xml:space="preserve">Seribu tiga ratus lima  </v>
          </cell>
        </row>
        <row r="1309">
          <cell r="A1309">
            <v>1306</v>
          </cell>
          <cell r="B1309" t="str">
            <v xml:space="preserve">Seribu tiga ratus enam  </v>
          </cell>
        </row>
        <row r="1310">
          <cell r="A1310">
            <v>1307</v>
          </cell>
          <cell r="B1310" t="str">
            <v xml:space="preserve">Seribu tiga ratus tujuh  </v>
          </cell>
        </row>
        <row r="1311">
          <cell r="A1311">
            <v>1308</v>
          </cell>
          <cell r="B1311" t="str">
            <v xml:space="preserve">Seribu tiga ratus delapan  </v>
          </cell>
        </row>
        <row r="1312">
          <cell r="A1312">
            <v>1309</v>
          </cell>
          <cell r="B1312" t="str">
            <v xml:space="preserve">Seribu tiga ratus sembilan  </v>
          </cell>
        </row>
        <row r="1313">
          <cell r="A1313">
            <v>1310</v>
          </cell>
          <cell r="B1313" t="str">
            <v xml:space="preserve">Seribu tiga ratus sepuluh  </v>
          </cell>
        </row>
        <row r="1314">
          <cell r="A1314">
            <v>1311</v>
          </cell>
          <cell r="B1314" t="str">
            <v xml:space="preserve">Seribu tiga ratus sebelas  </v>
          </cell>
        </row>
        <row r="1315">
          <cell r="A1315">
            <v>1312</v>
          </cell>
          <cell r="B1315" t="str">
            <v xml:space="preserve">Seribu tiga ratus dua belas  </v>
          </cell>
        </row>
        <row r="1316">
          <cell r="A1316">
            <v>1313</v>
          </cell>
          <cell r="B1316" t="str">
            <v xml:space="preserve">Seribu tiga ratus tiga belas  </v>
          </cell>
        </row>
        <row r="1317">
          <cell r="A1317">
            <v>1314</v>
          </cell>
          <cell r="B1317" t="str">
            <v xml:space="preserve">Seribu tiga ratus empat belas  </v>
          </cell>
        </row>
        <row r="1318">
          <cell r="A1318">
            <v>1315</v>
          </cell>
          <cell r="B1318" t="str">
            <v xml:space="preserve">Seribu tiga ratus lima belas  </v>
          </cell>
        </row>
        <row r="1319">
          <cell r="A1319">
            <v>1316</v>
          </cell>
          <cell r="B1319" t="str">
            <v xml:space="preserve">Seribu tiga ratus enam belas  </v>
          </cell>
        </row>
        <row r="1320">
          <cell r="A1320">
            <v>1317</v>
          </cell>
          <cell r="B1320" t="str">
            <v xml:space="preserve">Seribu tiga ratus tujuh belas  </v>
          </cell>
        </row>
        <row r="1321">
          <cell r="A1321">
            <v>1318</v>
          </cell>
          <cell r="B1321" t="str">
            <v xml:space="preserve">Seribu tiga ratus delapan belas  </v>
          </cell>
        </row>
        <row r="1322">
          <cell r="A1322">
            <v>1319</v>
          </cell>
          <cell r="B1322" t="str">
            <v xml:space="preserve">Seribu tiga ratus sembilan belas  </v>
          </cell>
        </row>
        <row r="1323">
          <cell r="A1323">
            <v>1320</v>
          </cell>
          <cell r="B1323" t="str">
            <v xml:space="preserve">Seribu tiga ratus dua puluh  </v>
          </cell>
        </row>
        <row r="1324">
          <cell r="A1324">
            <v>1321</v>
          </cell>
          <cell r="B1324" t="str">
            <v xml:space="preserve">Seribu tiga ratus dua puluh satu  </v>
          </cell>
        </row>
        <row r="1325">
          <cell r="A1325">
            <v>1322</v>
          </cell>
          <cell r="B1325" t="str">
            <v xml:space="preserve">Seribu tiga ratus dua puluh dua  </v>
          </cell>
        </row>
        <row r="1326">
          <cell r="A1326">
            <v>1323</v>
          </cell>
          <cell r="B1326" t="str">
            <v xml:space="preserve">Seribu tiga ratus dua puluh tiga  </v>
          </cell>
        </row>
        <row r="1327">
          <cell r="A1327">
            <v>1324</v>
          </cell>
          <cell r="B1327" t="str">
            <v xml:space="preserve">Seribu tiga ratus dua puluh empat  </v>
          </cell>
        </row>
        <row r="1328">
          <cell r="A1328">
            <v>1325</v>
          </cell>
          <cell r="B1328" t="str">
            <v xml:space="preserve">Seribu tiga ratus dua puluh lima  </v>
          </cell>
        </row>
        <row r="1329">
          <cell r="A1329">
            <v>1326</v>
          </cell>
          <cell r="B1329" t="str">
            <v xml:space="preserve">Seribu tiga ratus dua puluh enam  </v>
          </cell>
        </row>
        <row r="1330">
          <cell r="A1330">
            <v>1327</v>
          </cell>
          <cell r="B1330" t="str">
            <v xml:space="preserve">Seribu tiga ratus dua puluh tujuh  </v>
          </cell>
        </row>
        <row r="1331">
          <cell r="A1331">
            <v>1328</v>
          </cell>
          <cell r="B1331" t="str">
            <v xml:space="preserve">Seribu tiga ratus dua puluh delapan  </v>
          </cell>
        </row>
        <row r="1332">
          <cell r="A1332">
            <v>1329</v>
          </cell>
          <cell r="B1332" t="str">
            <v xml:space="preserve">Seribu tiga ratus dua puluh sembilan  </v>
          </cell>
        </row>
        <row r="1333">
          <cell r="A1333">
            <v>1330</v>
          </cell>
          <cell r="B1333" t="str">
            <v xml:space="preserve">Seribu tiga ratus tiga puluh  </v>
          </cell>
        </row>
        <row r="1334">
          <cell r="A1334">
            <v>1331</v>
          </cell>
          <cell r="B1334" t="str">
            <v xml:space="preserve">Seribu tiga ratus tiga puluh satu  </v>
          </cell>
        </row>
        <row r="1335">
          <cell r="A1335">
            <v>1332</v>
          </cell>
          <cell r="B1335" t="str">
            <v xml:space="preserve">Seribu tiga ratus tiga puluh dua  </v>
          </cell>
        </row>
        <row r="1336">
          <cell r="A1336">
            <v>1333</v>
          </cell>
          <cell r="B1336" t="str">
            <v xml:space="preserve">Seribu tiga ratus tiga puluh tiga  </v>
          </cell>
        </row>
        <row r="1337">
          <cell r="A1337">
            <v>1334</v>
          </cell>
          <cell r="B1337" t="str">
            <v xml:space="preserve">Seribu tiga ratus tiga puluh empat  </v>
          </cell>
        </row>
        <row r="1338">
          <cell r="A1338">
            <v>1335</v>
          </cell>
          <cell r="B1338" t="str">
            <v xml:space="preserve">Seribu tiga ratus tiga puluh lima  </v>
          </cell>
        </row>
        <row r="1339">
          <cell r="A1339">
            <v>1336</v>
          </cell>
          <cell r="B1339" t="str">
            <v xml:space="preserve">Seribu tiga ratus tiga puluh enam  </v>
          </cell>
        </row>
        <row r="1340">
          <cell r="A1340">
            <v>1337</v>
          </cell>
          <cell r="B1340" t="str">
            <v xml:space="preserve">Seribu tiga ratus tiga puluh tujuh  </v>
          </cell>
        </row>
        <row r="1341">
          <cell r="A1341">
            <v>1338</v>
          </cell>
          <cell r="B1341" t="str">
            <v xml:space="preserve">Seribu tiga ratus tiga puluh delapan  </v>
          </cell>
        </row>
        <row r="1342">
          <cell r="A1342">
            <v>1339</v>
          </cell>
          <cell r="B1342" t="str">
            <v xml:space="preserve">Seribu tiga ratus tiga puluh sembilan  </v>
          </cell>
        </row>
        <row r="1343">
          <cell r="A1343">
            <v>1340</v>
          </cell>
          <cell r="B1343" t="str">
            <v xml:space="preserve">Seribu tiga ratus empat puluh  </v>
          </cell>
        </row>
        <row r="1344">
          <cell r="A1344">
            <v>1341</v>
          </cell>
          <cell r="B1344" t="str">
            <v xml:space="preserve">Seribu tiga ratus empat puluh satu  </v>
          </cell>
        </row>
        <row r="1345">
          <cell r="A1345">
            <v>1342</v>
          </cell>
          <cell r="B1345" t="str">
            <v xml:space="preserve">Seribu tiga ratus empat puluh dua  </v>
          </cell>
        </row>
        <row r="1346">
          <cell r="A1346">
            <v>1343</v>
          </cell>
          <cell r="B1346" t="str">
            <v xml:space="preserve">Seribu tiga ratus empat puluh tiga  </v>
          </cell>
        </row>
        <row r="1347">
          <cell r="A1347">
            <v>1344</v>
          </cell>
          <cell r="B1347" t="str">
            <v xml:space="preserve">Seribu tiga ratus empat puluh empat  </v>
          </cell>
        </row>
        <row r="1348">
          <cell r="A1348">
            <v>1345</v>
          </cell>
          <cell r="B1348" t="str">
            <v xml:space="preserve">Seribu tiga ratus empat puluh lima  </v>
          </cell>
        </row>
        <row r="1349">
          <cell r="A1349">
            <v>1346</v>
          </cell>
          <cell r="B1349" t="str">
            <v xml:space="preserve">Seribu tiga ratus empat puluh enam  </v>
          </cell>
        </row>
        <row r="1350">
          <cell r="A1350">
            <v>1347</v>
          </cell>
          <cell r="B1350" t="str">
            <v xml:space="preserve">Seribu tiga ratus empat puluh tujuh  </v>
          </cell>
        </row>
        <row r="1351">
          <cell r="A1351">
            <v>1348</v>
          </cell>
          <cell r="B1351" t="str">
            <v xml:space="preserve">Seribu tiga ratus empat puluh delapan  </v>
          </cell>
        </row>
        <row r="1352">
          <cell r="A1352">
            <v>1349</v>
          </cell>
          <cell r="B1352" t="str">
            <v xml:space="preserve">Seribu tiga ratus empat puluh sembilan  </v>
          </cell>
        </row>
        <row r="1353">
          <cell r="A1353">
            <v>1350</v>
          </cell>
          <cell r="B1353" t="str">
            <v xml:space="preserve">Seribu tiga ratus lima puluh  </v>
          </cell>
        </row>
        <row r="1354">
          <cell r="A1354">
            <v>1351</v>
          </cell>
          <cell r="B1354" t="str">
            <v xml:space="preserve">Seribu tiga ratus lima puluh satu  </v>
          </cell>
        </row>
        <row r="1355">
          <cell r="A1355">
            <v>1352</v>
          </cell>
          <cell r="B1355" t="str">
            <v xml:space="preserve">Seribu tiga ratus lima puluh dua  </v>
          </cell>
        </row>
        <row r="1356">
          <cell r="A1356">
            <v>1353</v>
          </cell>
          <cell r="B1356" t="str">
            <v xml:space="preserve">Seribu tiga ratus lima puluh tiga  </v>
          </cell>
        </row>
        <row r="1357">
          <cell r="A1357">
            <v>1354</v>
          </cell>
          <cell r="B1357" t="str">
            <v xml:space="preserve">Seribu tiga ratus lima puluh empat  </v>
          </cell>
        </row>
        <row r="1358">
          <cell r="A1358">
            <v>1355</v>
          </cell>
          <cell r="B1358" t="str">
            <v xml:space="preserve">Seribu tiga ratus lima puluh lima  </v>
          </cell>
        </row>
        <row r="1359">
          <cell r="A1359">
            <v>1356</v>
          </cell>
          <cell r="B1359" t="str">
            <v xml:space="preserve">Seribu tiga ratus lima puluh enam  </v>
          </cell>
        </row>
        <row r="1360">
          <cell r="A1360">
            <v>1357</v>
          </cell>
          <cell r="B1360" t="str">
            <v xml:space="preserve">Seribu tiga ratus lima puluh tujuh  </v>
          </cell>
        </row>
        <row r="1361">
          <cell r="A1361">
            <v>1358</v>
          </cell>
          <cell r="B1361" t="str">
            <v xml:space="preserve">Seribu tiga ratus lima puluh delapan  </v>
          </cell>
        </row>
        <row r="1362">
          <cell r="A1362">
            <v>1359</v>
          </cell>
          <cell r="B1362" t="str">
            <v xml:space="preserve">Seribu tiga ratus lima puluh sembilan  </v>
          </cell>
        </row>
        <row r="1363">
          <cell r="A1363">
            <v>1360</v>
          </cell>
          <cell r="B1363" t="str">
            <v xml:space="preserve">Seribu tiga ratus enam puluh  </v>
          </cell>
        </row>
        <row r="1364">
          <cell r="A1364">
            <v>1361</v>
          </cell>
          <cell r="B1364" t="str">
            <v xml:space="preserve">Seribu tiga ratus enam puluh satu  </v>
          </cell>
        </row>
        <row r="1365">
          <cell r="A1365">
            <v>1362</v>
          </cell>
          <cell r="B1365" t="str">
            <v xml:space="preserve">Seribu tiga ratus enam puluh dua  </v>
          </cell>
        </row>
        <row r="1366">
          <cell r="A1366">
            <v>1363</v>
          </cell>
          <cell r="B1366" t="str">
            <v xml:space="preserve">Seribu tiga ratus enam puluh tiga  </v>
          </cell>
        </row>
        <row r="1367">
          <cell r="A1367">
            <v>1364</v>
          </cell>
          <cell r="B1367" t="str">
            <v xml:space="preserve">Seribu tiga ratus enam puluh empat  </v>
          </cell>
        </row>
        <row r="1368">
          <cell r="A1368">
            <v>1365</v>
          </cell>
          <cell r="B1368" t="str">
            <v xml:space="preserve">Seribu tiga ratus enam puluh lima  </v>
          </cell>
        </row>
        <row r="1369">
          <cell r="A1369">
            <v>1366</v>
          </cell>
          <cell r="B1369" t="str">
            <v xml:space="preserve">Seribu tiga ratus enam puluh enam  </v>
          </cell>
        </row>
        <row r="1370">
          <cell r="A1370">
            <v>1367</v>
          </cell>
          <cell r="B1370" t="str">
            <v xml:space="preserve">Seribu tiga ratus enam puluh tujuh  </v>
          </cell>
        </row>
        <row r="1371">
          <cell r="A1371">
            <v>1368</v>
          </cell>
          <cell r="B1371" t="str">
            <v xml:space="preserve">Seribu tiga ratus enam puluh delapan  </v>
          </cell>
        </row>
        <row r="1372">
          <cell r="A1372">
            <v>1369</v>
          </cell>
          <cell r="B1372" t="str">
            <v xml:space="preserve">Seribu tiga ratus enam puluh sembilan  </v>
          </cell>
        </row>
        <row r="1373">
          <cell r="A1373">
            <v>1370</v>
          </cell>
          <cell r="B1373" t="str">
            <v xml:space="preserve">Seribu tiga ratus tujuh puluh  </v>
          </cell>
        </row>
        <row r="1374">
          <cell r="A1374">
            <v>1371</v>
          </cell>
          <cell r="B1374" t="str">
            <v xml:space="preserve">Seribu tiga ratus tujuh puluh satu  </v>
          </cell>
        </row>
        <row r="1375">
          <cell r="A1375">
            <v>1372</v>
          </cell>
          <cell r="B1375" t="str">
            <v xml:space="preserve">Seribu tiga ratus tujuh puluh dua  </v>
          </cell>
        </row>
        <row r="1376">
          <cell r="A1376">
            <v>1373</v>
          </cell>
          <cell r="B1376" t="str">
            <v xml:space="preserve">Seribu tiga ratus tujuh puluh tiga  </v>
          </cell>
        </row>
        <row r="1377">
          <cell r="A1377">
            <v>1374</v>
          </cell>
          <cell r="B1377" t="str">
            <v xml:space="preserve">Seribu tiga ratus tujuh puluh empat  </v>
          </cell>
        </row>
        <row r="1378">
          <cell r="A1378">
            <v>1375</v>
          </cell>
          <cell r="B1378" t="str">
            <v xml:space="preserve">Seribu tiga ratus tujuh puluh lima  </v>
          </cell>
        </row>
        <row r="1379">
          <cell r="A1379">
            <v>1376</v>
          </cell>
          <cell r="B1379" t="str">
            <v xml:space="preserve">Seribu tiga ratus tujuh puluh enam  </v>
          </cell>
        </row>
        <row r="1380">
          <cell r="A1380">
            <v>1377</v>
          </cell>
          <cell r="B1380" t="str">
            <v xml:space="preserve">Seribu tiga ratus tujuh puluh tujuh  </v>
          </cell>
        </row>
        <row r="1381">
          <cell r="A1381">
            <v>1378</v>
          </cell>
          <cell r="B1381" t="str">
            <v xml:space="preserve">Seribu tiga ratus tujuh puluh delapan  </v>
          </cell>
        </row>
        <row r="1382">
          <cell r="A1382">
            <v>1379</v>
          </cell>
          <cell r="B1382" t="str">
            <v xml:space="preserve">Seribu tiga ratus tujuh puluh sembilan  </v>
          </cell>
        </row>
        <row r="1383">
          <cell r="A1383">
            <v>1380</v>
          </cell>
          <cell r="B1383" t="str">
            <v xml:space="preserve">Seribu tiga ratus delapan puluh  </v>
          </cell>
        </row>
        <row r="1384">
          <cell r="A1384">
            <v>1381</v>
          </cell>
          <cell r="B1384" t="str">
            <v xml:space="preserve">Seribu tiga ratus delapan puluh satu  </v>
          </cell>
        </row>
        <row r="1385">
          <cell r="A1385">
            <v>1382</v>
          </cell>
          <cell r="B1385" t="str">
            <v xml:space="preserve">Seribu tiga ratus delapan puluh dua  </v>
          </cell>
        </row>
        <row r="1386">
          <cell r="A1386">
            <v>1383</v>
          </cell>
          <cell r="B1386" t="str">
            <v xml:space="preserve">Seribu tiga ratus delapan puluh tiga  </v>
          </cell>
        </row>
        <row r="1387">
          <cell r="A1387">
            <v>1384</v>
          </cell>
          <cell r="B1387" t="str">
            <v xml:space="preserve">Seribu tiga ratus delapan puluh empat  </v>
          </cell>
        </row>
        <row r="1388">
          <cell r="A1388">
            <v>1385</v>
          </cell>
          <cell r="B1388" t="str">
            <v xml:space="preserve">Seribu tiga ratus delapan puluh lima  </v>
          </cell>
        </row>
        <row r="1389">
          <cell r="A1389">
            <v>1386</v>
          </cell>
          <cell r="B1389" t="str">
            <v xml:space="preserve">Seribu tiga ratus delapan puluh enam  </v>
          </cell>
        </row>
        <row r="1390">
          <cell r="A1390">
            <v>1387</v>
          </cell>
          <cell r="B1390" t="str">
            <v xml:space="preserve">Seribu tiga ratus delapan puluh tujuh  </v>
          </cell>
        </row>
        <row r="1391">
          <cell r="A1391">
            <v>1388</v>
          </cell>
          <cell r="B1391" t="str">
            <v xml:space="preserve">Seribu tiga ratus delapan puluh delapan  </v>
          </cell>
        </row>
        <row r="1392">
          <cell r="A1392">
            <v>1389</v>
          </cell>
          <cell r="B1392" t="str">
            <v xml:space="preserve">Seribu tiga ratus delapan puluh sembilan  </v>
          </cell>
        </row>
        <row r="1393">
          <cell r="A1393">
            <v>1390</v>
          </cell>
          <cell r="B1393" t="str">
            <v xml:space="preserve">Seribu tiga ratus sembilan puluh  </v>
          </cell>
        </row>
        <row r="1394">
          <cell r="A1394">
            <v>1391</v>
          </cell>
          <cell r="B1394" t="str">
            <v xml:space="preserve">Seribu tiga ratus sembilan puluh satu  </v>
          </cell>
        </row>
        <row r="1395">
          <cell r="A1395">
            <v>1392</v>
          </cell>
          <cell r="B1395" t="str">
            <v xml:space="preserve">Seribu tiga ratus sembilan puluh dua  </v>
          </cell>
        </row>
        <row r="1396">
          <cell r="A1396">
            <v>1393</v>
          </cell>
          <cell r="B1396" t="str">
            <v xml:space="preserve">Seribu tiga ratus sembilan puluh tiga  </v>
          </cell>
        </row>
        <row r="1397">
          <cell r="A1397">
            <v>1394</v>
          </cell>
          <cell r="B1397" t="str">
            <v xml:space="preserve">Seribu tiga ratus sembilan puluh empat  </v>
          </cell>
        </row>
        <row r="1398">
          <cell r="A1398">
            <v>1395</v>
          </cell>
          <cell r="B1398" t="str">
            <v xml:space="preserve">Seribu tiga ratus sembilan puluh lima  </v>
          </cell>
        </row>
        <row r="1399">
          <cell r="A1399">
            <v>1396</v>
          </cell>
          <cell r="B1399" t="str">
            <v xml:space="preserve">Seribu tiga ratus sembilan puluh enam  </v>
          </cell>
        </row>
        <row r="1400">
          <cell r="A1400">
            <v>1397</v>
          </cell>
          <cell r="B1400" t="str">
            <v xml:space="preserve">Seribu tiga ratus sembilan puluh tujuh  </v>
          </cell>
        </row>
        <row r="1401">
          <cell r="A1401">
            <v>1398</v>
          </cell>
          <cell r="B1401" t="str">
            <v xml:space="preserve">Seribu tiga ratus sembilan puluh delapan  </v>
          </cell>
        </row>
        <row r="1402">
          <cell r="A1402">
            <v>1399</v>
          </cell>
          <cell r="B1402" t="str">
            <v xml:space="preserve">Seribu tiga ratus sembilan puluh sembilan  </v>
          </cell>
        </row>
        <row r="1403">
          <cell r="A1403">
            <v>1400</v>
          </cell>
          <cell r="B1403" t="str">
            <v xml:space="preserve">Seribu empat ratus  </v>
          </cell>
        </row>
        <row r="1404">
          <cell r="A1404">
            <v>1401</v>
          </cell>
          <cell r="B1404" t="str">
            <v xml:space="preserve">Seribu empat ratus satu  </v>
          </cell>
        </row>
        <row r="1405">
          <cell r="A1405">
            <v>1402</v>
          </cell>
          <cell r="B1405" t="str">
            <v xml:space="preserve">Seribu empat ratus dua  </v>
          </cell>
        </row>
        <row r="1406">
          <cell r="A1406">
            <v>1403</v>
          </cell>
          <cell r="B1406" t="str">
            <v xml:space="preserve">Seribu empat ratus tiga  </v>
          </cell>
        </row>
        <row r="1407">
          <cell r="A1407">
            <v>1404</v>
          </cell>
          <cell r="B1407" t="str">
            <v xml:space="preserve">Seribu empat ratus empat  </v>
          </cell>
        </row>
        <row r="1408">
          <cell r="A1408">
            <v>1405</v>
          </cell>
          <cell r="B1408" t="str">
            <v xml:space="preserve">Seribu empat ratus lima  </v>
          </cell>
        </row>
        <row r="1409">
          <cell r="A1409">
            <v>1406</v>
          </cell>
          <cell r="B1409" t="str">
            <v xml:space="preserve">Seribu empat ratus enam  </v>
          </cell>
        </row>
        <row r="1410">
          <cell r="A1410">
            <v>1407</v>
          </cell>
          <cell r="B1410" t="str">
            <v xml:space="preserve">Seribu empat ratus tujuh  </v>
          </cell>
        </row>
        <row r="1411">
          <cell r="A1411">
            <v>1408</v>
          </cell>
          <cell r="B1411" t="str">
            <v xml:space="preserve">Seribu empat ratus delapan  </v>
          </cell>
        </row>
        <row r="1412">
          <cell r="A1412">
            <v>1409</v>
          </cell>
          <cell r="B1412" t="str">
            <v xml:space="preserve">Seribu empat ratus sembilan  </v>
          </cell>
        </row>
        <row r="1413">
          <cell r="A1413">
            <v>1410</v>
          </cell>
          <cell r="B1413" t="str">
            <v xml:space="preserve">Seribu empat ratus sepuluh  </v>
          </cell>
        </row>
        <row r="1414">
          <cell r="A1414">
            <v>1411</v>
          </cell>
          <cell r="B1414" t="str">
            <v xml:space="preserve">Seribu empat ratus sebelas  </v>
          </cell>
        </row>
        <row r="1415">
          <cell r="A1415">
            <v>1412</v>
          </cell>
          <cell r="B1415" t="str">
            <v xml:space="preserve">Seribu empat ratus dua belas  </v>
          </cell>
        </row>
        <row r="1416">
          <cell r="A1416">
            <v>1413</v>
          </cell>
          <cell r="B1416" t="str">
            <v xml:space="preserve">Seribu empat ratus tiga belas  </v>
          </cell>
        </row>
        <row r="1417">
          <cell r="A1417">
            <v>1414</v>
          </cell>
          <cell r="B1417" t="str">
            <v xml:space="preserve">Seribu empat ratus empat belas  </v>
          </cell>
        </row>
        <row r="1418">
          <cell r="A1418">
            <v>1415</v>
          </cell>
          <cell r="B1418" t="str">
            <v xml:space="preserve">Seribu empat ratus lima belas  </v>
          </cell>
        </row>
        <row r="1419">
          <cell r="A1419">
            <v>1416</v>
          </cell>
          <cell r="B1419" t="str">
            <v xml:space="preserve">Seribu empat ratus enam belas  </v>
          </cell>
        </row>
        <row r="1420">
          <cell r="A1420">
            <v>1417</v>
          </cell>
          <cell r="B1420" t="str">
            <v xml:space="preserve">Seribu empat ratus tujuh belas  </v>
          </cell>
        </row>
        <row r="1421">
          <cell r="A1421">
            <v>1418</v>
          </cell>
          <cell r="B1421" t="str">
            <v xml:space="preserve">Seribu empat ratus delapan belas  </v>
          </cell>
        </row>
        <row r="1422">
          <cell r="A1422">
            <v>1419</v>
          </cell>
          <cell r="B1422" t="str">
            <v xml:space="preserve">Seribu empat ratus sembilan belas  </v>
          </cell>
        </row>
        <row r="1423">
          <cell r="A1423">
            <v>1420</v>
          </cell>
          <cell r="B1423" t="str">
            <v xml:space="preserve">Seribu empat ratus dua puluh  </v>
          </cell>
        </row>
        <row r="1424">
          <cell r="A1424">
            <v>1421</v>
          </cell>
          <cell r="B1424" t="str">
            <v xml:space="preserve">Seribu empat ratus dua puluh satu  </v>
          </cell>
        </row>
        <row r="1425">
          <cell r="A1425">
            <v>1422</v>
          </cell>
          <cell r="B1425" t="str">
            <v xml:space="preserve">Seribu empat ratus dua puluh dua  </v>
          </cell>
        </row>
        <row r="1426">
          <cell r="A1426">
            <v>1423</v>
          </cell>
          <cell r="B1426" t="str">
            <v xml:space="preserve">Seribu empat ratus dua puluh tiga  </v>
          </cell>
        </row>
        <row r="1427">
          <cell r="A1427">
            <v>1424</v>
          </cell>
          <cell r="B1427" t="str">
            <v xml:space="preserve">Seribu empat ratus dua puluh empat  </v>
          </cell>
        </row>
        <row r="1428">
          <cell r="A1428">
            <v>1425</v>
          </cell>
          <cell r="B1428" t="str">
            <v xml:space="preserve">Seribu empat ratus dua puluh lima  </v>
          </cell>
        </row>
        <row r="1429">
          <cell r="A1429">
            <v>1426</v>
          </cell>
          <cell r="B1429" t="str">
            <v xml:space="preserve">Seribu empat ratus dua puluh enam  </v>
          </cell>
        </row>
        <row r="1430">
          <cell r="A1430">
            <v>1427</v>
          </cell>
          <cell r="B1430" t="str">
            <v xml:space="preserve">Seribu empat ratus dua puluh tujuh  </v>
          </cell>
        </row>
        <row r="1431">
          <cell r="A1431">
            <v>1428</v>
          </cell>
          <cell r="B1431" t="str">
            <v xml:space="preserve">Seribu empat ratus dua puluh delapan  </v>
          </cell>
        </row>
        <row r="1432">
          <cell r="A1432">
            <v>1429</v>
          </cell>
          <cell r="B1432" t="str">
            <v xml:space="preserve">Seribu empat ratus dua puluh sembilan  </v>
          </cell>
        </row>
        <row r="1433">
          <cell r="A1433">
            <v>1430</v>
          </cell>
          <cell r="B1433" t="str">
            <v xml:space="preserve">Seribu empat ratus tiga puluh  </v>
          </cell>
        </row>
        <row r="1434">
          <cell r="A1434">
            <v>1431</v>
          </cell>
          <cell r="B1434" t="str">
            <v xml:space="preserve">Seribu empat ratus tiga puluh satu  </v>
          </cell>
        </row>
        <row r="1435">
          <cell r="A1435">
            <v>1432</v>
          </cell>
          <cell r="B1435" t="str">
            <v xml:space="preserve">Seribu empat ratus tiga puluh dua  </v>
          </cell>
        </row>
        <row r="1436">
          <cell r="A1436">
            <v>1433</v>
          </cell>
          <cell r="B1436" t="str">
            <v xml:space="preserve">Seribu empat ratus tiga puluh tiga  </v>
          </cell>
        </row>
        <row r="1437">
          <cell r="A1437">
            <v>1434</v>
          </cell>
          <cell r="B1437" t="str">
            <v xml:space="preserve">Seribu empat ratus tiga puluh empat  </v>
          </cell>
        </row>
        <row r="1438">
          <cell r="A1438">
            <v>1435</v>
          </cell>
          <cell r="B1438" t="str">
            <v xml:space="preserve">Seribu empat ratus tiga puluh lima  </v>
          </cell>
        </row>
        <row r="1439">
          <cell r="A1439">
            <v>1436</v>
          </cell>
          <cell r="B1439" t="str">
            <v xml:space="preserve">Seribu empat ratus tiga puluh enam  </v>
          </cell>
        </row>
        <row r="1440">
          <cell r="A1440">
            <v>1437</v>
          </cell>
          <cell r="B1440" t="str">
            <v xml:space="preserve">Seribu empat ratus tiga puluh tujuh  </v>
          </cell>
        </row>
        <row r="1441">
          <cell r="A1441">
            <v>1438</v>
          </cell>
          <cell r="B1441" t="str">
            <v xml:space="preserve">Seribu empat ratus tiga puluh delapan  </v>
          </cell>
        </row>
        <row r="1442">
          <cell r="A1442">
            <v>1439</v>
          </cell>
          <cell r="B1442" t="str">
            <v xml:space="preserve">Seribu empat ratus tiga puluh sembilan  </v>
          </cell>
        </row>
        <row r="1443">
          <cell r="A1443">
            <v>1440</v>
          </cell>
          <cell r="B1443" t="str">
            <v xml:space="preserve">Seribu empat ratus empat puluh  </v>
          </cell>
        </row>
        <row r="1444">
          <cell r="A1444">
            <v>1441</v>
          </cell>
          <cell r="B1444" t="str">
            <v xml:space="preserve">Seribu empat ratus empat puluh satu  </v>
          </cell>
        </row>
        <row r="1445">
          <cell r="A1445">
            <v>1442</v>
          </cell>
          <cell r="B1445" t="str">
            <v xml:space="preserve">Seribu empat ratus empat puluh dua  </v>
          </cell>
        </row>
        <row r="1446">
          <cell r="A1446">
            <v>1443</v>
          </cell>
          <cell r="B1446" t="str">
            <v xml:space="preserve">Seribu empat ratus empat puluh tiga  </v>
          </cell>
        </row>
        <row r="1447">
          <cell r="A1447">
            <v>1444</v>
          </cell>
          <cell r="B1447" t="str">
            <v xml:space="preserve">Seribu empat ratus empat puluh empat  </v>
          </cell>
        </row>
        <row r="1448">
          <cell r="A1448">
            <v>1445</v>
          </cell>
          <cell r="B1448" t="str">
            <v xml:space="preserve">Seribu empat ratus empat puluh lima  </v>
          </cell>
        </row>
        <row r="1449">
          <cell r="A1449">
            <v>1446</v>
          </cell>
          <cell r="B1449" t="str">
            <v xml:space="preserve">Seribu empat ratus empat puluh enam  </v>
          </cell>
        </row>
        <row r="1450">
          <cell r="A1450">
            <v>1447</v>
          </cell>
          <cell r="B1450" t="str">
            <v xml:space="preserve">Seribu empat ratus empat puluh tujuh  </v>
          </cell>
        </row>
        <row r="1451">
          <cell r="A1451">
            <v>1448</v>
          </cell>
          <cell r="B1451" t="str">
            <v xml:space="preserve">Seribu empat ratus empat puluh delapan  </v>
          </cell>
        </row>
        <row r="1452">
          <cell r="A1452">
            <v>1449</v>
          </cell>
          <cell r="B1452" t="str">
            <v xml:space="preserve">Seribu empat ratus empat puluh sembilan  </v>
          </cell>
        </row>
        <row r="1453">
          <cell r="A1453">
            <v>1450</v>
          </cell>
          <cell r="B1453" t="str">
            <v xml:space="preserve">Seribu empat ratus lima puluh  </v>
          </cell>
        </row>
        <row r="1454">
          <cell r="A1454">
            <v>1451</v>
          </cell>
          <cell r="B1454" t="str">
            <v xml:space="preserve">Seribu empat ratus lima puluh satu  </v>
          </cell>
        </row>
        <row r="1455">
          <cell r="A1455">
            <v>1452</v>
          </cell>
          <cell r="B1455" t="str">
            <v xml:space="preserve">Seribu empat ratus lima puluh dua  </v>
          </cell>
        </row>
        <row r="1456">
          <cell r="A1456">
            <v>1453</v>
          </cell>
          <cell r="B1456" t="str">
            <v xml:space="preserve">Seribu empat ratus lima puluh tiga  </v>
          </cell>
        </row>
        <row r="1457">
          <cell r="A1457">
            <v>1454</v>
          </cell>
          <cell r="B1457" t="str">
            <v xml:space="preserve">Seribu empat ratus lima puluh empat  </v>
          </cell>
        </row>
        <row r="1458">
          <cell r="A1458">
            <v>1455</v>
          </cell>
          <cell r="B1458" t="str">
            <v xml:space="preserve">Seribu empat ratus lima puluh lima  </v>
          </cell>
        </row>
        <row r="1459">
          <cell r="A1459">
            <v>1456</v>
          </cell>
          <cell r="B1459" t="str">
            <v xml:space="preserve">Seribu empat ratus lima puluh enam  </v>
          </cell>
        </row>
        <row r="1460">
          <cell r="A1460">
            <v>1457</v>
          </cell>
          <cell r="B1460" t="str">
            <v xml:space="preserve">Seribu empat ratus lima puluh tujuh  </v>
          </cell>
        </row>
        <row r="1461">
          <cell r="A1461">
            <v>1458</v>
          </cell>
          <cell r="B1461" t="str">
            <v xml:space="preserve">Seribu empat ratus lima puluh delapan  </v>
          </cell>
        </row>
        <row r="1462">
          <cell r="A1462">
            <v>1459</v>
          </cell>
          <cell r="B1462" t="str">
            <v xml:space="preserve">Seribu empat ratus lima puluh sembilan  </v>
          </cell>
        </row>
        <row r="1463">
          <cell r="A1463">
            <v>1460</v>
          </cell>
          <cell r="B1463" t="str">
            <v xml:space="preserve">Seribu empat ratus enam puluh  </v>
          </cell>
        </row>
        <row r="1464">
          <cell r="A1464">
            <v>1461</v>
          </cell>
          <cell r="B1464" t="str">
            <v xml:space="preserve">Seribu empat ratus enam puluh satu  </v>
          </cell>
        </row>
        <row r="1465">
          <cell r="A1465">
            <v>1462</v>
          </cell>
          <cell r="B1465" t="str">
            <v xml:space="preserve">Seribu empat ratus enam puluh dua  </v>
          </cell>
        </row>
        <row r="1466">
          <cell r="A1466">
            <v>1463</v>
          </cell>
          <cell r="B1466" t="str">
            <v xml:space="preserve">Seribu empat ratus enam puluh tiga  </v>
          </cell>
        </row>
        <row r="1467">
          <cell r="A1467">
            <v>1464</v>
          </cell>
          <cell r="B1467" t="str">
            <v xml:space="preserve">Seribu empat ratus enam puluh empat  </v>
          </cell>
        </row>
        <row r="1468">
          <cell r="A1468">
            <v>1465</v>
          </cell>
          <cell r="B1468" t="str">
            <v xml:space="preserve">Seribu empat ratus enam puluh lima  </v>
          </cell>
        </row>
        <row r="1469">
          <cell r="A1469">
            <v>1466</v>
          </cell>
          <cell r="B1469" t="str">
            <v xml:space="preserve">Seribu empat ratus enam puluh enam  </v>
          </cell>
        </row>
        <row r="1470">
          <cell r="A1470">
            <v>1467</v>
          </cell>
          <cell r="B1470" t="str">
            <v xml:space="preserve">Seribu empat ratus enam puluh tujuh  </v>
          </cell>
        </row>
        <row r="1471">
          <cell r="A1471">
            <v>1468</v>
          </cell>
          <cell r="B1471" t="str">
            <v xml:space="preserve">Seribu empat ratus enam puluh delapan  </v>
          </cell>
        </row>
        <row r="1472">
          <cell r="A1472">
            <v>1469</v>
          </cell>
          <cell r="B1472" t="str">
            <v xml:space="preserve">Seribu empat ratus enam puluh sembilan  </v>
          </cell>
        </row>
        <row r="1473">
          <cell r="A1473">
            <v>1470</v>
          </cell>
          <cell r="B1473" t="str">
            <v xml:space="preserve">Seribu empat ratus tujuh puluh  </v>
          </cell>
        </row>
        <row r="1474">
          <cell r="A1474">
            <v>1471</v>
          </cell>
          <cell r="B1474" t="str">
            <v xml:space="preserve">Seribu empat ratus tujuh puluh satu  </v>
          </cell>
        </row>
        <row r="1475">
          <cell r="A1475">
            <v>1472</v>
          </cell>
          <cell r="B1475" t="str">
            <v xml:space="preserve">Seribu empat ratus tujuh puluh dua  </v>
          </cell>
        </row>
        <row r="1476">
          <cell r="A1476">
            <v>1473</v>
          </cell>
          <cell r="B1476" t="str">
            <v xml:space="preserve">Seribu empat ratus tujuh puluh tiga  </v>
          </cell>
        </row>
        <row r="1477">
          <cell r="A1477">
            <v>1474</v>
          </cell>
          <cell r="B1477" t="str">
            <v xml:space="preserve">Seribu empat ratus tujuh puluh empat  </v>
          </cell>
        </row>
        <row r="1478">
          <cell r="A1478">
            <v>1475</v>
          </cell>
          <cell r="B1478" t="str">
            <v xml:space="preserve">Seribu empat ratus tujuh puluh lima  </v>
          </cell>
        </row>
        <row r="1479">
          <cell r="A1479">
            <v>1476</v>
          </cell>
          <cell r="B1479" t="str">
            <v xml:space="preserve">Seribu empat ratus tujuh puluh enam  </v>
          </cell>
        </row>
        <row r="1480">
          <cell r="A1480">
            <v>1477</v>
          </cell>
          <cell r="B1480" t="str">
            <v xml:space="preserve">Seribu empat ratus tujuh puluh tujuh  </v>
          </cell>
        </row>
        <row r="1481">
          <cell r="A1481">
            <v>1478</v>
          </cell>
          <cell r="B1481" t="str">
            <v xml:space="preserve">Seribu empat ratus tujuh puluh delapan  </v>
          </cell>
        </row>
        <row r="1482">
          <cell r="A1482">
            <v>1479</v>
          </cell>
          <cell r="B1482" t="str">
            <v xml:space="preserve">Seribu empat ratus tujuh puluh sembilan  </v>
          </cell>
        </row>
        <row r="1483">
          <cell r="A1483">
            <v>1480</v>
          </cell>
          <cell r="B1483" t="str">
            <v xml:space="preserve">Seribu empat ratus delapan puluh  </v>
          </cell>
        </row>
        <row r="1484">
          <cell r="A1484">
            <v>1481</v>
          </cell>
          <cell r="B1484" t="str">
            <v xml:space="preserve">Seribu empat ratus delapan puluh satu  </v>
          </cell>
        </row>
        <row r="1485">
          <cell r="A1485">
            <v>1482</v>
          </cell>
          <cell r="B1485" t="str">
            <v xml:space="preserve">Seribu empat ratus delapan puluh dua  </v>
          </cell>
        </row>
        <row r="1486">
          <cell r="A1486">
            <v>1483</v>
          </cell>
          <cell r="B1486" t="str">
            <v xml:space="preserve">Seribu empat ratus delapan puluh tiga  </v>
          </cell>
        </row>
        <row r="1487">
          <cell r="A1487">
            <v>1484</v>
          </cell>
          <cell r="B1487" t="str">
            <v xml:space="preserve">Seribu empat ratus delapan puluh empat  </v>
          </cell>
        </row>
        <row r="1488">
          <cell r="A1488">
            <v>1485</v>
          </cell>
          <cell r="B1488" t="str">
            <v xml:space="preserve">Seribu empat ratus delapan puluh lima  </v>
          </cell>
        </row>
        <row r="1489">
          <cell r="A1489">
            <v>1486</v>
          </cell>
          <cell r="B1489" t="str">
            <v xml:space="preserve">Seribu empat ratus delapan puluh enam  </v>
          </cell>
        </row>
        <row r="1490">
          <cell r="A1490">
            <v>1487</v>
          </cell>
          <cell r="B1490" t="str">
            <v xml:space="preserve">Seribu empat ratus delapan puluh tujuh  </v>
          </cell>
        </row>
        <row r="1491">
          <cell r="A1491">
            <v>1488</v>
          </cell>
          <cell r="B1491" t="str">
            <v xml:space="preserve">Seribu empat ratus delapan puluh delapan  </v>
          </cell>
        </row>
        <row r="1492">
          <cell r="A1492">
            <v>1489</v>
          </cell>
          <cell r="B1492" t="str">
            <v xml:space="preserve">Seribu empat ratus delapan puluh sembilan  </v>
          </cell>
        </row>
        <row r="1493">
          <cell r="A1493">
            <v>1490</v>
          </cell>
          <cell r="B1493" t="str">
            <v xml:space="preserve">Seribu empat ratus sembilan puluh  </v>
          </cell>
        </row>
        <row r="1494">
          <cell r="A1494">
            <v>1491</v>
          </cell>
          <cell r="B1494" t="str">
            <v xml:space="preserve">Seribu empat ratus sembilan puluh satu  </v>
          </cell>
        </row>
        <row r="1495">
          <cell r="A1495">
            <v>1492</v>
          </cell>
          <cell r="B1495" t="str">
            <v xml:space="preserve">Seribu empat ratus sembilan puluh dua  </v>
          </cell>
        </row>
        <row r="1496">
          <cell r="A1496">
            <v>1493</v>
          </cell>
          <cell r="B1496" t="str">
            <v xml:space="preserve">Seribu empat ratus sembilan puluh tiga  </v>
          </cell>
        </row>
        <row r="1497">
          <cell r="A1497">
            <v>1494</v>
          </cell>
          <cell r="B1497" t="str">
            <v xml:space="preserve">Seribu empat ratus sembilan puluh empat  </v>
          </cell>
        </row>
        <row r="1498">
          <cell r="A1498">
            <v>1495</v>
          </cell>
          <cell r="B1498" t="str">
            <v xml:space="preserve">Seribu empat ratus sembilan puluh lima  </v>
          </cell>
        </row>
        <row r="1499">
          <cell r="A1499">
            <v>1496</v>
          </cell>
          <cell r="B1499" t="str">
            <v xml:space="preserve">Seribu empat ratus sembilan puluh enam  </v>
          </cell>
        </row>
        <row r="1500">
          <cell r="A1500">
            <v>1497</v>
          </cell>
          <cell r="B1500" t="str">
            <v xml:space="preserve">Seribu empat ratus sembilan puluh tujuh  </v>
          </cell>
        </row>
        <row r="1501">
          <cell r="A1501">
            <v>1498</v>
          </cell>
          <cell r="B1501" t="str">
            <v xml:space="preserve">Seribu empat ratus sembilan puluh delapan  </v>
          </cell>
        </row>
        <row r="1502">
          <cell r="A1502">
            <v>1499</v>
          </cell>
          <cell r="B1502" t="str">
            <v xml:space="preserve">Seribu empat ratus sembilan puluh sembilan  </v>
          </cell>
        </row>
        <row r="1503">
          <cell r="A1503">
            <v>1500</v>
          </cell>
          <cell r="B1503" t="str">
            <v xml:space="preserve">Seribu lima ratus  </v>
          </cell>
        </row>
        <row r="1504">
          <cell r="A1504">
            <v>1501</v>
          </cell>
          <cell r="B1504" t="str">
            <v xml:space="preserve">Seribu lima ratus satu  </v>
          </cell>
        </row>
        <row r="1505">
          <cell r="A1505">
            <v>1502</v>
          </cell>
          <cell r="B1505" t="str">
            <v xml:space="preserve">Seribu lima ratus dua  </v>
          </cell>
        </row>
        <row r="1506">
          <cell r="A1506">
            <v>1503</v>
          </cell>
          <cell r="B1506" t="str">
            <v xml:space="preserve">Seribu lima ratus tiga  </v>
          </cell>
        </row>
        <row r="1507">
          <cell r="A1507">
            <v>1504</v>
          </cell>
          <cell r="B1507" t="str">
            <v xml:space="preserve">Seribu lima ratus empat  </v>
          </cell>
        </row>
        <row r="1508">
          <cell r="A1508">
            <v>1505</v>
          </cell>
          <cell r="B1508" t="str">
            <v xml:space="preserve">Seribu lima ratus lima  </v>
          </cell>
        </row>
        <row r="1509">
          <cell r="A1509">
            <v>1506</v>
          </cell>
          <cell r="B1509" t="str">
            <v xml:space="preserve">Seribu lima ratus enam  </v>
          </cell>
        </row>
        <row r="1510">
          <cell r="A1510">
            <v>1507</v>
          </cell>
          <cell r="B1510" t="str">
            <v xml:space="preserve">Seribu lima ratus tujuh  </v>
          </cell>
        </row>
        <row r="1511">
          <cell r="A1511">
            <v>1508</v>
          </cell>
          <cell r="B1511" t="str">
            <v xml:space="preserve">Seribu lima ratus delapan  </v>
          </cell>
        </row>
        <row r="1512">
          <cell r="A1512">
            <v>1509</v>
          </cell>
          <cell r="B1512" t="str">
            <v xml:space="preserve">Seribu lima ratus sembilan  </v>
          </cell>
        </row>
        <row r="1513">
          <cell r="A1513">
            <v>1510</v>
          </cell>
          <cell r="B1513" t="str">
            <v xml:space="preserve">Seribu lima ratus sepuluh  </v>
          </cell>
        </row>
        <row r="1514">
          <cell r="A1514">
            <v>1511</v>
          </cell>
          <cell r="B1514" t="str">
            <v xml:space="preserve">Seribu lima ratus sebelas  </v>
          </cell>
        </row>
        <row r="1515">
          <cell r="A1515">
            <v>1512</v>
          </cell>
          <cell r="B1515" t="str">
            <v xml:space="preserve">Seribu lima ratus dua belas  </v>
          </cell>
        </row>
        <row r="1516">
          <cell r="A1516">
            <v>1513</v>
          </cell>
          <cell r="B1516" t="str">
            <v xml:space="preserve">Seribu lima ratus tiga belas  </v>
          </cell>
        </row>
        <row r="1517">
          <cell r="A1517">
            <v>1514</v>
          </cell>
          <cell r="B1517" t="str">
            <v xml:space="preserve">Seribu lima ratus empat belas  </v>
          </cell>
        </row>
        <row r="1518">
          <cell r="A1518">
            <v>1515</v>
          </cell>
          <cell r="B1518" t="str">
            <v xml:space="preserve">Seribu lima ratus lima belas  </v>
          </cell>
        </row>
        <row r="1519">
          <cell r="A1519">
            <v>1516</v>
          </cell>
          <cell r="B1519" t="str">
            <v xml:space="preserve">Seribu lima ratus enam belas  </v>
          </cell>
        </row>
        <row r="1520">
          <cell r="A1520">
            <v>1517</v>
          </cell>
          <cell r="B1520" t="str">
            <v xml:space="preserve">Seribu lima ratus tujuh belas  </v>
          </cell>
        </row>
        <row r="1521">
          <cell r="A1521">
            <v>1518</v>
          </cell>
          <cell r="B1521" t="str">
            <v xml:space="preserve">Seribu lima ratus delapan belas  </v>
          </cell>
        </row>
        <row r="1522">
          <cell r="A1522">
            <v>1519</v>
          </cell>
          <cell r="B1522" t="str">
            <v xml:space="preserve">Seribu lima ratus sembilan belas  </v>
          </cell>
        </row>
        <row r="1523">
          <cell r="A1523">
            <v>1520</v>
          </cell>
          <cell r="B1523" t="str">
            <v xml:space="preserve">Seribu lima ratus dua puluh  </v>
          </cell>
        </row>
        <row r="1524">
          <cell r="A1524">
            <v>1521</v>
          </cell>
          <cell r="B1524" t="str">
            <v xml:space="preserve">Seribu lima ratus dua puluh satu  </v>
          </cell>
        </row>
        <row r="1525">
          <cell r="A1525">
            <v>1522</v>
          </cell>
          <cell r="B1525" t="str">
            <v xml:space="preserve">Seribu lima ratus dua puluh dua  </v>
          </cell>
        </row>
        <row r="1526">
          <cell r="A1526">
            <v>1523</v>
          </cell>
          <cell r="B1526" t="str">
            <v xml:space="preserve">Seribu lima ratus dua puluh tiga  </v>
          </cell>
        </row>
        <row r="1527">
          <cell r="A1527">
            <v>1524</v>
          </cell>
          <cell r="B1527" t="str">
            <v xml:space="preserve">Seribu lima ratus dua puluh empat  </v>
          </cell>
        </row>
        <row r="1528">
          <cell r="A1528">
            <v>1525</v>
          </cell>
          <cell r="B1528" t="str">
            <v xml:space="preserve">Seribu lima ratus dua puluh lima  </v>
          </cell>
        </row>
        <row r="1529">
          <cell r="A1529">
            <v>1526</v>
          </cell>
          <cell r="B1529" t="str">
            <v xml:space="preserve">Seribu lima ratus dua puluh enam  </v>
          </cell>
        </row>
        <row r="1530">
          <cell r="A1530">
            <v>1527</v>
          </cell>
          <cell r="B1530" t="str">
            <v xml:space="preserve">Seribu lima ratus dua puluh tujuh  </v>
          </cell>
        </row>
        <row r="1531">
          <cell r="A1531">
            <v>1528</v>
          </cell>
          <cell r="B1531" t="str">
            <v xml:space="preserve">Seribu lima ratus dua puluh delapan  </v>
          </cell>
        </row>
        <row r="1532">
          <cell r="A1532">
            <v>1529</v>
          </cell>
          <cell r="B1532" t="str">
            <v xml:space="preserve">Seribu lima ratus dua puluh sembilan  </v>
          </cell>
        </row>
        <row r="1533">
          <cell r="A1533">
            <v>1530</v>
          </cell>
          <cell r="B1533" t="str">
            <v xml:space="preserve">Seribu lima ratus tiga puluh  </v>
          </cell>
        </row>
        <row r="1534">
          <cell r="A1534">
            <v>1531</v>
          </cell>
          <cell r="B1534" t="str">
            <v xml:space="preserve">Seribu lima ratus tiga puluh satu  </v>
          </cell>
        </row>
        <row r="1535">
          <cell r="A1535">
            <v>1532</v>
          </cell>
          <cell r="B1535" t="str">
            <v xml:space="preserve">Seribu lima ratus tiga puluh dua  </v>
          </cell>
        </row>
        <row r="1536">
          <cell r="A1536">
            <v>1533</v>
          </cell>
          <cell r="B1536" t="str">
            <v xml:space="preserve">Seribu lima ratus tiga puluh tiga  </v>
          </cell>
        </row>
        <row r="1537">
          <cell r="A1537">
            <v>1534</v>
          </cell>
          <cell r="B1537" t="str">
            <v xml:space="preserve">Seribu lima ratus tiga puluh empat  </v>
          </cell>
        </row>
        <row r="1538">
          <cell r="A1538">
            <v>1535</v>
          </cell>
          <cell r="B1538" t="str">
            <v xml:space="preserve">Seribu lima ratus tiga puluh lima  </v>
          </cell>
        </row>
        <row r="1539">
          <cell r="A1539">
            <v>1536</v>
          </cell>
          <cell r="B1539" t="str">
            <v xml:space="preserve">Seribu lima ratus tiga puluh enam  </v>
          </cell>
        </row>
        <row r="1540">
          <cell r="A1540">
            <v>1537</v>
          </cell>
          <cell r="B1540" t="str">
            <v xml:space="preserve">Seribu lima ratus tiga puluh tujuh  </v>
          </cell>
        </row>
        <row r="1541">
          <cell r="A1541">
            <v>1538</v>
          </cell>
          <cell r="B1541" t="str">
            <v xml:space="preserve">Seribu lima ratus tiga puluh delapan  </v>
          </cell>
        </row>
        <row r="1542">
          <cell r="A1542">
            <v>1539</v>
          </cell>
          <cell r="B1542" t="str">
            <v xml:space="preserve">Seribu lima ratus tiga puluh sembilan  </v>
          </cell>
        </row>
        <row r="1543">
          <cell r="A1543">
            <v>1540</v>
          </cell>
          <cell r="B1543" t="str">
            <v xml:space="preserve">Seribu lima ratus empat puluh  </v>
          </cell>
        </row>
        <row r="1544">
          <cell r="A1544">
            <v>1541</v>
          </cell>
          <cell r="B1544" t="str">
            <v xml:space="preserve">Seribu lima ratus empat puluh satu  </v>
          </cell>
        </row>
        <row r="1545">
          <cell r="A1545">
            <v>1542</v>
          </cell>
          <cell r="B1545" t="str">
            <v xml:space="preserve">Seribu lima ratus empat puluh dua  </v>
          </cell>
        </row>
        <row r="1546">
          <cell r="A1546">
            <v>1543</v>
          </cell>
          <cell r="B1546" t="str">
            <v xml:space="preserve">Seribu lima ratus empat puluh tiga  </v>
          </cell>
        </row>
        <row r="1547">
          <cell r="A1547">
            <v>1544</v>
          </cell>
          <cell r="B1547" t="str">
            <v xml:space="preserve">Seribu lima ratus empat puluh empat  </v>
          </cell>
        </row>
        <row r="1548">
          <cell r="A1548">
            <v>1545</v>
          </cell>
          <cell r="B1548" t="str">
            <v xml:space="preserve">Seribu lima ratus empat puluh lima  </v>
          </cell>
        </row>
        <row r="1549">
          <cell r="A1549">
            <v>1546</v>
          </cell>
          <cell r="B1549" t="str">
            <v xml:space="preserve">Seribu lima ratus empat puluh enam  </v>
          </cell>
        </row>
        <row r="1550">
          <cell r="A1550">
            <v>1547</v>
          </cell>
          <cell r="B1550" t="str">
            <v xml:space="preserve">Seribu lima ratus empat puluh tujuh  </v>
          </cell>
        </row>
        <row r="1551">
          <cell r="A1551">
            <v>1548</v>
          </cell>
          <cell r="B1551" t="str">
            <v xml:space="preserve">Seribu lima ratus empat puluh delapan  </v>
          </cell>
        </row>
        <row r="1552">
          <cell r="A1552">
            <v>1549</v>
          </cell>
          <cell r="B1552" t="str">
            <v xml:space="preserve">Seribu lima ratus empat puluh sembilan  </v>
          </cell>
        </row>
        <row r="1553">
          <cell r="A1553">
            <v>1550</v>
          </cell>
          <cell r="B1553" t="str">
            <v xml:space="preserve">Seribu lima ratus lima puluh  </v>
          </cell>
        </row>
        <row r="1554">
          <cell r="A1554">
            <v>1551</v>
          </cell>
          <cell r="B1554" t="str">
            <v xml:space="preserve">Seribu lima ratus lima puluh satu  </v>
          </cell>
        </row>
        <row r="1555">
          <cell r="A1555">
            <v>1552</v>
          </cell>
          <cell r="B1555" t="str">
            <v xml:space="preserve">Seribu lima ratus lima puluh dua  </v>
          </cell>
        </row>
        <row r="1556">
          <cell r="A1556">
            <v>1553</v>
          </cell>
          <cell r="B1556" t="str">
            <v xml:space="preserve">Seribu lima ratus lima puluh tiga  </v>
          </cell>
        </row>
        <row r="1557">
          <cell r="A1557">
            <v>1554</v>
          </cell>
          <cell r="B1557" t="str">
            <v xml:space="preserve">Seribu lima ratus lima puluh empat  </v>
          </cell>
        </row>
        <row r="1558">
          <cell r="A1558">
            <v>1555</v>
          </cell>
          <cell r="B1558" t="str">
            <v xml:space="preserve">Seribu lima ratus lima puluh lima  </v>
          </cell>
        </row>
        <row r="1559">
          <cell r="A1559">
            <v>1556</v>
          </cell>
          <cell r="B1559" t="str">
            <v xml:space="preserve">Seribu lima ratus lima puluh enam  </v>
          </cell>
        </row>
        <row r="1560">
          <cell r="A1560">
            <v>1557</v>
          </cell>
          <cell r="B1560" t="str">
            <v xml:space="preserve">Seribu lima ratus lima puluh tujuh  </v>
          </cell>
        </row>
        <row r="1561">
          <cell r="A1561">
            <v>1558</v>
          </cell>
          <cell r="B1561" t="str">
            <v xml:space="preserve">Seribu lima ratus lima puluh delapan  </v>
          </cell>
        </row>
        <row r="1562">
          <cell r="A1562">
            <v>1559</v>
          </cell>
          <cell r="B1562" t="str">
            <v xml:space="preserve">Seribu lima ratus lima puluh sembilan  </v>
          </cell>
        </row>
        <row r="1563">
          <cell r="A1563">
            <v>1560</v>
          </cell>
          <cell r="B1563" t="str">
            <v xml:space="preserve">Seribu lima ratus enam puluh  </v>
          </cell>
        </row>
        <row r="1564">
          <cell r="A1564">
            <v>1561</v>
          </cell>
          <cell r="B1564" t="str">
            <v xml:space="preserve">Seribu lima ratus enam puluh satu  </v>
          </cell>
        </row>
        <row r="1565">
          <cell r="A1565">
            <v>1562</v>
          </cell>
          <cell r="B1565" t="str">
            <v xml:space="preserve">Seribu lima ratus enam puluh dua  </v>
          </cell>
        </row>
        <row r="1566">
          <cell r="A1566">
            <v>1563</v>
          </cell>
          <cell r="B1566" t="str">
            <v xml:space="preserve">Seribu lima ratus enam puluh tiga  </v>
          </cell>
        </row>
        <row r="1567">
          <cell r="A1567">
            <v>1564</v>
          </cell>
          <cell r="B1567" t="str">
            <v xml:space="preserve">Seribu lima ratus enam puluh empat  </v>
          </cell>
        </row>
        <row r="1568">
          <cell r="A1568">
            <v>1565</v>
          </cell>
          <cell r="B1568" t="str">
            <v xml:space="preserve">Seribu lima ratus enam puluh lima  </v>
          </cell>
        </row>
        <row r="1569">
          <cell r="A1569">
            <v>1566</v>
          </cell>
          <cell r="B1569" t="str">
            <v xml:space="preserve">Seribu lima ratus enam puluh enam  </v>
          </cell>
        </row>
        <row r="1570">
          <cell r="A1570">
            <v>1567</v>
          </cell>
          <cell r="B1570" t="str">
            <v xml:space="preserve">Seribu lima ratus enam puluh tujuh  </v>
          </cell>
        </row>
        <row r="1571">
          <cell r="A1571">
            <v>1568</v>
          </cell>
          <cell r="B1571" t="str">
            <v xml:space="preserve">Seribu lima ratus enam puluh delapan  </v>
          </cell>
        </row>
        <row r="1572">
          <cell r="A1572">
            <v>1569</v>
          </cell>
          <cell r="B1572" t="str">
            <v xml:space="preserve">Seribu lima ratus enam puluh sembilan  </v>
          </cell>
        </row>
        <row r="1573">
          <cell r="A1573">
            <v>1570</v>
          </cell>
          <cell r="B1573" t="str">
            <v xml:space="preserve">Seribu lima ratus tujuh puluh  </v>
          </cell>
        </row>
        <row r="1574">
          <cell r="A1574">
            <v>1571</v>
          </cell>
          <cell r="B1574" t="str">
            <v xml:space="preserve">Seribu lima ratus tujuh puluh satu  </v>
          </cell>
        </row>
        <row r="1575">
          <cell r="A1575">
            <v>1572</v>
          </cell>
          <cell r="B1575" t="str">
            <v xml:space="preserve">Seribu lima ratus tujuh puluh dua  </v>
          </cell>
        </row>
        <row r="1576">
          <cell r="A1576">
            <v>1573</v>
          </cell>
          <cell r="B1576" t="str">
            <v xml:space="preserve">Seribu lima ratus tujuh puluh tiga  </v>
          </cell>
        </row>
        <row r="1577">
          <cell r="A1577">
            <v>1574</v>
          </cell>
          <cell r="B1577" t="str">
            <v xml:space="preserve">Seribu lima ratus tujuh puluh empat  </v>
          </cell>
        </row>
        <row r="1578">
          <cell r="A1578">
            <v>1575</v>
          </cell>
          <cell r="B1578" t="str">
            <v xml:space="preserve">Seribu lima ratus tujuh puluh lima  </v>
          </cell>
        </row>
        <row r="1579">
          <cell r="A1579">
            <v>1576</v>
          </cell>
          <cell r="B1579" t="str">
            <v xml:space="preserve">Seribu lima ratus tujuh puluh enam  </v>
          </cell>
        </row>
        <row r="1580">
          <cell r="A1580">
            <v>1577</v>
          </cell>
          <cell r="B1580" t="str">
            <v xml:space="preserve">Seribu lima ratus tujuh puluh tujuh  </v>
          </cell>
        </row>
        <row r="1581">
          <cell r="A1581">
            <v>1578</v>
          </cell>
          <cell r="B1581" t="str">
            <v xml:space="preserve">Seribu lima ratus tujuh puluh delapan  </v>
          </cell>
        </row>
        <row r="1582">
          <cell r="A1582">
            <v>1579</v>
          </cell>
          <cell r="B1582" t="str">
            <v xml:space="preserve">Seribu lima ratus tujuh puluh sembilan  </v>
          </cell>
        </row>
        <row r="1583">
          <cell r="A1583">
            <v>1580</v>
          </cell>
          <cell r="B1583" t="str">
            <v xml:space="preserve">Seribu lima ratus delapan puluh  </v>
          </cell>
        </row>
        <row r="1584">
          <cell r="A1584">
            <v>1581</v>
          </cell>
          <cell r="B1584" t="str">
            <v xml:space="preserve">Seribu lima ratus delapan puluh satu  </v>
          </cell>
        </row>
        <row r="1585">
          <cell r="A1585">
            <v>1582</v>
          </cell>
          <cell r="B1585" t="str">
            <v xml:space="preserve">Seribu lima ratus delapan puluh dua  </v>
          </cell>
        </row>
        <row r="1586">
          <cell r="A1586">
            <v>1583</v>
          </cell>
          <cell r="B1586" t="str">
            <v xml:space="preserve">Seribu lima ratus delapan puluh tiga  </v>
          </cell>
        </row>
        <row r="1587">
          <cell r="A1587">
            <v>1584</v>
          </cell>
          <cell r="B1587" t="str">
            <v xml:space="preserve">Seribu lima ratus delapan puluh empat  </v>
          </cell>
        </row>
        <row r="1588">
          <cell r="A1588">
            <v>1585</v>
          </cell>
          <cell r="B1588" t="str">
            <v xml:space="preserve">Seribu lima ratus delapan puluh lima  </v>
          </cell>
        </row>
        <row r="1589">
          <cell r="A1589">
            <v>1586</v>
          </cell>
          <cell r="B1589" t="str">
            <v xml:space="preserve">Seribu lima ratus delapan puluh enam  </v>
          </cell>
        </row>
        <row r="1590">
          <cell r="A1590">
            <v>1587</v>
          </cell>
          <cell r="B1590" t="str">
            <v xml:space="preserve">Seribu lima ratus delapan puluh tujuh  </v>
          </cell>
        </row>
        <row r="1591">
          <cell r="A1591">
            <v>1588</v>
          </cell>
          <cell r="B1591" t="str">
            <v xml:space="preserve">Seribu lima ratus delapan puluh delapan  </v>
          </cell>
        </row>
        <row r="1592">
          <cell r="A1592">
            <v>1589</v>
          </cell>
          <cell r="B1592" t="str">
            <v xml:space="preserve">Seribu lima ratus delapan puluh sembilan  </v>
          </cell>
        </row>
        <row r="1593">
          <cell r="A1593">
            <v>1590</v>
          </cell>
          <cell r="B1593" t="str">
            <v xml:space="preserve">Seribu lima ratus sembilan puluh  </v>
          </cell>
        </row>
        <row r="1594">
          <cell r="A1594">
            <v>1591</v>
          </cell>
          <cell r="B1594" t="str">
            <v xml:space="preserve">Seribu lima ratus sembilan puluh satu  </v>
          </cell>
        </row>
        <row r="1595">
          <cell r="A1595">
            <v>1592</v>
          </cell>
          <cell r="B1595" t="str">
            <v xml:space="preserve">Seribu lima ratus sembilan puluh dua  </v>
          </cell>
        </row>
        <row r="1596">
          <cell r="A1596">
            <v>1593</v>
          </cell>
          <cell r="B1596" t="str">
            <v xml:space="preserve">Seribu lima ratus sembilan puluh tiga  </v>
          </cell>
        </row>
        <row r="1597">
          <cell r="A1597">
            <v>1594</v>
          </cell>
          <cell r="B1597" t="str">
            <v xml:space="preserve">Seribu lima ratus sembilan puluh empat  </v>
          </cell>
        </row>
        <row r="1598">
          <cell r="A1598">
            <v>1595</v>
          </cell>
          <cell r="B1598" t="str">
            <v xml:space="preserve">Seribu lima ratus sembilan puluh lima  </v>
          </cell>
        </row>
        <row r="1599">
          <cell r="A1599">
            <v>1596</v>
          </cell>
          <cell r="B1599" t="str">
            <v xml:space="preserve">Seribu lima ratus sembilan puluh enam  </v>
          </cell>
        </row>
        <row r="1600">
          <cell r="A1600">
            <v>1597</v>
          </cell>
          <cell r="B1600" t="str">
            <v xml:space="preserve">Seribu lima ratus sembilan puluh tujuh  </v>
          </cell>
        </row>
        <row r="1601">
          <cell r="A1601">
            <v>1598</v>
          </cell>
          <cell r="B1601" t="str">
            <v xml:space="preserve">Seribu lima ratus sembilan puluh delapan  </v>
          </cell>
        </row>
        <row r="1602">
          <cell r="A1602">
            <v>1599</v>
          </cell>
          <cell r="B1602" t="str">
            <v xml:space="preserve">Seribu lima ratus sembilan puluh sembilan  </v>
          </cell>
        </row>
        <row r="1603">
          <cell r="A1603">
            <v>1600</v>
          </cell>
          <cell r="B1603" t="str">
            <v xml:space="preserve">Seribu enam ratus  </v>
          </cell>
        </row>
        <row r="1604">
          <cell r="A1604">
            <v>1601</v>
          </cell>
          <cell r="B1604" t="str">
            <v xml:space="preserve">Seribu enam ratus satu  </v>
          </cell>
        </row>
        <row r="1605">
          <cell r="A1605">
            <v>1602</v>
          </cell>
          <cell r="B1605" t="str">
            <v xml:space="preserve">Seribu enam ratus dua  </v>
          </cell>
        </row>
        <row r="1606">
          <cell r="A1606">
            <v>1603</v>
          </cell>
          <cell r="B1606" t="str">
            <v xml:space="preserve">Seribu enam ratus tiga  </v>
          </cell>
        </row>
        <row r="1607">
          <cell r="A1607">
            <v>1604</v>
          </cell>
          <cell r="B1607" t="str">
            <v xml:space="preserve">Seribu enam ratus empat  </v>
          </cell>
        </row>
        <row r="1608">
          <cell r="A1608">
            <v>1605</v>
          </cell>
          <cell r="B1608" t="str">
            <v xml:space="preserve">Seribu enam ratus lima  </v>
          </cell>
        </row>
        <row r="1609">
          <cell r="A1609">
            <v>1606</v>
          </cell>
          <cell r="B1609" t="str">
            <v xml:space="preserve">Seribu enam ratus enam  </v>
          </cell>
        </row>
        <row r="1610">
          <cell r="A1610">
            <v>1607</v>
          </cell>
          <cell r="B1610" t="str">
            <v xml:space="preserve">Seribu enam ratus tujuh  </v>
          </cell>
        </row>
        <row r="1611">
          <cell r="A1611">
            <v>1608</v>
          </cell>
          <cell r="B1611" t="str">
            <v xml:space="preserve">Seribu enam ratus delapan  </v>
          </cell>
        </row>
        <row r="1612">
          <cell r="A1612">
            <v>1609</v>
          </cell>
          <cell r="B1612" t="str">
            <v xml:space="preserve">Seribu enam ratus sembilan  </v>
          </cell>
        </row>
        <row r="1613">
          <cell r="A1613">
            <v>1610</v>
          </cell>
          <cell r="B1613" t="str">
            <v xml:space="preserve">Seribu enam ratus sepuluh  </v>
          </cell>
        </row>
        <row r="1614">
          <cell r="A1614">
            <v>1611</v>
          </cell>
          <cell r="B1614" t="str">
            <v xml:space="preserve">Seribu enam ratus sebelas  </v>
          </cell>
        </row>
        <row r="1615">
          <cell r="A1615">
            <v>1612</v>
          </cell>
          <cell r="B1615" t="str">
            <v xml:space="preserve">Seribu enam ratus dua belas  </v>
          </cell>
        </row>
        <row r="1616">
          <cell r="A1616">
            <v>1613</v>
          </cell>
          <cell r="B1616" t="str">
            <v xml:space="preserve">Seribu enam ratus tiga belas  </v>
          </cell>
        </row>
        <row r="1617">
          <cell r="A1617">
            <v>1614</v>
          </cell>
          <cell r="B1617" t="str">
            <v xml:space="preserve">Seribu enam ratus empat belas  </v>
          </cell>
        </row>
        <row r="1618">
          <cell r="A1618">
            <v>1615</v>
          </cell>
          <cell r="B1618" t="str">
            <v xml:space="preserve">Seribu enam ratus lima belas  </v>
          </cell>
        </row>
        <row r="1619">
          <cell r="A1619">
            <v>1616</v>
          </cell>
          <cell r="B1619" t="str">
            <v xml:space="preserve">Seribu enam ratus enam belas  </v>
          </cell>
        </row>
        <row r="1620">
          <cell r="A1620">
            <v>1617</v>
          </cell>
          <cell r="B1620" t="str">
            <v xml:space="preserve">Seribu enam ratus tujuh belas  </v>
          </cell>
        </row>
        <row r="1621">
          <cell r="A1621">
            <v>1618</v>
          </cell>
          <cell r="B1621" t="str">
            <v xml:space="preserve">Seribu enam ratus delapan belas  </v>
          </cell>
        </row>
        <row r="1622">
          <cell r="A1622">
            <v>1619</v>
          </cell>
          <cell r="B1622" t="str">
            <v xml:space="preserve">Seribu enam ratus sembilan belas  </v>
          </cell>
        </row>
        <row r="1623">
          <cell r="A1623">
            <v>1620</v>
          </cell>
          <cell r="B1623" t="str">
            <v xml:space="preserve">Seribu enam ratus dua puluh  </v>
          </cell>
        </row>
        <row r="1624">
          <cell r="A1624">
            <v>1621</v>
          </cell>
          <cell r="B1624" t="str">
            <v xml:space="preserve">Seribu enam ratus dua puluh satu  </v>
          </cell>
        </row>
        <row r="1625">
          <cell r="A1625">
            <v>1622</v>
          </cell>
          <cell r="B1625" t="str">
            <v xml:space="preserve">Seribu enam ratus dua puluh dua  </v>
          </cell>
        </row>
        <row r="1626">
          <cell r="A1626">
            <v>1623</v>
          </cell>
          <cell r="B1626" t="str">
            <v xml:space="preserve">Seribu enam ratus dua puluh tiga  </v>
          </cell>
        </row>
        <row r="1627">
          <cell r="A1627">
            <v>1624</v>
          </cell>
          <cell r="B1627" t="str">
            <v xml:space="preserve">Seribu enam ratus dua puluh empat  </v>
          </cell>
        </row>
        <row r="1628">
          <cell r="A1628">
            <v>1625</v>
          </cell>
          <cell r="B1628" t="str">
            <v xml:space="preserve">Seribu enam ratus dua puluh lima  </v>
          </cell>
        </row>
        <row r="1629">
          <cell r="A1629">
            <v>1626</v>
          </cell>
          <cell r="B1629" t="str">
            <v xml:space="preserve">Seribu enam ratus dua puluh enam  </v>
          </cell>
        </row>
        <row r="1630">
          <cell r="A1630">
            <v>1627</v>
          </cell>
          <cell r="B1630" t="str">
            <v xml:space="preserve">Seribu enam ratus dua puluh tujuh  </v>
          </cell>
        </row>
        <row r="1631">
          <cell r="A1631">
            <v>1628</v>
          </cell>
          <cell r="B1631" t="str">
            <v xml:space="preserve">Seribu enam ratus dua puluh delapan  </v>
          </cell>
        </row>
        <row r="1632">
          <cell r="A1632">
            <v>1629</v>
          </cell>
          <cell r="B1632" t="str">
            <v xml:space="preserve">Seribu enam ratus dua puluh sembilan  </v>
          </cell>
        </row>
        <row r="1633">
          <cell r="A1633">
            <v>1630</v>
          </cell>
          <cell r="B1633" t="str">
            <v xml:space="preserve">Seribu enam ratus tiga puluh  </v>
          </cell>
        </row>
        <row r="1634">
          <cell r="A1634">
            <v>1631</v>
          </cell>
          <cell r="B1634" t="str">
            <v xml:space="preserve">Seribu enam ratus tiga puluh satu  </v>
          </cell>
        </row>
        <row r="1635">
          <cell r="A1635">
            <v>1632</v>
          </cell>
          <cell r="B1635" t="str">
            <v xml:space="preserve">Seribu enam ratus tiga puluh dua  </v>
          </cell>
        </row>
        <row r="1636">
          <cell r="A1636">
            <v>1633</v>
          </cell>
          <cell r="B1636" t="str">
            <v xml:space="preserve">Seribu enam ratus tiga puluh tiga  </v>
          </cell>
        </row>
        <row r="1637">
          <cell r="A1637">
            <v>1634</v>
          </cell>
          <cell r="B1637" t="str">
            <v xml:space="preserve">Seribu enam ratus tiga puluh empat  </v>
          </cell>
        </row>
        <row r="1638">
          <cell r="A1638">
            <v>1635</v>
          </cell>
          <cell r="B1638" t="str">
            <v xml:space="preserve">Seribu enam ratus tiga puluh lima  </v>
          </cell>
        </row>
        <row r="1639">
          <cell r="A1639">
            <v>1636</v>
          </cell>
          <cell r="B1639" t="str">
            <v xml:space="preserve">Seribu enam ratus tiga puluh enam  </v>
          </cell>
        </row>
        <row r="1640">
          <cell r="A1640">
            <v>1637</v>
          </cell>
          <cell r="B1640" t="str">
            <v xml:space="preserve">Seribu enam ratus tiga puluh tujuh  </v>
          </cell>
        </row>
        <row r="1641">
          <cell r="A1641">
            <v>1638</v>
          </cell>
          <cell r="B1641" t="str">
            <v xml:space="preserve">Seribu enam ratus tiga puluh delapan  </v>
          </cell>
        </row>
        <row r="1642">
          <cell r="A1642">
            <v>1639</v>
          </cell>
          <cell r="B1642" t="str">
            <v xml:space="preserve">Seribu enam ratus tiga puluh sembilan  </v>
          </cell>
        </row>
        <row r="1643">
          <cell r="A1643">
            <v>1640</v>
          </cell>
          <cell r="B1643" t="str">
            <v xml:space="preserve">Seribu enam ratus empat puluh  </v>
          </cell>
        </row>
        <row r="1644">
          <cell r="A1644">
            <v>1641</v>
          </cell>
          <cell r="B1644" t="str">
            <v xml:space="preserve">Seribu enam ratus empat puluh satu  </v>
          </cell>
        </row>
        <row r="1645">
          <cell r="A1645">
            <v>1642</v>
          </cell>
          <cell r="B1645" t="str">
            <v xml:space="preserve">Seribu enam ratus empat puluh dua  </v>
          </cell>
        </row>
        <row r="1646">
          <cell r="A1646">
            <v>1643</v>
          </cell>
          <cell r="B1646" t="str">
            <v xml:space="preserve">Seribu enam ratus empat puluh tiga  </v>
          </cell>
        </row>
        <row r="1647">
          <cell r="A1647">
            <v>1644</v>
          </cell>
          <cell r="B1647" t="str">
            <v xml:space="preserve">Seribu enam ratus empat puluh empat  </v>
          </cell>
        </row>
        <row r="1648">
          <cell r="A1648">
            <v>1645</v>
          </cell>
          <cell r="B1648" t="str">
            <v xml:space="preserve">Seribu enam ratus empat puluh lima  </v>
          </cell>
        </row>
        <row r="1649">
          <cell r="A1649">
            <v>1646</v>
          </cell>
          <cell r="B1649" t="str">
            <v xml:space="preserve">Seribu enam ratus empat puluh enam  </v>
          </cell>
        </row>
        <row r="1650">
          <cell r="A1650">
            <v>1647</v>
          </cell>
          <cell r="B1650" t="str">
            <v xml:space="preserve">Seribu enam ratus empat puluh tujuh  </v>
          </cell>
        </row>
        <row r="1651">
          <cell r="A1651">
            <v>1648</v>
          </cell>
          <cell r="B1651" t="str">
            <v xml:space="preserve">Seribu enam ratus empat puluh delapan  </v>
          </cell>
        </row>
        <row r="1652">
          <cell r="A1652">
            <v>1649</v>
          </cell>
          <cell r="B1652" t="str">
            <v xml:space="preserve">Seribu enam ratus empat puluh sembilan  </v>
          </cell>
        </row>
        <row r="1653">
          <cell r="A1653">
            <v>1650</v>
          </cell>
          <cell r="B1653" t="str">
            <v xml:space="preserve">Seribu enam ratus lima puluh  </v>
          </cell>
        </row>
        <row r="1654">
          <cell r="A1654">
            <v>1651</v>
          </cell>
          <cell r="B1654" t="str">
            <v xml:space="preserve">Seribu enam ratus lima puluh satu  </v>
          </cell>
        </row>
        <row r="1655">
          <cell r="A1655">
            <v>1652</v>
          </cell>
          <cell r="B1655" t="str">
            <v xml:space="preserve">Seribu enam ratus lima puluh dua  </v>
          </cell>
        </row>
        <row r="1656">
          <cell r="A1656">
            <v>1653</v>
          </cell>
          <cell r="B1656" t="str">
            <v xml:space="preserve">Seribu enam ratus lima puluh tiga  </v>
          </cell>
        </row>
        <row r="1657">
          <cell r="A1657">
            <v>1654</v>
          </cell>
          <cell r="B1657" t="str">
            <v xml:space="preserve">Seribu enam ratus lima puluh empat  </v>
          </cell>
        </row>
        <row r="1658">
          <cell r="A1658">
            <v>1655</v>
          </cell>
          <cell r="B1658" t="str">
            <v xml:space="preserve">Seribu enam ratus lima puluh lima  </v>
          </cell>
        </row>
        <row r="1659">
          <cell r="A1659">
            <v>1656</v>
          </cell>
          <cell r="B1659" t="str">
            <v xml:space="preserve">Seribu enam ratus lima puluh enam  </v>
          </cell>
        </row>
        <row r="1660">
          <cell r="A1660">
            <v>1657</v>
          </cell>
          <cell r="B1660" t="str">
            <v xml:space="preserve">Seribu enam ratus lima puluh tujuh  </v>
          </cell>
        </row>
        <row r="1661">
          <cell r="A1661">
            <v>1658</v>
          </cell>
          <cell r="B1661" t="str">
            <v xml:space="preserve">Seribu enam ratus lima puluh delapan  </v>
          </cell>
        </row>
        <row r="1662">
          <cell r="A1662">
            <v>1659</v>
          </cell>
          <cell r="B1662" t="str">
            <v xml:space="preserve">Seribu enam ratus lima puluh sembilan  </v>
          </cell>
        </row>
        <row r="1663">
          <cell r="A1663">
            <v>1660</v>
          </cell>
          <cell r="B1663" t="str">
            <v xml:space="preserve">Seribu enam ratus enam puluh  </v>
          </cell>
        </row>
        <row r="1664">
          <cell r="A1664">
            <v>1661</v>
          </cell>
          <cell r="B1664" t="str">
            <v xml:space="preserve">Seribu enam ratus enam puluh satu  </v>
          </cell>
        </row>
        <row r="1665">
          <cell r="A1665">
            <v>1662</v>
          </cell>
          <cell r="B1665" t="str">
            <v xml:space="preserve">Seribu enam ratus enam puluh dua  </v>
          </cell>
        </row>
        <row r="1666">
          <cell r="A1666">
            <v>1663</v>
          </cell>
          <cell r="B1666" t="str">
            <v xml:space="preserve">Seribu enam ratus enam puluh tiga  </v>
          </cell>
        </row>
        <row r="1667">
          <cell r="A1667">
            <v>1664</v>
          </cell>
          <cell r="B1667" t="str">
            <v xml:space="preserve">Seribu enam ratus enam puluh empat  </v>
          </cell>
        </row>
        <row r="1668">
          <cell r="A1668">
            <v>1665</v>
          </cell>
          <cell r="B1668" t="str">
            <v xml:space="preserve">Seribu enam ratus enam puluh lima  </v>
          </cell>
        </row>
        <row r="1669">
          <cell r="A1669">
            <v>1666</v>
          </cell>
          <cell r="B1669" t="str">
            <v xml:space="preserve">Seribu enam ratus enam puluh enam  </v>
          </cell>
        </row>
        <row r="1670">
          <cell r="A1670">
            <v>1667</v>
          </cell>
          <cell r="B1670" t="str">
            <v xml:space="preserve">Seribu enam ratus enam puluh tujuh  </v>
          </cell>
        </row>
        <row r="1671">
          <cell r="A1671">
            <v>1668</v>
          </cell>
          <cell r="B1671" t="str">
            <v xml:space="preserve">Seribu enam ratus enam puluh delapan  </v>
          </cell>
        </row>
        <row r="1672">
          <cell r="A1672">
            <v>1669</v>
          </cell>
          <cell r="B1672" t="str">
            <v xml:space="preserve">Seribu enam ratus enam puluh sembilan  </v>
          </cell>
        </row>
        <row r="1673">
          <cell r="A1673">
            <v>1670</v>
          </cell>
          <cell r="B1673" t="str">
            <v xml:space="preserve">Seribu enam ratus tujuh puluh  </v>
          </cell>
        </row>
        <row r="1674">
          <cell r="A1674">
            <v>1671</v>
          </cell>
          <cell r="B1674" t="str">
            <v xml:space="preserve">Seribu enam ratus tujuh puluh satu  </v>
          </cell>
        </row>
        <row r="1675">
          <cell r="A1675">
            <v>1672</v>
          </cell>
          <cell r="B1675" t="str">
            <v xml:space="preserve">Seribu enam ratus tujuh puluh dua  </v>
          </cell>
        </row>
        <row r="1676">
          <cell r="A1676">
            <v>1673</v>
          </cell>
          <cell r="B1676" t="str">
            <v xml:space="preserve">Seribu enam ratus tujuh puluh tiga  </v>
          </cell>
        </row>
        <row r="1677">
          <cell r="A1677">
            <v>1674</v>
          </cell>
          <cell r="B1677" t="str">
            <v xml:space="preserve">Seribu enam ratus tujuh puluh empat  </v>
          </cell>
        </row>
        <row r="1678">
          <cell r="A1678">
            <v>1675</v>
          </cell>
          <cell r="B1678" t="str">
            <v xml:space="preserve">Seribu enam ratus tujuh puluh lima  </v>
          </cell>
        </row>
        <row r="1679">
          <cell r="A1679">
            <v>1676</v>
          </cell>
          <cell r="B1679" t="str">
            <v xml:space="preserve">Seribu enam ratus tujuh puluh enam  </v>
          </cell>
        </row>
        <row r="1680">
          <cell r="A1680">
            <v>1677</v>
          </cell>
          <cell r="B1680" t="str">
            <v xml:space="preserve">Seribu enam ratus tujuh puluh tujuh  </v>
          </cell>
        </row>
        <row r="1681">
          <cell r="A1681">
            <v>1678</v>
          </cell>
          <cell r="B1681" t="str">
            <v xml:space="preserve">Seribu enam ratus tujuh puluh delapan  </v>
          </cell>
        </row>
        <row r="1682">
          <cell r="A1682">
            <v>1679</v>
          </cell>
          <cell r="B1682" t="str">
            <v xml:space="preserve">Seribu enam ratus tujuh puluh sembilan  </v>
          </cell>
        </row>
        <row r="1683">
          <cell r="A1683">
            <v>1680</v>
          </cell>
          <cell r="B1683" t="str">
            <v xml:space="preserve">Seribu enam ratus delapan puluh  </v>
          </cell>
        </row>
        <row r="1684">
          <cell r="A1684">
            <v>1681</v>
          </cell>
          <cell r="B1684" t="str">
            <v xml:space="preserve">Seribu enam ratus delapan puluh satu  </v>
          </cell>
        </row>
        <row r="1685">
          <cell r="A1685">
            <v>1682</v>
          </cell>
          <cell r="B1685" t="str">
            <v xml:space="preserve">Seribu enam ratus delapan puluh dua  </v>
          </cell>
        </row>
        <row r="1686">
          <cell r="A1686">
            <v>1683</v>
          </cell>
          <cell r="B1686" t="str">
            <v xml:space="preserve">Seribu enam ratus delapan puluh tiga  </v>
          </cell>
        </row>
        <row r="1687">
          <cell r="A1687">
            <v>1684</v>
          </cell>
          <cell r="B1687" t="str">
            <v xml:space="preserve">Seribu enam ratus delapan puluh empat  </v>
          </cell>
        </row>
        <row r="1688">
          <cell r="A1688">
            <v>1685</v>
          </cell>
          <cell r="B1688" t="str">
            <v xml:space="preserve">Seribu enam ratus delapan puluh lima  </v>
          </cell>
        </row>
        <row r="1689">
          <cell r="A1689">
            <v>1686</v>
          </cell>
          <cell r="B1689" t="str">
            <v xml:space="preserve">Seribu enam ratus delapan puluh enam  </v>
          </cell>
        </row>
        <row r="1690">
          <cell r="A1690">
            <v>1687</v>
          </cell>
          <cell r="B1690" t="str">
            <v xml:space="preserve">Seribu enam ratus delapan puluh tujuh  </v>
          </cell>
        </row>
        <row r="1691">
          <cell r="A1691">
            <v>1688</v>
          </cell>
          <cell r="B1691" t="str">
            <v xml:space="preserve">Seribu enam ratus delapan puluh delapan  </v>
          </cell>
        </row>
        <row r="1692">
          <cell r="A1692">
            <v>1689</v>
          </cell>
          <cell r="B1692" t="str">
            <v xml:space="preserve">Seribu enam ratus delapan puluh sembilan  </v>
          </cell>
        </row>
        <row r="1693">
          <cell r="A1693">
            <v>1690</v>
          </cell>
          <cell r="B1693" t="str">
            <v xml:space="preserve">Seribu enam ratus sembilan puluh  </v>
          </cell>
        </row>
        <row r="1694">
          <cell r="A1694">
            <v>1691</v>
          </cell>
          <cell r="B1694" t="str">
            <v xml:space="preserve">Seribu enam ratus sembilan puluh satu  </v>
          </cell>
        </row>
        <row r="1695">
          <cell r="A1695">
            <v>1692</v>
          </cell>
          <cell r="B1695" t="str">
            <v xml:space="preserve">Seribu enam ratus sembilan puluh dua  </v>
          </cell>
        </row>
        <row r="1696">
          <cell r="A1696">
            <v>1693</v>
          </cell>
          <cell r="B1696" t="str">
            <v xml:space="preserve">Seribu enam ratus sembilan puluh tiga  </v>
          </cell>
        </row>
        <row r="1697">
          <cell r="A1697">
            <v>1694</v>
          </cell>
          <cell r="B1697" t="str">
            <v xml:space="preserve">Seribu enam ratus sembilan puluh empat  </v>
          </cell>
        </row>
        <row r="1698">
          <cell r="A1698">
            <v>1695</v>
          </cell>
          <cell r="B1698" t="str">
            <v xml:space="preserve">Seribu enam ratus sembilan puluh lima  </v>
          </cell>
        </row>
        <row r="1699">
          <cell r="A1699">
            <v>1696</v>
          </cell>
          <cell r="B1699" t="str">
            <v xml:space="preserve">Seribu enam ratus sembilan puluh enam  </v>
          </cell>
        </row>
        <row r="1700">
          <cell r="A1700">
            <v>1697</v>
          </cell>
          <cell r="B1700" t="str">
            <v xml:space="preserve">Seribu enam ratus sembilan puluh tujuh  </v>
          </cell>
        </row>
        <row r="1701">
          <cell r="A1701">
            <v>1698</v>
          </cell>
          <cell r="B1701" t="str">
            <v xml:space="preserve">Seribu enam ratus sembilan puluh delapan  </v>
          </cell>
        </row>
        <row r="1702">
          <cell r="A1702">
            <v>1699</v>
          </cell>
          <cell r="B1702" t="str">
            <v xml:space="preserve">Seribu enam ratus sembilan puluh sembilan  </v>
          </cell>
        </row>
        <row r="1703">
          <cell r="A1703">
            <v>1700</v>
          </cell>
          <cell r="B1703" t="str">
            <v xml:space="preserve">Seribu tujuh ratus  </v>
          </cell>
        </row>
        <row r="1704">
          <cell r="A1704">
            <v>1701</v>
          </cell>
          <cell r="B1704" t="str">
            <v xml:space="preserve">Seribu tujuh ratus satu  </v>
          </cell>
        </row>
        <row r="1705">
          <cell r="A1705">
            <v>1702</v>
          </cell>
          <cell r="B1705" t="str">
            <v xml:space="preserve">Seribu tujuh ratus dua  </v>
          </cell>
        </row>
        <row r="1706">
          <cell r="A1706">
            <v>1703</v>
          </cell>
          <cell r="B1706" t="str">
            <v xml:space="preserve">Seribu tujuh ratus tiga  </v>
          </cell>
        </row>
        <row r="1707">
          <cell r="A1707">
            <v>1704</v>
          </cell>
          <cell r="B1707" t="str">
            <v xml:space="preserve">Seribu tujuh ratus empat  </v>
          </cell>
        </row>
        <row r="1708">
          <cell r="A1708">
            <v>1705</v>
          </cell>
          <cell r="B1708" t="str">
            <v xml:space="preserve">Seribu tujuh ratus lima  </v>
          </cell>
        </row>
        <row r="1709">
          <cell r="A1709">
            <v>1706</v>
          </cell>
          <cell r="B1709" t="str">
            <v xml:space="preserve">Seribu tujuh ratus enam  </v>
          </cell>
        </row>
        <row r="1710">
          <cell r="A1710">
            <v>1707</v>
          </cell>
          <cell r="B1710" t="str">
            <v xml:space="preserve">Seribu tujuh ratus tujuh  </v>
          </cell>
        </row>
        <row r="1711">
          <cell r="A1711">
            <v>1708</v>
          </cell>
          <cell r="B1711" t="str">
            <v xml:space="preserve">Seribu tujuh ratus delapan  </v>
          </cell>
        </row>
        <row r="1712">
          <cell r="A1712">
            <v>1709</v>
          </cell>
          <cell r="B1712" t="str">
            <v xml:space="preserve">Seribu tujuh ratus sembilan  </v>
          </cell>
        </row>
        <row r="1713">
          <cell r="A1713">
            <v>1710</v>
          </cell>
          <cell r="B1713" t="str">
            <v xml:space="preserve">Seribu tujuh ratus sepuluh  </v>
          </cell>
        </row>
        <row r="1714">
          <cell r="A1714">
            <v>1711</v>
          </cell>
          <cell r="B1714" t="str">
            <v xml:space="preserve">Seribu tujuh ratus sebelas  </v>
          </cell>
        </row>
        <row r="1715">
          <cell r="A1715">
            <v>1712</v>
          </cell>
          <cell r="B1715" t="str">
            <v xml:space="preserve">Seribu tujuh ratus dua belas  </v>
          </cell>
        </row>
        <row r="1716">
          <cell r="A1716">
            <v>1713</v>
          </cell>
          <cell r="B1716" t="str">
            <v xml:space="preserve">Seribu tujuh ratus tiga belas  </v>
          </cell>
        </row>
        <row r="1717">
          <cell r="A1717">
            <v>1714</v>
          </cell>
          <cell r="B1717" t="str">
            <v xml:space="preserve">Seribu tujuh ratus empat belas  </v>
          </cell>
        </row>
        <row r="1718">
          <cell r="A1718">
            <v>1715</v>
          </cell>
          <cell r="B1718" t="str">
            <v xml:space="preserve">Seribu tujuh ratus lima belas  </v>
          </cell>
        </row>
        <row r="1719">
          <cell r="A1719">
            <v>1716</v>
          </cell>
          <cell r="B1719" t="str">
            <v xml:space="preserve">Seribu tujuh ratus enam belas  </v>
          </cell>
        </row>
        <row r="1720">
          <cell r="A1720">
            <v>1717</v>
          </cell>
          <cell r="B1720" t="str">
            <v xml:space="preserve">Seribu tujuh ratus tujuh belas  </v>
          </cell>
        </row>
        <row r="1721">
          <cell r="A1721">
            <v>1718</v>
          </cell>
          <cell r="B1721" t="str">
            <v xml:space="preserve">Seribu tujuh ratus delapan belas  </v>
          </cell>
        </row>
        <row r="1722">
          <cell r="A1722">
            <v>1719</v>
          </cell>
          <cell r="B1722" t="str">
            <v xml:space="preserve">Seribu tujuh ratus sembilan belas  </v>
          </cell>
        </row>
        <row r="1723">
          <cell r="A1723">
            <v>1720</v>
          </cell>
          <cell r="B1723" t="str">
            <v xml:space="preserve">Seribu tujuh ratus dua puluh  </v>
          </cell>
        </row>
        <row r="1724">
          <cell r="A1724">
            <v>1721</v>
          </cell>
          <cell r="B1724" t="str">
            <v xml:space="preserve">Seribu tujuh ratus dua puluh satu  </v>
          </cell>
        </row>
        <row r="1725">
          <cell r="A1725">
            <v>1722</v>
          </cell>
          <cell r="B1725" t="str">
            <v xml:space="preserve">Seribu tujuh ratus dua puluh dua  </v>
          </cell>
        </row>
        <row r="1726">
          <cell r="A1726">
            <v>1723</v>
          </cell>
          <cell r="B1726" t="str">
            <v xml:space="preserve">Seribu tujuh ratus dua puluh tiga  </v>
          </cell>
        </row>
        <row r="1727">
          <cell r="A1727">
            <v>1724</v>
          </cell>
          <cell r="B1727" t="str">
            <v xml:space="preserve">Seribu tujuh ratus dua puluh empat  </v>
          </cell>
        </row>
        <row r="1728">
          <cell r="A1728">
            <v>1725</v>
          </cell>
          <cell r="B1728" t="str">
            <v xml:space="preserve">Seribu tujuh ratus dua puluh lima  </v>
          </cell>
        </row>
        <row r="1729">
          <cell r="A1729">
            <v>1726</v>
          </cell>
          <cell r="B1729" t="str">
            <v xml:space="preserve">Seribu tujuh ratus dua puluh enam  </v>
          </cell>
        </row>
        <row r="1730">
          <cell r="A1730">
            <v>1727</v>
          </cell>
          <cell r="B1730" t="str">
            <v xml:space="preserve">Seribu tujuh ratus dua puluh tujuh  </v>
          </cell>
        </row>
        <row r="1731">
          <cell r="A1731">
            <v>1728</v>
          </cell>
          <cell r="B1731" t="str">
            <v xml:space="preserve">Seribu tujuh ratus dua puluh delapan  </v>
          </cell>
        </row>
        <row r="1732">
          <cell r="A1732">
            <v>1729</v>
          </cell>
          <cell r="B1732" t="str">
            <v xml:space="preserve">Seribu tujuh ratus dua puluh sembilan  </v>
          </cell>
        </row>
        <row r="1733">
          <cell r="A1733">
            <v>1730</v>
          </cell>
          <cell r="B1733" t="str">
            <v xml:space="preserve">Seribu tujuh ratus tiga puluh  </v>
          </cell>
        </row>
        <row r="1734">
          <cell r="A1734">
            <v>1731</v>
          </cell>
          <cell r="B1734" t="str">
            <v xml:space="preserve">Seribu tujuh ratus tiga puluh satu  </v>
          </cell>
        </row>
        <row r="1735">
          <cell r="A1735">
            <v>1732</v>
          </cell>
          <cell r="B1735" t="str">
            <v xml:space="preserve">Seribu tujuh ratus tiga puluh dua  </v>
          </cell>
        </row>
        <row r="1736">
          <cell r="A1736">
            <v>1733</v>
          </cell>
          <cell r="B1736" t="str">
            <v xml:space="preserve">Seribu tujuh ratus tiga puluh tiga  </v>
          </cell>
        </row>
        <row r="1737">
          <cell r="A1737">
            <v>1734</v>
          </cell>
          <cell r="B1737" t="str">
            <v xml:space="preserve">Seribu tujuh ratus tiga puluh empat  </v>
          </cell>
        </row>
        <row r="1738">
          <cell r="A1738">
            <v>1735</v>
          </cell>
          <cell r="B1738" t="str">
            <v xml:space="preserve">Seribu tujuh ratus tiga puluh lima  </v>
          </cell>
        </row>
        <row r="1739">
          <cell r="A1739">
            <v>1736</v>
          </cell>
          <cell r="B1739" t="str">
            <v xml:space="preserve">Seribu tujuh ratus tiga puluh enam  </v>
          </cell>
        </row>
        <row r="1740">
          <cell r="A1740">
            <v>1737</v>
          </cell>
          <cell r="B1740" t="str">
            <v xml:space="preserve">Seribu tujuh ratus tiga puluh tujuh  </v>
          </cell>
        </row>
        <row r="1741">
          <cell r="A1741">
            <v>1738</v>
          </cell>
          <cell r="B1741" t="str">
            <v xml:space="preserve">Seribu tujuh ratus tiga puluh delapan  </v>
          </cell>
        </row>
        <row r="1742">
          <cell r="A1742">
            <v>1739</v>
          </cell>
          <cell r="B1742" t="str">
            <v xml:space="preserve">Seribu tujuh ratus tiga puluh sembilan  </v>
          </cell>
        </row>
        <row r="1743">
          <cell r="A1743">
            <v>1740</v>
          </cell>
          <cell r="B1743" t="str">
            <v xml:space="preserve">Seribu tujuh ratus empat puluh  </v>
          </cell>
        </row>
        <row r="1744">
          <cell r="A1744">
            <v>1741</v>
          </cell>
          <cell r="B1744" t="str">
            <v xml:space="preserve">Seribu tujuh ratus empat puluh satu  </v>
          </cell>
        </row>
        <row r="1745">
          <cell r="A1745">
            <v>1742</v>
          </cell>
          <cell r="B1745" t="str">
            <v xml:space="preserve">Seribu tujuh ratus empat puluh dua  </v>
          </cell>
        </row>
        <row r="1746">
          <cell r="A1746">
            <v>1743</v>
          </cell>
          <cell r="B1746" t="str">
            <v xml:space="preserve">Seribu tujuh ratus empat puluh tiga  </v>
          </cell>
        </row>
        <row r="1747">
          <cell r="A1747">
            <v>1744</v>
          </cell>
          <cell r="B1747" t="str">
            <v xml:space="preserve">Seribu tujuh ratus empat puluh empat  </v>
          </cell>
        </row>
        <row r="1748">
          <cell r="A1748">
            <v>1745</v>
          </cell>
          <cell r="B1748" t="str">
            <v xml:space="preserve">Seribu tujuh ratus empat puluh lima  </v>
          </cell>
        </row>
        <row r="1749">
          <cell r="A1749">
            <v>1746</v>
          </cell>
          <cell r="B1749" t="str">
            <v xml:space="preserve">Seribu tujuh ratus empat puluh enam  </v>
          </cell>
        </row>
        <row r="1750">
          <cell r="A1750">
            <v>1747</v>
          </cell>
          <cell r="B1750" t="str">
            <v xml:space="preserve">Seribu tujuh ratus empat puluh tujuh  </v>
          </cell>
        </row>
        <row r="1751">
          <cell r="A1751">
            <v>1748</v>
          </cell>
          <cell r="B1751" t="str">
            <v xml:space="preserve">Seribu tujuh ratus empat puluh delapan  </v>
          </cell>
        </row>
        <row r="1752">
          <cell r="A1752">
            <v>1749</v>
          </cell>
          <cell r="B1752" t="str">
            <v xml:space="preserve">Seribu tujuh ratus empat puluh sembilan  </v>
          </cell>
        </row>
        <row r="1753">
          <cell r="A1753">
            <v>1750</v>
          </cell>
          <cell r="B1753" t="str">
            <v xml:space="preserve">Seribu tujuh ratus lima puluh  </v>
          </cell>
        </row>
        <row r="1754">
          <cell r="A1754">
            <v>1751</v>
          </cell>
          <cell r="B1754" t="str">
            <v xml:space="preserve">Seribu tujuh ratus lima puluh satu  </v>
          </cell>
        </row>
        <row r="1755">
          <cell r="A1755">
            <v>1752</v>
          </cell>
          <cell r="B1755" t="str">
            <v xml:space="preserve">Seribu tujuh ratus lima puluh dua  </v>
          </cell>
        </row>
        <row r="1756">
          <cell r="A1756">
            <v>1753</v>
          </cell>
          <cell r="B1756" t="str">
            <v xml:space="preserve">Seribu tujuh ratus lima puluh tiga  </v>
          </cell>
        </row>
        <row r="1757">
          <cell r="A1757">
            <v>1754</v>
          </cell>
          <cell r="B1757" t="str">
            <v xml:space="preserve">Seribu tujuh ratus lima puluh empat  </v>
          </cell>
        </row>
        <row r="1758">
          <cell r="A1758">
            <v>1755</v>
          </cell>
          <cell r="B1758" t="str">
            <v xml:space="preserve">Seribu tujuh ratus lima puluh lima  </v>
          </cell>
        </row>
        <row r="1759">
          <cell r="A1759">
            <v>1756</v>
          </cell>
          <cell r="B1759" t="str">
            <v xml:space="preserve">Seribu tujuh ratus lima puluh enam  </v>
          </cell>
        </row>
        <row r="1760">
          <cell r="A1760">
            <v>1757</v>
          </cell>
          <cell r="B1760" t="str">
            <v xml:space="preserve">Seribu tujuh ratus lima puluh tujuh  </v>
          </cell>
        </row>
        <row r="1761">
          <cell r="A1761">
            <v>1758</v>
          </cell>
          <cell r="B1761" t="str">
            <v xml:space="preserve">Seribu tujuh ratus lima puluh delapan  </v>
          </cell>
        </row>
        <row r="1762">
          <cell r="A1762">
            <v>1759</v>
          </cell>
          <cell r="B1762" t="str">
            <v xml:space="preserve">Seribu tujuh ratus lima puluh sembilan  </v>
          </cell>
        </row>
        <row r="1763">
          <cell r="A1763">
            <v>1760</v>
          </cell>
          <cell r="B1763" t="str">
            <v xml:space="preserve">Seribu tujuh ratus enam puluh  </v>
          </cell>
        </row>
        <row r="1764">
          <cell r="A1764">
            <v>1761</v>
          </cell>
          <cell r="B1764" t="str">
            <v xml:space="preserve">Seribu tujuh ratus enam puluh satu  </v>
          </cell>
        </row>
        <row r="1765">
          <cell r="A1765">
            <v>1762</v>
          </cell>
          <cell r="B1765" t="str">
            <v xml:space="preserve">Seribu tujuh ratus enam puluh dua  </v>
          </cell>
        </row>
        <row r="1766">
          <cell r="A1766">
            <v>1763</v>
          </cell>
          <cell r="B1766" t="str">
            <v xml:space="preserve">Seribu tujuh ratus enam puluh tiga  </v>
          </cell>
        </row>
        <row r="1767">
          <cell r="A1767">
            <v>1764</v>
          </cell>
          <cell r="B1767" t="str">
            <v xml:space="preserve">Seribu tujuh ratus enam puluh empat  </v>
          </cell>
        </row>
        <row r="1768">
          <cell r="A1768">
            <v>1765</v>
          </cell>
          <cell r="B1768" t="str">
            <v xml:space="preserve">Seribu tujuh ratus enam puluh lima  </v>
          </cell>
        </row>
        <row r="1769">
          <cell r="A1769">
            <v>1766</v>
          </cell>
          <cell r="B1769" t="str">
            <v xml:space="preserve">Seribu tujuh ratus enam puluh enam  </v>
          </cell>
        </row>
        <row r="1770">
          <cell r="A1770">
            <v>1767</v>
          </cell>
          <cell r="B1770" t="str">
            <v xml:space="preserve">Seribu tujuh ratus enam puluh tujuh  </v>
          </cell>
        </row>
        <row r="1771">
          <cell r="A1771">
            <v>1768</v>
          </cell>
          <cell r="B1771" t="str">
            <v xml:space="preserve">Seribu tujuh ratus enam puluh delapan  </v>
          </cell>
        </row>
        <row r="1772">
          <cell r="A1772">
            <v>1769</v>
          </cell>
          <cell r="B1772" t="str">
            <v xml:space="preserve">Seribu tujuh ratus enam puluh sembilan  </v>
          </cell>
        </row>
        <row r="1773">
          <cell r="A1773">
            <v>1770</v>
          </cell>
          <cell r="B1773" t="str">
            <v xml:space="preserve">Seribu tujuh ratus tujuh puluh  </v>
          </cell>
        </row>
        <row r="1774">
          <cell r="A1774">
            <v>1771</v>
          </cell>
          <cell r="B1774" t="str">
            <v xml:space="preserve">Seribu tujuh ratus tujuh puluh satu  </v>
          </cell>
        </row>
        <row r="1775">
          <cell r="A1775">
            <v>1772</v>
          </cell>
          <cell r="B1775" t="str">
            <v xml:space="preserve">Seribu tujuh ratus tujuh puluh dua  </v>
          </cell>
        </row>
        <row r="1776">
          <cell r="A1776">
            <v>1773</v>
          </cell>
          <cell r="B1776" t="str">
            <v xml:space="preserve">Seribu tujuh ratus tujuh puluh tiga  </v>
          </cell>
        </row>
        <row r="1777">
          <cell r="A1777">
            <v>1774</v>
          </cell>
          <cell r="B1777" t="str">
            <v xml:space="preserve">Seribu tujuh ratus tujuh puluh empat  </v>
          </cell>
        </row>
        <row r="1778">
          <cell r="A1778">
            <v>1775</v>
          </cell>
          <cell r="B1778" t="str">
            <v xml:space="preserve">Seribu tujuh ratus tujuh puluh lima  </v>
          </cell>
        </row>
        <row r="1779">
          <cell r="A1779">
            <v>1776</v>
          </cell>
          <cell r="B1779" t="str">
            <v xml:space="preserve">Seribu tujuh ratus tujuh puluh enam  </v>
          </cell>
        </row>
        <row r="1780">
          <cell r="A1780">
            <v>1777</v>
          </cell>
          <cell r="B1780" t="str">
            <v xml:space="preserve">Seribu tujuh ratus tujuh puluh tujuh  </v>
          </cell>
        </row>
        <row r="1781">
          <cell r="A1781">
            <v>1778</v>
          </cell>
          <cell r="B1781" t="str">
            <v xml:space="preserve">Seribu tujuh ratus tujuh puluh delapan  </v>
          </cell>
        </row>
        <row r="1782">
          <cell r="A1782">
            <v>1779</v>
          </cell>
          <cell r="B1782" t="str">
            <v xml:space="preserve">Seribu tujuh ratus tujuh puluh sembilan  </v>
          </cell>
        </row>
        <row r="1783">
          <cell r="A1783">
            <v>1780</v>
          </cell>
          <cell r="B1783" t="str">
            <v xml:space="preserve">Seribu tujuh ratus delapan puluh  </v>
          </cell>
        </row>
        <row r="1784">
          <cell r="A1784">
            <v>1781</v>
          </cell>
          <cell r="B1784" t="str">
            <v xml:space="preserve">Seribu tujuh ratus delapan puluh satu  </v>
          </cell>
        </row>
        <row r="1785">
          <cell r="A1785">
            <v>1782</v>
          </cell>
          <cell r="B1785" t="str">
            <v xml:space="preserve">Seribu tujuh ratus delapan puluh dua  </v>
          </cell>
        </row>
        <row r="1786">
          <cell r="A1786">
            <v>1783</v>
          </cell>
          <cell r="B1786" t="str">
            <v xml:space="preserve">Seribu tujuh ratus delapan puluh tiga  </v>
          </cell>
        </row>
        <row r="1787">
          <cell r="A1787">
            <v>1784</v>
          </cell>
          <cell r="B1787" t="str">
            <v xml:space="preserve">Seribu tujuh ratus delapan puluh empat  </v>
          </cell>
        </row>
        <row r="1788">
          <cell r="A1788">
            <v>1785</v>
          </cell>
          <cell r="B1788" t="str">
            <v xml:space="preserve">Seribu tujuh ratus delapan puluh lima  </v>
          </cell>
        </row>
        <row r="1789">
          <cell r="A1789">
            <v>1786</v>
          </cell>
          <cell r="B1789" t="str">
            <v xml:space="preserve">Seribu tujuh ratus delapan puluh enam  </v>
          </cell>
        </row>
        <row r="1790">
          <cell r="A1790">
            <v>1787</v>
          </cell>
          <cell r="B1790" t="str">
            <v xml:space="preserve">Seribu tujuh ratus delapan puluh tujuh  </v>
          </cell>
        </row>
        <row r="1791">
          <cell r="A1791">
            <v>1788</v>
          </cell>
          <cell r="B1791" t="str">
            <v xml:space="preserve">Seribu tujuh ratus delapan puluh delapan  </v>
          </cell>
        </row>
        <row r="1792">
          <cell r="A1792">
            <v>1789</v>
          </cell>
          <cell r="B1792" t="str">
            <v xml:space="preserve">Seribu tujuh ratus delapan puluh sembilan  </v>
          </cell>
        </row>
        <row r="1793">
          <cell r="A1793">
            <v>1790</v>
          </cell>
          <cell r="B1793" t="str">
            <v xml:space="preserve">Seribu tujuh ratus sembilan puluh  </v>
          </cell>
        </row>
        <row r="1794">
          <cell r="A1794">
            <v>1791</v>
          </cell>
          <cell r="B1794" t="str">
            <v xml:space="preserve">Seribu tujuh ratus sembilan puluh satu  </v>
          </cell>
        </row>
        <row r="1795">
          <cell r="A1795">
            <v>1792</v>
          </cell>
          <cell r="B1795" t="str">
            <v xml:space="preserve">Seribu tujuh ratus sembilan puluh dua  </v>
          </cell>
        </row>
        <row r="1796">
          <cell r="A1796">
            <v>1793</v>
          </cell>
          <cell r="B1796" t="str">
            <v xml:space="preserve">Seribu tujuh ratus sembilan puluh tiga  </v>
          </cell>
        </row>
        <row r="1797">
          <cell r="A1797">
            <v>1794</v>
          </cell>
          <cell r="B1797" t="str">
            <v xml:space="preserve">Seribu tujuh ratus sembilan puluh empat  </v>
          </cell>
        </row>
        <row r="1798">
          <cell r="A1798">
            <v>1795</v>
          </cell>
          <cell r="B1798" t="str">
            <v xml:space="preserve">Seribu tujuh ratus sembilan puluh lima  </v>
          </cell>
        </row>
        <row r="1799">
          <cell r="A1799">
            <v>1796</v>
          </cell>
          <cell r="B1799" t="str">
            <v xml:space="preserve">Seribu tujuh ratus sembilan puluh enam  </v>
          </cell>
        </row>
        <row r="1800">
          <cell r="A1800">
            <v>1797</v>
          </cell>
          <cell r="B1800" t="str">
            <v xml:space="preserve">Seribu tujuh ratus sembilan puluh tujuh  </v>
          </cell>
        </row>
        <row r="1801">
          <cell r="A1801">
            <v>1798</v>
          </cell>
          <cell r="B1801" t="str">
            <v xml:space="preserve">Seribu tujuh ratus sembilan puluh delapan  </v>
          </cell>
        </row>
        <row r="1802">
          <cell r="A1802">
            <v>1799</v>
          </cell>
          <cell r="B1802" t="str">
            <v xml:space="preserve">Seribu tujuh ratus sembilan puluh sembilan  </v>
          </cell>
        </row>
        <row r="1803">
          <cell r="A1803">
            <v>1800</v>
          </cell>
          <cell r="B1803" t="str">
            <v xml:space="preserve">Seribu delapan ratus  </v>
          </cell>
        </row>
        <row r="1804">
          <cell r="A1804">
            <v>1801</v>
          </cell>
          <cell r="B1804" t="str">
            <v xml:space="preserve">Seribu delapan ratus satu  </v>
          </cell>
        </row>
        <row r="1805">
          <cell r="A1805">
            <v>1802</v>
          </cell>
          <cell r="B1805" t="str">
            <v xml:space="preserve">Seribu delapan ratus dua  </v>
          </cell>
        </row>
        <row r="1806">
          <cell r="A1806">
            <v>1803</v>
          </cell>
          <cell r="B1806" t="str">
            <v xml:space="preserve">Seribu delapan ratus tiga  </v>
          </cell>
        </row>
        <row r="1807">
          <cell r="A1807">
            <v>1804</v>
          </cell>
          <cell r="B1807" t="str">
            <v xml:space="preserve">Seribu delapan ratus empat  </v>
          </cell>
        </row>
        <row r="1808">
          <cell r="A1808">
            <v>1805</v>
          </cell>
          <cell r="B1808" t="str">
            <v xml:space="preserve">Seribu delapan ratus lima  </v>
          </cell>
        </row>
        <row r="1809">
          <cell r="A1809">
            <v>1806</v>
          </cell>
          <cell r="B1809" t="str">
            <v xml:space="preserve">Seribu delapan ratus enam  </v>
          </cell>
        </row>
        <row r="1810">
          <cell r="A1810">
            <v>1807</v>
          </cell>
          <cell r="B1810" t="str">
            <v xml:space="preserve">Seribu delapan ratus tujuh  </v>
          </cell>
        </row>
        <row r="1811">
          <cell r="A1811">
            <v>1808</v>
          </cell>
          <cell r="B1811" t="str">
            <v xml:space="preserve">Seribu delapan ratus delapan  </v>
          </cell>
        </row>
        <row r="1812">
          <cell r="A1812">
            <v>1809</v>
          </cell>
          <cell r="B1812" t="str">
            <v xml:space="preserve">Seribu delapan ratus sembilan  </v>
          </cell>
        </row>
        <row r="1813">
          <cell r="A1813">
            <v>1810</v>
          </cell>
          <cell r="B1813" t="str">
            <v xml:space="preserve">Seribu delapan ratus sepuluh  </v>
          </cell>
        </row>
        <row r="1814">
          <cell r="A1814">
            <v>1811</v>
          </cell>
          <cell r="B1814" t="str">
            <v xml:space="preserve">Seribu delapan ratus sebelas  </v>
          </cell>
        </row>
        <row r="1815">
          <cell r="A1815">
            <v>1812</v>
          </cell>
          <cell r="B1815" t="str">
            <v xml:space="preserve">Seribu delapan ratus dua belas  </v>
          </cell>
        </row>
        <row r="1816">
          <cell r="A1816">
            <v>1813</v>
          </cell>
          <cell r="B1816" t="str">
            <v xml:space="preserve">Seribu delapan ratus tiga belas  </v>
          </cell>
        </row>
        <row r="1817">
          <cell r="A1817">
            <v>1814</v>
          </cell>
          <cell r="B1817" t="str">
            <v xml:space="preserve">Seribu delapan ratus empat belas  </v>
          </cell>
        </row>
        <row r="1818">
          <cell r="A1818">
            <v>1815</v>
          </cell>
          <cell r="B1818" t="str">
            <v xml:space="preserve">Seribu delapan ratus lima belas  </v>
          </cell>
        </row>
        <row r="1819">
          <cell r="A1819">
            <v>1816</v>
          </cell>
          <cell r="B1819" t="str">
            <v xml:space="preserve">Seribu delapan ratus enam belas  </v>
          </cell>
        </row>
        <row r="1820">
          <cell r="A1820">
            <v>1817</v>
          </cell>
          <cell r="B1820" t="str">
            <v xml:space="preserve">Seribu delapan ratus tujuh belas  </v>
          </cell>
        </row>
        <row r="1821">
          <cell r="A1821">
            <v>1818</v>
          </cell>
          <cell r="B1821" t="str">
            <v xml:space="preserve">Seribu delapan ratus delapan belas  </v>
          </cell>
        </row>
        <row r="1822">
          <cell r="A1822">
            <v>1819</v>
          </cell>
          <cell r="B1822" t="str">
            <v xml:space="preserve">Seribu delapan ratus sembilan belas  </v>
          </cell>
        </row>
        <row r="1823">
          <cell r="A1823">
            <v>1820</v>
          </cell>
          <cell r="B1823" t="str">
            <v xml:space="preserve">Seribu delapan ratus dua puluh  </v>
          </cell>
        </row>
        <row r="1824">
          <cell r="A1824">
            <v>1821</v>
          </cell>
          <cell r="B1824" t="str">
            <v xml:space="preserve">Seribu delapan ratus dua puluh satu  </v>
          </cell>
        </row>
        <row r="1825">
          <cell r="A1825">
            <v>1822</v>
          </cell>
          <cell r="B1825" t="str">
            <v xml:space="preserve">Seribu delapan ratus dua puluh dua  </v>
          </cell>
        </row>
        <row r="1826">
          <cell r="A1826">
            <v>1823</v>
          </cell>
          <cell r="B1826" t="str">
            <v xml:space="preserve">Seribu delapan ratus dua puluh tiga  </v>
          </cell>
        </row>
        <row r="1827">
          <cell r="A1827">
            <v>1824</v>
          </cell>
          <cell r="B1827" t="str">
            <v xml:space="preserve">Seribu delapan ratus dua puluh empat  </v>
          </cell>
        </row>
        <row r="1828">
          <cell r="A1828">
            <v>1825</v>
          </cell>
          <cell r="B1828" t="str">
            <v xml:space="preserve">Seribu delapan ratus dua puluh lima  </v>
          </cell>
        </row>
        <row r="1829">
          <cell r="A1829">
            <v>1826</v>
          </cell>
          <cell r="B1829" t="str">
            <v xml:space="preserve">Seribu delapan ratus dua puluh enam  </v>
          </cell>
        </row>
        <row r="1830">
          <cell r="A1830">
            <v>1827</v>
          </cell>
          <cell r="B1830" t="str">
            <v xml:space="preserve">Seribu delapan ratus dua puluh tujuh  </v>
          </cell>
        </row>
        <row r="1831">
          <cell r="A1831">
            <v>1828</v>
          </cell>
          <cell r="B1831" t="str">
            <v xml:space="preserve">Seribu delapan ratus dua puluh delapan  </v>
          </cell>
        </row>
        <row r="1832">
          <cell r="A1832">
            <v>1829</v>
          </cell>
          <cell r="B1832" t="str">
            <v xml:space="preserve">Seribu delapan ratus dua puluh sembilan  </v>
          </cell>
        </row>
        <row r="1833">
          <cell r="A1833">
            <v>1830</v>
          </cell>
          <cell r="B1833" t="str">
            <v xml:space="preserve">Seribu delapan ratus tiga puluh  </v>
          </cell>
        </row>
        <row r="1834">
          <cell r="A1834">
            <v>1831</v>
          </cell>
          <cell r="B1834" t="str">
            <v xml:space="preserve">Seribu delapan ratus tiga puluh satu  </v>
          </cell>
        </row>
        <row r="1835">
          <cell r="A1835">
            <v>1832</v>
          </cell>
          <cell r="B1835" t="str">
            <v xml:space="preserve">Seribu delapan ratus tiga puluh dua  </v>
          </cell>
        </row>
        <row r="1836">
          <cell r="A1836">
            <v>1833</v>
          </cell>
          <cell r="B1836" t="str">
            <v xml:space="preserve">Seribu delapan ratus tiga puluh tiga  </v>
          </cell>
        </row>
        <row r="1837">
          <cell r="A1837">
            <v>1834</v>
          </cell>
          <cell r="B1837" t="str">
            <v xml:space="preserve">Seribu delapan ratus tiga puluh empat  </v>
          </cell>
        </row>
        <row r="1838">
          <cell r="A1838">
            <v>1835</v>
          </cell>
          <cell r="B1838" t="str">
            <v xml:space="preserve">Seribu delapan ratus tiga puluh lima  </v>
          </cell>
        </row>
        <row r="1839">
          <cell r="A1839">
            <v>1836</v>
          </cell>
          <cell r="B1839" t="str">
            <v xml:space="preserve">Seribu delapan ratus tiga puluh enam  </v>
          </cell>
        </row>
        <row r="1840">
          <cell r="A1840">
            <v>1837</v>
          </cell>
          <cell r="B1840" t="str">
            <v xml:space="preserve">Seribu delapan ratus tiga puluh tujuh  </v>
          </cell>
        </row>
        <row r="1841">
          <cell r="A1841">
            <v>1838</v>
          </cell>
          <cell r="B1841" t="str">
            <v xml:space="preserve">Seribu delapan ratus tiga puluh delapan  </v>
          </cell>
        </row>
        <row r="1842">
          <cell r="A1842">
            <v>1839</v>
          </cell>
          <cell r="B1842" t="str">
            <v xml:space="preserve">Seribu delapan ratus tiga puluh sembilan  </v>
          </cell>
        </row>
        <row r="1843">
          <cell r="A1843">
            <v>1840</v>
          </cell>
          <cell r="B1843" t="str">
            <v xml:space="preserve">Seribu delapan ratus empat puluh  </v>
          </cell>
        </row>
        <row r="1844">
          <cell r="A1844">
            <v>1841</v>
          </cell>
          <cell r="B1844" t="str">
            <v xml:space="preserve">Seribu delapan ratus empat puluh satu  </v>
          </cell>
        </row>
        <row r="1845">
          <cell r="A1845">
            <v>1842</v>
          </cell>
          <cell r="B1845" t="str">
            <v xml:space="preserve">Seribu delapan ratus empat puluh dua  </v>
          </cell>
        </row>
        <row r="1846">
          <cell r="A1846">
            <v>1843</v>
          </cell>
          <cell r="B1846" t="str">
            <v xml:space="preserve">Seribu delapan ratus empat puluh tiga  </v>
          </cell>
        </row>
        <row r="1847">
          <cell r="A1847">
            <v>1844</v>
          </cell>
          <cell r="B1847" t="str">
            <v xml:space="preserve">Seribu delapan ratus empat puluh empat  </v>
          </cell>
        </row>
        <row r="1848">
          <cell r="A1848">
            <v>1845</v>
          </cell>
          <cell r="B1848" t="str">
            <v xml:space="preserve">Seribu delapan ratus empat puluh lima  </v>
          </cell>
        </row>
        <row r="1849">
          <cell r="A1849">
            <v>1846</v>
          </cell>
          <cell r="B1849" t="str">
            <v xml:space="preserve">Seribu delapan ratus empat puluh enam  </v>
          </cell>
        </row>
        <row r="1850">
          <cell r="A1850">
            <v>1847</v>
          </cell>
          <cell r="B1850" t="str">
            <v xml:space="preserve">Seribu delapan ratus empat puluh tujuh  </v>
          </cell>
        </row>
        <row r="1851">
          <cell r="A1851">
            <v>1848</v>
          </cell>
          <cell r="B1851" t="str">
            <v xml:space="preserve">Seribu delapan ratus empat puluh delapan  </v>
          </cell>
        </row>
        <row r="1852">
          <cell r="A1852">
            <v>1849</v>
          </cell>
          <cell r="B1852" t="str">
            <v xml:space="preserve">Seribu delapan ratus empat puluh sembilan  </v>
          </cell>
        </row>
        <row r="1853">
          <cell r="A1853">
            <v>1850</v>
          </cell>
          <cell r="B1853" t="str">
            <v xml:space="preserve">Seribu delapan ratus lima puluh  </v>
          </cell>
        </row>
        <row r="1854">
          <cell r="A1854">
            <v>1851</v>
          </cell>
          <cell r="B1854" t="str">
            <v xml:space="preserve">Seribu delapan ratus lima puluh satu  </v>
          </cell>
        </row>
        <row r="1855">
          <cell r="A1855">
            <v>1852</v>
          </cell>
          <cell r="B1855" t="str">
            <v xml:space="preserve">Seribu delapan ratus lima puluh dua  </v>
          </cell>
        </row>
        <row r="1856">
          <cell r="A1856">
            <v>1853</v>
          </cell>
          <cell r="B1856" t="str">
            <v xml:space="preserve">Seribu delapan ratus lima puluh tiga  </v>
          </cell>
        </row>
        <row r="1857">
          <cell r="A1857">
            <v>1854</v>
          </cell>
          <cell r="B1857" t="str">
            <v xml:space="preserve">Seribu delapan ratus lima puluh empat  </v>
          </cell>
        </row>
        <row r="1858">
          <cell r="A1858">
            <v>1855</v>
          </cell>
          <cell r="B1858" t="str">
            <v xml:space="preserve">Seribu delapan ratus lima puluh lima  </v>
          </cell>
        </row>
        <row r="1859">
          <cell r="A1859">
            <v>1856</v>
          </cell>
          <cell r="B1859" t="str">
            <v xml:space="preserve">Seribu delapan ratus lima puluh enam  </v>
          </cell>
        </row>
        <row r="1860">
          <cell r="A1860">
            <v>1857</v>
          </cell>
          <cell r="B1860" t="str">
            <v xml:space="preserve">Seribu delapan ratus lima puluh tujuh  </v>
          </cell>
        </row>
        <row r="1861">
          <cell r="A1861">
            <v>1858</v>
          </cell>
          <cell r="B1861" t="str">
            <v xml:space="preserve">Seribu delapan ratus lima puluh delapan  </v>
          </cell>
        </row>
        <row r="1862">
          <cell r="A1862">
            <v>1859</v>
          </cell>
          <cell r="B1862" t="str">
            <v xml:space="preserve">Seribu delapan ratus lima puluh sembilan  </v>
          </cell>
        </row>
        <row r="1863">
          <cell r="A1863">
            <v>1860</v>
          </cell>
          <cell r="B1863" t="str">
            <v xml:space="preserve">Seribu delapan ratus enam puluh  </v>
          </cell>
        </row>
        <row r="1864">
          <cell r="A1864">
            <v>1861</v>
          </cell>
          <cell r="B1864" t="str">
            <v xml:space="preserve">Seribu delapan ratus enam puluh satu  </v>
          </cell>
        </row>
        <row r="1865">
          <cell r="A1865">
            <v>1862</v>
          </cell>
          <cell r="B1865" t="str">
            <v xml:space="preserve">Seribu delapan ratus enam puluh dua  </v>
          </cell>
        </row>
        <row r="1866">
          <cell r="A1866">
            <v>1863</v>
          </cell>
          <cell r="B1866" t="str">
            <v xml:space="preserve">Seribu delapan ratus enam puluh tiga  </v>
          </cell>
        </row>
        <row r="1867">
          <cell r="A1867">
            <v>1864</v>
          </cell>
          <cell r="B1867" t="str">
            <v xml:space="preserve">Seribu delapan ratus enam puluh empat  </v>
          </cell>
        </row>
        <row r="1868">
          <cell r="A1868">
            <v>1865</v>
          </cell>
          <cell r="B1868" t="str">
            <v xml:space="preserve">Seribu delapan ratus enam puluh lima  </v>
          </cell>
        </row>
        <row r="1869">
          <cell r="A1869">
            <v>1866</v>
          </cell>
          <cell r="B1869" t="str">
            <v xml:space="preserve">Seribu delapan ratus enam puluh enam  </v>
          </cell>
        </row>
        <row r="1870">
          <cell r="A1870">
            <v>1867</v>
          </cell>
          <cell r="B1870" t="str">
            <v xml:space="preserve">Seribu delapan ratus enam puluh tujuh  </v>
          </cell>
        </row>
        <row r="1871">
          <cell r="A1871">
            <v>1868</v>
          </cell>
          <cell r="B1871" t="str">
            <v xml:space="preserve">Seribu delapan ratus enam puluh delapan  </v>
          </cell>
        </row>
        <row r="1872">
          <cell r="A1872">
            <v>1869</v>
          </cell>
          <cell r="B1872" t="str">
            <v xml:space="preserve">Seribu delapan ratus enam puluh sembilan  </v>
          </cell>
        </row>
        <row r="1873">
          <cell r="A1873">
            <v>1870</v>
          </cell>
          <cell r="B1873" t="str">
            <v xml:space="preserve">Seribu delapan ratus tujuh puluh  </v>
          </cell>
        </row>
        <row r="1874">
          <cell r="A1874">
            <v>1871</v>
          </cell>
          <cell r="B1874" t="str">
            <v xml:space="preserve">Seribu delapan ratus tujuh puluh satu  </v>
          </cell>
        </row>
        <row r="1875">
          <cell r="A1875">
            <v>1872</v>
          </cell>
          <cell r="B1875" t="str">
            <v xml:space="preserve">Seribu delapan ratus tujuh puluh dua  </v>
          </cell>
        </row>
        <row r="1876">
          <cell r="A1876">
            <v>1873</v>
          </cell>
          <cell r="B1876" t="str">
            <v xml:space="preserve">Seribu delapan ratus tujuh puluh tiga  </v>
          </cell>
        </row>
        <row r="1877">
          <cell r="A1877">
            <v>1874</v>
          </cell>
          <cell r="B1877" t="str">
            <v xml:space="preserve">Seribu delapan ratus tujuh puluh empat  </v>
          </cell>
        </row>
        <row r="1878">
          <cell r="A1878">
            <v>1875</v>
          </cell>
          <cell r="B1878" t="str">
            <v xml:space="preserve">Seribu delapan ratus tujuh puluh lima  </v>
          </cell>
        </row>
        <row r="1879">
          <cell r="A1879">
            <v>1876</v>
          </cell>
          <cell r="B1879" t="str">
            <v xml:space="preserve">Seribu delapan ratus tujuh puluh enam  </v>
          </cell>
        </row>
        <row r="1880">
          <cell r="A1880">
            <v>1877</v>
          </cell>
          <cell r="B1880" t="str">
            <v xml:space="preserve">Seribu delapan ratus tujuh puluh tujuh  </v>
          </cell>
        </row>
        <row r="1881">
          <cell r="A1881">
            <v>1878</v>
          </cell>
          <cell r="B1881" t="str">
            <v xml:space="preserve">Seribu delapan ratus tujuh puluh delapan  </v>
          </cell>
        </row>
        <row r="1882">
          <cell r="A1882">
            <v>1879</v>
          </cell>
          <cell r="B1882" t="str">
            <v xml:space="preserve">Seribu delapan ratus tujuh puluh sembilan  </v>
          </cell>
        </row>
        <row r="1883">
          <cell r="A1883">
            <v>1880</v>
          </cell>
          <cell r="B1883" t="str">
            <v xml:space="preserve">Seribu delapan ratus delapan puluh  </v>
          </cell>
        </row>
        <row r="1884">
          <cell r="A1884">
            <v>1881</v>
          </cell>
          <cell r="B1884" t="str">
            <v xml:space="preserve">Seribu delapan ratus delapan puluh satu  </v>
          </cell>
        </row>
        <row r="1885">
          <cell r="A1885">
            <v>1882</v>
          </cell>
          <cell r="B1885" t="str">
            <v xml:space="preserve">Seribu delapan ratus delapan puluh dua  </v>
          </cell>
        </row>
        <row r="1886">
          <cell r="A1886">
            <v>1883</v>
          </cell>
          <cell r="B1886" t="str">
            <v xml:space="preserve">Seribu delapan ratus delapan puluh tiga  </v>
          </cell>
        </row>
        <row r="1887">
          <cell r="A1887">
            <v>1884</v>
          </cell>
          <cell r="B1887" t="str">
            <v xml:space="preserve">Seribu delapan ratus delapan puluh empat  </v>
          </cell>
        </row>
        <row r="1888">
          <cell r="A1888">
            <v>1885</v>
          </cell>
          <cell r="B1888" t="str">
            <v xml:space="preserve">Seribu delapan ratus delapan puluh lima  </v>
          </cell>
        </row>
        <row r="1889">
          <cell r="A1889">
            <v>1886</v>
          </cell>
          <cell r="B1889" t="str">
            <v xml:space="preserve">Seribu delapan ratus delapan puluh enam  </v>
          </cell>
        </row>
        <row r="1890">
          <cell r="A1890">
            <v>1887</v>
          </cell>
          <cell r="B1890" t="str">
            <v xml:space="preserve">Seribu delapan ratus delapan puluh tujuh  </v>
          </cell>
        </row>
        <row r="1891">
          <cell r="A1891">
            <v>1888</v>
          </cell>
          <cell r="B1891" t="str">
            <v xml:space="preserve">Seribu delapan ratus delapan puluh delapan  </v>
          </cell>
        </row>
        <row r="1892">
          <cell r="A1892">
            <v>1889</v>
          </cell>
          <cell r="B1892" t="str">
            <v xml:space="preserve">Seribu delapan ratus delapan puluh sembilan  </v>
          </cell>
        </row>
        <row r="1893">
          <cell r="A1893">
            <v>1890</v>
          </cell>
          <cell r="B1893" t="str">
            <v xml:space="preserve">Seribu delapan ratus sembilan puluh  </v>
          </cell>
        </row>
        <row r="1894">
          <cell r="A1894">
            <v>1891</v>
          </cell>
          <cell r="B1894" t="str">
            <v xml:space="preserve">Seribu delapan ratus sembilan puluh satu  </v>
          </cell>
        </row>
        <row r="1895">
          <cell r="A1895">
            <v>1892</v>
          </cell>
          <cell r="B1895" t="str">
            <v xml:space="preserve">Seribu delapan ratus sembilan puluh dua  </v>
          </cell>
        </row>
        <row r="1896">
          <cell r="A1896">
            <v>1893</v>
          </cell>
          <cell r="B1896" t="str">
            <v xml:space="preserve">Seribu delapan ratus sembilan puluh tiga  </v>
          </cell>
        </row>
        <row r="1897">
          <cell r="A1897">
            <v>1894</v>
          </cell>
          <cell r="B1897" t="str">
            <v xml:space="preserve">Seribu delapan ratus sembilan puluh empat  </v>
          </cell>
        </row>
        <row r="1898">
          <cell r="A1898">
            <v>1895</v>
          </cell>
          <cell r="B1898" t="str">
            <v xml:space="preserve">Seribu delapan ratus sembilan puluh lima  </v>
          </cell>
        </row>
        <row r="1899">
          <cell r="A1899">
            <v>1896</v>
          </cell>
          <cell r="B1899" t="str">
            <v xml:space="preserve">Seribu delapan ratus sembilan puluh enam  </v>
          </cell>
        </row>
        <row r="1900">
          <cell r="A1900">
            <v>1897</v>
          </cell>
          <cell r="B1900" t="str">
            <v xml:space="preserve">Seribu delapan ratus sembilan puluh tujuh  </v>
          </cell>
        </row>
        <row r="1901">
          <cell r="A1901">
            <v>1898</v>
          </cell>
          <cell r="B1901" t="str">
            <v xml:space="preserve">Seribu delapan ratus sembilan puluh delapan  </v>
          </cell>
        </row>
        <row r="1902">
          <cell r="A1902">
            <v>1899</v>
          </cell>
          <cell r="B1902" t="str">
            <v xml:space="preserve">Seribu delapan ratus sembilan puluh sembilan  </v>
          </cell>
        </row>
        <row r="1903">
          <cell r="A1903">
            <v>1900</v>
          </cell>
          <cell r="B1903" t="str">
            <v xml:space="preserve">Seribu sembilan ratus  </v>
          </cell>
        </row>
        <row r="1904">
          <cell r="A1904">
            <v>1901</v>
          </cell>
          <cell r="B1904" t="str">
            <v xml:space="preserve">Seribu sembilan ratus satu  </v>
          </cell>
        </row>
        <row r="1905">
          <cell r="A1905">
            <v>1902</v>
          </cell>
          <cell r="B1905" t="str">
            <v xml:space="preserve">Seribu sembilan ratus dua  </v>
          </cell>
        </row>
        <row r="1906">
          <cell r="A1906">
            <v>1903</v>
          </cell>
          <cell r="B1906" t="str">
            <v xml:space="preserve">Seribu sembilan ratus tiga  </v>
          </cell>
        </row>
        <row r="1907">
          <cell r="A1907">
            <v>1904</v>
          </cell>
          <cell r="B1907" t="str">
            <v xml:space="preserve">Seribu sembilan ratus empat  </v>
          </cell>
        </row>
        <row r="1908">
          <cell r="A1908">
            <v>1905</v>
          </cell>
          <cell r="B1908" t="str">
            <v xml:space="preserve">Seribu sembilan ratus lima  </v>
          </cell>
        </row>
        <row r="1909">
          <cell r="A1909">
            <v>1906</v>
          </cell>
          <cell r="B1909" t="str">
            <v xml:space="preserve">Seribu sembilan ratus enam  </v>
          </cell>
        </row>
        <row r="1910">
          <cell r="A1910">
            <v>1907</v>
          </cell>
          <cell r="B1910" t="str">
            <v xml:space="preserve">Seribu sembilan ratus tujuh  </v>
          </cell>
        </row>
        <row r="1911">
          <cell r="A1911">
            <v>1908</v>
          </cell>
          <cell r="B1911" t="str">
            <v xml:space="preserve">Seribu sembilan ratus delapan  </v>
          </cell>
        </row>
        <row r="1912">
          <cell r="A1912">
            <v>1909</v>
          </cell>
          <cell r="B1912" t="str">
            <v xml:space="preserve">Seribu sembilan ratus sembilan  </v>
          </cell>
        </row>
        <row r="1913">
          <cell r="A1913">
            <v>1910</v>
          </cell>
          <cell r="B1913" t="str">
            <v xml:space="preserve">Seribu sembilan ratus sepuluh  </v>
          </cell>
        </row>
        <row r="1914">
          <cell r="A1914">
            <v>1911</v>
          </cell>
          <cell r="B1914" t="str">
            <v xml:space="preserve">Seribu sembilan ratus sebelas  </v>
          </cell>
        </row>
        <row r="1915">
          <cell r="A1915">
            <v>1912</v>
          </cell>
          <cell r="B1915" t="str">
            <v xml:space="preserve">Seribu sembilan ratus dua belas  </v>
          </cell>
        </row>
        <row r="1916">
          <cell r="A1916">
            <v>1913</v>
          </cell>
          <cell r="B1916" t="str">
            <v xml:space="preserve">Seribu sembilan ratus tiga belas  </v>
          </cell>
        </row>
        <row r="1917">
          <cell r="A1917">
            <v>1914</v>
          </cell>
          <cell r="B1917" t="str">
            <v xml:space="preserve">Seribu sembilan ratus empat belas  </v>
          </cell>
        </row>
        <row r="1918">
          <cell r="A1918">
            <v>1915</v>
          </cell>
          <cell r="B1918" t="str">
            <v xml:space="preserve">Seribu sembilan ratus lima belas  </v>
          </cell>
        </row>
        <row r="1919">
          <cell r="A1919">
            <v>1916</v>
          </cell>
          <cell r="B1919" t="str">
            <v xml:space="preserve">Seribu sembilan ratus enam belas  </v>
          </cell>
        </row>
        <row r="1920">
          <cell r="A1920">
            <v>1917</v>
          </cell>
          <cell r="B1920" t="str">
            <v xml:space="preserve">Seribu sembilan ratus tujuh belas  </v>
          </cell>
        </row>
        <row r="1921">
          <cell r="A1921">
            <v>1918</v>
          </cell>
          <cell r="B1921" t="str">
            <v xml:space="preserve">Seribu sembilan ratus delapan belas  </v>
          </cell>
        </row>
        <row r="1922">
          <cell r="A1922">
            <v>1919</v>
          </cell>
          <cell r="B1922" t="str">
            <v xml:space="preserve">Seribu sembilan ratus sembilan belas  </v>
          </cell>
        </row>
        <row r="1923">
          <cell r="A1923">
            <v>1920</v>
          </cell>
          <cell r="B1923" t="str">
            <v xml:space="preserve">Seribu sembilan ratus dua puluh  </v>
          </cell>
        </row>
        <row r="1924">
          <cell r="A1924">
            <v>1921</v>
          </cell>
          <cell r="B1924" t="str">
            <v xml:space="preserve">Seribu sembilan ratus dua puluh satu  </v>
          </cell>
        </row>
        <row r="1925">
          <cell r="A1925">
            <v>1922</v>
          </cell>
          <cell r="B1925" t="str">
            <v xml:space="preserve">Seribu sembilan ratus dua puluh dua  </v>
          </cell>
        </row>
        <row r="1926">
          <cell r="A1926">
            <v>1923</v>
          </cell>
          <cell r="B1926" t="str">
            <v xml:space="preserve">Seribu sembilan ratus dua puluh tiga  </v>
          </cell>
        </row>
        <row r="1927">
          <cell r="A1927">
            <v>1924</v>
          </cell>
          <cell r="B1927" t="str">
            <v xml:space="preserve">Seribu sembilan ratus dua puluh empat  </v>
          </cell>
        </row>
        <row r="1928">
          <cell r="A1928">
            <v>1925</v>
          </cell>
          <cell r="B1928" t="str">
            <v xml:space="preserve">Seribu sembilan ratus dua puluh lima  </v>
          </cell>
        </row>
        <row r="1929">
          <cell r="A1929">
            <v>1926</v>
          </cell>
          <cell r="B1929" t="str">
            <v xml:space="preserve">Seribu sembilan ratus dua puluh enam  </v>
          </cell>
        </row>
        <row r="1930">
          <cell r="A1930">
            <v>1927</v>
          </cell>
          <cell r="B1930" t="str">
            <v xml:space="preserve">Seribu sembilan ratus dua puluh tujuh  </v>
          </cell>
        </row>
        <row r="1931">
          <cell r="A1931">
            <v>1928</v>
          </cell>
          <cell r="B1931" t="str">
            <v xml:space="preserve">Seribu sembilan ratus dua puluh delapan  </v>
          </cell>
        </row>
        <row r="1932">
          <cell r="A1932">
            <v>1929</v>
          </cell>
          <cell r="B1932" t="str">
            <v xml:space="preserve">Seribu sembilan ratus dua puluh sembilan  </v>
          </cell>
        </row>
        <row r="1933">
          <cell r="A1933">
            <v>1930</v>
          </cell>
          <cell r="B1933" t="str">
            <v xml:space="preserve">Seribu sembilan ratus tiga puluh  </v>
          </cell>
        </row>
        <row r="1934">
          <cell r="A1934">
            <v>1931</v>
          </cell>
          <cell r="B1934" t="str">
            <v xml:space="preserve">Seribu sembilan ratus tiga puluh satu  </v>
          </cell>
        </row>
        <row r="1935">
          <cell r="A1935">
            <v>1932</v>
          </cell>
          <cell r="B1935" t="str">
            <v xml:space="preserve">Seribu sembilan ratus tiga puluh dua  </v>
          </cell>
        </row>
        <row r="1936">
          <cell r="A1936">
            <v>1933</v>
          </cell>
          <cell r="B1936" t="str">
            <v xml:space="preserve">Seribu sembilan ratus tiga puluh tiga  </v>
          </cell>
        </row>
        <row r="1937">
          <cell r="A1937">
            <v>1934</v>
          </cell>
          <cell r="B1937" t="str">
            <v xml:space="preserve">Seribu sembilan ratus tiga puluh empat  </v>
          </cell>
        </row>
        <row r="1938">
          <cell r="A1938">
            <v>1935</v>
          </cell>
          <cell r="B1938" t="str">
            <v xml:space="preserve">Seribu sembilan ratus tiga puluh lima  </v>
          </cell>
        </row>
        <row r="1939">
          <cell r="A1939">
            <v>1936</v>
          </cell>
          <cell r="B1939" t="str">
            <v xml:space="preserve">Seribu sembilan ratus tiga puluh enam  </v>
          </cell>
        </row>
        <row r="1940">
          <cell r="A1940">
            <v>1937</v>
          </cell>
          <cell r="B1940" t="str">
            <v xml:space="preserve">Seribu sembilan ratus tiga puluh tujuh  </v>
          </cell>
        </row>
        <row r="1941">
          <cell r="A1941">
            <v>1938</v>
          </cell>
          <cell r="B1941" t="str">
            <v xml:space="preserve">Seribu sembilan ratus tiga puluh delapan  </v>
          </cell>
        </row>
        <row r="1942">
          <cell r="A1942">
            <v>1939</v>
          </cell>
          <cell r="B1942" t="str">
            <v xml:space="preserve">Seribu sembilan ratus tiga puluh sembilan  </v>
          </cell>
        </row>
        <row r="1943">
          <cell r="A1943">
            <v>1940</v>
          </cell>
          <cell r="B1943" t="str">
            <v xml:space="preserve">Seribu sembilan ratus empat puluh  </v>
          </cell>
        </row>
        <row r="1944">
          <cell r="A1944">
            <v>1941</v>
          </cell>
          <cell r="B1944" t="str">
            <v xml:space="preserve">Seribu sembilan ratus empat puluh satu  </v>
          </cell>
        </row>
        <row r="1945">
          <cell r="A1945">
            <v>1942</v>
          </cell>
          <cell r="B1945" t="str">
            <v xml:space="preserve">Seribu sembilan ratus empat puluh dua  </v>
          </cell>
        </row>
        <row r="1946">
          <cell r="A1946">
            <v>1943</v>
          </cell>
          <cell r="B1946" t="str">
            <v xml:space="preserve">Seribu sembilan ratus empat puluh tiga  </v>
          </cell>
        </row>
        <row r="1947">
          <cell r="A1947">
            <v>1944</v>
          </cell>
          <cell r="B1947" t="str">
            <v xml:space="preserve">Seribu sembilan ratus empat puluh empat  </v>
          </cell>
        </row>
        <row r="1948">
          <cell r="A1948">
            <v>1945</v>
          </cell>
          <cell r="B1948" t="str">
            <v xml:space="preserve">Seribu sembilan ratus empat puluh lima  </v>
          </cell>
        </row>
        <row r="1949">
          <cell r="A1949">
            <v>1946</v>
          </cell>
          <cell r="B1949" t="str">
            <v xml:space="preserve">Seribu sembilan ratus empat puluh enam  </v>
          </cell>
        </row>
        <row r="1950">
          <cell r="A1950">
            <v>1947</v>
          </cell>
          <cell r="B1950" t="str">
            <v xml:space="preserve">Seribu sembilan ratus empat puluh tujuh  </v>
          </cell>
        </row>
        <row r="1951">
          <cell r="A1951">
            <v>1948</v>
          </cell>
          <cell r="B1951" t="str">
            <v xml:space="preserve">Seribu sembilan ratus empat puluh delapan  </v>
          </cell>
        </row>
        <row r="1952">
          <cell r="A1952">
            <v>1949</v>
          </cell>
          <cell r="B1952" t="str">
            <v xml:space="preserve">Seribu sembilan ratus empat puluh sembilan  </v>
          </cell>
        </row>
        <row r="1953">
          <cell r="A1953">
            <v>1950</v>
          </cell>
          <cell r="B1953" t="str">
            <v xml:space="preserve">Seribu sembilan ratus lima puluh  </v>
          </cell>
        </row>
        <row r="1954">
          <cell r="A1954">
            <v>1951</v>
          </cell>
          <cell r="B1954" t="str">
            <v xml:space="preserve">Seribu sembilan ratus lima puluh satu  </v>
          </cell>
        </row>
        <row r="1955">
          <cell r="A1955">
            <v>1952</v>
          </cell>
          <cell r="B1955" t="str">
            <v xml:space="preserve">Seribu sembilan ratus lima puluh dua  </v>
          </cell>
        </row>
        <row r="1956">
          <cell r="A1956">
            <v>1953</v>
          </cell>
          <cell r="B1956" t="str">
            <v xml:space="preserve">Seribu sembilan ratus lima puluh tiga  </v>
          </cell>
        </row>
        <row r="1957">
          <cell r="A1957">
            <v>1954</v>
          </cell>
          <cell r="B1957" t="str">
            <v xml:space="preserve">Seribu sembilan ratus lima puluh empat  </v>
          </cell>
        </row>
        <row r="1958">
          <cell r="A1958">
            <v>1955</v>
          </cell>
          <cell r="B1958" t="str">
            <v xml:space="preserve">Seribu sembilan ratus lima puluh lima  </v>
          </cell>
        </row>
        <row r="1959">
          <cell r="A1959">
            <v>1956</v>
          </cell>
          <cell r="B1959" t="str">
            <v xml:space="preserve">Seribu sembilan ratus lima puluh enam  </v>
          </cell>
        </row>
        <row r="1960">
          <cell r="A1960">
            <v>1957</v>
          </cell>
          <cell r="B1960" t="str">
            <v xml:space="preserve">Seribu sembilan ratus lima puluh tujuh  </v>
          </cell>
        </row>
        <row r="1961">
          <cell r="A1961">
            <v>1958</v>
          </cell>
          <cell r="B1961" t="str">
            <v xml:space="preserve">Seribu sembilan ratus lima puluh delapan  </v>
          </cell>
        </row>
        <row r="1962">
          <cell r="A1962">
            <v>1959</v>
          </cell>
          <cell r="B1962" t="str">
            <v xml:space="preserve">Seribu sembilan ratus lima puluh sembilan  </v>
          </cell>
        </row>
        <row r="1963">
          <cell r="A1963">
            <v>1960</v>
          </cell>
          <cell r="B1963" t="str">
            <v xml:space="preserve">Seribu sembilan ratus enam puluh  </v>
          </cell>
        </row>
        <row r="1964">
          <cell r="A1964">
            <v>1961</v>
          </cell>
          <cell r="B1964" t="str">
            <v xml:space="preserve">Seribu sembilan ratus enam puluh satu  </v>
          </cell>
        </row>
        <row r="1965">
          <cell r="A1965">
            <v>1962</v>
          </cell>
          <cell r="B1965" t="str">
            <v xml:space="preserve">Seribu sembilan ratus enam puluh dua  </v>
          </cell>
        </row>
        <row r="1966">
          <cell r="A1966">
            <v>1963</v>
          </cell>
          <cell r="B1966" t="str">
            <v xml:space="preserve">Seribu sembilan ratus enam puluh tiga  </v>
          </cell>
        </row>
        <row r="1967">
          <cell r="A1967">
            <v>1964</v>
          </cell>
          <cell r="B1967" t="str">
            <v xml:space="preserve">Seribu sembilan ratus enam puluh empat  </v>
          </cell>
        </row>
        <row r="1968">
          <cell r="A1968">
            <v>1965</v>
          </cell>
          <cell r="B1968" t="str">
            <v xml:space="preserve">Seribu sembilan ratus enam puluh lima  </v>
          </cell>
        </row>
        <row r="1969">
          <cell r="A1969">
            <v>1966</v>
          </cell>
          <cell r="B1969" t="str">
            <v xml:space="preserve">Seribu sembilan ratus enam puluh enam  </v>
          </cell>
        </row>
        <row r="1970">
          <cell r="A1970">
            <v>1967</v>
          </cell>
          <cell r="B1970" t="str">
            <v xml:space="preserve">Seribu sembilan ratus enam puluh tujuh  </v>
          </cell>
        </row>
        <row r="1971">
          <cell r="A1971">
            <v>1968</v>
          </cell>
          <cell r="B1971" t="str">
            <v xml:space="preserve">Seribu sembilan ratus enam puluh delapan  </v>
          </cell>
        </row>
        <row r="1972">
          <cell r="A1972">
            <v>1969</v>
          </cell>
          <cell r="B1972" t="str">
            <v xml:space="preserve">Seribu sembilan ratus enam puluh sembilan  </v>
          </cell>
        </row>
        <row r="1973">
          <cell r="A1973">
            <v>1970</v>
          </cell>
          <cell r="B1973" t="str">
            <v xml:space="preserve">Seribu sembilan ratus tujuh puluh  </v>
          </cell>
        </row>
        <row r="1974">
          <cell r="A1974">
            <v>1971</v>
          </cell>
          <cell r="B1974" t="str">
            <v xml:space="preserve">Seribu sembilan ratus tujuh puluh satu  </v>
          </cell>
        </row>
        <row r="1975">
          <cell r="A1975">
            <v>1972</v>
          </cell>
          <cell r="B1975" t="str">
            <v xml:space="preserve">Seribu sembilan ratus tujuh puluh dua  </v>
          </cell>
        </row>
        <row r="1976">
          <cell r="A1976">
            <v>1973</v>
          </cell>
          <cell r="B1976" t="str">
            <v xml:space="preserve">Seribu sembilan ratus tujuh puluh tiga  </v>
          </cell>
        </row>
        <row r="1977">
          <cell r="A1977">
            <v>1974</v>
          </cell>
          <cell r="B1977" t="str">
            <v xml:space="preserve">Seribu sembilan ratus tujuh puluh empat  </v>
          </cell>
        </row>
        <row r="1978">
          <cell r="A1978">
            <v>1975</v>
          </cell>
          <cell r="B1978" t="str">
            <v xml:space="preserve">Seribu sembilan ratus tujuh puluh lima  </v>
          </cell>
        </row>
        <row r="1979">
          <cell r="A1979">
            <v>1976</v>
          </cell>
          <cell r="B1979" t="str">
            <v xml:space="preserve">Seribu sembilan ratus tujuh puluh enam  </v>
          </cell>
        </row>
        <row r="1980">
          <cell r="A1980">
            <v>1977</v>
          </cell>
          <cell r="B1980" t="str">
            <v xml:space="preserve">Seribu sembilan ratus tujuh puluh tujuh  </v>
          </cell>
        </row>
        <row r="1981">
          <cell r="A1981">
            <v>1978</v>
          </cell>
          <cell r="B1981" t="str">
            <v xml:space="preserve">Seribu sembilan ratus tujuh puluh delapan  </v>
          </cell>
        </row>
        <row r="1982">
          <cell r="A1982">
            <v>1979</v>
          </cell>
          <cell r="B1982" t="str">
            <v xml:space="preserve">Seribu sembilan ratus tujuh puluh sembilan  </v>
          </cell>
        </row>
        <row r="1983">
          <cell r="A1983">
            <v>1980</v>
          </cell>
          <cell r="B1983" t="str">
            <v xml:space="preserve">Seribu sembilan ratus delapan puluh  </v>
          </cell>
        </row>
        <row r="1984">
          <cell r="A1984">
            <v>1981</v>
          </cell>
          <cell r="B1984" t="str">
            <v xml:space="preserve">Seribu sembilan ratus delapan puluh satu  </v>
          </cell>
        </row>
        <row r="1985">
          <cell r="A1985">
            <v>1982</v>
          </cell>
          <cell r="B1985" t="str">
            <v xml:space="preserve">Seribu sembilan ratus delapan puluh dua  </v>
          </cell>
        </row>
        <row r="1986">
          <cell r="A1986">
            <v>1983</v>
          </cell>
          <cell r="B1986" t="str">
            <v xml:space="preserve">Seribu sembilan ratus delapan puluh tiga  </v>
          </cell>
        </row>
        <row r="1987">
          <cell r="A1987">
            <v>1984</v>
          </cell>
          <cell r="B1987" t="str">
            <v xml:space="preserve">Seribu sembilan ratus delapan puluh empat  </v>
          </cell>
        </row>
        <row r="1988">
          <cell r="A1988">
            <v>1985</v>
          </cell>
          <cell r="B1988" t="str">
            <v xml:space="preserve">Seribu sembilan ratus delapan puluh lima  </v>
          </cell>
        </row>
        <row r="1989">
          <cell r="A1989">
            <v>1986</v>
          </cell>
          <cell r="B1989" t="str">
            <v xml:space="preserve">Seribu sembilan ratus delapan puluh enam  </v>
          </cell>
        </row>
        <row r="1990">
          <cell r="A1990">
            <v>1987</v>
          </cell>
          <cell r="B1990" t="str">
            <v xml:space="preserve">Seribu sembilan ratus delapan puluh tujuh  </v>
          </cell>
        </row>
        <row r="1991">
          <cell r="A1991">
            <v>1988</v>
          </cell>
          <cell r="B1991" t="str">
            <v xml:space="preserve">Seribu sembilan ratus delapan puluh delapan  </v>
          </cell>
        </row>
        <row r="1992">
          <cell r="A1992">
            <v>1989</v>
          </cell>
          <cell r="B1992" t="str">
            <v xml:space="preserve">Seribu sembilan ratus delapan puluh sembilan  </v>
          </cell>
        </row>
        <row r="1993">
          <cell r="A1993">
            <v>1990</v>
          </cell>
          <cell r="B1993" t="str">
            <v xml:space="preserve">Seribu sembilan ratus sembilan puluh  </v>
          </cell>
        </row>
        <row r="1994">
          <cell r="A1994">
            <v>1991</v>
          </cell>
          <cell r="B1994" t="str">
            <v xml:space="preserve">Seribu sembilan ratus sembilan puluh satu  </v>
          </cell>
        </row>
        <row r="1995">
          <cell r="A1995">
            <v>1992</v>
          </cell>
          <cell r="B1995" t="str">
            <v xml:space="preserve">Seribu sembilan ratus sembilan puluh dua  </v>
          </cell>
        </row>
        <row r="1996">
          <cell r="A1996">
            <v>1993</v>
          </cell>
          <cell r="B1996" t="str">
            <v xml:space="preserve">Seribu sembilan ratus sembilan puluh tiga  </v>
          </cell>
        </row>
        <row r="1997">
          <cell r="A1997">
            <v>1994</v>
          </cell>
          <cell r="B1997" t="str">
            <v xml:space="preserve">Seribu sembilan ratus sembilan puluh empat  </v>
          </cell>
        </row>
        <row r="1998">
          <cell r="A1998">
            <v>1995</v>
          </cell>
          <cell r="B1998" t="str">
            <v xml:space="preserve">Seribu sembilan ratus sembilan puluh lima  </v>
          </cell>
        </row>
        <row r="1999">
          <cell r="A1999">
            <v>1996</v>
          </cell>
          <cell r="B1999" t="str">
            <v xml:space="preserve">Seribu sembilan ratus sembilan puluh enam  </v>
          </cell>
        </row>
        <row r="2000">
          <cell r="A2000">
            <v>1997</v>
          </cell>
          <cell r="B2000" t="str">
            <v xml:space="preserve">Seribu sembilan ratus sembilan puluh tujuh  </v>
          </cell>
        </row>
        <row r="2001">
          <cell r="A2001">
            <v>1998</v>
          </cell>
          <cell r="B2001" t="str">
            <v xml:space="preserve">Seribu sembilan ratus sembilan puluh delapan  </v>
          </cell>
        </row>
        <row r="2002">
          <cell r="A2002">
            <v>1999</v>
          </cell>
          <cell r="B2002" t="str">
            <v xml:space="preserve">Seribu sembilan ratus sembilan puluh sembilan  </v>
          </cell>
        </row>
        <row r="2003">
          <cell r="A2003">
            <v>2000</v>
          </cell>
          <cell r="B2003" t="str">
            <v xml:space="preserve">Dua ribu  </v>
          </cell>
        </row>
        <row r="2004">
          <cell r="A2004">
            <v>2001</v>
          </cell>
          <cell r="B2004" t="str">
            <v xml:space="preserve">Dua ribu satu  </v>
          </cell>
        </row>
        <row r="2005">
          <cell r="A2005">
            <v>2002</v>
          </cell>
          <cell r="B2005" t="str">
            <v xml:space="preserve">Dua ribu dua  </v>
          </cell>
        </row>
        <row r="2006">
          <cell r="A2006">
            <v>2003</v>
          </cell>
          <cell r="B2006" t="str">
            <v xml:space="preserve">Dua ribu tiga  </v>
          </cell>
        </row>
        <row r="2007">
          <cell r="A2007">
            <v>2004</v>
          </cell>
          <cell r="B2007" t="str">
            <v xml:space="preserve">Dua ribu empat  </v>
          </cell>
        </row>
        <row r="2008">
          <cell r="A2008">
            <v>2005</v>
          </cell>
          <cell r="B2008" t="str">
            <v xml:space="preserve">Dua ribu lima  </v>
          </cell>
        </row>
        <row r="2009">
          <cell r="A2009">
            <v>2006</v>
          </cell>
          <cell r="B2009" t="str">
            <v xml:space="preserve">Dua ribu enam  </v>
          </cell>
        </row>
        <row r="2010">
          <cell r="A2010">
            <v>2007</v>
          </cell>
          <cell r="B2010" t="str">
            <v xml:space="preserve">Dua ribu tujuh  </v>
          </cell>
        </row>
        <row r="2011">
          <cell r="A2011">
            <v>2008</v>
          </cell>
          <cell r="B2011" t="str">
            <v xml:space="preserve">Dua ribu delapan  </v>
          </cell>
        </row>
        <row r="2012">
          <cell r="A2012">
            <v>2009</v>
          </cell>
          <cell r="B2012" t="str">
            <v xml:space="preserve">Dua ribu sembilan  </v>
          </cell>
        </row>
        <row r="2013">
          <cell r="A2013">
            <v>2010</v>
          </cell>
          <cell r="B2013" t="str">
            <v xml:space="preserve">Dua ribu sepuluh  </v>
          </cell>
        </row>
        <row r="2014">
          <cell r="A2014">
            <v>2011</v>
          </cell>
          <cell r="B2014" t="str">
            <v xml:space="preserve">Dua ribu sebelas  </v>
          </cell>
        </row>
        <row r="2015">
          <cell r="A2015">
            <v>2012</v>
          </cell>
          <cell r="B2015" t="str">
            <v xml:space="preserve">Dua ribu dua belas  </v>
          </cell>
        </row>
        <row r="2016">
          <cell r="A2016">
            <v>2013</v>
          </cell>
          <cell r="B2016" t="str">
            <v xml:space="preserve">Dua ribu tiga belas  </v>
          </cell>
        </row>
        <row r="2017">
          <cell r="A2017">
            <v>2014</v>
          </cell>
          <cell r="B2017" t="str">
            <v xml:space="preserve">Dua ribu empat belas  </v>
          </cell>
        </row>
        <row r="2018">
          <cell r="A2018">
            <v>2015</v>
          </cell>
          <cell r="B2018" t="str">
            <v xml:space="preserve">Dua ribu lima belas  </v>
          </cell>
        </row>
        <row r="2019">
          <cell r="A2019">
            <v>2016</v>
          </cell>
          <cell r="B2019" t="str">
            <v xml:space="preserve">Dua ribu enam belas  </v>
          </cell>
        </row>
        <row r="2020">
          <cell r="A2020">
            <v>2017</v>
          </cell>
          <cell r="B2020" t="str">
            <v xml:space="preserve">Dua ribu tujuh belas  </v>
          </cell>
        </row>
        <row r="2021">
          <cell r="A2021">
            <v>2018</v>
          </cell>
          <cell r="B2021" t="str">
            <v xml:space="preserve">Dua ribu delapan belas  </v>
          </cell>
        </row>
        <row r="2022">
          <cell r="A2022">
            <v>2019</v>
          </cell>
          <cell r="B2022" t="str">
            <v xml:space="preserve">Dua ribu sembilan belas  </v>
          </cell>
        </row>
        <row r="2023">
          <cell r="A2023">
            <v>2020</v>
          </cell>
          <cell r="B2023" t="str">
            <v xml:space="preserve">Dua ribu dua puluh  </v>
          </cell>
        </row>
        <row r="2024">
          <cell r="A2024">
            <v>2021</v>
          </cell>
          <cell r="B2024" t="str">
            <v xml:space="preserve">Dua ribu dua puluh satu  </v>
          </cell>
        </row>
        <row r="2025">
          <cell r="A2025">
            <v>2022</v>
          </cell>
          <cell r="B2025" t="str">
            <v xml:space="preserve">Dua ribu dua puluh dua  </v>
          </cell>
        </row>
        <row r="2026">
          <cell r="A2026">
            <v>2023</v>
          </cell>
          <cell r="B2026" t="str">
            <v xml:space="preserve">Dua ribu dua puluh tiga  </v>
          </cell>
        </row>
        <row r="2027">
          <cell r="A2027">
            <v>2024</v>
          </cell>
          <cell r="B2027" t="str">
            <v xml:space="preserve">Dua ribu dua puluh empat  </v>
          </cell>
        </row>
        <row r="2028">
          <cell r="A2028">
            <v>2025</v>
          </cell>
          <cell r="B2028" t="str">
            <v xml:space="preserve">Dua ribu dua puluh lima  </v>
          </cell>
        </row>
        <row r="2029">
          <cell r="A2029">
            <v>2026</v>
          </cell>
          <cell r="B2029" t="str">
            <v xml:space="preserve">Dua ribu dua puluh enam  </v>
          </cell>
        </row>
        <row r="2030">
          <cell r="A2030">
            <v>2027</v>
          </cell>
          <cell r="B2030" t="str">
            <v xml:space="preserve">Dua ribu dua puluh tujuh  </v>
          </cell>
        </row>
        <row r="2031">
          <cell r="A2031">
            <v>2028</v>
          </cell>
          <cell r="B2031" t="str">
            <v xml:space="preserve">Dua ribu dua puluh delapan  </v>
          </cell>
        </row>
        <row r="2032">
          <cell r="A2032">
            <v>2029</v>
          </cell>
          <cell r="B2032" t="str">
            <v xml:space="preserve">Dua ribu dua puluh sembilan  </v>
          </cell>
        </row>
        <row r="2033">
          <cell r="A2033">
            <v>2030</v>
          </cell>
          <cell r="B2033" t="str">
            <v xml:space="preserve">Dua ribu tiga puluh  </v>
          </cell>
        </row>
        <row r="2034">
          <cell r="A2034">
            <v>2031</v>
          </cell>
          <cell r="B2034" t="str">
            <v xml:space="preserve">Dua ribu tiga puluh satu  </v>
          </cell>
        </row>
        <row r="2035">
          <cell r="A2035">
            <v>2032</v>
          </cell>
          <cell r="B2035" t="str">
            <v xml:space="preserve">Dua ribu tiga puluh dua  </v>
          </cell>
        </row>
        <row r="2036">
          <cell r="A2036">
            <v>2033</v>
          </cell>
          <cell r="B2036" t="str">
            <v xml:space="preserve">Dua ribu tiga puluh tiga  </v>
          </cell>
        </row>
        <row r="2037">
          <cell r="A2037">
            <v>2034</v>
          </cell>
          <cell r="B2037" t="str">
            <v xml:space="preserve">Dua ribu tiga puluh empat  </v>
          </cell>
        </row>
        <row r="2038">
          <cell r="A2038">
            <v>2035</v>
          </cell>
          <cell r="B2038" t="str">
            <v xml:space="preserve">Dua ribu tiga puluh lima  </v>
          </cell>
        </row>
        <row r="2039">
          <cell r="A2039">
            <v>2036</v>
          </cell>
          <cell r="B2039" t="str">
            <v xml:space="preserve">Dua ribu tiga puluh enam  </v>
          </cell>
        </row>
        <row r="2040">
          <cell r="A2040">
            <v>2037</v>
          </cell>
          <cell r="B2040" t="str">
            <v xml:space="preserve">Dua ribu tiga puluh tujuh  </v>
          </cell>
        </row>
        <row r="2041">
          <cell r="A2041">
            <v>2038</v>
          </cell>
          <cell r="B2041" t="str">
            <v xml:space="preserve">Dua ribu tiga puluh delapan  </v>
          </cell>
        </row>
        <row r="2042">
          <cell r="A2042">
            <v>2039</v>
          </cell>
          <cell r="B2042" t="str">
            <v xml:space="preserve">Dua ribu tiga puluh sembilan  </v>
          </cell>
        </row>
        <row r="2043">
          <cell r="A2043">
            <v>2040</v>
          </cell>
          <cell r="B2043" t="str">
            <v xml:space="preserve">Dua ribu empat puluh  </v>
          </cell>
        </row>
        <row r="2044">
          <cell r="A2044">
            <v>2041</v>
          </cell>
          <cell r="B2044" t="str">
            <v xml:space="preserve">Dua ribu empat puluh satu  </v>
          </cell>
        </row>
        <row r="2045">
          <cell r="A2045">
            <v>2042</v>
          </cell>
          <cell r="B2045" t="str">
            <v xml:space="preserve">Dua ribu empat puluh dua  </v>
          </cell>
        </row>
        <row r="2046">
          <cell r="A2046">
            <v>2043</v>
          </cell>
          <cell r="B2046" t="str">
            <v xml:space="preserve">Dua ribu empat puluh tiga  </v>
          </cell>
        </row>
        <row r="2047">
          <cell r="A2047">
            <v>2044</v>
          </cell>
          <cell r="B2047" t="str">
            <v xml:space="preserve">Dua ribu empat puluh empat  </v>
          </cell>
        </row>
        <row r="2048">
          <cell r="A2048">
            <v>2045</v>
          </cell>
          <cell r="B2048" t="str">
            <v xml:space="preserve">Dua ribu empat puluh lima  </v>
          </cell>
        </row>
        <row r="2049">
          <cell r="A2049">
            <v>2046</v>
          </cell>
          <cell r="B2049" t="str">
            <v xml:space="preserve">Dua ribu empat puluh enam  </v>
          </cell>
        </row>
        <row r="2050">
          <cell r="A2050">
            <v>2047</v>
          </cell>
          <cell r="B2050" t="str">
            <v xml:space="preserve">Dua ribu empat puluh tujuh  </v>
          </cell>
        </row>
        <row r="2051">
          <cell r="A2051">
            <v>2048</v>
          </cell>
          <cell r="B2051" t="str">
            <v xml:space="preserve">Dua ribu empat puluh delapan  </v>
          </cell>
        </row>
        <row r="2052">
          <cell r="A2052">
            <v>2049</v>
          </cell>
          <cell r="B2052" t="str">
            <v xml:space="preserve">Dua ribu empat puluh sembilan  </v>
          </cell>
        </row>
        <row r="2053">
          <cell r="A2053">
            <v>2050</v>
          </cell>
          <cell r="B2053" t="str">
            <v xml:space="preserve">Dua ribu lima puluh  </v>
          </cell>
        </row>
        <row r="2054">
          <cell r="A2054">
            <v>2051</v>
          </cell>
          <cell r="B2054" t="str">
            <v xml:space="preserve">Dua ribu lima puluh satu  </v>
          </cell>
        </row>
        <row r="2055">
          <cell r="A2055">
            <v>2052</v>
          </cell>
          <cell r="B2055" t="str">
            <v xml:space="preserve">Dua ribu lima puluh dua  </v>
          </cell>
        </row>
        <row r="2056">
          <cell r="A2056">
            <v>2053</v>
          </cell>
          <cell r="B2056" t="str">
            <v xml:space="preserve">Dua ribu lima puluh tiga  </v>
          </cell>
        </row>
        <row r="2057">
          <cell r="A2057">
            <v>2054</v>
          </cell>
          <cell r="B2057" t="str">
            <v xml:space="preserve">Dua ribu lima puluh empat  </v>
          </cell>
        </row>
        <row r="2058">
          <cell r="A2058">
            <v>2055</v>
          </cell>
          <cell r="B2058" t="str">
            <v xml:space="preserve">Dua ribu lima puluh lima  </v>
          </cell>
        </row>
        <row r="2059">
          <cell r="A2059">
            <v>2056</v>
          </cell>
          <cell r="B2059" t="str">
            <v xml:space="preserve">Dua ribu lima puluh enam  </v>
          </cell>
        </row>
        <row r="2060">
          <cell r="A2060">
            <v>2057</v>
          </cell>
          <cell r="B2060" t="str">
            <v xml:space="preserve">Dua ribu lima puluh tujuh  </v>
          </cell>
        </row>
        <row r="2061">
          <cell r="A2061">
            <v>2058</v>
          </cell>
          <cell r="B2061" t="str">
            <v xml:space="preserve">Dua ribu lima puluh delapan  </v>
          </cell>
        </row>
        <row r="2062">
          <cell r="A2062">
            <v>2059</v>
          </cell>
          <cell r="B2062" t="str">
            <v xml:space="preserve">Dua ribu lima puluh sembilan  </v>
          </cell>
        </row>
        <row r="2063">
          <cell r="A2063">
            <v>2060</v>
          </cell>
          <cell r="B2063" t="str">
            <v xml:space="preserve">Dua ribu enam puluh  </v>
          </cell>
        </row>
        <row r="2064">
          <cell r="A2064">
            <v>2061</v>
          </cell>
          <cell r="B2064" t="str">
            <v xml:space="preserve">Dua ribu enam puluh satu  </v>
          </cell>
        </row>
        <row r="2065">
          <cell r="A2065">
            <v>2062</v>
          </cell>
          <cell r="B2065" t="str">
            <v xml:space="preserve">Dua ribu enam puluh dua  </v>
          </cell>
        </row>
        <row r="2066">
          <cell r="A2066">
            <v>2063</v>
          </cell>
          <cell r="B2066" t="str">
            <v xml:space="preserve">Dua ribu enam puluh tiga  </v>
          </cell>
        </row>
        <row r="2067">
          <cell r="A2067">
            <v>2064</v>
          </cell>
          <cell r="B2067" t="str">
            <v xml:space="preserve">Dua ribu enam puluh empat  </v>
          </cell>
        </row>
        <row r="2068">
          <cell r="A2068">
            <v>2065</v>
          </cell>
          <cell r="B2068" t="str">
            <v xml:space="preserve">Dua ribu enam puluh lima  </v>
          </cell>
        </row>
        <row r="2069">
          <cell r="A2069">
            <v>2066</v>
          </cell>
          <cell r="B2069" t="str">
            <v xml:space="preserve">Dua ribu enam puluh enam  </v>
          </cell>
        </row>
        <row r="2070">
          <cell r="A2070">
            <v>2067</v>
          </cell>
          <cell r="B2070" t="str">
            <v xml:space="preserve">Dua ribu enam puluh tujuh  </v>
          </cell>
        </row>
        <row r="2071">
          <cell r="A2071">
            <v>2068</v>
          </cell>
          <cell r="B2071" t="str">
            <v xml:space="preserve">Dua ribu enam puluh delapan  </v>
          </cell>
        </row>
        <row r="2072">
          <cell r="A2072">
            <v>2069</v>
          </cell>
          <cell r="B2072" t="str">
            <v xml:space="preserve">Dua ribu enam puluh sembilan  </v>
          </cell>
        </row>
        <row r="2073">
          <cell r="A2073">
            <v>2070</v>
          </cell>
          <cell r="B2073" t="str">
            <v xml:space="preserve">Dua ribu tujuh puluh  </v>
          </cell>
        </row>
        <row r="2074">
          <cell r="A2074">
            <v>2071</v>
          </cell>
          <cell r="B2074" t="str">
            <v xml:space="preserve">Dua ribu tujuh puluh satu  </v>
          </cell>
        </row>
        <row r="2075">
          <cell r="A2075">
            <v>2072</v>
          </cell>
          <cell r="B2075" t="str">
            <v xml:space="preserve">Dua ribu tujuh puluh dua  </v>
          </cell>
        </row>
        <row r="2076">
          <cell r="A2076">
            <v>2073</v>
          </cell>
          <cell r="B2076" t="str">
            <v xml:space="preserve">Dua ribu tujuh puluh tiga  </v>
          </cell>
        </row>
        <row r="2077">
          <cell r="A2077">
            <v>2074</v>
          </cell>
          <cell r="B2077" t="str">
            <v xml:space="preserve">Dua ribu tujuh puluh empat  </v>
          </cell>
        </row>
        <row r="2078">
          <cell r="A2078">
            <v>2075</v>
          </cell>
          <cell r="B2078" t="str">
            <v xml:space="preserve">Dua ribu tujuh puluh lima  </v>
          </cell>
        </row>
        <row r="2079">
          <cell r="A2079">
            <v>2076</v>
          </cell>
          <cell r="B2079" t="str">
            <v xml:space="preserve">Dua ribu tujuh puluh enam  </v>
          </cell>
        </row>
        <row r="2080">
          <cell r="A2080">
            <v>2077</v>
          </cell>
          <cell r="B2080" t="str">
            <v xml:space="preserve">Dua ribu tujuh puluh tujuh  </v>
          </cell>
        </row>
        <row r="2081">
          <cell r="A2081">
            <v>2078</v>
          </cell>
          <cell r="B2081" t="str">
            <v xml:space="preserve">Dua ribu tujuh puluh delapan  </v>
          </cell>
        </row>
        <row r="2082">
          <cell r="A2082">
            <v>2079</v>
          </cell>
          <cell r="B2082" t="str">
            <v xml:space="preserve">Dua ribu tujuh puluh sembilan  </v>
          </cell>
        </row>
        <row r="2083">
          <cell r="A2083">
            <v>2080</v>
          </cell>
          <cell r="B2083" t="str">
            <v xml:space="preserve">Dua ribu delapan puluh  </v>
          </cell>
        </row>
        <row r="2084">
          <cell r="A2084">
            <v>2081</v>
          </cell>
          <cell r="B2084" t="str">
            <v xml:space="preserve">Dua ribu delapan puluh satu  </v>
          </cell>
        </row>
        <row r="2085">
          <cell r="A2085">
            <v>2082</v>
          </cell>
          <cell r="B2085" t="str">
            <v xml:space="preserve">Dua ribu delapan puluh dua  </v>
          </cell>
        </row>
        <row r="2086">
          <cell r="A2086">
            <v>2083</v>
          </cell>
          <cell r="B2086" t="str">
            <v xml:space="preserve">Dua ribu delapan puluh tiga  </v>
          </cell>
        </row>
        <row r="2087">
          <cell r="A2087">
            <v>2084</v>
          </cell>
          <cell r="B2087" t="str">
            <v xml:space="preserve">Dua ribu delapan puluh empat  </v>
          </cell>
        </row>
        <row r="2088">
          <cell r="A2088">
            <v>2085</v>
          </cell>
          <cell r="B2088" t="str">
            <v xml:space="preserve">Dua ribu delapan puluh lima  </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SKK-KKM"/>
      <sheetName val="Pengaturan"/>
      <sheetName val="pesdik"/>
      <sheetName val="Cover"/>
      <sheetName val="Agama"/>
      <sheetName val="PPKN"/>
      <sheetName val="B.INDO"/>
      <sheetName val="ENGLISH"/>
      <sheetName val="MTK"/>
      <sheetName val="IPA"/>
      <sheetName val="IPS"/>
      <sheetName val="khusus1"/>
      <sheetName val="khusus2"/>
      <sheetName val="keterampilan1"/>
      <sheetName val="sikap"/>
      <sheetName val="Eskul"/>
      <sheetName val="Kegiatan"/>
      <sheetName val="catatan pj"/>
      <sheetName val="PK 3.1-3.2 (Setara K7)"/>
      <sheetName val="Sheet3"/>
      <sheetName val="Sheet2"/>
      <sheetName val="PK 3.3-3.4 (Setara K8)"/>
      <sheetName val="PK 4.1-4.2 (Setara K9)"/>
      <sheetName val="mutasi"/>
      <sheetName val="Sheet1"/>
      <sheetName val=""/>
    </sheetNames>
    <sheetDataSet>
      <sheetData sheetId="0" refreshError="1"/>
      <sheetData sheetId="1" refreshError="1"/>
      <sheetData sheetId="2" refreshError="1"/>
      <sheetData sheetId="3">
        <row r="6">
          <cell r="A6">
            <v>1</v>
          </cell>
          <cell r="B6">
            <v>272</v>
          </cell>
          <cell r="C6">
            <v>9988342301</v>
          </cell>
          <cell r="D6" t="str">
            <v>YESSI UMMI</v>
          </cell>
          <cell r="E6" t="str">
            <v>Laki-laki</v>
          </cell>
          <cell r="F6" t="str">
            <v>Jakarta</v>
          </cell>
          <cell r="G6">
            <v>37226</v>
          </cell>
          <cell r="H6" t="str">
            <v>Jl. YESSI UMMI No. 272 Jakarta</v>
          </cell>
          <cell r="I6">
            <v>2728342301</v>
          </cell>
          <cell r="J6" t="str">
            <v>08129988342301</v>
          </cell>
          <cell r="K6" t="str">
            <v>Islam</v>
          </cell>
          <cell r="L6">
            <v>1</v>
          </cell>
          <cell r="M6" t="str">
            <v>Anak Kandung</v>
          </cell>
          <cell r="N6" t="str">
            <v>SDN 02</v>
          </cell>
          <cell r="O6">
            <v>2014</v>
          </cell>
          <cell r="P6" t="str">
            <v>DN-05 Dd 0400980</v>
          </cell>
          <cell r="Q6" t="str">
            <v>01 Juli 2018</v>
          </cell>
          <cell r="R6" t="str">
            <v>VII</v>
          </cell>
          <cell r="S6" t="str">
            <v>Tingkatan 3 (Terampil 1)</v>
          </cell>
          <cell r="U6" t="str">
            <v>Ayahnya YESSI UMMI</v>
          </cell>
          <cell r="V6" t="str">
            <v>Buruh Tani</v>
          </cell>
          <cell r="W6" t="str">
            <v>Jl. YESSI UMMI No. 272 Jakarta</v>
          </cell>
          <cell r="X6">
            <v>1234567890</v>
          </cell>
          <cell r="Y6" t="str">
            <v>08521234567</v>
          </cell>
          <cell r="Z6" t="str">
            <v>Ibu YESSI UMMI</v>
          </cell>
          <cell r="AA6" t="str">
            <v>Mengurus rumah tangga</v>
          </cell>
          <cell r="AB6" t="str">
            <v>Jl. YESSI UMMI No. 272 Jakarta</v>
          </cell>
          <cell r="AC6">
            <v>1234567890</v>
          </cell>
          <cell r="AD6" t="str">
            <v>08521234567</v>
          </cell>
          <cell r="AE6" t="str">
            <v>Alina</v>
          </cell>
          <cell r="AF6" t="str">
            <v>Wiraswasta</v>
          </cell>
          <cell r="AG6" t="str">
            <v xml:space="preserve">Jl. pagi-pagi biar sehat </v>
          </cell>
          <cell r="AH6" t="str">
            <v>0211000000</v>
          </cell>
          <cell r="AI6" t="str">
            <v>08120000000</v>
          </cell>
          <cell r="AJ6" t="str">
            <v>B-0123.456</v>
          </cell>
        </row>
        <row r="7">
          <cell r="A7">
            <v>2</v>
          </cell>
          <cell r="B7">
            <v>273</v>
          </cell>
          <cell r="C7">
            <v>9988344304</v>
          </cell>
          <cell r="D7" t="str">
            <v>KURTUBI ZAENUDIN</v>
          </cell>
          <cell r="E7" t="str">
            <v>Laki-laki</v>
          </cell>
          <cell r="F7" t="str">
            <v>Jakarta</v>
          </cell>
          <cell r="G7">
            <v>36449</v>
          </cell>
          <cell r="H7" t="str">
            <v>Jl. KURTUBI ZAENUDIN No. 273 Jakarta</v>
          </cell>
          <cell r="I7" t="str">
            <v>2738344304</v>
          </cell>
          <cell r="J7" t="str">
            <v>08129988344304</v>
          </cell>
          <cell r="K7" t="str">
            <v>Islam</v>
          </cell>
          <cell r="L7">
            <v>2</v>
          </cell>
          <cell r="M7" t="str">
            <v>Anak Kandung</v>
          </cell>
          <cell r="N7" t="str">
            <v xml:space="preserve">MI </v>
          </cell>
          <cell r="O7">
            <v>2014</v>
          </cell>
          <cell r="P7" t="str">
            <v>DN-05 Dd 0403412</v>
          </cell>
          <cell r="Q7" t="str">
            <v>01 Juli 2018</v>
          </cell>
          <cell r="R7" t="str">
            <v>VIII</v>
          </cell>
          <cell r="S7" t="str">
            <v>Tingkatan 3 (Terampil 1)</v>
          </cell>
          <cell r="U7" t="str">
            <v>Ayahnya KURTUBI ZAENUDIN</v>
          </cell>
          <cell r="V7" t="str">
            <v>Buruh Tani</v>
          </cell>
          <cell r="W7" t="str">
            <v>Jl. KURTUBI ZAENUDIN No. 273 Jakarta</v>
          </cell>
          <cell r="X7">
            <v>1234567891</v>
          </cell>
          <cell r="Y7" t="str">
            <v>08521234567</v>
          </cell>
          <cell r="Z7" t="str">
            <v>Ibu KURTUBI ZAENUDIN</v>
          </cell>
          <cell r="AA7" t="str">
            <v>Mengurus rumah tangga</v>
          </cell>
          <cell r="AB7" t="str">
            <v>Jl. KURTUBI ZAENUDIN No. 273 Jakarta</v>
          </cell>
          <cell r="AC7">
            <v>1234567891</v>
          </cell>
          <cell r="AD7" t="str">
            <v>08521234567</v>
          </cell>
          <cell r="AE7" t="str">
            <v>Sulino</v>
          </cell>
          <cell r="AF7" t="str">
            <v>Wiraswasta</v>
          </cell>
          <cell r="AG7" t="str">
            <v>Jl. Sore hari tambah sehat</v>
          </cell>
          <cell r="AH7" t="str">
            <v>0211000001</v>
          </cell>
          <cell r="AI7" t="str">
            <v>08120000001</v>
          </cell>
          <cell r="AJ7" t="str">
            <v>B-0123.457</v>
          </cell>
        </row>
        <row r="8">
          <cell r="A8">
            <v>3</v>
          </cell>
          <cell r="B8">
            <v>274</v>
          </cell>
          <cell r="C8">
            <v>9988346307</v>
          </cell>
          <cell r="D8" t="str">
            <v>AFRIYANTI</v>
          </cell>
          <cell r="E8" t="str">
            <v>Laki-laki</v>
          </cell>
          <cell r="F8" t="str">
            <v>Cirebon</v>
          </cell>
          <cell r="G8">
            <v>37169</v>
          </cell>
          <cell r="H8" t="str">
            <v>Jl. AFRIYANTI No. 274 Cirebon</v>
          </cell>
          <cell r="I8" t="str">
            <v>2748346307</v>
          </cell>
          <cell r="J8" t="str">
            <v>08129988346307</v>
          </cell>
          <cell r="K8" t="str">
            <v>Islam</v>
          </cell>
          <cell r="L8">
            <v>4</v>
          </cell>
          <cell r="M8" t="str">
            <v>Anak Kandung</v>
          </cell>
          <cell r="N8" t="str">
            <v>PAKET A</v>
          </cell>
          <cell r="O8">
            <v>2014</v>
          </cell>
          <cell r="P8" t="str">
            <v>DN-05 Dd 0403596</v>
          </cell>
          <cell r="Q8" t="str">
            <v>01 Juli 2018</v>
          </cell>
          <cell r="R8" t="str">
            <v>VII</v>
          </cell>
          <cell r="S8" t="str">
            <v>Tingkatan 3 (Terampil 1)</v>
          </cell>
          <cell r="U8" t="str">
            <v>Ayahnya AFRIYANTI</v>
          </cell>
          <cell r="V8" t="str">
            <v>Buruh Tani</v>
          </cell>
          <cell r="W8" t="str">
            <v>Jl. AFRIYANTI No. 274 Cirebon</v>
          </cell>
          <cell r="X8">
            <v>1234567892</v>
          </cell>
          <cell r="Y8" t="str">
            <v>08521234567</v>
          </cell>
          <cell r="Z8" t="str">
            <v>Ibu AFRIYANTI</v>
          </cell>
          <cell r="AA8" t="str">
            <v>Mengurus rumah tangga</v>
          </cell>
          <cell r="AB8" t="str">
            <v>Jl. AFRIYANTI No. 274 Cirebon</v>
          </cell>
          <cell r="AC8">
            <v>1234567892</v>
          </cell>
          <cell r="AD8" t="str">
            <v>08521234567</v>
          </cell>
          <cell r="AE8" t="str">
            <v>Karnodi</v>
          </cell>
          <cell r="AF8" t="str">
            <v>Petani</v>
          </cell>
          <cell r="AG8" t="str">
            <v>Jl. setiap hari tambah sehat</v>
          </cell>
          <cell r="AH8" t="str">
            <v>0211000002</v>
          </cell>
          <cell r="AI8" t="str">
            <v>08120000002</v>
          </cell>
          <cell r="AJ8" t="str">
            <v>B-0123.458</v>
          </cell>
        </row>
        <row r="9">
          <cell r="A9">
            <v>4</v>
          </cell>
          <cell r="B9">
            <v>275</v>
          </cell>
          <cell r="C9">
            <v>9988348310</v>
          </cell>
          <cell r="D9" t="str">
            <v>ASTATIK BESTARI</v>
          </cell>
          <cell r="E9" t="str">
            <v>Perempuan</v>
          </cell>
          <cell r="F9" t="str">
            <v>Bandung</v>
          </cell>
          <cell r="G9">
            <v>36537</v>
          </cell>
          <cell r="H9" t="str">
            <v>Jl. ASTATIK BESTARI No. 275 Bandung</v>
          </cell>
          <cell r="I9" t="str">
            <v>2758348310</v>
          </cell>
          <cell r="J9" t="str">
            <v>08129988348310</v>
          </cell>
          <cell r="K9" t="str">
            <v>Kristen</v>
          </cell>
          <cell r="L9">
            <v>3</v>
          </cell>
          <cell r="M9" t="str">
            <v>Anak Kandung</v>
          </cell>
          <cell r="N9" t="str">
            <v>SD</v>
          </cell>
          <cell r="O9">
            <v>2014</v>
          </cell>
          <cell r="P9" t="str">
            <v>DN-05 Dd 0400966</v>
          </cell>
          <cell r="Q9" t="str">
            <v>01 Juli 2018</v>
          </cell>
          <cell r="R9" t="str">
            <v>VIII</v>
          </cell>
          <cell r="S9" t="str">
            <v>Tingkatan 3 (Terampil 1)</v>
          </cell>
          <cell r="U9" t="str">
            <v>Ayahnya ASTATIK BESTARI</v>
          </cell>
          <cell r="V9" t="str">
            <v>Buruh Tani</v>
          </cell>
          <cell r="W9" t="str">
            <v>Jl. ASTATIK BESTARI No. 275 Bandung</v>
          </cell>
          <cell r="X9">
            <v>1234567893</v>
          </cell>
          <cell r="Y9" t="str">
            <v>08521234567</v>
          </cell>
          <cell r="Z9" t="str">
            <v>Ibu ASTATIK BESTARI</v>
          </cell>
          <cell r="AA9" t="str">
            <v>Mengurus rumah tangga</v>
          </cell>
          <cell r="AB9" t="str">
            <v>Jl. ASTATIK BESTARI No. 275 Bandung</v>
          </cell>
          <cell r="AC9">
            <v>1234567893</v>
          </cell>
          <cell r="AD9" t="str">
            <v>08521234567</v>
          </cell>
          <cell r="AE9" t="str">
            <v>Mardalis</v>
          </cell>
          <cell r="AF9" t="str">
            <v>Pedagang</v>
          </cell>
          <cell r="AG9" t="str">
            <v>Jl. Sapujagad No. 30 Jakarta</v>
          </cell>
          <cell r="AH9" t="str">
            <v>0211000003</v>
          </cell>
          <cell r="AI9" t="str">
            <v>08120000003</v>
          </cell>
          <cell r="AJ9" t="str">
            <v>B-0123.459</v>
          </cell>
        </row>
        <row r="10">
          <cell r="A10">
            <v>5</v>
          </cell>
          <cell r="B10">
            <v>276</v>
          </cell>
          <cell r="C10">
            <v>9988350313</v>
          </cell>
          <cell r="D10" t="str">
            <v>GURUH EDI</v>
          </cell>
          <cell r="E10" t="str">
            <v>Perempuan</v>
          </cell>
          <cell r="F10" t="str">
            <v>Semarang</v>
          </cell>
          <cell r="G10">
            <v>36888</v>
          </cell>
          <cell r="H10" t="str">
            <v>Jl. GURUH EDI No. 276 Semarang</v>
          </cell>
          <cell r="I10" t="str">
            <v>2768350313</v>
          </cell>
          <cell r="J10" t="str">
            <v>08129988350313</v>
          </cell>
          <cell r="K10" t="str">
            <v>Islam</v>
          </cell>
          <cell r="L10">
            <v>2</v>
          </cell>
          <cell r="M10" t="str">
            <v>Anak Kandung</v>
          </cell>
          <cell r="N10" t="str">
            <v xml:space="preserve">MI </v>
          </cell>
          <cell r="O10">
            <v>2014</v>
          </cell>
          <cell r="P10" t="str">
            <v>DN-05 Dd 0945544</v>
          </cell>
          <cell r="Q10" t="str">
            <v>01 Juli 2018</v>
          </cell>
          <cell r="R10" t="str">
            <v>IX</v>
          </cell>
          <cell r="S10" t="str">
            <v>Tingkatan 4 (Terampil  2)</v>
          </cell>
          <cell r="U10" t="str">
            <v>Ayahnya GURUH EDI</v>
          </cell>
          <cell r="V10" t="str">
            <v>Guru</v>
          </cell>
          <cell r="W10" t="str">
            <v>Jl. GURUH EDI No. 276 Semarang</v>
          </cell>
          <cell r="X10">
            <v>1234567894</v>
          </cell>
          <cell r="Y10" t="str">
            <v>08521234567</v>
          </cell>
          <cell r="Z10" t="str">
            <v>Ibu GURUH EDI</v>
          </cell>
          <cell r="AA10" t="str">
            <v>Guru</v>
          </cell>
          <cell r="AB10" t="str">
            <v>Jl. GURUH EDI No. 276 Semarang</v>
          </cell>
          <cell r="AC10">
            <v>1234567894</v>
          </cell>
          <cell r="AD10" t="str">
            <v>08521234567</v>
          </cell>
          <cell r="AE10" t="str">
            <v>John Marlon</v>
          </cell>
          <cell r="AF10" t="str">
            <v>Wiraswasta</v>
          </cell>
          <cell r="AJ10" t="str">
            <v>B-0123.460</v>
          </cell>
        </row>
        <row r="11">
          <cell r="A11">
            <v>6</v>
          </cell>
          <cell r="B11">
            <v>277</v>
          </cell>
          <cell r="C11">
            <v>9988352316</v>
          </cell>
          <cell r="D11" t="str">
            <v>YESSIANA</v>
          </cell>
          <cell r="E11" t="str">
            <v>Laki-laki</v>
          </cell>
          <cell r="F11" t="str">
            <v>Malang</v>
          </cell>
          <cell r="G11">
            <v>37357</v>
          </cell>
          <cell r="H11" t="str">
            <v>Jl. YESSIANA No. 277 Malang</v>
          </cell>
          <cell r="I11" t="str">
            <v>2778352316</v>
          </cell>
          <cell r="J11" t="str">
            <v>08129988352316</v>
          </cell>
          <cell r="K11" t="str">
            <v>Islam</v>
          </cell>
          <cell r="L11">
            <v>4</v>
          </cell>
          <cell r="M11" t="str">
            <v>Anak Kandung</v>
          </cell>
          <cell r="N11" t="str">
            <v>PAKET A</v>
          </cell>
          <cell r="O11">
            <v>2014</v>
          </cell>
          <cell r="P11" t="str">
            <v>DN-05 Dd 0400903</v>
          </cell>
          <cell r="Q11" t="str">
            <v>01 Juli 2018</v>
          </cell>
          <cell r="R11" t="str">
            <v>VIII</v>
          </cell>
          <cell r="S11" t="str">
            <v>Tingkatan 3 (Terampil 1)</v>
          </cell>
          <cell r="U11" t="str">
            <v>Ayahnya YESSIANA</v>
          </cell>
          <cell r="V11" t="str">
            <v>Pedagang</v>
          </cell>
          <cell r="W11" t="str">
            <v>Jl. YESSIANA No. 277 Malang</v>
          </cell>
          <cell r="X11">
            <v>1234567895</v>
          </cell>
          <cell r="Y11" t="str">
            <v>08521234567</v>
          </cell>
          <cell r="Z11" t="str">
            <v>Ibu YESSIANA</v>
          </cell>
          <cell r="AA11" t="str">
            <v>Pedagang</v>
          </cell>
          <cell r="AB11" t="str">
            <v>Jl. YESSIANA No. 277 Malang</v>
          </cell>
          <cell r="AC11">
            <v>1234567895</v>
          </cell>
          <cell r="AD11" t="str">
            <v>08521234567</v>
          </cell>
          <cell r="AJ11" t="str">
            <v>B-0123.461</v>
          </cell>
        </row>
        <row r="12">
          <cell r="A12">
            <v>7</v>
          </cell>
          <cell r="B12">
            <v>278</v>
          </cell>
          <cell r="C12">
            <v>9988354319</v>
          </cell>
          <cell r="D12" t="str">
            <v>YENI ROHAENI</v>
          </cell>
          <cell r="E12" t="str">
            <v>Perempuan</v>
          </cell>
          <cell r="F12" t="str">
            <v>Indramayu</v>
          </cell>
          <cell r="G12">
            <v>37306</v>
          </cell>
          <cell r="H12" t="str">
            <v>Jl. YENI ROHAENI No. 278 Indramayu</v>
          </cell>
          <cell r="I12" t="str">
            <v>2788354319</v>
          </cell>
          <cell r="J12" t="str">
            <v>08129988354319</v>
          </cell>
          <cell r="K12" t="str">
            <v>Kristen</v>
          </cell>
          <cell r="L12">
            <v>3</v>
          </cell>
          <cell r="M12" t="str">
            <v>Anak Kandung</v>
          </cell>
          <cell r="N12" t="str">
            <v>SD</v>
          </cell>
          <cell r="O12">
            <v>2014</v>
          </cell>
          <cell r="P12" t="str">
            <v>DN-05 Dd 0400973</v>
          </cell>
          <cell r="Q12" t="str">
            <v>01 Juli 2018</v>
          </cell>
          <cell r="R12" t="str">
            <v>VIII</v>
          </cell>
          <cell r="S12" t="str">
            <v>Tingkatan 3 (Terampil 1)</v>
          </cell>
          <cell r="U12" t="str">
            <v>Ayahnya YENI ROHAENI</v>
          </cell>
          <cell r="V12" t="str">
            <v>Buruh Tani</v>
          </cell>
          <cell r="W12" t="str">
            <v>Jl. YENI ROHAENI No. 278 Indramayu</v>
          </cell>
          <cell r="X12">
            <v>1234567896</v>
          </cell>
          <cell r="Y12" t="str">
            <v>08521234567</v>
          </cell>
          <cell r="Z12" t="str">
            <v>Ibu YENI ROHAENI</v>
          </cell>
          <cell r="AA12" t="str">
            <v>Mengurus rumah tangga</v>
          </cell>
          <cell r="AB12" t="str">
            <v>Jl. YENI ROHAENI No. 278 Indramayu</v>
          </cell>
          <cell r="AC12">
            <v>1234567896</v>
          </cell>
          <cell r="AD12" t="str">
            <v>08521234567</v>
          </cell>
          <cell r="AJ12" t="str">
            <v>B-0123.462</v>
          </cell>
        </row>
        <row r="13">
          <cell r="A13">
            <v>8</v>
          </cell>
          <cell r="B13">
            <v>279</v>
          </cell>
          <cell r="C13">
            <v>9988356322</v>
          </cell>
          <cell r="D13" t="str">
            <v>HERU SALEH</v>
          </cell>
          <cell r="E13" t="str">
            <v>Perempuan</v>
          </cell>
          <cell r="F13" t="str">
            <v>Bondowoso</v>
          </cell>
          <cell r="G13">
            <v>36736</v>
          </cell>
          <cell r="H13" t="str">
            <v>Jl. HERU SALEH No. 279 Bondowoso</v>
          </cell>
          <cell r="I13" t="str">
            <v>2798356322</v>
          </cell>
          <cell r="J13" t="str">
            <v>08129988356322</v>
          </cell>
          <cell r="K13" t="str">
            <v>Islam</v>
          </cell>
          <cell r="L13">
            <v>2</v>
          </cell>
          <cell r="M13" t="str">
            <v>Anak Kandung</v>
          </cell>
          <cell r="N13" t="str">
            <v xml:space="preserve">MI </v>
          </cell>
          <cell r="O13">
            <v>2012</v>
          </cell>
          <cell r="P13" t="str">
            <v>DN-05 Dd 0045452</v>
          </cell>
          <cell r="Q13" t="str">
            <v>01 Juli 2018</v>
          </cell>
          <cell r="R13" t="str">
            <v>VIII</v>
          </cell>
          <cell r="S13" t="str">
            <v>Tingkatan 3 (Terampil 1)</v>
          </cell>
          <cell r="U13" t="str">
            <v>Ayahnya HERU SALEH</v>
          </cell>
          <cell r="V13" t="str">
            <v>Buruh Tani</v>
          </cell>
          <cell r="W13" t="str">
            <v>Jl. HERU SALEH No. 279 Bondowoso</v>
          </cell>
          <cell r="X13">
            <v>1234567897</v>
          </cell>
          <cell r="Y13" t="str">
            <v>08521234567</v>
          </cell>
          <cell r="Z13" t="str">
            <v>Ibu HERU SALEH</v>
          </cell>
          <cell r="AA13" t="str">
            <v>Mengurus rumah tangga</v>
          </cell>
          <cell r="AB13" t="str">
            <v>Jl. HERU SALEH No. 279 Bondowoso</v>
          </cell>
          <cell r="AC13">
            <v>1234567897</v>
          </cell>
          <cell r="AD13" t="str">
            <v>08521234567</v>
          </cell>
          <cell r="AJ13" t="str">
            <v>B-0123.463</v>
          </cell>
        </row>
        <row r="14">
          <cell r="A14">
            <v>9</v>
          </cell>
          <cell r="B14">
            <v>280</v>
          </cell>
          <cell r="C14">
            <v>9988358325</v>
          </cell>
          <cell r="D14" t="str">
            <v>JALALUDDIN</v>
          </cell>
          <cell r="E14" t="str">
            <v>Laki-laki</v>
          </cell>
          <cell r="F14" t="str">
            <v>Jakarta</v>
          </cell>
          <cell r="G14">
            <v>37101</v>
          </cell>
          <cell r="H14" t="str">
            <v>Jl. JALALUDDIN No. 280 Jakarta</v>
          </cell>
          <cell r="I14" t="str">
            <v>2808358325</v>
          </cell>
          <cell r="J14" t="str">
            <v>08129988358325</v>
          </cell>
          <cell r="K14" t="str">
            <v>Islam</v>
          </cell>
          <cell r="L14">
            <v>2</v>
          </cell>
          <cell r="M14" t="str">
            <v>Anak Kandung</v>
          </cell>
          <cell r="N14" t="str">
            <v>PAKET A</v>
          </cell>
          <cell r="O14">
            <v>2014</v>
          </cell>
          <cell r="P14" t="str">
            <v>DN-05 Dd 0400985</v>
          </cell>
          <cell r="Q14" t="str">
            <v>01 Juli 2018</v>
          </cell>
          <cell r="R14" t="str">
            <v>VIII</v>
          </cell>
          <cell r="S14" t="str">
            <v>Tingkatan 3 (Terampil 1)</v>
          </cell>
          <cell r="U14" t="str">
            <v>Ayahnya JALALUDDIN</v>
          </cell>
          <cell r="V14" t="str">
            <v>Buruh Tani</v>
          </cell>
          <cell r="W14" t="str">
            <v>Jl. JALALUDDIN No. 280 Jakarta</v>
          </cell>
          <cell r="X14">
            <v>1234567898</v>
          </cell>
          <cell r="Y14" t="str">
            <v>08521234567</v>
          </cell>
          <cell r="Z14" t="str">
            <v>Ibu JALALUDDIN</v>
          </cell>
          <cell r="AA14" t="str">
            <v>Mengurus rumah tangga</v>
          </cell>
          <cell r="AB14" t="str">
            <v>Jl. JALALUDDIN No. 280 Jakarta</v>
          </cell>
          <cell r="AC14">
            <v>1234567898</v>
          </cell>
          <cell r="AD14" t="str">
            <v>08521234567</v>
          </cell>
          <cell r="AJ14" t="str">
            <v>B-0123.464</v>
          </cell>
        </row>
        <row r="15">
          <cell r="A15">
            <v>10</v>
          </cell>
          <cell r="B15">
            <v>281</v>
          </cell>
          <cell r="C15">
            <v>9988360328</v>
          </cell>
          <cell r="D15" t="str">
            <v>ARI PRASETIYO</v>
          </cell>
          <cell r="E15" t="str">
            <v>Laki-laki</v>
          </cell>
          <cell r="F15" t="str">
            <v>Jakarta</v>
          </cell>
          <cell r="G15">
            <v>37101</v>
          </cell>
          <cell r="H15" t="str">
            <v>Jl. ARI PRASETIYO No. 281 Jakarta</v>
          </cell>
          <cell r="I15" t="str">
            <v>2818360328</v>
          </cell>
          <cell r="J15" t="str">
            <v>08129988360328</v>
          </cell>
          <cell r="K15" t="str">
            <v>Islam</v>
          </cell>
          <cell r="L15">
            <v>4</v>
          </cell>
          <cell r="M15" t="str">
            <v>Anak Kandung</v>
          </cell>
          <cell r="N15" t="str">
            <v>SD</v>
          </cell>
          <cell r="O15">
            <v>2014</v>
          </cell>
          <cell r="P15" t="str">
            <v>DN-05 Dd xxxxxxx</v>
          </cell>
          <cell r="Q15" t="str">
            <v>01 Juli 2018</v>
          </cell>
          <cell r="R15" t="str">
            <v>VIII</v>
          </cell>
          <cell r="S15" t="str">
            <v>Tingkatan 3 (Terampil 1)</v>
          </cell>
          <cell r="U15" t="str">
            <v>Ayahnya ARI PRASETIYO</v>
          </cell>
          <cell r="V15" t="str">
            <v>Buruh Tani</v>
          </cell>
          <cell r="W15" t="str">
            <v>Jl. ARI PRASETIYO No. 281 Jakarta</v>
          </cell>
          <cell r="X15">
            <v>1234567899</v>
          </cell>
          <cell r="Y15" t="str">
            <v>08521234567</v>
          </cell>
          <cell r="Z15" t="str">
            <v>Ibu ARI PRASETIYO</v>
          </cell>
          <cell r="AA15" t="str">
            <v>Mengurus rumah tangga</v>
          </cell>
          <cell r="AB15" t="str">
            <v>Jl. ARI PRASETIYO No. 281 Jakarta</v>
          </cell>
          <cell r="AC15">
            <v>1234567899</v>
          </cell>
          <cell r="AD15" t="str">
            <v>08521234567</v>
          </cell>
          <cell r="AJ15" t="str">
            <v>B-0123.465</v>
          </cell>
        </row>
        <row r="16">
          <cell r="A16">
            <v>11</v>
          </cell>
          <cell r="B16">
            <v>282</v>
          </cell>
          <cell r="C16">
            <v>9988362331</v>
          </cell>
          <cell r="D16" t="str">
            <v>DINA MARIANA</v>
          </cell>
          <cell r="E16" t="str">
            <v>Laki-laki</v>
          </cell>
          <cell r="F16" t="str">
            <v>Cirebon</v>
          </cell>
          <cell r="G16">
            <v>37257</v>
          </cell>
          <cell r="H16" t="str">
            <v>Jl. DINA MARIANA No. 282 Cirebon</v>
          </cell>
          <cell r="I16" t="str">
            <v>2828362331</v>
          </cell>
          <cell r="J16" t="str">
            <v>08129988362331</v>
          </cell>
          <cell r="K16" t="str">
            <v>Islam</v>
          </cell>
          <cell r="L16">
            <v>3</v>
          </cell>
          <cell r="M16" t="str">
            <v>Anak Kandung</v>
          </cell>
          <cell r="N16" t="str">
            <v xml:space="preserve">MI </v>
          </cell>
          <cell r="O16">
            <v>2014</v>
          </cell>
          <cell r="P16" t="str">
            <v>DN-05 Dd 0400946</v>
          </cell>
          <cell r="Q16" t="str">
            <v>2 Juli 2019</v>
          </cell>
          <cell r="R16" t="str">
            <v>VIII</v>
          </cell>
          <cell r="S16" t="str">
            <v>Tingkatan 3 (Terampil 1)</v>
          </cell>
          <cell r="U16" t="str">
            <v>Ayahnya DINA MARIANA</v>
          </cell>
          <cell r="V16" t="str">
            <v>Guru</v>
          </cell>
          <cell r="W16" t="str">
            <v>Jl. DINA MARIANA No. 282 Cirebon</v>
          </cell>
          <cell r="X16">
            <v>1234567900</v>
          </cell>
          <cell r="Y16" t="str">
            <v>08521234567</v>
          </cell>
          <cell r="Z16" t="str">
            <v>Ibu DINA MARIANA</v>
          </cell>
          <cell r="AA16" t="str">
            <v>Guru</v>
          </cell>
          <cell r="AB16" t="str">
            <v>Jl. DINA MARIANA No. 282 Cirebon</v>
          </cell>
          <cell r="AC16">
            <v>1234567900</v>
          </cell>
          <cell r="AD16" t="str">
            <v>08521234567</v>
          </cell>
          <cell r="AJ16" t="str">
            <v>B-0123.466</v>
          </cell>
        </row>
        <row r="17">
          <cell r="A17">
            <v>12</v>
          </cell>
          <cell r="B17">
            <v>283</v>
          </cell>
          <cell r="C17">
            <v>9988364334</v>
          </cell>
          <cell r="D17" t="str">
            <v>HENDRINO</v>
          </cell>
          <cell r="E17" t="str">
            <v>Perempuan</v>
          </cell>
          <cell r="F17" t="str">
            <v>Bandung</v>
          </cell>
          <cell r="G17">
            <v>36660</v>
          </cell>
          <cell r="H17" t="str">
            <v>Jl. HENDRINO No. 283 Bandung</v>
          </cell>
          <cell r="I17" t="str">
            <v>2838364334</v>
          </cell>
          <cell r="J17" t="str">
            <v>08129988364334</v>
          </cell>
          <cell r="K17" t="str">
            <v>Islam</v>
          </cell>
          <cell r="L17">
            <v>2</v>
          </cell>
          <cell r="M17" t="str">
            <v>Anak Kandung</v>
          </cell>
          <cell r="N17" t="str">
            <v>PAKET A</v>
          </cell>
          <cell r="O17">
            <v>2014</v>
          </cell>
          <cell r="P17" t="str">
            <v>DN-05 Dd 0403409</v>
          </cell>
          <cell r="Q17" t="str">
            <v>3 Juli 2018</v>
          </cell>
          <cell r="R17" t="str">
            <v>VIII</v>
          </cell>
          <cell r="S17" t="str">
            <v>Tingkatan 3 (Terampil 1)</v>
          </cell>
          <cell r="U17" t="str">
            <v>Ayahnya HENDRINO</v>
          </cell>
          <cell r="V17" t="str">
            <v>Pedagang</v>
          </cell>
          <cell r="W17" t="str">
            <v>Jl. HENDRINO No. 283 Bandung</v>
          </cell>
          <cell r="X17">
            <v>1234567901</v>
          </cell>
          <cell r="Y17" t="str">
            <v>08521234567</v>
          </cell>
          <cell r="Z17" t="str">
            <v>Ibu HENDRINO</v>
          </cell>
          <cell r="AA17" t="str">
            <v>Pedagang</v>
          </cell>
          <cell r="AB17" t="str">
            <v>Jl. HENDRINO No. 283 Bandung</v>
          </cell>
          <cell r="AC17">
            <v>1234567901</v>
          </cell>
          <cell r="AD17" t="str">
            <v>08521234567</v>
          </cell>
          <cell r="AJ17" t="str">
            <v>B-0123.467</v>
          </cell>
        </row>
        <row r="18">
          <cell r="A18">
            <v>13</v>
          </cell>
          <cell r="B18">
            <v>284</v>
          </cell>
          <cell r="C18">
            <v>9988366337</v>
          </cell>
          <cell r="D18" t="str">
            <v>MUHAMMAD SOFYAN</v>
          </cell>
          <cell r="E18" t="str">
            <v>Laki-laki</v>
          </cell>
          <cell r="F18" t="str">
            <v>Semarang</v>
          </cell>
          <cell r="G18">
            <v>36387</v>
          </cell>
          <cell r="H18" t="str">
            <v>Jl. MUHAMMAD SOFYAN No. 284 Semarang</v>
          </cell>
          <cell r="I18" t="str">
            <v>2848366337</v>
          </cell>
          <cell r="J18" t="str">
            <v>08129988366337</v>
          </cell>
          <cell r="K18" t="str">
            <v>Islam</v>
          </cell>
          <cell r="L18">
            <v>2</v>
          </cell>
          <cell r="M18" t="str">
            <v>Anak Kandung</v>
          </cell>
          <cell r="N18" t="str">
            <v>SD</v>
          </cell>
          <cell r="O18">
            <v>2011</v>
          </cell>
          <cell r="P18" t="str">
            <v>DN-05 Dd xxxxxxxx</v>
          </cell>
          <cell r="Q18" t="str">
            <v>4 Juli 2019</v>
          </cell>
          <cell r="R18" t="str">
            <v>VIII</v>
          </cell>
          <cell r="S18" t="str">
            <v>Tingkatan 3 (Terampil 1)</v>
          </cell>
          <cell r="U18" t="str">
            <v>Ayahnya MUHAMMAD SOFYAN</v>
          </cell>
          <cell r="V18" t="str">
            <v>Buruh Tani</v>
          </cell>
          <cell r="W18" t="str">
            <v>Jl. MUHAMMAD SOFYAN No. 284 Semarang</v>
          </cell>
          <cell r="X18">
            <v>1234567902</v>
          </cell>
          <cell r="Y18" t="str">
            <v>08521234567</v>
          </cell>
          <cell r="Z18" t="str">
            <v>Ibu MUHAMMAD SOFYAN</v>
          </cell>
          <cell r="AA18" t="str">
            <v>Mengurus rumah tangga</v>
          </cell>
          <cell r="AB18" t="str">
            <v>Jl. MUHAMMAD SOFYAN No. 284 Semarang</v>
          </cell>
          <cell r="AC18">
            <v>1234567902</v>
          </cell>
          <cell r="AD18" t="str">
            <v>08521234567</v>
          </cell>
        </row>
        <row r="19">
          <cell r="A19">
            <v>14</v>
          </cell>
          <cell r="B19">
            <v>285</v>
          </cell>
          <cell r="C19">
            <v>9988368340</v>
          </cell>
          <cell r="D19" t="str">
            <v>NANIK RAHMAWATI</v>
          </cell>
          <cell r="E19" t="str">
            <v>Laki-laki</v>
          </cell>
          <cell r="F19" t="str">
            <v>Malang</v>
          </cell>
          <cell r="G19">
            <v>36837</v>
          </cell>
          <cell r="H19" t="str">
            <v>Jl. NANIK RAHMAWATI No. 285 Malang</v>
          </cell>
          <cell r="I19" t="str">
            <v>2858368340</v>
          </cell>
          <cell r="J19" t="str">
            <v>08129988368340</v>
          </cell>
          <cell r="K19" t="str">
            <v>Islam</v>
          </cell>
          <cell r="L19">
            <v>2</v>
          </cell>
          <cell r="M19" t="str">
            <v>Anak Kandung</v>
          </cell>
          <cell r="N19" t="str">
            <v xml:space="preserve">MI </v>
          </cell>
          <cell r="O19">
            <v>2014</v>
          </cell>
          <cell r="P19" t="str">
            <v>DN-05 Dd 0403421</v>
          </cell>
          <cell r="Q19" t="str">
            <v>4 Juli 2019</v>
          </cell>
          <cell r="R19" t="str">
            <v>VIII</v>
          </cell>
          <cell r="S19" t="str">
            <v>Tingkatan 3 (Terampil 1)</v>
          </cell>
          <cell r="U19" t="str">
            <v>Ayahnya NANIK RAHMAWATI</v>
          </cell>
          <cell r="V19" t="str">
            <v>Buruh Tani</v>
          </cell>
          <cell r="W19" t="str">
            <v>Jl. NANIK RAHMAWATI No. 285 Malang</v>
          </cell>
          <cell r="X19">
            <v>1234567903</v>
          </cell>
          <cell r="Y19" t="str">
            <v>08521234567</v>
          </cell>
          <cell r="Z19" t="str">
            <v>Ibu NANIK RAHMAWATI</v>
          </cell>
          <cell r="AA19" t="str">
            <v>Mengurus rumah tangga</v>
          </cell>
          <cell r="AB19" t="str">
            <v>Jl. NANIK RAHMAWATI No. 285 Malang</v>
          </cell>
          <cell r="AC19">
            <v>1234567903</v>
          </cell>
          <cell r="AD19" t="str">
            <v>08521234567</v>
          </cell>
        </row>
        <row r="20">
          <cell r="A20">
            <v>15</v>
          </cell>
          <cell r="B20">
            <v>286</v>
          </cell>
          <cell r="C20">
            <v>9988370343</v>
          </cell>
          <cell r="D20" t="str">
            <v>NURKAMILA</v>
          </cell>
          <cell r="E20" t="str">
            <v>Perempuan</v>
          </cell>
          <cell r="F20" t="str">
            <v>Indramayu</v>
          </cell>
          <cell r="G20">
            <v>36536</v>
          </cell>
          <cell r="H20" t="str">
            <v>Jl. NURKAMILA No. 286 Indramayu</v>
          </cell>
          <cell r="I20" t="str">
            <v>2868370343</v>
          </cell>
          <cell r="J20" t="str">
            <v>08129988370343</v>
          </cell>
          <cell r="K20" t="str">
            <v>Katolik</v>
          </cell>
          <cell r="L20">
            <v>4</v>
          </cell>
          <cell r="M20" t="str">
            <v>Anak Kandung</v>
          </cell>
          <cell r="N20" t="str">
            <v>PAKET A</v>
          </cell>
          <cell r="O20">
            <v>2014</v>
          </cell>
          <cell r="P20" t="str">
            <v>DN-05 Dd 0403585</v>
          </cell>
          <cell r="Q20" t="str">
            <v>4 Juli 2019</v>
          </cell>
          <cell r="R20" t="str">
            <v>VIII</v>
          </cell>
          <cell r="S20" t="str">
            <v>Tingkatan 3 (Terampil 1)</v>
          </cell>
          <cell r="U20" t="str">
            <v>Ayahnya NURKAMILA</v>
          </cell>
          <cell r="V20" t="str">
            <v>Buruh Tani</v>
          </cell>
          <cell r="W20" t="str">
            <v>Jl. NURKAMILA No. 286 Indramayu</v>
          </cell>
          <cell r="X20">
            <v>1234567904</v>
          </cell>
          <cell r="Y20" t="str">
            <v>08521234567</v>
          </cell>
          <cell r="Z20" t="str">
            <v>Ibu NURKAMILA</v>
          </cell>
          <cell r="AA20" t="str">
            <v>Mengurus rumah tangga</v>
          </cell>
          <cell r="AB20" t="str">
            <v>Jl. NURKAMILA No. 286 Indramayu</v>
          </cell>
          <cell r="AC20">
            <v>1234567904</v>
          </cell>
          <cell r="AD20" t="str">
            <v>08521234567</v>
          </cell>
        </row>
        <row r="21">
          <cell r="A21">
            <v>16</v>
          </cell>
          <cell r="B21">
            <v>287</v>
          </cell>
          <cell r="C21">
            <v>9988372346</v>
          </cell>
          <cell r="D21" t="str">
            <v>RISA EMILIA</v>
          </cell>
          <cell r="E21" t="str">
            <v>Perempuan</v>
          </cell>
          <cell r="F21" t="str">
            <v>Bondowoso</v>
          </cell>
          <cell r="G21">
            <v>37060</v>
          </cell>
          <cell r="H21" t="str">
            <v>Jl. RISA EMILIA No. 287 Bondowoso</v>
          </cell>
          <cell r="I21" t="str">
            <v>2878372346</v>
          </cell>
          <cell r="J21" t="str">
            <v>08129988372346</v>
          </cell>
          <cell r="K21" t="str">
            <v>Islam</v>
          </cell>
          <cell r="L21">
            <v>3</v>
          </cell>
          <cell r="M21" t="str">
            <v>Anak Kandung</v>
          </cell>
          <cell r="N21" t="str">
            <v xml:space="preserve">MI </v>
          </cell>
          <cell r="O21">
            <v>2014</v>
          </cell>
          <cell r="P21" t="str">
            <v>DN-05 Dd 0400987</v>
          </cell>
          <cell r="Q21" t="str">
            <v>4 Juli 2019</v>
          </cell>
          <cell r="R21" t="str">
            <v>VIII</v>
          </cell>
          <cell r="S21" t="str">
            <v>Tingkatan 3 (Terampil 1)</v>
          </cell>
          <cell r="U21" t="str">
            <v>Ayahnya RISA EMILIA</v>
          </cell>
          <cell r="V21" t="str">
            <v>Guru</v>
          </cell>
          <cell r="W21" t="str">
            <v>Jl. RISA EMILIA No. 287 Bondowoso</v>
          </cell>
          <cell r="X21">
            <v>1234567905</v>
          </cell>
          <cell r="Y21" t="str">
            <v>08521234567</v>
          </cell>
          <cell r="Z21" t="str">
            <v>Ibu RISA EMILIA</v>
          </cell>
          <cell r="AA21" t="str">
            <v>Guru</v>
          </cell>
          <cell r="AB21" t="str">
            <v>Jl. RISA EMILIA No. 287 Bondowoso</v>
          </cell>
          <cell r="AC21">
            <v>1234567905</v>
          </cell>
          <cell r="AD21" t="str">
            <v>08521234567</v>
          </cell>
        </row>
        <row r="22">
          <cell r="A22">
            <v>17</v>
          </cell>
          <cell r="B22">
            <v>288</v>
          </cell>
          <cell r="C22">
            <v>9988374349</v>
          </cell>
          <cell r="D22" t="str">
            <v>SITI AENA</v>
          </cell>
          <cell r="E22" t="str">
            <v>Perempuan</v>
          </cell>
          <cell r="F22" t="str">
            <v>Jakarta</v>
          </cell>
          <cell r="G22">
            <v>36885</v>
          </cell>
          <cell r="H22" t="str">
            <v>Jl. SITI AENA No. 288 Jakarta</v>
          </cell>
          <cell r="I22" t="str">
            <v>2888374349</v>
          </cell>
          <cell r="J22" t="str">
            <v>08129988374349</v>
          </cell>
          <cell r="K22" t="str">
            <v>Islam</v>
          </cell>
          <cell r="L22">
            <v>2</v>
          </cell>
          <cell r="M22" t="str">
            <v>Anak Kandung</v>
          </cell>
          <cell r="N22" t="str">
            <v>PAKET A</v>
          </cell>
          <cell r="O22">
            <v>2014</v>
          </cell>
          <cell r="P22" t="str">
            <v>DN-05 Dd 0403564</v>
          </cell>
          <cell r="Q22" t="str">
            <v>4 Juli 2019</v>
          </cell>
          <cell r="R22" t="str">
            <v>IX</v>
          </cell>
          <cell r="S22" t="str">
            <v>Tingkatan 4 (Terampil  2)</v>
          </cell>
          <cell r="U22" t="str">
            <v>Ayahnya SITI AENA</v>
          </cell>
          <cell r="V22" t="str">
            <v>Pedagang</v>
          </cell>
          <cell r="W22" t="str">
            <v>Jl. SITI AENA No. 288 Jakarta</v>
          </cell>
          <cell r="X22">
            <v>1234567906</v>
          </cell>
          <cell r="Y22" t="str">
            <v>08521234567</v>
          </cell>
          <cell r="Z22" t="str">
            <v>Ibu SITI AENA</v>
          </cell>
          <cell r="AA22" t="str">
            <v>Pedagang</v>
          </cell>
          <cell r="AB22" t="str">
            <v>Jl. SITI AENA No. 288 Jakarta</v>
          </cell>
          <cell r="AC22">
            <v>1234567906</v>
          </cell>
          <cell r="AD22" t="str">
            <v>08521234567</v>
          </cell>
        </row>
        <row r="23">
          <cell r="A23">
            <v>18</v>
          </cell>
          <cell r="B23">
            <v>289</v>
          </cell>
          <cell r="C23">
            <v>9988376352</v>
          </cell>
          <cell r="D23" t="str">
            <v>SITI FATMAWATI</v>
          </cell>
          <cell r="E23" t="str">
            <v>Perempuan</v>
          </cell>
          <cell r="F23" t="str">
            <v>Jakarta</v>
          </cell>
          <cell r="G23">
            <v>36572</v>
          </cell>
          <cell r="H23" t="str">
            <v>Jl. SITI FATMAWATI No. 289 Jakarta</v>
          </cell>
          <cell r="I23" t="str">
            <v>2898376352</v>
          </cell>
          <cell r="J23" t="str">
            <v>08129988376352</v>
          </cell>
          <cell r="K23" t="str">
            <v>Islam</v>
          </cell>
          <cell r="L23">
            <v>4</v>
          </cell>
          <cell r="M23" t="str">
            <v>Anak Kandung</v>
          </cell>
          <cell r="N23" t="str">
            <v>SD</v>
          </cell>
          <cell r="O23">
            <v>2014</v>
          </cell>
          <cell r="P23" t="str">
            <v>DN-05 Dd 0400989</v>
          </cell>
          <cell r="Q23" t="str">
            <v>4 Juli 2019</v>
          </cell>
          <cell r="R23" t="str">
            <v>IX</v>
          </cell>
          <cell r="S23" t="str">
            <v>Tingkatan 4 (Terampil  2)</v>
          </cell>
          <cell r="U23" t="str">
            <v>Ayahnya SITI FATMAWATI</v>
          </cell>
          <cell r="V23" t="str">
            <v>TNI</v>
          </cell>
          <cell r="W23" t="str">
            <v>Jl. SITI FATMAWATI No. 289 Jakarta</v>
          </cell>
          <cell r="X23">
            <v>1234567907</v>
          </cell>
          <cell r="Y23" t="str">
            <v>08521234567</v>
          </cell>
          <cell r="Z23" t="str">
            <v>Ibu SITI FATMAWATI</v>
          </cell>
          <cell r="AA23" t="str">
            <v>Mengurus rumah tangga</v>
          </cell>
          <cell r="AB23" t="str">
            <v>Jl. SITI FATMAWATI No. 289 Jakarta</v>
          </cell>
          <cell r="AC23">
            <v>1234567907</v>
          </cell>
          <cell r="AD23" t="str">
            <v>08521234567</v>
          </cell>
        </row>
        <row r="24">
          <cell r="A24">
            <v>19</v>
          </cell>
          <cell r="B24">
            <v>290</v>
          </cell>
          <cell r="C24">
            <v>9988378355</v>
          </cell>
          <cell r="D24" t="str">
            <v>SITI NURJASILAH</v>
          </cell>
          <cell r="E24" t="str">
            <v>Perempuan</v>
          </cell>
          <cell r="F24" t="str">
            <v>Cirebon</v>
          </cell>
          <cell r="G24">
            <v>37246</v>
          </cell>
          <cell r="H24" t="str">
            <v>Jl. SITI NURJASILAH No. 290 Cirebon</v>
          </cell>
          <cell r="I24" t="str">
            <v>2908378355</v>
          </cell>
          <cell r="J24" t="str">
            <v>08129988378355</v>
          </cell>
          <cell r="K24" t="str">
            <v>Islam</v>
          </cell>
          <cell r="L24">
            <v>3</v>
          </cell>
          <cell r="M24" t="str">
            <v>Anak Kandung</v>
          </cell>
          <cell r="N24" t="str">
            <v xml:space="preserve">MI </v>
          </cell>
          <cell r="O24">
            <v>2014</v>
          </cell>
          <cell r="P24" t="str">
            <v>DN-05 Dd 0400988</v>
          </cell>
          <cell r="Q24" t="str">
            <v>4 Juli 2019</v>
          </cell>
          <cell r="R24" t="str">
            <v>IX</v>
          </cell>
          <cell r="S24" t="str">
            <v>Tingkatan 4 (Terampil  2)</v>
          </cell>
          <cell r="U24" t="str">
            <v>Ayahnya SITI NURJASILAH</v>
          </cell>
          <cell r="V24" t="str">
            <v>PNS</v>
          </cell>
          <cell r="W24" t="str">
            <v>Jl. SITI NURJASILAH No. 290 Cirebon</v>
          </cell>
          <cell r="X24">
            <v>1234567908</v>
          </cell>
          <cell r="Y24" t="str">
            <v>08521234567</v>
          </cell>
          <cell r="Z24" t="str">
            <v>Ibu SITI NURJASILAH</v>
          </cell>
          <cell r="AA24" t="str">
            <v>Mengurus rumah tangga</v>
          </cell>
          <cell r="AB24" t="str">
            <v>Jl. SITI NURJASILAH No. 290 Cirebon</v>
          </cell>
          <cell r="AC24">
            <v>1234567908</v>
          </cell>
          <cell r="AD24" t="str">
            <v>08521234567</v>
          </cell>
        </row>
        <row r="25">
          <cell r="A25">
            <v>20</v>
          </cell>
          <cell r="B25">
            <v>291</v>
          </cell>
          <cell r="C25">
            <v>9988380358</v>
          </cell>
          <cell r="D25" t="str">
            <v>SITI NOR HALISA</v>
          </cell>
          <cell r="E25" t="str">
            <v>Perempuan</v>
          </cell>
          <cell r="F25" t="str">
            <v>Bandung</v>
          </cell>
          <cell r="G25">
            <v>37246</v>
          </cell>
          <cell r="H25" t="str">
            <v>Jl. SITI NOR HALISA No. 291 Bandung</v>
          </cell>
          <cell r="I25" t="str">
            <v>2918380358</v>
          </cell>
          <cell r="J25" t="str">
            <v>08129988380358</v>
          </cell>
          <cell r="K25" t="str">
            <v>Islam</v>
          </cell>
          <cell r="L25">
            <v>2</v>
          </cell>
          <cell r="M25" t="str">
            <v>Anak Kandung</v>
          </cell>
          <cell r="N25" t="str">
            <v>PAKET A</v>
          </cell>
          <cell r="O25">
            <v>2014</v>
          </cell>
          <cell r="P25" t="str">
            <v>DN-05 Dd 0400969</v>
          </cell>
          <cell r="Q25" t="str">
            <v>4 Juli 2019</v>
          </cell>
          <cell r="R25" t="str">
            <v>IX</v>
          </cell>
          <cell r="S25" t="str">
            <v>Tingkatan 4 (Terampil  2)</v>
          </cell>
          <cell r="U25" t="str">
            <v>Ayahnya SITI NOR HALISA</v>
          </cell>
          <cell r="V25" t="str">
            <v>Wiraswasta</v>
          </cell>
          <cell r="W25" t="str">
            <v>Jl. SITI NOR HALISA No. 291 Bandung</v>
          </cell>
          <cell r="X25">
            <v>1234567909</v>
          </cell>
          <cell r="Y25" t="str">
            <v>08521234567</v>
          </cell>
          <cell r="Z25" t="str">
            <v>Ibu SITI NOR HALISA</v>
          </cell>
          <cell r="AA25" t="str">
            <v>Mengurus rumah tangga</v>
          </cell>
          <cell r="AB25" t="str">
            <v>Jl. SITI NOR HALISA No. 291 Bandung</v>
          </cell>
          <cell r="AC25">
            <v>1234567909</v>
          </cell>
          <cell r="AD25" t="str">
            <v>08521234567</v>
          </cell>
        </row>
        <row r="26">
          <cell r="A26">
            <v>21</v>
          </cell>
          <cell r="B26">
            <v>292</v>
          </cell>
          <cell r="C26">
            <v>9988382361</v>
          </cell>
          <cell r="D26" t="str">
            <v>SITI RAHEMAH</v>
          </cell>
          <cell r="E26" t="str">
            <v>Perempuan</v>
          </cell>
          <cell r="F26" t="str">
            <v>Semarang</v>
          </cell>
          <cell r="G26">
            <v>37246</v>
          </cell>
          <cell r="H26" t="str">
            <v>Jl. SITI RAHEMAH No. 292 Semarang</v>
          </cell>
          <cell r="I26" t="str">
            <v>2928382361</v>
          </cell>
          <cell r="J26" t="str">
            <v>08129988382361</v>
          </cell>
          <cell r="K26" t="str">
            <v>Islam</v>
          </cell>
          <cell r="L26">
            <v>2</v>
          </cell>
          <cell r="M26" t="str">
            <v>Anak Kandung</v>
          </cell>
          <cell r="N26" t="str">
            <v>SD</v>
          </cell>
          <cell r="O26">
            <v>2013</v>
          </cell>
          <cell r="P26" t="str">
            <v>DN-05 Dd 0393037</v>
          </cell>
          <cell r="Q26" t="str">
            <v>4 Juli 2019</v>
          </cell>
          <cell r="R26" t="str">
            <v>IX</v>
          </cell>
          <cell r="S26" t="str">
            <v>Tingkatan 4 (Terampil  2)</v>
          </cell>
          <cell r="U26" t="str">
            <v>Ayahnya SITI RAHEMAH</v>
          </cell>
          <cell r="V26" t="str">
            <v>Wiraswasta</v>
          </cell>
          <cell r="W26" t="str">
            <v>Jl. SITI RAHEMAH No. 292 Semarang</v>
          </cell>
          <cell r="X26">
            <v>1234567910</v>
          </cell>
          <cell r="Y26" t="str">
            <v>08521234567</v>
          </cell>
          <cell r="Z26" t="str">
            <v>Ibu SITI RAHEMAH</v>
          </cell>
          <cell r="AA26" t="str">
            <v>Mengurus rumah tangga</v>
          </cell>
          <cell r="AB26" t="str">
            <v>Jl. SITI RAHEMAH No. 292 Semarang</v>
          </cell>
          <cell r="AC26">
            <v>1234567910</v>
          </cell>
          <cell r="AD26" t="str">
            <v>08521234567</v>
          </cell>
        </row>
        <row r="27">
          <cell r="A27">
            <v>22</v>
          </cell>
          <cell r="B27">
            <v>293</v>
          </cell>
          <cell r="C27">
            <v>9988384364</v>
          </cell>
          <cell r="D27" t="str">
            <v>SUNTORO MUHMIN</v>
          </cell>
          <cell r="E27" t="str">
            <v>Perempuan</v>
          </cell>
          <cell r="F27" t="str">
            <v>Malang</v>
          </cell>
          <cell r="G27">
            <v>36734</v>
          </cell>
          <cell r="H27" t="str">
            <v>Jl. SUNTORO MUHMIN No. 293 Malang</v>
          </cell>
          <cell r="I27" t="str">
            <v>2938384364</v>
          </cell>
          <cell r="J27" t="str">
            <v>08129988384364</v>
          </cell>
          <cell r="K27" t="str">
            <v>Islam</v>
          </cell>
          <cell r="L27">
            <v>2</v>
          </cell>
          <cell r="M27" t="str">
            <v>Anak Kandung</v>
          </cell>
          <cell r="N27" t="str">
            <v xml:space="preserve">MI </v>
          </cell>
          <cell r="O27">
            <v>2014</v>
          </cell>
          <cell r="P27" t="str">
            <v>DN-05 Dd 0400975</v>
          </cell>
          <cell r="Q27" t="str">
            <v>2 Juli 2019</v>
          </cell>
          <cell r="R27" t="str">
            <v>IX</v>
          </cell>
          <cell r="S27" t="str">
            <v>Tingkatan 4 (Terampil  2)</v>
          </cell>
          <cell r="U27" t="str">
            <v>Ayahnya SUNTORO MUHMIN</v>
          </cell>
          <cell r="V27" t="str">
            <v>Wiraswasta</v>
          </cell>
          <cell r="W27" t="str">
            <v>Jl. SUNTORO MUHMIN No. 293 Malang</v>
          </cell>
          <cell r="X27">
            <v>1234567911</v>
          </cell>
          <cell r="Y27" t="str">
            <v>08521234567</v>
          </cell>
          <cell r="Z27" t="str">
            <v>Ibu SUNTORO MUHMIN</v>
          </cell>
          <cell r="AA27" t="str">
            <v>Mengurus rumah tangga</v>
          </cell>
          <cell r="AB27" t="str">
            <v>Jl. SUNTORO MUHMIN No. 293 Malang</v>
          </cell>
          <cell r="AC27">
            <v>1234567911</v>
          </cell>
          <cell r="AD27" t="str">
            <v>08521234567</v>
          </cell>
        </row>
        <row r="28">
          <cell r="A28">
            <v>23</v>
          </cell>
          <cell r="B28">
            <v>294</v>
          </cell>
          <cell r="C28">
            <v>9988386367</v>
          </cell>
          <cell r="D28" t="str">
            <v>YULI KUSUMAWATI</v>
          </cell>
          <cell r="E28" t="str">
            <v>Perempuan</v>
          </cell>
          <cell r="F28" t="str">
            <v>Indramayu</v>
          </cell>
          <cell r="G28">
            <v>37300</v>
          </cell>
          <cell r="H28" t="str">
            <v>Jl. YULI KUSUMAWATI No. 294 Indramayu</v>
          </cell>
          <cell r="I28" t="str">
            <v>2948386367</v>
          </cell>
          <cell r="J28" t="str">
            <v>08129988386367</v>
          </cell>
          <cell r="K28" t="str">
            <v>Islam</v>
          </cell>
          <cell r="L28">
            <v>4</v>
          </cell>
          <cell r="M28" t="str">
            <v>Anak Kandung</v>
          </cell>
          <cell r="N28" t="str">
            <v>PAKET A</v>
          </cell>
          <cell r="O28">
            <v>2014</v>
          </cell>
          <cell r="P28" t="str">
            <v>DN-05 Dd 0400917</v>
          </cell>
          <cell r="Q28" t="str">
            <v>2 Juli 2019</v>
          </cell>
          <cell r="R28" t="str">
            <v>IX</v>
          </cell>
          <cell r="S28" t="str">
            <v>Tingkatan 4 (Terampil  2)</v>
          </cell>
          <cell r="U28" t="str">
            <v>Ayahnya YULI KUSUMAWATI</v>
          </cell>
          <cell r="V28" t="str">
            <v>Wiraswasta</v>
          </cell>
          <cell r="W28" t="str">
            <v>Jl. YULI KUSUMAWATI No. 294 Indramayu</v>
          </cell>
          <cell r="X28">
            <v>1234567912</v>
          </cell>
          <cell r="Y28" t="str">
            <v>08521234567</v>
          </cell>
          <cell r="Z28" t="str">
            <v>Ibu YULI KUSUMAWATI</v>
          </cell>
          <cell r="AA28" t="str">
            <v>Mengurus rumah tangga</v>
          </cell>
          <cell r="AB28" t="str">
            <v>Jl. YULI KUSUMAWATI No. 294 Indramayu</v>
          </cell>
          <cell r="AC28">
            <v>1234567912</v>
          </cell>
          <cell r="AD28" t="str">
            <v>08521234567</v>
          </cell>
        </row>
        <row r="29">
          <cell r="A29">
            <v>24</v>
          </cell>
          <cell r="B29">
            <v>295</v>
          </cell>
          <cell r="C29">
            <v>9988388370</v>
          </cell>
          <cell r="D29" t="str">
            <v>SAHRATUL QORI'AH</v>
          </cell>
          <cell r="E29" t="str">
            <v>Perempuan</v>
          </cell>
          <cell r="F29" t="str">
            <v>Bondowoso</v>
          </cell>
          <cell r="G29">
            <v>36940</v>
          </cell>
          <cell r="H29" t="str">
            <v>Jl. SAHRATUL QORI'AH No. 295 Bondowoso</v>
          </cell>
          <cell r="I29" t="str">
            <v>2958388370</v>
          </cell>
          <cell r="J29" t="str">
            <v>08129988388370</v>
          </cell>
          <cell r="K29" t="str">
            <v>Islam</v>
          </cell>
          <cell r="L29">
            <v>3</v>
          </cell>
          <cell r="M29" t="str">
            <v>Anak Kandung</v>
          </cell>
          <cell r="N29" t="str">
            <v>SD</v>
          </cell>
          <cell r="O29">
            <v>2014</v>
          </cell>
          <cell r="P29" t="str">
            <v>DN-05 Dd 0400990</v>
          </cell>
          <cell r="Q29" t="str">
            <v>2 Juli 2019</v>
          </cell>
          <cell r="R29" t="str">
            <v>IX</v>
          </cell>
          <cell r="S29" t="str">
            <v>Tingkatan 4 (Terampil  2)</v>
          </cell>
          <cell r="U29" t="str">
            <v>Ayahnya SAHRATUL QORI'AH</v>
          </cell>
          <cell r="V29" t="str">
            <v>Wiraswasta</v>
          </cell>
          <cell r="W29" t="str">
            <v>Jl. SAHRATUL QORI'AH No. 295 Bondowoso</v>
          </cell>
          <cell r="X29">
            <v>1234567913</v>
          </cell>
          <cell r="Y29" t="str">
            <v>08521234567</v>
          </cell>
          <cell r="Z29" t="str">
            <v>Ibu SAHRATUL QORI'AH</v>
          </cell>
          <cell r="AA29" t="str">
            <v>Mengurus rumah tangga</v>
          </cell>
          <cell r="AB29" t="str">
            <v>Jl. SAHRATUL QORI'AH No. 295 Bondowoso</v>
          </cell>
          <cell r="AC29">
            <v>1234567913</v>
          </cell>
          <cell r="AD29" t="str">
            <v>08521234567</v>
          </cell>
        </row>
        <row r="30">
          <cell r="A30">
            <v>25</v>
          </cell>
          <cell r="B30">
            <v>296</v>
          </cell>
          <cell r="C30">
            <v>9988390373</v>
          </cell>
          <cell r="D30" t="str">
            <v>ZAINAL ARIFIN</v>
          </cell>
          <cell r="E30" t="str">
            <v>Perempuan</v>
          </cell>
          <cell r="F30" t="str">
            <v>Jakarta</v>
          </cell>
          <cell r="G30">
            <v>37047</v>
          </cell>
          <cell r="H30" t="str">
            <v>Jl. ZAINAL ARIFIN No. 296 Jakarta</v>
          </cell>
          <cell r="I30" t="str">
            <v>2968390373</v>
          </cell>
          <cell r="J30" t="str">
            <v>08129988390373</v>
          </cell>
          <cell r="K30" t="str">
            <v>Islam</v>
          </cell>
          <cell r="L30">
            <v>2</v>
          </cell>
          <cell r="M30" t="str">
            <v>Anak Kandung</v>
          </cell>
          <cell r="N30" t="str">
            <v xml:space="preserve">MI </v>
          </cell>
          <cell r="O30">
            <v>2014</v>
          </cell>
          <cell r="P30" t="str">
            <v>DN-05 Dd 0403588</v>
          </cell>
          <cell r="Q30" t="str">
            <v>2 Juli 2019</v>
          </cell>
          <cell r="R30" t="str">
            <v>IX</v>
          </cell>
          <cell r="S30" t="str">
            <v>Tingkatan 4 (Terampil  2)</v>
          </cell>
          <cell r="U30" t="str">
            <v>Ayahnya ZAINAL ARIFIN</v>
          </cell>
          <cell r="V30" t="str">
            <v>PNS</v>
          </cell>
          <cell r="W30" t="str">
            <v>Jl. ZAINAL ARIFIN No. 296 Jakarta</v>
          </cell>
          <cell r="X30">
            <v>1234567914</v>
          </cell>
          <cell r="Y30" t="str">
            <v>08521234567</v>
          </cell>
          <cell r="Z30" t="str">
            <v>Ibu ZAINAL ARIFIN</v>
          </cell>
          <cell r="AA30" t="str">
            <v>Guru</v>
          </cell>
          <cell r="AB30" t="str">
            <v>Jl. ZAINAL ARIFIN No. 296 Jakarta</v>
          </cell>
          <cell r="AC30">
            <v>1234567914</v>
          </cell>
          <cell r="AD30" t="str">
            <v>08521234567</v>
          </cell>
        </row>
        <row r="31">
          <cell r="A31">
            <v>26</v>
          </cell>
          <cell r="B31">
            <v>297</v>
          </cell>
          <cell r="C31">
            <v>9988392376</v>
          </cell>
          <cell r="D31" t="str">
            <v>MUHLISIN</v>
          </cell>
          <cell r="E31" t="str">
            <v>Laki-laki</v>
          </cell>
          <cell r="F31" t="str">
            <v>Jakarta</v>
          </cell>
          <cell r="G31">
            <v>37101</v>
          </cell>
          <cell r="H31" t="str">
            <v>Jl. MUHLISIN No. 297 Jakarta</v>
          </cell>
          <cell r="I31" t="str">
            <v>2978392376</v>
          </cell>
          <cell r="J31" t="str">
            <v>08129988392376</v>
          </cell>
          <cell r="K31" t="str">
            <v>Islam</v>
          </cell>
          <cell r="L31">
            <v>4</v>
          </cell>
          <cell r="M31" t="str">
            <v>Anak Kandung</v>
          </cell>
          <cell r="N31" t="str">
            <v>PAKET A</v>
          </cell>
          <cell r="O31">
            <v>2014</v>
          </cell>
          <cell r="P31" t="str">
            <v>DN-05 Dd 0400895</v>
          </cell>
          <cell r="Q31" t="str">
            <v>2 Juli 2019</v>
          </cell>
          <cell r="R31" t="str">
            <v>IX</v>
          </cell>
          <cell r="S31" t="str">
            <v>Tingkatan 4 (Terampil  2)</v>
          </cell>
          <cell r="U31" t="str">
            <v>Ayahnya MUHLISIN</v>
          </cell>
          <cell r="V31" t="str">
            <v>PNS</v>
          </cell>
          <cell r="W31" t="str">
            <v>Jl. MUHLISIN No. 297 Jakarta</v>
          </cell>
          <cell r="X31">
            <v>1234567915</v>
          </cell>
          <cell r="Y31" t="str">
            <v>08521234567</v>
          </cell>
          <cell r="Z31" t="str">
            <v>Ibu MUHLISIN</v>
          </cell>
          <cell r="AA31" t="str">
            <v>Mengurus rumah tangga</v>
          </cell>
          <cell r="AB31" t="str">
            <v>Jl. MUHLISIN No. 297 Jakarta</v>
          </cell>
          <cell r="AC31">
            <v>1234567915</v>
          </cell>
          <cell r="AD31" t="str">
            <v>08521234567</v>
          </cell>
        </row>
        <row r="32">
          <cell r="A32">
            <v>27</v>
          </cell>
          <cell r="B32">
            <v>298</v>
          </cell>
          <cell r="C32">
            <v>9988394379</v>
          </cell>
          <cell r="D32" t="str">
            <v>SITI NOR HALISA</v>
          </cell>
          <cell r="E32" t="str">
            <v>Laki-laki</v>
          </cell>
          <cell r="F32" t="str">
            <v>Cirebon</v>
          </cell>
          <cell r="G32">
            <v>37047</v>
          </cell>
          <cell r="H32" t="str">
            <v>Jl. SITI NOR HALISA No. 298 Cirebon</v>
          </cell>
          <cell r="I32" t="str">
            <v>2988394379</v>
          </cell>
          <cell r="J32" t="str">
            <v>08129988394379</v>
          </cell>
          <cell r="K32" t="str">
            <v>Islam</v>
          </cell>
          <cell r="L32">
            <v>3</v>
          </cell>
          <cell r="M32" t="str">
            <v>Anak Kandung</v>
          </cell>
          <cell r="N32" t="str">
            <v>PAKET A</v>
          </cell>
          <cell r="O32">
            <v>2014</v>
          </cell>
          <cell r="P32" t="str">
            <v>DN-05 Dd 0403435</v>
          </cell>
          <cell r="Q32" t="str">
            <v>2 Juli 2019</v>
          </cell>
          <cell r="R32" t="str">
            <v>IX</v>
          </cell>
          <cell r="S32" t="str">
            <v>Tingkatan 4 (Terampil  2)</v>
          </cell>
          <cell r="U32" t="str">
            <v>Ayahnya SITI NOR HALISA</v>
          </cell>
          <cell r="V32" t="str">
            <v>Buruh</v>
          </cell>
          <cell r="W32" t="str">
            <v>Jl. SITI NOR HALISA No. 298 Cirebon</v>
          </cell>
          <cell r="X32">
            <v>1234567916</v>
          </cell>
          <cell r="Y32" t="str">
            <v>08521234567</v>
          </cell>
          <cell r="Z32" t="str">
            <v>Ibu SITI NOR HALISA</v>
          </cell>
          <cell r="AA32" t="str">
            <v>Guru</v>
          </cell>
          <cell r="AB32" t="str">
            <v>Jl. SITI NOR HALISA No. 298 Cirebon</v>
          </cell>
          <cell r="AC32">
            <v>1234567916</v>
          </cell>
          <cell r="AD32" t="str">
            <v>08521234567</v>
          </cell>
        </row>
        <row r="33">
          <cell r="A33">
            <v>28</v>
          </cell>
          <cell r="B33">
            <v>292</v>
          </cell>
          <cell r="C33">
            <v>9988396382</v>
          </cell>
          <cell r="D33" t="str">
            <v>SITI RAHEMAH</v>
          </cell>
          <cell r="E33" t="str">
            <v>Perempuan</v>
          </cell>
          <cell r="F33" t="str">
            <v>Semarang</v>
          </cell>
          <cell r="G33">
            <v>37246</v>
          </cell>
          <cell r="H33" t="str">
            <v>Jl. SITI RAHEMAH No. 292 Semarang</v>
          </cell>
          <cell r="I33" t="str">
            <v>2928396382</v>
          </cell>
          <cell r="J33" t="str">
            <v>08129988396382</v>
          </cell>
          <cell r="K33" t="str">
            <v>Islam</v>
          </cell>
          <cell r="L33">
            <v>2</v>
          </cell>
          <cell r="M33" t="str">
            <v>Anak Kandung</v>
          </cell>
          <cell r="N33" t="str">
            <v>SD</v>
          </cell>
          <cell r="O33">
            <v>2013</v>
          </cell>
          <cell r="P33" t="str">
            <v>DN-05 Dd 0393037</v>
          </cell>
          <cell r="Q33" t="str">
            <v>2 Juli 2019</v>
          </cell>
          <cell r="R33" t="str">
            <v>IX</v>
          </cell>
          <cell r="S33" t="str">
            <v>Tingkatan 4 (Terampil  2)</v>
          </cell>
          <cell r="U33" t="str">
            <v>Ayahnya SITI RAHEMAH</v>
          </cell>
          <cell r="V33" t="str">
            <v>Pegawai Swasta</v>
          </cell>
          <cell r="W33" t="str">
            <v>Jl. SITI RAHEMAH No. 292 Semarang</v>
          </cell>
          <cell r="X33">
            <v>1234567917</v>
          </cell>
          <cell r="Y33" t="str">
            <v>08521234567</v>
          </cell>
          <cell r="Z33" t="str">
            <v>Ibu SITI RAHEMAH</v>
          </cell>
          <cell r="AA33" t="str">
            <v>Mengurus rumah tangga</v>
          </cell>
          <cell r="AB33" t="str">
            <v>Jl. SITI RAHEMAH No. 292 Semarang</v>
          </cell>
          <cell r="AC33">
            <v>1234567917</v>
          </cell>
          <cell r="AD33" t="str">
            <v>08521234567</v>
          </cell>
        </row>
        <row r="34">
          <cell r="A34">
            <v>29</v>
          </cell>
          <cell r="B34">
            <v>293</v>
          </cell>
          <cell r="C34">
            <v>9988398385</v>
          </cell>
          <cell r="D34" t="str">
            <v>SUNTORO MUHMIN</v>
          </cell>
          <cell r="E34" t="str">
            <v>Perempuan</v>
          </cell>
          <cell r="F34" t="str">
            <v>Malang</v>
          </cell>
          <cell r="G34">
            <v>36734</v>
          </cell>
          <cell r="H34" t="str">
            <v>Jl. SUNTORO MUHMIN No. 293 Malang</v>
          </cell>
          <cell r="I34" t="str">
            <v>2938398385</v>
          </cell>
          <cell r="J34" t="str">
            <v>08129988398385</v>
          </cell>
          <cell r="K34" t="str">
            <v>Islam</v>
          </cell>
          <cell r="L34">
            <v>2</v>
          </cell>
          <cell r="M34" t="str">
            <v>Anak Kandung</v>
          </cell>
          <cell r="N34" t="str">
            <v xml:space="preserve">MI </v>
          </cell>
          <cell r="O34">
            <v>2014</v>
          </cell>
          <cell r="P34" t="str">
            <v>DN-05 Dd 0400975</v>
          </cell>
          <cell r="Q34" t="str">
            <v>2 Juli 2019</v>
          </cell>
          <cell r="R34" t="str">
            <v>IX</v>
          </cell>
          <cell r="S34" t="str">
            <v>Tingkatan 4 (Terampil  2)</v>
          </cell>
          <cell r="U34" t="str">
            <v>Ayahnya SUNTORO MUHMIN</v>
          </cell>
          <cell r="V34" t="str">
            <v>Pegawai Swasta</v>
          </cell>
          <cell r="W34" t="str">
            <v>Jl. SUNTORO MUHMIN No. 293 Malang</v>
          </cell>
          <cell r="X34">
            <v>1234567918</v>
          </cell>
          <cell r="Y34" t="str">
            <v>08521234567</v>
          </cell>
          <cell r="Z34" t="str">
            <v>Ibu SUNTORO MUHMIN</v>
          </cell>
          <cell r="AA34" t="str">
            <v>Mengurus rumah tangga</v>
          </cell>
          <cell r="AB34" t="str">
            <v>Jl. SUNTORO MUHMIN No. 293 Malang</v>
          </cell>
          <cell r="AC34">
            <v>1234567918</v>
          </cell>
          <cell r="AD34" t="str">
            <v>08521234567</v>
          </cell>
        </row>
        <row r="35">
          <cell r="A35">
            <v>30</v>
          </cell>
          <cell r="B35">
            <v>294</v>
          </cell>
          <cell r="C35">
            <v>9988400388</v>
          </cell>
          <cell r="D35" t="str">
            <v/>
          </cell>
          <cell r="E35" t="str">
            <v>Perempuan</v>
          </cell>
          <cell r="F35" t="str">
            <v>Indramayu</v>
          </cell>
          <cell r="G35">
            <v>37300</v>
          </cell>
          <cell r="H35" t="str">
            <v>Jl.  No. 294 Indramayu</v>
          </cell>
          <cell r="I35" t="str">
            <v>2948400388</v>
          </cell>
          <cell r="J35" t="str">
            <v>08129988400388</v>
          </cell>
          <cell r="K35" t="str">
            <v>Islam</v>
          </cell>
          <cell r="L35">
            <v>2</v>
          </cell>
          <cell r="M35" t="str">
            <v>Anak Kandung</v>
          </cell>
          <cell r="N35" t="str">
            <v>PAKET A</v>
          </cell>
          <cell r="O35">
            <v>2014</v>
          </cell>
          <cell r="P35" t="str">
            <v>DN-05 Dd 0400917</v>
          </cell>
          <cell r="Q35" t="str">
            <v>2 Juli 2019</v>
          </cell>
          <cell r="R35" t="str">
            <v>IX</v>
          </cell>
          <cell r="S35" t="str">
            <v>Tingkatan 4 (Terampil  2)</v>
          </cell>
          <cell r="U35" t="str">
            <v xml:space="preserve">Ayahnya </v>
          </cell>
          <cell r="V35" t="str">
            <v>Pegawai Swasta</v>
          </cell>
          <cell r="W35" t="str">
            <v>Jl.  No. 294 Indramayu</v>
          </cell>
          <cell r="X35">
            <v>1234567919</v>
          </cell>
          <cell r="Y35" t="str">
            <v>08521234567</v>
          </cell>
          <cell r="Z35" t="str">
            <v xml:space="preserve">Ibu </v>
          </cell>
          <cell r="AA35" t="str">
            <v>Mengurus rumah tangga</v>
          </cell>
          <cell r="AB35" t="str">
            <v>Jl.  No. 294 Indramayu</v>
          </cell>
          <cell r="AC35">
            <v>1234567919</v>
          </cell>
          <cell r="AD35" t="str">
            <v>08521234567</v>
          </cell>
        </row>
        <row r="36">
          <cell r="A36">
            <v>31</v>
          </cell>
          <cell r="B36">
            <v>295</v>
          </cell>
          <cell r="D36" t="str">
            <v/>
          </cell>
          <cell r="S36" t="str">
            <v/>
          </cell>
        </row>
        <row r="37">
          <cell r="A37">
            <v>32</v>
          </cell>
          <cell r="B37">
            <v>296</v>
          </cell>
          <cell r="D37" t="str">
            <v/>
          </cell>
          <cell r="S37" t="str">
            <v/>
          </cell>
        </row>
        <row r="38">
          <cell r="A38">
            <v>33</v>
          </cell>
          <cell r="B38">
            <v>297</v>
          </cell>
          <cell r="D38" t="str">
            <v/>
          </cell>
          <cell r="S38" t="str">
            <v/>
          </cell>
        </row>
        <row r="39">
          <cell r="A39">
            <v>34</v>
          </cell>
          <cell r="B39">
            <v>298</v>
          </cell>
          <cell r="D39" t="str">
            <v/>
          </cell>
          <cell r="S39" t="str">
            <v/>
          </cell>
        </row>
        <row r="40">
          <cell r="A40">
            <v>35</v>
          </cell>
          <cell r="B40">
            <v>299</v>
          </cell>
          <cell r="D40" t="str">
            <v/>
          </cell>
          <cell r="S40" t="str">
            <v/>
          </cell>
        </row>
        <row r="41">
          <cell r="A41">
            <v>36</v>
          </cell>
          <cell r="B41">
            <v>300</v>
          </cell>
          <cell r="D41" t="str">
            <v/>
          </cell>
          <cell r="S41" t="str">
            <v/>
          </cell>
        </row>
        <row r="42">
          <cell r="A42">
            <v>37</v>
          </cell>
          <cell r="B42">
            <v>301</v>
          </cell>
          <cell r="D42" t="str">
            <v/>
          </cell>
          <cell r="S42" t="str">
            <v/>
          </cell>
        </row>
        <row r="43">
          <cell r="A43">
            <v>38</v>
          </cell>
          <cell r="B43">
            <v>302</v>
          </cell>
          <cell r="D43" t="str">
            <v/>
          </cell>
          <cell r="S43" t="str">
            <v/>
          </cell>
        </row>
        <row r="44">
          <cell r="A44">
            <v>39</v>
          </cell>
          <cell r="B44">
            <v>303</v>
          </cell>
          <cell r="D44" t="str">
            <v/>
          </cell>
          <cell r="S44" t="str">
            <v/>
          </cell>
        </row>
        <row r="45">
          <cell r="A45">
            <v>40</v>
          </cell>
          <cell r="B45">
            <v>304</v>
          </cell>
          <cell r="D45" t="str">
            <v/>
          </cell>
          <cell r="S45" t="str">
            <v/>
          </cell>
        </row>
        <row r="46">
          <cell r="A46">
            <v>41</v>
          </cell>
          <cell r="B46">
            <v>305</v>
          </cell>
          <cell r="D46" t="str">
            <v/>
          </cell>
          <cell r="S46" t="str">
            <v/>
          </cell>
        </row>
        <row r="47">
          <cell r="A47">
            <v>42</v>
          </cell>
          <cell r="B47">
            <v>306</v>
          </cell>
          <cell r="D47" t="str">
            <v/>
          </cell>
          <cell r="S47" t="str">
            <v/>
          </cell>
        </row>
        <row r="48">
          <cell r="A48">
            <v>43</v>
          </cell>
          <cell r="B48">
            <v>307</v>
          </cell>
          <cell r="D48" t="str">
            <v/>
          </cell>
          <cell r="S48" t="str">
            <v/>
          </cell>
        </row>
        <row r="49">
          <cell r="A49">
            <v>44</v>
          </cell>
          <cell r="B49">
            <v>308</v>
          </cell>
          <cell r="D49" t="str">
            <v/>
          </cell>
          <cell r="S49" t="str">
            <v/>
          </cell>
        </row>
        <row r="50">
          <cell r="A50">
            <v>45</v>
          </cell>
          <cell r="B50">
            <v>309</v>
          </cell>
          <cell r="D50" t="str">
            <v/>
          </cell>
          <cell r="S50" t="str">
            <v/>
          </cell>
        </row>
        <row r="51">
          <cell r="A51">
            <v>46</v>
          </cell>
          <cell r="B51">
            <v>310</v>
          </cell>
          <cell r="D51" t="str">
            <v/>
          </cell>
          <cell r="S51" t="str">
            <v/>
          </cell>
        </row>
        <row r="52">
          <cell r="A52">
            <v>47</v>
          </cell>
          <cell r="B52">
            <v>311</v>
          </cell>
          <cell r="D52" t="str">
            <v/>
          </cell>
          <cell r="S52" t="str">
            <v/>
          </cell>
        </row>
        <row r="53">
          <cell r="A53">
            <v>48</v>
          </cell>
          <cell r="B53">
            <v>312</v>
          </cell>
          <cell r="D53" t="str">
            <v/>
          </cell>
          <cell r="S53" t="str">
            <v/>
          </cell>
        </row>
        <row r="54">
          <cell r="A54">
            <v>49</v>
          </cell>
          <cell r="B54">
            <v>313</v>
          </cell>
          <cell r="D54" t="str">
            <v/>
          </cell>
          <cell r="S54" t="str">
            <v/>
          </cell>
        </row>
        <row r="55">
          <cell r="A55">
            <v>50</v>
          </cell>
          <cell r="B55">
            <v>314</v>
          </cell>
          <cell r="D55" t="str">
            <v/>
          </cell>
          <cell r="S55" t="str">
            <v/>
          </cell>
        </row>
        <row r="56">
          <cell r="A56">
            <v>51</v>
          </cell>
          <cell r="B56">
            <v>315</v>
          </cell>
          <cell r="D56" t="str">
            <v/>
          </cell>
          <cell r="S56" t="str">
            <v/>
          </cell>
        </row>
        <row r="57">
          <cell r="A57">
            <v>52</v>
          </cell>
          <cell r="B57">
            <v>316</v>
          </cell>
          <cell r="D57" t="str">
            <v/>
          </cell>
          <cell r="S57" t="str">
            <v/>
          </cell>
        </row>
        <row r="58">
          <cell r="A58">
            <v>53</v>
          </cell>
          <cell r="B58">
            <v>317</v>
          </cell>
          <cell r="D58" t="str">
            <v/>
          </cell>
          <cell r="S58" t="str">
            <v/>
          </cell>
        </row>
        <row r="59">
          <cell r="A59">
            <v>54</v>
          </cell>
          <cell r="B59">
            <v>318</v>
          </cell>
          <cell r="D59" t="str">
            <v/>
          </cell>
          <cell r="S59" t="str">
            <v/>
          </cell>
        </row>
        <row r="60">
          <cell r="A60">
            <v>55</v>
          </cell>
          <cell r="B60">
            <v>319</v>
          </cell>
          <cell r="D60" t="str">
            <v/>
          </cell>
          <cell r="S60" t="str">
            <v/>
          </cell>
        </row>
        <row r="61">
          <cell r="A61">
            <v>56</v>
          </cell>
          <cell r="B61">
            <v>320</v>
          </cell>
          <cell r="D61" t="str">
            <v/>
          </cell>
          <cell r="S61" t="str">
            <v/>
          </cell>
        </row>
        <row r="62">
          <cell r="A62">
            <v>57</v>
          </cell>
          <cell r="B62">
            <v>321</v>
          </cell>
          <cell r="D62" t="str">
            <v/>
          </cell>
          <cell r="S62" t="str">
            <v/>
          </cell>
        </row>
        <row r="63">
          <cell r="A63">
            <v>58</v>
          </cell>
          <cell r="B63">
            <v>322</v>
          </cell>
          <cell r="D63" t="str">
            <v/>
          </cell>
          <cell r="S63" t="str">
            <v/>
          </cell>
        </row>
        <row r="64">
          <cell r="A64">
            <v>59</v>
          </cell>
          <cell r="B64">
            <v>323</v>
          </cell>
          <cell r="D64" t="str">
            <v/>
          </cell>
          <cell r="S64" t="str">
            <v/>
          </cell>
        </row>
        <row r="65">
          <cell r="A65">
            <v>60</v>
          </cell>
          <cell r="B65">
            <v>324</v>
          </cell>
          <cell r="D65" t="str">
            <v/>
          </cell>
          <cell r="S65" t="str">
            <v/>
          </cell>
        </row>
        <row r="66">
          <cell r="A66">
            <v>61</v>
          </cell>
          <cell r="B66">
            <v>325</v>
          </cell>
          <cell r="D66" t="str">
            <v/>
          </cell>
          <cell r="S66" t="str">
            <v/>
          </cell>
        </row>
        <row r="67">
          <cell r="A67">
            <v>62</v>
          </cell>
          <cell r="B67">
            <v>326</v>
          </cell>
          <cell r="D67" t="str">
            <v/>
          </cell>
          <cell r="S67" t="str">
            <v/>
          </cell>
        </row>
        <row r="68">
          <cell r="A68">
            <v>63</v>
          </cell>
          <cell r="B68">
            <v>327</v>
          </cell>
          <cell r="D68" t="str">
            <v/>
          </cell>
          <cell r="S68" t="str">
            <v/>
          </cell>
        </row>
        <row r="69">
          <cell r="A69">
            <v>64</v>
          </cell>
          <cell r="B69">
            <v>328</v>
          </cell>
          <cell r="D69" t="str">
            <v/>
          </cell>
          <cell r="S69" t="str">
            <v/>
          </cell>
        </row>
        <row r="70">
          <cell r="A70">
            <v>65</v>
          </cell>
          <cell r="B70">
            <v>329</v>
          </cell>
          <cell r="D70" t="str">
            <v/>
          </cell>
          <cell r="S70" t="str">
            <v/>
          </cell>
        </row>
        <row r="71">
          <cell r="A71">
            <v>66</v>
          </cell>
          <cell r="B71">
            <v>330</v>
          </cell>
          <cell r="D71" t="str">
            <v/>
          </cell>
          <cell r="S71" t="str">
            <v/>
          </cell>
        </row>
        <row r="72">
          <cell r="A72">
            <v>67</v>
          </cell>
          <cell r="B72">
            <v>331</v>
          </cell>
          <cell r="D72" t="str">
            <v/>
          </cell>
          <cell r="S72" t="str">
            <v/>
          </cell>
        </row>
        <row r="73">
          <cell r="A73">
            <v>68</v>
          </cell>
          <cell r="B73">
            <v>332</v>
          </cell>
          <cell r="D73" t="str">
            <v/>
          </cell>
          <cell r="S73" t="str">
            <v/>
          </cell>
        </row>
        <row r="74">
          <cell r="A74">
            <v>69</v>
          </cell>
          <cell r="B74">
            <v>333</v>
          </cell>
          <cell r="D74" t="str">
            <v/>
          </cell>
          <cell r="S74" t="str">
            <v/>
          </cell>
        </row>
        <row r="75">
          <cell r="A75">
            <v>70</v>
          </cell>
          <cell r="B75">
            <v>334</v>
          </cell>
          <cell r="D75" t="str">
            <v/>
          </cell>
          <cell r="S75" t="str">
            <v/>
          </cell>
        </row>
        <row r="76">
          <cell r="A76">
            <v>71</v>
          </cell>
          <cell r="B76">
            <v>335</v>
          </cell>
          <cell r="D76" t="str">
            <v/>
          </cell>
          <cell r="S76" t="str">
            <v/>
          </cell>
        </row>
        <row r="77">
          <cell r="A77">
            <v>72</v>
          </cell>
          <cell r="B77">
            <v>336</v>
          </cell>
          <cell r="D77" t="str">
            <v/>
          </cell>
          <cell r="S77" t="str">
            <v/>
          </cell>
        </row>
        <row r="78">
          <cell r="A78">
            <v>73</v>
          </cell>
          <cell r="B78">
            <v>337</v>
          </cell>
          <cell r="D78" t="str">
            <v/>
          </cell>
          <cell r="S78" t="str">
            <v/>
          </cell>
        </row>
        <row r="79">
          <cell r="A79">
            <v>74</v>
          </cell>
          <cell r="B79">
            <v>338</v>
          </cell>
          <cell r="D79" t="str">
            <v/>
          </cell>
          <cell r="S79" t="str">
            <v/>
          </cell>
        </row>
        <row r="80">
          <cell r="A80">
            <v>75</v>
          </cell>
          <cell r="B80">
            <v>339</v>
          </cell>
          <cell r="D80" t="str">
            <v/>
          </cell>
          <cell r="S80" t="str">
            <v/>
          </cell>
        </row>
        <row r="81">
          <cell r="A81">
            <v>76</v>
          </cell>
          <cell r="B81">
            <v>340</v>
          </cell>
          <cell r="D81" t="str">
            <v/>
          </cell>
          <cell r="S81" t="str">
            <v/>
          </cell>
        </row>
        <row r="82">
          <cell r="A82">
            <v>77</v>
          </cell>
          <cell r="B82">
            <v>341</v>
          </cell>
          <cell r="D82" t="str">
            <v/>
          </cell>
          <cell r="S82" t="str">
            <v/>
          </cell>
        </row>
        <row r="83">
          <cell r="A83">
            <v>78</v>
          </cell>
          <cell r="B83">
            <v>342</v>
          </cell>
          <cell r="D83" t="str">
            <v/>
          </cell>
          <cell r="S83" t="str">
            <v/>
          </cell>
        </row>
        <row r="84">
          <cell r="A84">
            <v>79</v>
          </cell>
          <cell r="B84">
            <v>343</v>
          </cell>
          <cell r="D84" t="str">
            <v/>
          </cell>
          <cell r="S84" t="str">
            <v/>
          </cell>
        </row>
        <row r="85">
          <cell r="A85">
            <v>80</v>
          </cell>
          <cell r="B85">
            <v>344</v>
          </cell>
          <cell r="D85" t="str">
            <v/>
          </cell>
          <cell r="S85" t="str">
            <v/>
          </cell>
        </row>
        <row r="86">
          <cell r="A86">
            <v>81</v>
          </cell>
          <cell r="B86">
            <v>345</v>
          </cell>
          <cell r="D86" t="str">
            <v/>
          </cell>
          <cell r="S86" t="str">
            <v/>
          </cell>
        </row>
        <row r="87">
          <cell r="A87">
            <v>82</v>
          </cell>
          <cell r="B87">
            <v>346</v>
          </cell>
          <cell r="D87" t="str">
            <v/>
          </cell>
          <cell r="S87" t="str">
            <v/>
          </cell>
        </row>
        <row r="88">
          <cell r="A88">
            <v>83</v>
          </cell>
          <cell r="B88">
            <v>347</v>
          </cell>
          <cell r="D88" t="str">
            <v/>
          </cell>
          <cell r="S88" t="str">
            <v/>
          </cell>
        </row>
        <row r="89">
          <cell r="A89">
            <v>84</v>
          </cell>
          <cell r="B89">
            <v>348</v>
          </cell>
          <cell r="D89" t="str">
            <v/>
          </cell>
          <cell r="S89" t="str">
            <v/>
          </cell>
        </row>
        <row r="90">
          <cell r="A90">
            <v>85</v>
          </cell>
          <cell r="B90">
            <v>349</v>
          </cell>
          <cell r="D90" t="str">
            <v/>
          </cell>
          <cell r="S90" t="str">
            <v/>
          </cell>
        </row>
        <row r="91">
          <cell r="A91">
            <v>86</v>
          </cell>
          <cell r="B91">
            <v>350</v>
          </cell>
          <cell r="D91" t="str">
            <v/>
          </cell>
          <cell r="S91" t="str">
            <v/>
          </cell>
        </row>
        <row r="92">
          <cell r="A92">
            <v>87</v>
          </cell>
          <cell r="B92">
            <v>351</v>
          </cell>
          <cell r="D92" t="str">
            <v/>
          </cell>
          <cell r="S92" t="str">
            <v/>
          </cell>
        </row>
        <row r="93">
          <cell r="A93">
            <v>88</v>
          </cell>
          <cell r="B93">
            <v>352</v>
          </cell>
          <cell r="D93" t="str">
            <v/>
          </cell>
          <cell r="S93" t="str">
            <v/>
          </cell>
        </row>
        <row r="94">
          <cell r="A94">
            <v>89</v>
          </cell>
          <cell r="B94">
            <v>353</v>
          </cell>
          <cell r="D94" t="str">
            <v/>
          </cell>
          <cell r="S94" t="str">
            <v/>
          </cell>
        </row>
        <row r="95">
          <cell r="A95">
            <v>90</v>
          </cell>
          <cell r="B95">
            <v>354</v>
          </cell>
          <cell r="D95" t="str">
            <v/>
          </cell>
          <cell r="S95" t="str">
            <v/>
          </cell>
        </row>
        <row r="96">
          <cell r="A96">
            <v>91</v>
          </cell>
          <cell r="B96">
            <v>355</v>
          </cell>
          <cell r="D96" t="str">
            <v/>
          </cell>
          <cell r="S96" t="str">
            <v/>
          </cell>
        </row>
        <row r="97">
          <cell r="A97">
            <v>92</v>
          </cell>
          <cell r="B97">
            <v>356</v>
          </cell>
          <cell r="D97" t="str">
            <v/>
          </cell>
          <cell r="S97" t="str">
            <v/>
          </cell>
        </row>
        <row r="98">
          <cell r="A98">
            <v>93</v>
          </cell>
          <cell r="B98">
            <v>357</v>
          </cell>
          <cell r="D98" t="str">
            <v/>
          </cell>
          <cell r="S98" t="str">
            <v/>
          </cell>
        </row>
        <row r="99">
          <cell r="A99">
            <v>94</v>
          </cell>
          <cell r="B99">
            <v>358</v>
          </cell>
          <cell r="D99" t="str">
            <v/>
          </cell>
          <cell r="S99" t="str">
            <v/>
          </cell>
        </row>
        <row r="100">
          <cell r="A100">
            <v>95</v>
          </cell>
          <cell r="B100">
            <v>359</v>
          </cell>
          <cell r="D100" t="str">
            <v/>
          </cell>
          <cell r="S100" t="str">
            <v/>
          </cell>
        </row>
        <row r="101">
          <cell r="A101">
            <v>96</v>
          </cell>
          <cell r="B101">
            <v>360</v>
          </cell>
          <cell r="D101" t="str">
            <v/>
          </cell>
          <cell r="S101" t="str">
            <v/>
          </cell>
        </row>
        <row r="102">
          <cell r="A102">
            <v>97</v>
          </cell>
          <cell r="B102">
            <v>361</v>
          </cell>
          <cell r="D102" t="str">
            <v/>
          </cell>
          <cell r="S102" t="str">
            <v/>
          </cell>
        </row>
        <row r="103">
          <cell r="A103">
            <v>98</v>
          </cell>
          <cell r="B103">
            <v>362</v>
          </cell>
          <cell r="D103" t="str">
            <v/>
          </cell>
          <cell r="S103" t="str">
            <v/>
          </cell>
        </row>
        <row r="104">
          <cell r="A104">
            <v>99</v>
          </cell>
          <cell r="B104">
            <v>363</v>
          </cell>
          <cell r="D104" t="str">
            <v/>
          </cell>
          <cell r="S104" t="str">
            <v/>
          </cell>
        </row>
        <row r="105">
          <cell r="A105">
            <v>100</v>
          </cell>
          <cell r="B105">
            <v>364</v>
          </cell>
          <cell r="D105" t="str">
            <v/>
          </cell>
          <cell r="S105" t="str">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33CC"/>
        </a:solidFill>
      </a:spPr>
      <a:bodyPr vertOverflow="clip" horzOverflow="clip" rtlCol="0" anchor="ctr"/>
      <a:lstStyle>
        <a:defPPr algn="ctr">
          <a:defRPr sz="1100" b="1">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9.bin"/><Relationship Id="rId4" Type="http://schemas.openxmlformats.org/officeDocument/2006/relationships/ctrlProp" Target="../ctrlProps/ctrlProp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7"/>
  <sheetViews>
    <sheetView showGridLines="0" zoomScaleNormal="100" workbookViewId="0"/>
  </sheetViews>
  <sheetFormatPr defaultRowHeight="14.5" x14ac:dyDescent="0.35"/>
  <cols>
    <col min="1" max="1" width="6.7265625" customWidth="1"/>
    <col min="10" max="10" width="2.81640625" customWidth="1"/>
    <col min="11" max="11" width="6.7265625" customWidth="1"/>
  </cols>
  <sheetData>
    <row r="1" spans="1:11" ht="30" customHeight="1" x14ac:dyDescent="0.35">
      <c r="A1" s="127"/>
      <c r="B1" s="127"/>
      <c r="C1" s="127"/>
      <c r="D1" s="127"/>
      <c r="E1" s="127"/>
      <c r="F1" s="127"/>
      <c r="G1" s="127"/>
      <c r="H1" s="127"/>
      <c r="I1" s="127"/>
      <c r="J1" s="127"/>
      <c r="K1" s="127"/>
    </row>
    <row r="2" spans="1:11" x14ac:dyDescent="0.35">
      <c r="A2" s="128"/>
      <c r="K2" s="128"/>
    </row>
    <row r="3" spans="1:11" x14ac:dyDescent="0.35">
      <c r="A3" s="128"/>
      <c r="K3" s="128"/>
    </row>
    <row r="4" spans="1:11" x14ac:dyDescent="0.35">
      <c r="A4" s="128"/>
      <c r="K4" s="128"/>
    </row>
    <row r="5" spans="1:11" x14ac:dyDescent="0.35">
      <c r="A5" s="128"/>
      <c r="K5" s="128"/>
    </row>
    <row r="6" spans="1:11" x14ac:dyDescent="0.35">
      <c r="A6" s="128"/>
      <c r="K6" s="128"/>
    </row>
    <row r="7" spans="1:11" x14ac:dyDescent="0.35">
      <c r="A7" s="128"/>
      <c r="K7" s="128"/>
    </row>
    <row r="8" spans="1:11" x14ac:dyDescent="0.35">
      <c r="A8" s="128"/>
      <c r="K8" s="128"/>
    </row>
    <row r="9" spans="1:11" x14ac:dyDescent="0.35">
      <c r="A9" s="128"/>
      <c r="K9" s="128"/>
    </row>
    <row r="10" spans="1:11" x14ac:dyDescent="0.35">
      <c r="A10" s="128"/>
      <c r="K10" s="128"/>
    </row>
    <row r="11" spans="1:11" x14ac:dyDescent="0.35">
      <c r="A11" s="128"/>
      <c r="K11" s="128"/>
    </row>
    <row r="12" spans="1:11" x14ac:dyDescent="0.35">
      <c r="A12" s="128"/>
      <c r="K12" s="128"/>
    </row>
    <row r="13" spans="1:11" x14ac:dyDescent="0.35">
      <c r="A13" s="128"/>
      <c r="K13" s="128"/>
    </row>
    <row r="14" spans="1:11" x14ac:dyDescent="0.35">
      <c r="A14" s="128"/>
      <c r="K14" s="128"/>
    </row>
    <row r="15" spans="1:11" x14ac:dyDescent="0.35">
      <c r="A15" s="128"/>
      <c r="K15" s="128"/>
    </row>
    <row r="16" spans="1:11" x14ac:dyDescent="0.35">
      <c r="A16" s="128"/>
      <c r="K16" s="128"/>
    </row>
    <row r="17" spans="1:11" x14ac:dyDescent="0.35">
      <c r="A17" s="128"/>
      <c r="K17" s="128"/>
    </row>
    <row r="18" spans="1:11" x14ac:dyDescent="0.35">
      <c r="A18" s="128"/>
      <c r="K18" s="128"/>
    </row>
    <row r="19" spans="1:11" ht="20.25" customHeight="1" x14ac:dyDescent="0.35">
      <c r="A19" s="128"/>
      <c r="K19" s="128"/>
    </row>
    <row r="20" spans="1:11" ht="15.75" customHeight="1" x14ac:dyDescent="0.35">
      <c r="A20" s="128"/>
      <c r="K20" s="128"/>
    </row>
    <row r="21" spans="1:11" x14ac:dyDescent="0.35">
      <c r="A21" s="128"/>
      <c r="K21" s="128"/>
    </row>
    <row r="22" spans="1:11" x14ac:dyDescent="0.35">
      <c r="A22" s="128"/>
      <c r="K22" s="128"/>
    </row>
    <row r="23" spans="1:11" x14ac:dyDescent="0.35">
      <c r="A23" s="128"/>
      <c r="K23" s="128"/>
    </row>
    <row r="24" spans="1:11" x14ac:dyDescent="0.35">
      <c r="A24" s="128"/>
      <c r="K24" s="128"/>
    </row>
    <row r="25" spans="1:11" x14ac:dyDescent="0.35">
      <c r="A25" s="128"/>
      <c r="K25" s="128"/>
    </row>
    <row r="26" spans="1:11" ht="12" customHeight="1" x14ac:dyDescent="0.35">
      <c r="A26" s="128"/>
      <c r="K26" s="128"/>
    </row>
    <row r="27" spans="1:11" ht="33" customHeight="1" x14ac:dyDescent="0.35">
      <c r="A27" s="128"/>
      <c r="B27" s="128"/>
      <c r="C27" s="128"/>
      <c r="D27" s="128"/>
      <c r="E27" s="128"/>
      <c r="F27" s="128"/>
      <c r="G27" s="128"/>
      <c r="H27" s="129"/>
      <c r="I27" s="128"/>
      <c r="J27" s="128"/>
      <c r="K27" s="128"/>
    </row>
  </sheetData>
  <sheetProtection algorithmName="SHA-512" hashValue="TPKrfhpZiJuihaTciL6ttuU513I7WCX579s4NYpW15FDI7bhOlwM4SarsqQB7RpDFREGIxPdF+CgOBfvAXS8FQ==" saltValue="MQezGqYzFzN4Bv0PC20no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Q34:AH44"/>
  <sheetViews>
    <sheetView showGridLines="0" topLeftCell="F13" zoomScale="70" zoomScaleNormal="70" workbookViewId="0">
      <selection activeCell="K35" sqref="K35"/>
    </sheetView>
  </sheetViews>
  <sheetFormatPr defaultRowHeight="14.5" x14ac:dyDescent="0.35"/>
  <sheetData>
    <row r="34" spans="17:34" x14ac:dyDescent="0.35">
      <c r="S34" s="37"/>
      <c r="T34" s="37"/>
      <c r="U34" s="37"/>
      <c r="V34" s="37"/>
      <c r="W34" s="37"/>
      <c r="X34" s="37"/>
      <c r="Y34" s="37"/>
      <c r="Z34" s="37"/>
      <c r="AA34" s="37"/>
      <c r="AB34" s="37"/>
      <c r="AC34" s="37"/>
    </row>
    <row r="35" spans="17:34" x14ac:dyDescent="0.35">
      <c r="S35" s="37"/>
      <c r="T35" s="37"/>
      <c r="U35" s="37"/>
      <c r="V35" s="37"/>
      <c r="W35" s="37"/>
      <c r="X35" s="37"/>
      <c r="Y35" s="37"/>
      <c r="Z35" s="37"/>
      <c r="AA35" s="37"/>
      <c r="AB35" s="37"/>
      <c r="AC35" s="37"/>
    </row>
    <row r="36" spans="17:34" x14ac:dyDescent="0.35">
      <c r="Q36" s="34"/>
      <c r="R36" s="34"/>
      <c r="S36" s="44"/>
      <c r="T36" s="44"/>
      <c r="U36" s="44"/>
      <c r="V36" s="44"/>
      <c r="W36" s="44"/>
      <c r="X36" s="44"/>
      <c r="Y36" s="44"/>
      <c r="Z36" s="44"/>
      <c r="AA36" s="44"/>
      <c r="AB36" s="44"/>
      <c r="AC36" s="44"/>
      <c r="AD36" s="34"/>
      <c r="AE36" s="34"/>
      <c r="AF36" s="34"/>
      <c r="AG36" s="34"/>
      <c r="AH36" s="34"/>
    </row>
    <row r="37" spans="17:34" x14ac:dyDescent="0.35">
      <c r="Q37" s="34"/>
      <c r="R37" s="34"/>
      <c r="S37" s="44"/>
      <c r="T37" s="44"/>
      <c r="U37" s="44"/>
      <c r="V37" s="44"/>
      <c r="W37" s="44"/>
      <c r="X37" s="44"/>
      <c r="Y37" s="44"/>
      <c r="Z37" s="44"/>
      <c r="AA37" s="44"/>
      <c r="AB37" s="44"/>
      <c r="AC37" s="44"/>
      <c r="AD37" s="34"/>
      <c r="AE37" s="34"/>
      <c r="AF37" s="34"/>
      <c r="AG37" s="34"/>
      <c r="AH37" s="34"/>
    </row>
    <row r="38" spans="17:34" ht="26.5" x14ac:dyDescent="0.35">
      <c r="R38" s="136"/>
      <c r="S38" s="426" t="s">
        <v>257</v>
      </c>
      <c r="T38" s="426"/>
      <c r="U38" s="426"/>
      <c r="V38" s="426"/>
      <c r="W38" s="426"/>
      <c r="X38" s="426"/>
      <c r="Y38" s="426"/>
      <c r="Z38" s="426"/>
      <c r="AA38" s="426"/>
      <c r="AB38" s="426"/>
      <c r="AC38" s="426"/>
      <c r="AD38" s="136"/>
      <c r="AE38" s="136"/>
      <c r="AF38" s="136"/>
      <c r="AG38" s="136"/>
      <c r="AH38" s="136"/>
    </row>
    <row r="39" spans="17:34" ht="26.5" x14ac:dyDescent="0.35">
      <c r="R39" s="136"/>
      <c r="S39" s="426" t="s">
        <v>256</v>
      </c>
      <c r="T39" s="426"/>
      <c r="U39" s="426"/>
      <c r="V39" s="426"/>
      <c r="W39" s="426"/>
      <c r="X39" s="426"/>
      <c r="Y39" s="426"/>
      <c r="Z39" s="426"/>
      <c r="AA39" s="426"/>
      <c r="AB39" s="426"/>
      <c r="AC39" s="426"/>
      <c r="AD39" s="136"/>
      <c r="AE39" s="136"/>
      <c r="AF39" s="136"/>
      <c r="AG39" s="136"/>
      <c r="AH39" s="136"/>
    </row>
    <row r="40" spans="17:34" x14ac:dyDescent="0.35">
      <c r="S40" s="37"/>
      <c r="T40" s="37"/>
      <c r="U40" s="37"/>
      <c r="V40" s="37"/>
      <c r="W40" s="37"/>
      <c r="X40" s="37"/>
      <c r="Y40" s="37"/>
      <c r="Z40" s="37"/>
      <c r="AA40" s="37"/>
      <c r="AB40" s="37"/>
      <c r="AC40" s="37"/>
    </row>
    <row r="41" spans="17:34" x14ac:dyDescent="0.35">
      <c r="S41" s="37"/>
      <c r="T41" s="37"/>
      <c r="U41" s="37"/>
      <c r="V41" s="37"/>
      <c r="W41" s="37"/>
      <c r="X41" s="37"/>
      <c r="Y41" s="37"/>
      <c r="Z41" s="37"/>
      <c r="AA41" s="37"/>
      <c r="AB41" s="37"/>
      <c r="AC41" s="37"/>
    </row>
    <row r="42" spans="17:34" x14ac:dyDescent="0.35">
      <c r="S42" s="37"/>
      <c r="T42" s="37"/>
      <c r="U42" s="37"/>
      <c r="V42" s="37"/>
      <c r="W42" s="37"/>
      <c r="X42" s="37"/>
      <c r="Y42" s="37"/>
      <c r="Z42" s="37"/>
      <c r="AA42" s="37"/>
      <c r="AB42" s="37"/>
      <c r="AC42" s="37"/>
    </row>
    <row r="43" spans="17:34" x14ac:dyDescent="0.35">
      <c r="S43" s="37"/>
      <c r="T43" s="37"/>
      <c r="U43" s="37"/>
      <c r="V43" s="37"/>
      <c r="W43" s="37"/>
      <c r="X43" s="37"/>
      <c r="Y43" s="37"/>
      <c r="Z43" s="37"/>
      <c r="AA43" s="37"/>
      <c r="AB43" s="37"/>
      <c r="AC43" s="37"/>
    </row>
    <row r="44" spans="17:34" x14ac:dyDescent="0.35">
      <c r="S44" s="37"/>
      <c r="T44" s="37"/>
      <c r="U44" s="37"/>
      <c r="V44" s="37"/>
      <c r="W44" s="37"/>
      <c r="X44" s="37"/>
      <c r="Y44" s="37"/>
      <c r="Z44" s="37"/>
      <c r="AA44" s="37"/>
      <c r="AB44" s="37"/>
      <c r="AC44" s="37"/>
    </row>
  </sheetData>
  <mergeCells count="2">
    <mergeCell ref="S39:AC39"/>
    <mergeCell ref="S38:AC3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29"/>
  <sheetViews>
    <sheetView showGridLines="0" zoomScaleNormal="100" workbookViewId="0">
      <selection activeCell="F2" sqref="F2"/>
    </sheetView>
  </sheetViews>
  <sheetFormatPr defaultRowHeight="14.5" x14ac:dyDescent="0.35"/>
  <sheetData>
    <row r="1" spans="1:3" x14ac:dyDescent="0.35">
      <c r="A1" s="38"/>
      <c r="B1" s="38"/>
      <c r="C1" s="38"/>
    </row>
    <row r="2" spans="1:3" x14ac:dyDescent="0.35">
      <c r="A2" s="38"/>
      <c r="B2" s="38"/>
      <c r="C2" s="38"/>
    </row>
    <row r="3" spans="1:3" x14ac:dyDescent="0.35">
      <c r="A3" s="38"/>
      <c r="B3" s="38"/>
      <c r="C3" s="38"/>
    </row>
    <row r="4" spans="1:3" x14ac:dyDescent="0.35">
      <c r="A4" s="38"/>
      <c r="B4" s="38"/>
      <c r="C4" s="38"/>
    </row>
    <row r="5" spans="1:3" x14ac:dyDescent="0.35">
      <c r="A5" s="38"/>
      <c r="B5" s="38"/>
      <c r="C5" s="38"/>
    </row>
    <row r="6" spans="1:3" x14ac:dyDescent="0.35">
      <c r="A6" s="38"/>
      <c r="B6" s="38"/>
      <c r="C6" s="38"/>
    </row>
    <row r="7" spans="1:3" x14ac:dyDescent="0.35">
      <c r="A7" s="38"/>
      <c r="B7" s="38"/>
      <c r="C7" s="38"/>
    </row>
    <row r="8" spans="1:3" x14ac:dyDescent="0.35">
      <c r="A8" s="38"/>
      <c r="B8" s="38"/>
      <c r="C8" s="38"/>
    </row>
    <row r="9" spans="1:3" x14ac:dyDescent="0.35">
      <c r="A9" s="38"/>
      <c r="B9" s="38"/>
      <c r="C9" s="38"/>
    </row>
    <row r="10" spans="1:3" x14ac:dyDescent="0.35">
      <c r="A10" s="38"/>
      <c r="B10" s="38"/>
      <c r="C10" s="38"/>
    </row>
    <row r="11" spans="1:3" x14ac:dyDescent="0.35">
      <c r="A11" s="38"/>
      <c r="B11" s="38"/>
      <c r="C11" s="38"/>
    </row>
    <row r="12" spans="1:3" x14ac:dyDescent="0.35">
      <c r="A12" s="38"/>
      <c r="B12" s="38"/>
      <c r="C12" s="38"/>
    </row>
    <row r="13" spans="1:3" x14ac:dyDescent="0.35">
      <c r="A13" s="38"/>
      <c r="B13" s="38"/>
      <c r="C13" s="38"/>
    </row>
    <row r="14" spans="1:3" x14ac:dyDescent="0.35">
      <c r="A14" s="38"/>
      <c r="B14" s="38"/>
      <c r="C14" s="38"/>
    </row>
    <row r="15" spans="1:3" x14ac:dyDescent="0.35">
      <c r="A15" s="38"/>
      <c r="B15" s="38"/>
      <c r="C15" s="38"/>
    </row>
    <row r="16" spans="1:3" x14ac:dyDescent="0.35">
      <c r="A16" s="38"/>
      <c r="B16" s="38"/>
      <c r="C16" s="38"/>
    </row>
    <row r="17" spans="1:3" x14ac:dyDescent="0.35">
      <c r="A17" s="38"/>
      <c r="B17" s="38"/>
      <c r="C17" s="38"/>
    </row>
    <row r="18" spans="1:3" x14ac:dyDescent="0.35">
      <c r="A18" s="38"/>
      <c r="B18" s="38"/>
      <c r="C18" s="38"/>
    </row>
    <row r="19" spans="1:3" x14ac:dyDescent="0.35">
      <c r="A19" s="38"/>
      <c r="B19" s="38"/>
      <c r="C19" s="38"/>
    </row>
    <row r="20" spans="1:3" x14ac:dyDescent="0.35">
      <c r="A20" s="38"/>
      <c r="B20" s="38"/>
      <c r="C20" s="38"/>
    </row>
    <row r="21" spans="1:3" x14ac:dyDescent="0.35">
      <c r="A21" s="38"/>
      <c r="B21" s="38"/>
      <c r="C21" s="38"/>
    </row>
    <row r="22" spans="1:3" x14ac:dyDescent="0.35">
      <c r="A22" s="38"/>
      <c r="B22" s="38"/>
      <c r="C22" s="38"/>
    </row>
    <row r="23" spans="1:3" x14ac:dyDescent="0.35">
      <c r="A23" s="38"/>
      <c r="B23" s="38"/>
      <c r="C23" s="38"/>
    </row>
    <row r="24" spans="1:3" x14ac:dyDescent="0.35">
      <c r="A24" s="38"/>
      <c r="B24" s="38"/>
      <c r="C24" s="38"/>
    </row>
    <row r="25" spans="1:3" x14ac:dyDescent="0.35">
      <c r="A25" s="38"/>
      <c r="B25" s="38"/>
      <c r="C25" s="38"/>
    </row>
    <row r="26" spans="1:3" x14ac:dyDescent="0.35">
      <c r="A26" s="38"/>
      <c r="B26" s="38"/>
      <c r="C26" s="38"/>
    </row>
    <row r="27" spans="1:3" x14ac:dyDescent="0.35">
      <c r="A27" s="38"/>
      <c r="B27" s="38"/>
      <c r="C27" s="38"/>
    </row>
    <row r="28" spans="1:3" x14ac:dyDescent="0.35">
      <c r="A28" s="38"/>
      <c r="B28" s="38"/>
      <c r="C28" s="38"/>
    </row>
    <row r="29" spans="1:3" x14ac:dyDescent="0.35">
      <c r="A29" s="38"/>
      <c r="B29" s="38"/>
      <c r="C29" s="38"/>
    </row>
  </sheetData>
  <sheetProtection algorithmName="SHA-512" hashValue="+/SSfKurrxmtWlgfDHmAFAyuRmILhj1w/R6MSe3zJHG5ojj4oGADVOo+CXgna66YacrtAxT3t7SDlxcsPgyDVQ==" saltValue="26sBcXLSWWBvKLlxS7O/Yg==" spinCount="100000" sheet="1" objects="1" scenarios="1" selectLockedCells="1" selectUnlockedCells="1"/>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C24"/>
  <sheetViews>
    <sheetView showGridLines="0" zoomScaleNormal="100" workbookViewId="0">
      <selection activeCell="F2" sqref="F2"/>
    </sheetView>
  </sheetViews>
  <sheetFormatPr defaultRowHeight="14.5" x14ac:dyDescent="0.35"/>
  <cols>
    <col min="4" max="4" width="4.1796875" customWidth="1"/>
  </cols>
  <sheetData>
    <row r="1" spans="1:3" ht="18" customHeight="1" x14ac:dyDescent="0.35">
      <c r="A1" s="38"/>
      <c r="B1" s="38"/>
      <c r="C1" s="38"/>
    </row>
    <row r="2" spans="1:3" ht="18" customHeight="1" x14ac:dyDescent="0.35">
      <c r="A2" s="38"/>
      <c r="B2" s="38"/>
      <c r="C2" s="38"/>
    </row>
    <row r="3" spans="1:3" ht="18" customHeight="1" x14ac:dyDescent="0.35">
      <c r="A3" s="38"/>
      <c r="B3" s="38"/>
      <c r="C3" s="38"/>
    </row>
    <row r="4" spans="1:3" ht="18" customHeight="1" x14ac:dyDescent="0.35">
      <c r="A4" s="38"/>
      <c r="B4" s="38"/>
      <c r="C4" s="38"/>
    </row>
    <row r="5" spans="1:3" ht="18" customHeight="1" x14ac:dyDescent="0.35">
      <c r="A5" s="38"/>
      <c r="B5" s="38"/>
      <c r="C5" s="38"/>
    </row>
    <row r="6" spans="1:3" ht="18" customHeight="1" x14ac:dyDescent="0.35">
      <c r="A6" s="38"/>
      <c r="B6" s="38"/>
      <c r="C6" s="38"/>
    </row>
    <row r="7" spans="1:3" ht="18" customHeight="1" x14ac:dyDescent="0.35">
      <c r="A7" s="38"/>
      <c r="B7" s="38"/>
      <c r="C7" s="38"/>
    </row>
    <row r="8" spans="1:3" ht="18" customHeight="1" x14ac:dyDescent="0.35">
      <c r="A8" s="38"/>
      <c r="B8" s="38"/>
      <c r="C8" s="38"/>
    </row>
    <row r="9" spans="1:3" ht="18" customHeight="1" x14ac:dyDescent="0.35">
      <c r="A9" s="38"/>
      <c r="B9" s="38"/>
      <c r="C9" s="38"/>
    </row>
    <row r="10" spans="1:3" ht="18" customHeight="1" x14ac:dyDescent="0.35">
      <c r="A10" s="38"/>
      <c r="B10" s="38"/>
      <c r="C10" s="38"/>
    </row>
    <row r="11" spans="1:3" ht="18" customHeight="1" x14ac:dyDescent="0.35">
      <c r="A11" s="38"/>
      <c r="B11" s="38"/>
      <c r="C11" s="38"/>
    </row>
    <row r="12" spans="1:3" ht="18" customHeight="1" x14ac:dyDescent="0.35">
      <c r="A12" s="38"/>
      <c r="B12" s="38"/>
      <c r="C12" s="38"/>
    </row>
    <row r="13" spans="1:3" ht="18" customHeight="1" x14ac:dyDescent="0.35">
      <c r="A13" s="38"/>
      <c r="B13" s="38"/>
      <c r="C13" s="38"/>
    </row>
    <row r="14" spans="1:3" ht="18" customHeight="1" x14ac:dyDescent="0.35">
      <c r="A14" s="38"/>
      <c r="B14" s="38"/>
      <c r="C14" s="38"/>
    </row>
    <row r="15" spans="1:3" ht="18" customHeight="1" x14ac:dyDescent="0.35">
      <c r="A15" s="38"/>
      <c r="B15" s="38"/>
      <c r="C15" s="38"/>
    </row>
    <row r="16" spans="1:3" ht="18" customHeight="1" x14ac:dyDescent="0.35">
      <c r="A16" s="38"/>
      <c r="B16" s="38"/>
      <c r="C16" s="38"/>
    </row>
    <row r="17" spans="1:3" ht="18" customHeight="1" x14ac:dyDescent="0.35">
      <c r="A17" s="38"/>
      <c r="B17" s="38"/>
      <c r="C17" s="38"/>
    </row>
    <row r="18" spans="1:3" ht="18" customHeight="1" x14ac:dyDescent="0.35">
      <c r="A18" s="38"/>
      <c r="B18" s="38"/>
      <c r="C18" s="38"/>
    </row>
    <row r="19" spans="1:3" ht="18" customHeight="1" x14ac:dyDescent="0.35">
      <c r="A19" s="38"/>
      <c r="B19" s="38"/>
      <c r="C19" s="38"/>
    </row>
    <row r="20" spans="1:3" ht="18" customHeight="1" x14ac:dyDescent="0.35">
      <c r="A20" s="38"/>
      <c r="B20" s="38"/>
      <c r="C20" s="38"/>
    </row>
    <row r="21" spans="1:3" ht="18" customHeight="1" x14ac:dyDescent="0.35">
      <c r="A21" s="38"/>
      <c r="B21" s="38"/>
      <c r="C21" s="38"/>
    </row>
    <row r="22" spans="1:3" ht="18" customHeight="1" x14ac:dyDescent="0.35">
      <c r="A22" s="38"/>
      <c r="B22" s="38"/>
      <c r="C22" s="38"/>
    </row>
    <row r="23" spans="1:3" ht="18" customHeight="1" x14ac:dyDescent="0.35">
      <c r="A23" s="38"/>
      <c r="B23" s="38"/>
      <c r="C23" s="38"/>
    </row>
    <row r="24" spans="1:3" ht="18" customHeight="1" x14ac:dyDescent="0.35">
      <c r="A24" s="38"/>
      <c r="B24" s="38"/>
      <c r="C24" s="3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R44"/>
  <sheetViews>
    <sheetView showGridLines="0" zoomScale="55" zoomScaleNormal="55" workbookViewId="0">
      <selection activeCell="S5" sqref="S5"/>
    </sheetView>
  </sheetViews>
  <sheetFormatPr defaultRowHeight="14.5" x14ac:dyDescent="0.35"/>
  <cols>
    <col min="4" max="4" width="4.1796875" customWidth="1"/>
    <col min="5" max="5" width="1.54296875" customWidth="1"/>
    <col min="6" max="6" width="5.453125" style="18" customWidth="1"/>
    <col min="7" max="7" width="42.453125" style="19" customWidth="1"/>
    <col min="8" max="10" width="7.1796875" style="18" customWidth="1"/>
    <col min="11" max="11" width="11" style="18" customWidth="1"/>
    <col min="12" max="12" width="12.453125" style="18" customWidth="1"/>
    <col min="13" max="13" width="18.81640625" style="18" customWidth="1"/>
    <col min="14" max="14" width="69.54296875" style="18" customWidth="1"/>
    <col min="15" max="15" width="7.26953125" style="18" customWidth="1"/>
    <col min="16" max="16" width="9" style="18" customWidth="1"/>
    <col min="17" max="17" width="14.453125" style="18" customWidth="1"/>
    <col min="18" max="18" width="10.81640625" style="18" customWidth="1"/>
    <col min="19" max="19" width="7.26953125" style="18" customWidth="1"/>
    <col min="20" max="20" width="6.453125" style="18" customWidth="1"/>
    <col min="21" max="21" width="12.81640625" style="18" customWidth="1"/>
    <col min="22" max="22" width="9.7265625" style="18" customWidth="1"/>
    <col min="23" max="28" width="15" style="18" customWidth="1"/>
    <col min="29" max="29" width="19.7265625" style="18" customWidth="1"/>
    <col min="30" max="30" width="11.453125" style="18" customWidth="1"/>
    <col min="31" max="31" width="15.81640625" style="18" customWidth="1"/>
    <col min="32" max="32" width="20" style="18" customWidth="1"/>
    <col min="33" max="33" width="11.453125" style="18" customWidth="1"/>
    <col min="34" max="34" width="14.26953125" style="18" bestFit="1" customWidth="1"/>
    <col min="35" max="36" width="11.453125" style="18" customWidth="1"/>
    <col min="37" max="37" width="14.26953125" style="18" bestFit="1" customWidth="1"/>
    <col min="38" max="38" width="17.453125" style="18" bestFit="1" customWidth="1"/>
    <col min="39" max="39" width="15.54296875" style="18" customWidth="1"/>
    <col min="40" max="40" width="18.453125" style="18" bestFit="1" customWidth="1"/>
    <col min="41" max="41" width="8.453125" style="18" bestFit="1" customWidth="1"/>
    <col min="42" max="43" width="14.453125" style="18" customWidth="1"/>
    <col min="44" max="44" width="34.54296875" hidden="1" customWidth="1"/>
  </cols>
  <sheetData>
    <row r="1" spans="1:44" ht="21" customHeight="1" x14ac:dyDescent="0.35">
      <c r="A1" s="38"/>
      <c r="B1" s="38"/>
      <c r="C1" s="38"/>
      <c r="F1" s="428" t="s">
        <v>39</v>
      </c>
      <c r="G1" s="429" t="s">
        <v>139</v>
      </c>
      <c r="H1" s="430" t="s">
        <v>161</v>
      </c>
      <c r="I1" s="430"/>
      <c r="J1" s="430"/>
      <c r="K1" s="430"/>
      <c r="L1" s="430"/>
      <c r="M1" s="430"/>
      <c r="N1" s="430"/>
      <c r="O1" s="430"/>
      <c r="P1" s="430"/>
      <c r="Q1" s="430"/>
      <c r="R1" s="430"/>
      <c r="S1" s="430"/>
      <c r="T1" s="430"/>
      <c r="U1" s="430"/>
      <c r="V1" s="430"/>
      <c r="W1" s="430"/>
      <c r="X1" s="430"/>
      <c r="Y1" s="430"/>
      <c r="Z1" s="430"/>
      <c r="AA1" s="430"/>
      <c r="AB1" s="430"/>
      <c r="AC1" s="430"/>
      <c r="AD1" s="430"/>
      <c r="AE1" s="430"/>
      <c r="AF1" s="430"/>
      <c r="AG1" s="430"/>
      <c r="AH1" s="430"/>
      <c r="AI1" s="430"/>
      <c r="AJ1" s="430"/>
      <c r="AK1" s="430"/>
      <c r="AL1" s="431" t="s">
        <v>155</v>
      </c>
      <c r="AM1" s="431"/>
      <c r="AN1" s="431"/>
      <c r="AO1" s="431"/>
      <c r="AP1" s="431"/>
      <c r="AQ1" s="431"/>
    </row>
    <row r="2" spans="1:44" ht="21" customHeight="1" x14ac:dyDescent="0.35">
      <c r="A2" s="38"/>
      <c r="B2" s="38"/>
      <c r="C2" s="38"/>
      <c r="F2" s="428"/>
      <c r="G2" s="429"/>
      <c r="H2" s="432" t="s">
        <v>165</v>
      </c>
      <c r="I2" s="432"/>
      <c r="J2" s="432"/>
      <c r="K2" s="436" t="s">
        <v>274</v>
      </c>
      <c r="L2" s="437"/>
      <c r="M2" s="438"/>
      <c r="N2" s="75" t="s">
        <v>166</v>
      </c>
      <c r="O2" s="433" t="s">
        <v>171</v>
      </c>
      <c r="P2" s="433"/>
      <c r="Q2" s="433"/>
      <c r="R2" s="433"/>
      <c r="S2" s="433" t="s">
        <v>172</v>
      </c>
      <c r="T2" s="433"/>
      <c r="U2" s="433"/>
      <c r="V2" s="433"/>
      <c r="W2" s="434" t="s">
        <v>167</v>
      </c>
      <c r="X2" s="434"/>
      <c r="Y2" s="434"/>
      <c r="Z2" s="434"/>
      <c r="AA2" s="434"/>
      <c r="AB2" s="434"/>
      <c r="AC2" s="435" t="s">
        <v>169</v>
      </c>
      <c r="AD2" s="435"/>
      <c r="AE2" s="435"/>
      <c r="AF2" s="435"/>
      <c r="AG2" s="435"/>
      <c r="AH2" s="435"/>
      <c r="AI2" s="435"/>
      <c r="AJ2" s="435"/>
      <c r="AK2" s="435"/>
      <c r="AL2" s="427" t="s">
        <v>244</v>
      </c>
      <c r="AM2" s="427"/>
      <c r="AN2" s="427" t="s">
        <v>247</v>
      </c>
      <c r="AO2" s="427"/>
      <c r="AP2" s="427"/>
      <c r="AQ2" s="427"/>
    </row>
    <row r="3" spans="1:44" s="66" customFormat="1" ht="43.5" customHeight="1" x14ac:dyDescent="0.35">
      <c r="A3" s="69"/>
      <c r="B3" s="69"/>
      <c r="C3" s="69"/>
      <c r="F3" s="428"/>
      <c r="G3" s="429"/>
      <c r="H3" s="72" t="s">
        <v>157</v>
      </c>
      <c r="I3" s="72" t="s">
        <v>158</v>
      </c>
      <c r="J3" s="72" t="s">
        <v>159</v>
      </c>
      <c r="K3" s="173" t="s">
        <v>275</v>
      </c>
      <c r="L3" s="173" t="s">
        <v>156</v>
      </c>
      <c r="M3" s="316" t="s">
        <v>276</v>
      </c>
      <c r="N3" s="72" t="s">
        <v>168</v>
      </c>
      <c r="O3" s="72" t="s">
        <v>173</v>
      </c>
      <c r="P3" s="433" t="s">
        <v>174</v>
      </c>
      <c r="Q3" s="433"/>
      <c r="R3" s="72" t="s">
        <v>170</v>
      </c>
      <c r="S3" s="72" t="s">
        <v>173</v>
      </c>
      <c r="T3" s="433" t="s">
        <v>174</v>
      </c>
      <c r="U3" s="433"/>
      <c r="V3" s="72" t="s">
        <v>170</v>
      </c>
      <c r="W3" s="72" t="s">
        <v>176</v>
      </c>
      <c r="X3" s="72" t="s">
        <v>177</v>
      </c>
      <c r="Y3" s="72" t="s">
        <v>178</v>
      </c>
      <c r="Z3" s="72" t="s">
        <v>179</v>
      </c>
      <c r="AA3" s="72" t="s">
        <v>180</v>
      </c>
      <c r="AB3" s="72" t="s">
        <v>181</v>
      </c>
      <c r="AC3" s="72" t="s">
        <v>182</v>
      </c>
      <c r="AD3" s="72" t="s">
        <v>183</v>
      </c>
      <c r="AE3" s="76" t="s">
        <v>184</v>
      </c>
      <c r="AF3" s="72" t="s">
        <v>185</v>
      </c>
      <c r="AG3" s="72" t="s">
        <v>186</v>
      </c>
      <c r="AH3" s="76" t="s">
        <v>187</v>
      </c>
      <c r="AI3" s="72" t="s">
        <v>188</v>
      </c>
      <c r="AJ3" s="72" t="s">
        <v>189</v>
      </c>
      <c r="AK3" s="76" t="s">
        <v>190</v>
      </c>
      <c r="AL3" s="174" t="s">
        <v>245</v>
      </c>
      <c r="AM3" s="174" t="s">
        <v>246</v>
      </c>
      <c r="AN3" s="174" t="s">
        <v>248</v>
      </c>
      <c r="AO3" s="174" t="s">
        <v>249</v>
      </c>
      <c r="AP3" s="174" t="s">
        <v>250</v>
      </c>
      <c r="AQ3" s="174" t="s">
        <v>174</v>
      </c>
    </row>
    <row r="4" spans="1:44" ht="18" customHeight="1" x14ac:dyDescent="0.35">
      <c r="A4" s="38"/>
      <c r="B4" s="38"/>
      <c r="C4" s="38"/>
      <c r="F4" s="70">
        <v>1</v>
      </c>
      <c r="G4" s="71">
        <v>2</v>
      </c>
      <c r="H4" s="70">
        <v>3</v>
      </c>
      <c r="I4" s="71">
        <v>4</v>
      </c>
      <c r="J4" s="70">
        <v>5</v>
      </c>
      <c r="K4" s="71">
        <v>6</v>
      </c>
      <c r="L4" s="70">
        <v>7</v>
      </c>
      <c r="M4" s="71">
        <v>8</v>
      </c>
      <c r="N4" s="70">
        <v>9</v>
      </c>
      <c r="O4" s="71">
        <v>10</v>
      </c>
      <c r="P4" s="70">
        <v>11</v>
      </c>
      <c r="Q4" s="71">
        <v>12</v>
      </c>
      <c r="R4" s="70">
        <v>13</v>
      </c>
      <c r="S4" s="71">
        <v>14</v>
      </c>
      <c r="T4" s="70">
        <v>15</v>
      </c>
      <c r="U4" s="71">
        <v>16</v>
      </c>
      <c r="V4" s="70">
        <v>17</v>
      </c>
      <c r="W4" s="71">
        <v>18</v>
      </c>
      <c r="X4" s="70">
        <v>19</v>
      </c>
      <c r="Y4" s="71">
        <v>20</v>
      </c>
      <c r="Z4" s="70">
        <v>21</v>
      </c>
      <c r="AA4" s="71">
        <v>22</v>
      </c>
      <c r="AB4" s="70">
        <v>23</v>
      </c>
      <c r="AC4" s="71">
        <v>24</v>
      </c>
      <c r="AD4" s="70">
        <v>25</v>
      </c>
      <c r="AE4" s="71">
        <v>26</v>
      </c>
      <c r="AF4" s="70">
        <v>27</v>
      </c>
      <c r="AG4" s="71">
        <v>28</v>
      </c>
      <c r="AH4" s="70">
        <v>29</v>
      </c>
      <c r="AI4" s="71">
        <v>30</v>
      </c>
      <c r="AJ4" s="70">
        <v>31</v>
      </c>
      <c r="AK4" s="71">
        <v>32</v>
      </c>
      <c r="AL4" s="70">
        <v>33</v>
      </c>
      <c r="AM4" s="71">
        <v>34</v>
      </c>
      <c r="AN4" s="70">
        <v>35</v>
      </c>
      <c r="AO4" s="71">
        <v>36</v>
      </c>
      <c r="AP4" s="70">
        <v>37</v>
      </c>
      <c r="AQ4" s="71">
        <v>38</v>
      </c>
      <c r="AR4" s="71">
        <v>34</v>
      </c>
    </row>
    <row r="5" spans="1:44" ht="29.25" customHeight="1" x14ac:dyDescent="0.35">
      <c r="A5" s="38"/>
      <c r="B5" s="38"/>
      <c r="C5" s="38"/>
      <c r="F5" s="61">
        <v>1</v>
      </c>
      <c r="G5" s="77" t="str">
        <f>IF('set-dasis'!F5=0,"",'set-dasis'!F5)</f>
        <v>ABDILLAH MUCHSIN AL ANSYORI</v>
      </c>
      <c r="H5" s="318">
        <v>1</v>
      </c>
      <c r="I5" s="53"/>
      <c r="J5" s="53"/>
      <c r="K5" s="330" t="s">
        <v>2383</v>
      </c>
      <c r="L5" s="331" t="s">
        <v>2383</v>
      </c>
      <c r="M5" s="331" t="s">
        <v>175</v>
      </c>
      <c r="N5" s="334" t="s">
        <v>2390</v>
      </c>
      <c r="O5" s="176">
        <f>IF(K5="A",90,80)</f>
        <v>90</v>
      </c>
      <c r="P5" s="73" t="str">
        <f>IF(O5=0,"",IF(O5&gt;=80.1,"SB",IF(O5&gt;=65.81,"B",IF(O5&gt;=50.66,"C",IF(O5&gt;=0.51,"D",)))))</f>
        <v>SB</v>
      </c>
      <c r="Q5" s="73" t="str">
        <f>IF(O5=0,"",IF(O5&gt;=80.1,"SANGAT BAIK",IF(O5&gt;=65.81,"BAIK",IF(O5&gt;=50.66,"CUKUP",IF(O5&gt;=0.51,"KURANG",)))))</f>
        <v>SANGAT BAIK</v>
      </c>
      <c r="R5" s="74" t="str">
        <f t="shared" ref="R5:R44" si="0">IF(Q5="","",CONCATENATE(AR5&amp;" Ananda "&amp;G5&amp;" telah menunjukan sikap spiritual yang "&amp;Q5&amp;" dalam hal beribadah dan bersyukur dengan terus berusaha melakukan ketaatan kepada Allah سبحانه و تعالى dan berbuat baik kepada orang lain"))</f>
        <v>Alhamdulillah,  Ananda ABDILLAH MUCHSIN AL ANSYORI telah menunjukan sikap spiritual yang SANGAT BAIK dalam hal beribadah dan bersyukur dengan terus berusaha melakukan ketaatan kepada Allah سبحانه و تعالى dan berbuat baik kepada orang lain</v>
      </c>
      <c r="S5" s="175">
        <f>IF(M5="A",90,80)</f>
        <v>80</v>
      </c>
      <c r="T5" s="73" t="str">
        <f>IF(S5=0,"",IF(S5&gt;=80.1,"SB",IF(S5&gt;=65.81,"B",IF(S5&gt;=50.66,"C",IF(S5&gt;=0.51,"D",)))))</f>
        <v>B</v>
      </c>
      <c r="U5" s="73" t="str">
        <f>IF(S5=0,"",IF(S5&gt;=80.1,"SANGAT BAIK",IF(S5&gt;=65.81,"BAIK",IF(S5&gt;=50.66,"CUKUP",IF(S5&gt;=0.51,"KURANG",)))))</f>
        <v>BAIK</v>
      </c>
      <c r="V5" s="74" t="str">
        <f t="shared" ref="V5:V44" si="1">IF(U5="","",CONCATENATE("Alhamdulillah, Ananda "&amp;G5&amp;" telah menunjukan sikap sosial yang "&amp;U5&amp;" dalam hal kediplinan, kejujuran, tanggung jawab dan keperdulian terhadap orang lain dengan terus berusaha mengamalkan akhlak mulia sesuai dengan nilai-nilai moral yang berlaku"))</f>
        <v>Alhamdulillah, Ananda ABDILLAH MUCHSIN AL ANSYORI telah menunjukan sikap sosial yang BAIK dalam hal kediplinan, kejujuran, tanggung jawab dan keperdulian terhadap orang lain dengan terus berusaha mengamalkan akhlak mulia sesuai dengan nilai-nilai moral yang berlaku</v>
      </c>
      <c r="W5" s="99"/>
      <c r="X5" s="99"/>
      <c r="Y5" s="99"/>
      <c r="Z5" s="99"/>
      <c r="AA5" s="99"/>
      <c r="AB5" s="99"/>
      <c r="AC5" s="331" t="s">
        <v>2474</v>
      </c>
      <c r="AD5" s="331" t="s">
        <v>175</v>
      </c>
      <c r="AE5" s="331"/>
      <c r="AF5" s="331" t="s">
        <v>2475</v>
      </c>
      <c r="AG5" s="331" t="s">
        <v>175</v>
      </c>
      <c r="AH5" s="99"/>
      <c r="AI5" s="179"/>
      <c r="AJ5" s="179"/>
      <c r="AK5" s="99"/>
      <c r="AL5" s="331" t="s">
        <v>175</v>
      </c>
      <c r="AM5" s="331" t="s">
        <v>2383</v>
      </c>
      <c r="AN5" s="98"/>
      <c r="AO5" s="98"/>
      <c r="AP5" s="135"/>
      <c r="AQ5" s="135"/>
      <c r="AR5" t="s">
        <v>231</v>
      </c>
    </row>
    <row r="6" spans="1:44" ht="29.25" customHeight="1" x14ac:dyDescent="0.35">
      <c r="A6" s="38"/>
      <c r="B6" s="38"/>
      <c r="C6" s="38"/>
      <c r="F6" s="61">
        <v>2</v>
      </c>
      <c r="G6" s="77" t="str">
        <f>IF('set-dasis'!F6=0,"",'set-dasis'!F6)</f>
        <v>ABDULLAH MUADZ</v>
      </c>
      <c r="H6" s="318">
        <v>6</v>
      </c>
      <c r="I6" s="318">
        <v>2</v>
      </c>
      <c r="J6" s="53"/>
      <c r="K6" s="332" t="s">
        <v>175</v>
      </c>
      <c r="L6" s="331" t="s">
        <v>175</v>
      </c>
      <c r="M6" s="331" t="s">
        <v>175</v>
      </c>
      <c r="N6" s="334" t="s">
        <v>2390</v>
      </c>
      <c r="O6" s="176">
        <f>IF(K6="A",90,80)</f>
        <v>80</v>
      </c>
      <c r="P6" s="73" t="str">
        <f t="shared" ref="P6:P44" si="2">IF(O6=0,"",IF(O6&gt;=80.1,"SB",IF(O6&gt;=65.81,"B",IF(O6&gt;=50.66,"C",IF(O6&gt;=0.51,"D",)))))</f>
        <v>B</v>
      </c>
      <c r="Q6" s="73" t="str">
        <f t="shared" ref="Q6:Q44" si="3">IF(O6=0,"",IF(O6&gt;=80.1,"SANGAT BAIK",IF(O6&gt;=65.81,"BAIK",IF(O6&gt;=50.66,"CUKUP",IF(O6&gt;=0.51,"KURANG",)))))</f>
        <v>BAIK</v>
      </c>
      <c r="R6" s="74" t="str">
        <f t="shared" si="0"/>
        <v>Alhamdulillah,  Ananda ABDULLAH MUADZ telah menunjukan sikap spiritual yang BAIK dalam hal beribadah dan bersyukur dengan terus berusaha melakukan ketaatan kepada Allah سبحانه و تعالى dan berbuat baik kepada orang lain</v>
      </c>
      <c r="S6" s="175">
        <f t="shared" ref="S6:S38" si="4">IF(M6="A",90,80)</f>
        <v>80</v>
      </c>
      <c r="T6" s="73" t="str">
        <f t="shared" ref="T6:T44" si="5">IF(S6=0,"",IF(S6&gt;=80.1,"SB",IF(S6&gt;=65.81,"B",IF(S6&gt;=50.66,"C",IF(S6&gt;=0.51,"D",)))))</f>
        <v>B</v>
      </c>
      <c r="U6" s="73" t="str">
        <f t="shared" ref="U6:U44" si="6">IF(S6=0,"",IF(S6&gt;=80.1,"SANGAT BAIK",IF(S6&gt;=65.81,"BAIK",IF(S6&gt;=50.66,"CUKUP",IF(S6&gt;=0.51,"KURANG",)))))</f>
        <v>BAIK</v>
      </c>
      <c r="V6" s="74" t="str">
        <f t="shared" si="1"/>
        <v>Alhamdulillah, Ananda ABDULLAH MUADZ telah menunjukan sikap sosial yang BAIK dalam hal kediplinan, kejujuran, tanggung jawab dan keperdulian terhadap orang lain dengan terus berusaha mengamalkan akhlak mulia sesuai dengan nilai-nilai moral yang berlaku</v>
      </c>
      <c r="W6" s="98"/>
      <c r="X6" s="98"/>
      <c r="Y6" s="98"/>
      <c r="Z6" s="98"/>
      <c r="AA6" s="98"/>
      <c r="AB6" s="98"/>
      <c r="AC6" s="331" t="s">
        <v>2474</v>
      </c>
      <c r="AD6" s="331" t="s">
        <v>175</v>
      </c>
      <c r="AE6" s="331"/>
      <c r="AF6" s="331" t="s">
        <v>2389</v>
      </c>
      <c r="AG6" s="331" t="s">
        <v>175</v>
      </c>
      <c r="AH6" s="98"/>
      <c r="AI6" s="179"/>
      <c r="AJ6" s="179"/>
      <c r="AK6" s="98"/>
      <c r="AL6" s="331" t="s">
        <v>175</v>
      </c>
      <c r="AM6" s="331" t="s">
        <v>175</v>
      </c>
      <c r="AN6" s="98"/>
      <c r="AO6" s="98"/>
      <c r="AP6" s="135"/>
      <c r="AQ6" s="135"/>
      <c r="AR6" t="s">
        <v>231</v>
      </c>
    </row>
    <row r="7" spans="1:44" ht="29.25" customHeight="1" x14ac:dyDescent="0.35">
      <c r="A7" s="38"/>
      <c r="B7" s="38"/>
      <c r="C7" s="38"/>
      <c r="F7" s="61">
        <v>3</v>
      </c>
      <c r="G7" s="77" t="str">
        <f>IF('set-dasis'!F7=0,"",'set-dasis'!F7)</f>
        <v>ABYAN TSAQIB MUBAROK</v>
      </c>
      <c r="H7" s="318">
        <v>2</v>
      </c>
      <c r="I7" s="53"/>
      <c r="J7" s="53"/>
      <c r="K7" s="332" t="s">
        <v>2383</v>
      </c>
      <c r="L7" s="331" t="s">
        <v>2383</v>
      </c>
      <c r="M7" s="331" t="s">
        <v>2383</v>
      </c>
      <c r="N7" s="334" t="s">
        <v>2390</v>
      </c>
      <c r="O7" s="176">
        <f t="shared" ref="O7:O38" si="7">IF(K7="A",90,80)</f>
        <v>90</v>
      </c>
      <c r="P7" s="73" t="str">
        <f t="shared" si="2"/>
        <v>SB</v>
      </c>
      <c r="Q7" s="73" t="str">
        <f t="shared" si="3"/>
        <v>SANGAT BAIK</v>
      </c>
      <c r="R7" s="74" t="str">
        <f t="shared" si="0"/>
        <v>Alhamdulillah,  Ananda ABYAN TSAQIB MUBAROK telah menunjukan sikap spiritual yang SANGAT BAIK dalam hal beribadah dan bersyukur dengan terus berusaha melakukan ketaatan kepada Allah سبحانه و تعالى dan berbuat baik kepada orang lain</v>
      </c>
      <c r="S7" s="175">
        <f t="shared" si="4"/>
        <v>90</v>
      </c>
      <c r="T7" s="73" t="str">
        <f t="shared" si="5"/>
        <v>SB</v>
      </c>
      <c r="U7" s="73" t="str">
        <f t="shared" si="6"/>
        <v>SANGAT BAIK</v>
      </c>
      <c r="V7" s="74" t="str">
        <f t="shared" si="1"/>
        <v>Alhamdulillah, Ananda ABYAN TSAQIB MUBAROK telah menunjukan sikap sosial yang SANGAT BAIK dalam hal kediplinan, kejujuran, tanggung jawab dan keperdulian terhadap orang lain dengan terus berusaha mengamalkan akhlak mulia sesuai dengan nilai-nilai moral yang berlaku</v>
      </c>
      <c r="W7" s="98"/>
      <c r="X7" s="98"/>
      <c r="Y7" s="98"/>
      <c r="Z7" s="98"/>
      <c r="AA7" s="98"/>
      <c r="AB7" s="98"/>
      <c r="AC7" s="331" t="s">
        <v>2474</v>
      </c>
      <c r="AD7" s="331" t="s">
        <v>175</v>
      </c>
      <c r="AE7" s="331"/>
      <c r="AF7" s="331" t="s">
        <v>2389</v>
      </c>
      <c r="AG7" s="331" t="s">
        <v>175</v>
      </c>
      <c r="AH7" s="98"/>
      <c r="AI7" s="179"/>
      <c r="AJ7" s="179"/>
      <c r="AK7" s="98"/>
      <c r="AL7" s="331" t="s">
        <v>175</v>
      </c>
      <c r="AM7" s="331" t="s">
        <v>2383</v>
      </c>
      <c r="AN7" s="98"/>
      <c r="AO7" s="98"/>
      <c r="AP7" s="135"/>
      <c r="AQ7" s="135"/>
      <c r="AR7" t="s">
        <v>231</v>
      </c>
    </row>
    <row r="8" spans="1:44" ht="29.25" customHeight="1" x14ac:dyDescent="0.35">
      <c r="A8" s="38"/>
      <c r="B8" s="38"/>
      <c r="C8" s="38"/>
      <c r="F8" s="61">
        <v>4</v>
      </c>
      <c r="G8" s="77" t="str">
        <f>IF('set-dasis'!F8=0,"",'set-dasis'!F8)</f>
        <v>AHMAD WILDAN KHULUQIN AZHIM</v>
      </c>
      <c r="H8" s="53"/>
      <c r="I8" s="53"/>
      <c r="J8" s="53"/>
      <c r="K8" s="332" t="s">
        <v>2383</v>
      </c>
      <c r="L8" s="331" t="s">
        <v>2383</v>
      </c>
      <c r="M8" s="331" t="s">
        <v>175</v>
      </c>
      <c r="N8" s="334" t="s">
        <v>2390</v>
      </c>
      <c r="O8" s="176">
        <f t="shared" si="7"/>
        <v>90</v>
      </c>
      <c r="P8" s="73" t="str">
        <f t="shared" si="2"/>
        <v>SB</v>
      </c>
      <c r="Q8" s="73" t="str">
        <f t="shared" si="3"/>
        <v>SANGAT BAIK</v>
      </c>
      <c r="R8" s="74" t="str">
        <f t="shared" si="0"/>
        <v>Alhamdulillah,  Ananda AHMAD WILDAN KHULUQIN AZHIM telah menunjukan sikap spiritual yang SANGAT BAIK dalam hal beribadah dan bersyukur dengan terus berusaha melakukan ketaatan kepada Allah سبحانه و تعالى dan berbuat baik kepada orang lain</v>
      </c>
      <c r="S8" s="175">
        <f t="shared" si="4"/>
        <v>80</v>
      </c>
      <c r="T8" s="73" t="str">
        <f t="shared" si="5"/>
        <v>B</v>
      </c>
      <c r="U8" s="73" t="str">
        <f t="shared" si="6"/>
        <v>BAIK</v>
      </c>
      <c r="V8" s="74" t="str">
        <f t="shared" si="1"/>
        <v>Alhamdulillah, Ananda AHMAD WILDAN KHULUQIN AZHIM telah menunjukan sikap sosial yang BAIK dalam hal kediplinan, kejujuran, tanggung jawab dan keperdulian terhadap orang lain dengan terus berusaha mengamalkan akhlak mulia sesuai dengan nilai-nilai moral yang berlaku</v>
      </c>
      <c r="W8" s="98"/>
      <c r="X8" s="98"/>
      <c r="Y8" s="98"/>
      <c r="Z8" s="98"/>
      <c r="AA8" s="98"/>
      <c r="AB8" s="98"/>
      <c r="AC8" s="331" t="s">
        <v>2474</v>
      </c>
      <c r="AD8" s="331" t="s">
        <v>175</v>
      </c>
      <c r="AE8" s="331"/>
      <c r="AF8" s="331" t="s">
        <v>2476</v>
      </c>
      <c r="AG8" s="331" t="s">
        <v>175</v>
      </c>
      <c r="AH8" s="98"/>
      <c r="AI8" s="179"/>
      <c r="AJ8" s="179"/>
      <c r="AK8" s="98"/>
      <c r="AL8" s="331" t="s">
        <v>175</v>
      </c>
      <c r="AM8" s="331" t="s">
        <v>175</v>
      </c>
      <c r="AN8" s="98"/>
      <c r="AO8" s="98"/>
      <c r="AP8" s="135"/>
      <c r="AQ8" s="135"/>
      <c r="AR8" t="s">
        <v>231</v>
      </c>
    </row>
    <row r="9" spans="1:44" ht="29.25" customHeight="1" x14ac:dyDescent="0.35">
      <c r="A9" s="38"/>
      <c r="B9" s="38"/>
      <c r="C9" s="38"/>
      <c r="F9" s="61">
        <v>5</v>
      </c>
      <c r="G9" s="77" t="str">
        <f>IF('set-dasis'!F9=0,"",'set-dasis'!F9)</f>
        <v>ANNAQI KHAIRULL AZZAM</v>
      </c>
      <c r="H9" s="53"/>
      <c r="I9" s="53"/>
      <c r="J9" s="53"/>
      <c r="K9" s="333" t="s">
        <v>2383</v>
      </c>
      <c r="L9" s="331" t="s">
        <v>175</v>
      </c>
      <c r="M9" s="331" t="s">
        <v>175</v>
      </c>
      <c r="N9" s="334" t="s">
        <v>2390</v>
      </c>
      <c r="O9" s="176">
        <f t="shared" si="7"/>
        <v>90</v>
      </c>
      <c r="P9" s="73" t="str">
        <f t="shared" si="2"/>
        <v>SB</v>
      </c>
      <c r="Q9" s="73" t="str">
        <f t="shared" si="3"/>
        <v>SANGAT BAIK</v>
      </c>
      <c r="R9" s="74" t="str">
        <f t="shared" si="0"/>
        <v>Alhamdulillah,  Ananda ANNAQI KHAIRULL AZZAM telah menunjukan sikap spiritual yang SANGAT BAIK dalam hal beribadah dan bersyukur dengan terus berusaha melakukan ketaatan kepada Allah سبحانه و تعالى dan berbuat baik kepada orang lain</v>
      </c>
      <c r="S9" s="175">
        <f t="shared" si="4"/>
        <v>80</v>
      </c>
      <c r="T9" s="73" t="str">
        <f t="shared" si="5"/>
        <v>B</v>
      </c>
      <c r="U9" s="73" t="str">
        <f t="shared" si="6"/>
        <v>BAIK</v>
      </c>
      <c r="V9" s="74" t="str">
        <f t="shared" si="1"/>
        <v>Alhamdulillah, Ananda ANNAQI KHAIRULL AZZAM telah menunjukan sikap sosial yang BAIK dalam hal kediplinan, kejujuran, tanggung jawab dan keperdulian terhadap orang lain dengan terus berusaha mengamalkan akhlak mulia sesuai dengan nilai-nilai moral yang berlaku</v>
      </c>
      <c r="W9" s="98"/>
      <c r="X9" s="98"/>
      <c r="Y9" s="98"/>
      <c r="Z9" s="98"/>
      <c r="AA9" s="98"/>
      <c r="AB9" s="98"/>
      <c r="AC9" s="331" t="s">
        <v>2474</v>
      </c>
      <c r="AD9" s="331" t="s">
        <v>175</v>
      </c>
      <c r="AE9" s="331"/>
      <c r="AF9" s="331" t="s">
        <v>2389</v>
      </c>
      <c r="AG9" s="331" t="s">
        <v>175</v>
      </c>
      <c r="AH9" s="98"/>
      <c r="AI9" s="179"/>
      <c r="AJ9" s="179"/>
      <c r="AK9" s="98"/>
      <c r="AL9" s="331" t="s">
        <v>175</v>
      </c>
      <c r="AM9" s="331" t="s">
        <v>175</v>
      </c>
      <c r="AN9" s="98"/>
      <c r="AO9" s="98"/>
      <c r="AP9" s="135"/>
      <c r="AQ9" s="135"/>
      <c r="AR9" t="s">
        <v>231</v>
      </c>
    </row>
    <row r="10" spans="1:44" ht="29.25" customHeight="1" x14ac:dyDescent="0.35">
      <c r="A10" s="38"/>
      <c r="B10" s="38"/>
      <c r="C10" s="38"/>
      <c r="F10" s="61">
        <v>6</v>
      </c>
      <c r="G10" s="77" t="str">
        <f>IF('set-dasis'!F10=0,"",'set-dasis'!F10)</f>
        <v>ARKANA AESAR AULAYAIN</v>
      </c>
      <c r="H10" s="318">
        <v>1</v>
      </c>
      <c r="I10" s="53"/>
      <c r="J10" s="53"/>
      <c r="K10" s="332" t="s">
        <v>2383</v>
      </c>
      <c r="L10" s="331" t="s">
        <v>2383</v>
      </c>
      <c r="M10" s="331" t="s">
        <v>2383</v>
      </c>
      <c r="N10" s="334" t="s">
        <v>2390</v>
      </c>
      <c r="O10" s="176">
        <f t="shared" si="7"/>
        <v>90</v>
      </c>
      <c r="P10" s="73" t="str">
        <f t="shared" si="2"/>
        <v>SB</v>
      </c>
      <c r="Q10" s="73" t="str">
        <f t="shared" si="3"/>
        <v>SANGAT BAIK</v>
      </c>
      <c r="R10" s="74" t="str">
        <f t="shared" si="0"/>
        <v>Alhamdulillah,  Ananda ARKANA AESAR AULAYAIN telah menunjukan sikap spiritual yang SANGAT BAIK dalam hal beribadah dan bersyukur dengan terus berusaha melakukan ketaatan kepada Allah سبحانه و تعالى dan berbuat baik kepada orang lain</v>
      </c>
      <c r="S10" s="175">
        <f t="shared" si="4"/>
        <v>90</v>
      </c>
      <c r="T10" s="73" t="str">
        <f t="shared" si="5"/>
        <v>SB</v>
      </c>
      <c r="U10" s="73" t="str">
        <f t="shared" si="6"/>
        <v>SANGAT BAIK</v>
      </c>
      <c r="V10" s="74" t="str">
        <f t="shared" si="1"/>
        <v>Alhamdulillah, Ananda ARKANA AESAR AULAYAIN telah menunjukan sikap sosial yang SANGAT BAIK dalam hal kediplinan, kejujuran, tanggung jawab dan keperdulian terhadap orang lain dengan terus berusaha mengamalkan akhlak mulia sesuai dengan nilai-nilai moral yang berlaku</v>
      </c>
      <c r="W10" s="98"/>
      <c r="X10" s="98"/>
      <c r="Y10" s="98"/>
      <c r="Z10" s="98"/>
      <c r="AA10" s="98"/>
      <c r="AB10" s="98"/>
      <c r="AC10" s="331" t="s">
        <v>2474</v>
      </c>
      <c r="AD10" s="331" t="s">
        <v>175</v>
      </c>
      <c r="AE10" s="331"/>
      <c r="AF10" s="331"/>
      <c r="AG10" s="331"/>
      <c r="AH10" s="98"/>
      <c r="AI10" s="180"/>
      <c r="AJ10" s="180"/>
      <c r="AK10" s="98"/>
      <c r="AL10" s="331" t="s">
        <v>175</v>
      </c>
      <c r="AM10" s="331" t="s">
        <v>2383</v>
      </c>
      <c r="AN10" s="98"/>
      <c r="AO10" s="98"/>
      <c r="AP10" s="135"/>
      <c r="AQ10" s="135"/>
      <c r="AR10" t="s">
        <v>231</v>
      </c>
    </row>
    <row r="11" spans="1:44" ht="29.25" customHeight="1" x14ac:dyDescent="0.35">
      <c r="A11" s="38"/>
      <c r="B11" s="38"/>
      <c r="C11" s="38"/>
      <c r="F11" s="61">
        <v>7</v>
      </c>
      <c r="G11" s="77" t="str">
        <f>IF('set-dasis'!F11=0,"",'set-dasis'!F11)</f>
        <v>ASYAJJ QAIS AL-FAZAARY</v>
      </c>
      <c r="H11" s="53"/>
      <c r="I11" s="53"/>
      <c r="J11" s="53"/>
      <c r="K11" s="333" t="s">
        <v>2383</v>
      </c>
      <c r="L11" s="331" t="s">
        <v>175</v>
      </c>
      <c r="M11" s="331" t="s">
        <v>175</v>
      </c>
      <c r="N11" s="334" t="s">
        <v>2390</v>
      </c>
      <c r="O11" s="176">
        <f t="shared" si="7"/>
        <v>90</v>
      </c>
      <c r="P11" s="73" t="str">
        <f t="shared" si="2"/>
        <v>SB</v>
      </c>
      <c r="Q11" s="73" t="str">
        <f t="shared" si="3"/>
        <v>SANGAT BAIK</v>
      </c>
      <c r="R11" s="74" t="str">
        <f t="shared" si="0"/>
        <v>Alhamdulillah,  Ananda ASYAJJ QAIS AL-FAZAARY telah menunjukan sikap spiritual yang SANGAT BAIK dalam hal beribadah dan bersyukur dengan terus berusaha melakukan ketaatan kepada Allah سبحانه و تعالى dan berbuat baik kepada orang lain</v>
      </c>
      <c r="S11" s="175">
        <f t="shared" si="4"/>
        <v>80</v>
      </c>
      <c r="T11" s="73" t="str">
        <f t="shared" si="5"/>
        <v>B</v>
      </c>
      <c r="U11" s="73" t="str">
        <f t="shared" si="6"/>
        <v>BAIK</v>
      </c>
      <c r="V11" s="74" t="str">
        <f t="shared" si="1"/>
        <v>Alhamdulillah, Ananda ASYAJJ QAIS AL-FAZAARY telah menunjukan sikap sosial yang BAIK dalam hal kediplinan, kejujuran, tanggung jawab dan keperdulian terhadap orang lain dengan terus berusaha mengamalkan akhlak mulia sesuai dengan nilai-nilai moral yang berlaku</v>
      </c>
      <c r="W11" s="98"/>
      <c r="X11" s="98"/>
      <c r="Y11" s="98"/>
      <c r="Z11" s="98"/>
      <c r="AA11" s="98"/>
      <c r="AB11" s="98"/>
      <c r="AC11" s="331" t="s">
        <v>2474</v>
      </c>
      <c r="AD11" s="331" t="s">
        <v>175</v>
      </c>
      <c r="AE11" s="331"/>
      <c r="AF11" s="331"/>
      <c r="AG11" s="331"/>
      <c r="AH11" s="98"/>
      <c r="AI11" s="179"/>
      <c r="AJ11" s="179"/>
      <c r="AK11" s="98"/>
      <c r="AL11" s="331" t="s">
        <v>175</v>
      </c>
      <c r="AM11" s="331" t="s">
        <v>2383</v>
      </c>
      <c r="AN11" s="98"/>
      <c r="AO11" s="98"/>
      <c r="AP11" s="135"/>
      <c r="AQ11" s="135"/>
      <c r="AR11" t="s">
        <v>231</v>
      </c>
    </row>
    <row r="12" spans="1:44" ht="29.25" customHeight="1" x14ac:dyDescent="0.35">
      <c r="A12" s="38"/>
      <c r="B12" s="38"/>
      <c r="C12" s="38"/>
      <c r="F12" s="61">
        <v>8</v>
      </c>
      <c r="G12" s="77" t="str">
        <f>IF('set-dasis'!F12=0,"",'set-dasis'!F12)</f>
        <v>AZKA AZHAR RASYID</v>
      </c>
      <c r="H12" s="318">
        <v>2</v>
      </c>
      <c r="I12" s="53"/>
      <c r="J12" s="53"/>
      <c r="K12" s="333" t="s">
        <v>2383</v>
      </c>
      <c r="L12" s="331" t="s">
        <v>175</v>
      </c>
      <c r="M12" s="331" t="s">
        <v>175</v>
      </c>
      <c r="N12" s="334" t="s">
        <v>2390</v>
      </c>
      <c r="O12" s="176">
        <f t="shared" si="7"/>
        <v>90</v>
      </c>
      <c r="P12" s="73" t="str">
        <f t="shared" si="2"/>
        <v>SB</v>
      </c>
      <c r="Q12" s="73" t="str">
        <f t="shared" si="3"/>
        <v>SANGAT BAIK</v>
      </c>
      <c r="R12" s="74" t="str">
        <f t="shared" si="0"/>
        <v>Alhamdulillah,  Ananda AZKA AZHAR RASYID telah menunjukan sikap spiritual yang SANGAT BAIK dalam hal beribadah dan bersyukur dengan terus berusaha melakukan ketaatan kepada Allah سبحانه و تعالى dan berbuat baik kepada orang lain</v>
      </c>
      <c r="S12" s="175">
        <f t="shared" si="4"/>
        <v>80</v>
      </c>
      <c r="T12" s="73" t="str">
        <f t="shared" si="5"/>
        <v>B</v>
      </c>
      <c r="U12" s="73" t="str">
        <f t="shared" si="6"/>
        <v>BAIK</v>
      </c>
      <c r="V12" s="74" t="str">
        <f t="shared" si="1"/>
        <v>Alhamdulillah, Ananda AZKA AZHAR RASYID telah menunjukan sikap sosial yang BAIK dalam hal kediplinan, kejujuran, tanggung jawab dan keperdulian terhadap orang lain dengan terus berusaha mengamalkan akhlak mulia sesuai dengan nilai-nilai moral yang berlaku</v>
      </c>
      <c r="W12" s="98"/>
      <c r="X12" s="98"/>
      <c r="Y12" s="98"/>
      <c r="Z12" s="98"/>
      <c r="AA12" s="98"/>
      <c r="AB12" s="98"/>
      <c r="AC12" s="331" t="s">
        <v>2474</v>
      </c>
      <c r="AD12" s="331" t="s">
        <v>175</v>
      </c>
      <c r="AE12" s="331"/>
      <c r="AF12" s="331"/>
      <c r="AG12" s="331"/>
      <c r="AH12" s="98"/>
      <c r="AI12" s="179"/>
      <c r="AJ12" s="179"/>
      <c r="AK12" s="98"/>
      <c r="AL12" s="331" t="s">
        <v>2383</v>
      </c>
      <c r="AM12" s="331" t="s">
        <v>2383</v>
      </c>
      <c r="AN12" s="98"/>
      <c r="AO12" s="98"/>
      <c r="AP12" s="135"/>
      <c r="AQ12" s="135"/>
      <c r="AR12" t="s">
        <v>231</v>
      </c>
    </row>
    <row r="13" spans="1:44" ht="29.25" customHeight="1" x14ac:dyDescent="0.35">
      <c r="A13" s="38"/>
      <c r="B13" s="38"/>
      <c r="C13" s="38"/>
      <c r="F13" s="61">
        <v>9</v>
      </c>
      <c r="G13" s="77" t="str">
        <f>IF('set-dasis'!F13=0,"",'set-dasis'!F13)</f>
        <v>BIYAN AKHTAR NAISYABURI</v>
      </c>
      <c r="H13" s="318">
        <v>5</v>
      </c>
      <c r="I13" s="53"/>
      <c r="J13" s="53"/>
      <c r="K13" s="332" t="s">
        <v>175</v>
      </c>
      <c r="L13" s="331" t="s">
        <v>2469</v>
      </c>
      <c r="M13" s="331" t="s">
        <v>175</v>
      </c>
      <c r="N13" s="334" t="s">
        <v>2472</v>
      </c>
      <c r="O13" s="176">
        <f t="shared" si="7"/>
        <v>80</v>
      </c>
      <c r="P13" s="73" t="str">
        <f t="shared" si="2"/>
        <v>B</v>
      </c>
      <c r="Q13" s="73" t="str">
        <f t="shared" si="3"/>
        <v>BAIK</v>
      </c>
      <c r="R13" s="74" t="str">
        <f t="shared" si="0"/>
        <v>Alhamdulillah,  Ananda BIYAN AKHTAR NAISYABURI telah menunjukan sikap spiritual yang BAIK dalam hal beribadah dan bersyukur dengan terus berusaha melakukan ketaatan kepada Allah سبحانه و تعالى dan berbuat baik kepada orang lain</v>
      </c>
      <c r="S13" s="175">
        <f t="shared" si="4"/>
        <v>80</v>
      </c>
      <c r="T13" s="73" t="str">
        <f t="shared" si="5"/>
        <v>B</v>
      </c>
      <c r="U13" s="73" t="str">
        <f t="shared" si="6"/>
        <v>BAIK</v>
      </c>
      <c r="V13" s="74" t="str">
        <f t="shared" si="1"/>
        <v>Alhamdulillah, Ananda BIYAN AKHTAR NAISYABURI telah menunjukan sikap sosial yang BAIK dalam hal kediplinan, kejujuran, tanggung jawab dan keperdulian terhadap orang lain dengan terus berusaha mengamalkan akhlak mulia sesuai dengan nilai-nilai moral yang berlaku</v>
      </c>
      <c r="W13" s="98"/>
      <c r="X13" s="98"/>
      <c r="Y13" s="98"/>
      <c r="Z13" s="98"/>
      <c r="AA13" s="98"/>
      <c r="AB13" s="98"/>
      <c r="AC13" s="331" t="s">
        <v>2474</v>
      </c>
      <c r="AD13" s="331" t="s">
        <v>175</v>
      </c>
      <c r="AE13" s="331"/>
      <c r="AF13" s="331" t="s">
        <v>2389</v>
      </c>
      <c r="AG13" s="331" t="s">
        <v>175</v>
      </c>
      <c r="AH13" s="98"/>
      <c r="AI13" s="179"/>
      <c r="AJ13" s="179"/>
      <c r="AK13" s="98"/>
      <c r="AL13" s="331" t="s">
        <v>175</v>
      </c>
      <c r="AM13" s="331" t="s">
        <v>2383</v>
      </c>
      <c r="AN13" s="98"/>
      <c r="AO13" s="98"/>
      <c r="AP13" s="135"/>
      <c r="AQ13" s="135"/>
      <c r="AR13" t="s">
        <v>231</v>
      </c>
    </row>
    <row r="14" spans="1:44" ht="29.25" customHeight="1" x14ac:dyDescent="0.35">
      <c r="A14" s="38"/>
      <c r="B14" s="38"/>
      <c r="C14" s="38"/>
      <c r="F14" s="61">
        <v>10</v>
      </c>
      <c r="G14" s="77" t="str">
        <f>IF('set-dasis'!F14=0,"",'set-dasis'!F14)</f>
        <v>CHAIRUL AZZAM RAMADHAN</v>
      </c>
      <c r="H14" s="318">
        <v>1</v>
      </c>
      <c r="I14" s="318"/>
      <c r="J14" s="318"/>
      <c r="K14" s="332" t="s">
        <v>2383</v>
      </c>
      <c r="L14" s="331" t="s">
        <v>2383</v>
      </c>
      <c r="M14" s="331" t="s">
        <v>2383</v>
      </c>
      <c r="N14" s="334" t="s">
        <v>2390</v>
      </c>
      <c r="O14" s="176">
        <f t="shared" si="7"/>
        <v>90</v>
      </c>
      <c r="P14" s="73" t="str">
        <f t="shared" si="2"/>
        <v>SB</v>
      </c>
      <c r="Q14" s="73" t="str">
        <f t="shared" si="3"/>
        <v>SANGAT BAIK</v>
      </c>
      <c r="R14" s="74" t="str">
        <f t="shared" si="0"/>
        <v>Alhamdulillah,  Ananda CHAIRUL AZZAM RAMADHAN telah menunjukan sikap spiritual yang SANGAT BAIK dalam hal beribadah dan bersyukur dengan terus berusaha melakukan ketaatan kepada Allah سبحانه و تعالى dan berbuat baik kepada orang lain</v>
      </c>
      <c r="S14" s="175">
        <f t="shared" si="4"/>
        <v>90</v>
      </c>
      <c r="T14" s="73" t="str">
        <f t="shared" si="5"/>
        <v>SB</v>
      </c>
      <c r="U14" s="73" t="str">
        <f t="shared" si="6"/>
        <v>SANGAT BAIK</v>
      </c>
      <c r="V14" s="74" t="str">
        <f t="shared" si="1"/>
        <v>Alhamdulillah, Ananda CHAIRUL AZZAM RAMADHAN telah menunjukan sikap sosial yang SANGAT BAIK dalam hal kediplinan, kejujuran, tanggung jawab dan keperdulian terhadap orang lain dengan terus berusaha mengamalkan akhlak mulia sesuai dengan nilai-nilai moral yang berlaku</v>
      </c>
      <c r="W14" s="98"/>
      <c r="X14" s="98"/>
      <c r="Y14" s="98"/>
      <c r="Z14" s="98"/>
      <c r="AA14" s="98"/>
      <c r="AB14" s="98"/>
      <c r="AC14" s="331" t="s">
        <v>2474</v>
      </c>
      <c r="AD14" s="331" t="s">
        <v>175</v>
      </c>
      <c r="AE14" s="331"/>
      <c r="AF14" s="331" t="s">
        <v>2389</v>
      </c>
      <c r="AG14" s="331" t="s">
        <v>175</v>
      </c>
      <c r="AH14" s="98"/>
      <c r="AI14" s="179"/>
      <c r="AJ14" s="179"/>
      <c r="AK14" s="98"/>
      <c r="AL14" s="331" t="s">
        <v>2383</v>
      </c>
      <c r="AM14" s="331" t="s">
        <v>2383</v>
      </c>
      <c r="AN14" s="98"/>
      <c r="AO14" s="98"/>
      <c r="AP14" s="135"/>
      <c r="AQ14" s="135"/>
      <c r="AR14" t="s">
        <v>231</v>
      </c>
    </row>
    <row r="15" spans="1:44" ht="29.25" customHeight="1" x14ac:dyDescent="0.35">
      <c r="A15" s="38"/>
      <c r="B15" s="38"/>
      <c r="C15" s="38"/>
      <c r="F15" s="61">
        <v>11</v>
      </c>
      <c r="G15" s="77" t="str">
        <f>IF('set-dasis'!F15=0,"",'set-dasis'!F15)</f>
        <v>DEVARA ABDILLAH GHANI</v>
      </c>
      <c r="H15" s="318"/>
      <c r="I15" s="318"/>
      <c r="J15" s="318"/>
      <c r="K15" s="333" t="s">
        <v>2383</v>
      </c>
      <c r="L15" s="331" t="s">
        <v>2383</v>
      </c>
      <c r="M15" s="331" t="s">
        <v>2383</v>
      </c>
      <c r="N15" s="334" t="s">
        <v>2390</v>
      </c>
      <c r="O15" s="176">
        <f t="shared" si="7"/>
        <v>90</v>
      </c>
      <c r="P15" s="73" t="str">
        <f t="shared" si="2"/>
        <v>SB</v>
      </c>
      <c r="Q15" s="73" t="str">
        <f t="shared" si="3"/>
        <v>SANGAT BAIK</v>
      </c>
      <c r="R15" s="74" t="str">
        <f t="shared" si="0"/>
        <v>Alhamdulillah,  Ananda DEVARA ABDILLAH GHANI telah menunjukan sikap spiritual yang SANGAT BAIK dalam hal beribadah dan bersyukur dengan terus berusaha melakukan ketaatan kepada Allah سبحانه و تعالى dan berbuat baik kepada orang lain</v>
      </c>
      <c r="S15" s="175">
        <f t="shared" si="4"/>
        <v>90</v>
      </c>
      <c r="T15" s="73" t="str">
        <f t="shared" si="5"/>
        <v>SB</v>
      </c>
      <c r="U15" s="73" t="str">
        <f t="shared" si="6"/>
        <v>SANGAT BAIK</v>
      </c>
      <c r="V15" s="74" t="str">
        <f t="shared" si="1"/>
        <v>Alhamdulillah, Ananda DEVARA ABDILLAH GHANI telah menunjukan sikap sosial yang SANGAT BAIK dalam hal kediplinan, kejujuran, tanggung jawab dan keperdulian terhadap orang lain dengan terus berusaha mengamalkan akhlak mulia sesuai dengan nilai-nilai moral yang berlaku</v>
      </c>
      <c r="W15" s="98"/>
      <c r="X15" s="98"/>
      <c r="Y15" s="98"/>
      <c r="Z15" s="98"/>
      <c r="AA15" s="98"/>
      <c r="AB15" s="98"/>
      <c r="AC15" s="331" t="s">
        <v>2474</v>
      </c>
      <c r="AD15" s="331" t="s">
        <v>175</v>
      </c>
      <c r="AE15" s="331"/>
      <c r="AF15" s="331"/>
      <c r="AG15" s="331"/>
      <c r="AH15" s="98"/>
      <c r="AI15" s="179"/>
      <c r="AJ15" s="179"/>
      <c r="AK15" s="98"/>
      <c r="AL15" s="331" t="s">
        <v>175</v>
      </c>
      <c r="AM15" s="331" t="s">
        <v>175</v>
      </c>
      <c r="AN15" s="98"/>
      <c r="AO15" s="98"/>
      <c r="AP15" s="135"/>
      <c r="AQ15" s="135"/>
      <c r="AR15" t="s">
        <v>231</v>
      </c>
    </row>
    <row r="16" spans="1:44" ht="29.25" customHeight="1" x14ac:dyDescent="0.35">
      <c r="A16" s="38"/>
      <c r="B16" s="38"/>
      <c r="C16" s="38"/>
      <c r="F16" s="61">
        <v>12</v>
      </c>
      <c r="G16" s="77" t="str">
        <f>IF('set-dasis'!F16=0,"",'set-dasis'!F16)</f>
        <v>DYO GALIH PUTRAWAN J</v>
      </c>
      <c r="H16" s="318"/>
      <c r="I16" s="318">
        <v>10</v>
      </c>
      <c r="J16" s="318"/>
      <c r="K16" s="332" t="s">
        <v>175</v>
      </c>
      <c r="L16" s="331" t="s">
        <v>2383</v>
      </c>
      <c r="M16" s="331" t="s">
        <v>175</v>
      </c>
      <c r="N16" s="334" t="s">
        <v>2390</v>
      </c>
      <c r="O16" s="176">
        <f t="shared" si="7"/>
        <v>80</v>
      </c>
      <c r="P16" s="73" t="str">
        <f t="shared" si="2"/>
        <v>B</v>
      </c>
      <c r="Q16" s="73" t="str">
        <f t="shared" si="3"/>
        <v>BAIK</v>
      </c>
      <c r="R16" s="74" t="str">
        <f t="shared" si="0"/>
        <v>Alhamdulillah,  Ananda DYO GALIH PUTRAWAN J telah menunjukan sikap spiritual yang BAIK dalam hal beribadah dan bersyukur dengan terus berusaha melakukan ketaatan kepada Allah سبحانه و تعالى dan berbuat baik kepada orang lain</v>
      </c>
      <c r="S16" s="175">
        <f t="shared" si="4"/>
        <v>80</v>
      </c>
      <c r="T16" s="73" t="str">
        <f t="shared" si="5"/>
        <v>B</v>
      </c>
      <c r="U16" s="73" t="str">
        <f t="shared" si="6"/>
        <v>BAIK</v>
      </c>
      <c r="V16" s="74" t="str">
        <f t="shared" si="1"/>
        <v>Alhamdulillah, Ananda DYO GALIH PUTRAWAN J telah menunjukan sikap sosial yang BAIK dalam hal kediplinan, kejujuran, tanggung jawab dan keperdulian terhadap orang lain dengan terus berusaha mengamalkan akhlak mulia sesuai dengan nilai-nilai moral yang berlaku</v>
      </c>
      <c r="W16" s="98"/>
      <c r="X16" s="98"/>
      <c r="Y16" s="98"/>
      <c r="Z16" s="98"/>
      <c r="AA16" s="98"/>
      <c r="AB16" s="98"/>
      <c r="AC16" s="331" t="s">
        <v>2474</v>
      </c>
      <c r="AD16" s="331" t="s">
        <v>175</v>
      </c>
      <c r="AE16" s="331"/>
      <c r="AF16" s="331"/>
      <c r="AG16" s="331"/>
      <c r="AH16" s="98"/>
      <c r="AI16" s="180"/>
      <c r="AJ16" s="180"/>
      <c r="AK16" s="98"/>
      <c r="AL16" s="331" t="s">
        <v>175</v>
      </c>
      <c r="AM16" s="331" t="s">
        <v>2469</v>
      </c>
      <c r="AN16" s="98"/>
      <c r="AO16" s="98"/>
      <c r="AP16" s="135"/>
      <c r="AQ16" s="135"/>
      <c r="AR16" t="s">
        <v>231</v>
      </c>
    </row>
    <row r="17" spans="1:44" ht="29.25" customHeight="1" x14ac:dyDescent="0.35">
      <c r="A17" s="38"/>
      <c r="B17" s="38"/>
      <c r="C17" s="38"/>
      <c r="F17" s="61">
        <v>13</v>
      </c>
      <c r="G17" s="77" t="str">
        <f>IF('set-dasis'!F17=0,"",'set-dasis'!F17)</f>
        <v>DZAKY ABDUL HAFIZ</v>
      </c>
      <c r="H17" s="53"/>
      <c r="I17" s="53"/>
      <c r="J17" s="53"/>
      <c r="K17" s="333" t="s">
        <v>2383</v>
      </c>
      <c r="L17" s="331" t="s">
        <v>2383</v>
      </c>
      <c r="M17" s="331" t="s">
        <v>175</v>
      </c>
      <c r="N17" s="334" t="s">
        <v>2390</v>
      </c>
      <c r="O17" s="176">
        <f t="shared" si="7"/>
        <v>90</v>
      </c>
      <c r="P17" s="73" t="str">
        <f t="shared" si="2"/>
        <v>SB</v>
      </c>
      <c r="Q17" s="73" t="str">
        <f t="shared" si="3"/>
        <v>SANGAT BAIK</v>
      </c>
      <c r="R17" s="74" t="str">
        <f t="shared" si="0"/>
        <v>Alhamdulillah,  Ananda DZAKY ABDUL HAFIZ telah menunjukan sikap spiritual yang SANGAT BAIK dalam hal beribadah dan bersyukur dengan terus berusaha melakukan ketaatan kepada Allah سبحانه و تعالى dan berbuat baik kepada orang lain</v>
      </c>
      <c r="S17" s="175">
        <f t="shared" si="4"/>
        <v>80</v>
      </c>
      <c r="T17" s="73" t="str">
        <f t="shared" si="5"/>
        <v>B</v>
      </c>
      <c r="U17" s="73" t="str">
        <f t="shared" si="6"/>
        <v>BAIK</v>
      </c>
      <c r="V17" s="74" t="str">
        <f t="shared" si="1"/>
        <v>Alhamdulillah, Ananda DZAKY ABDUL HAFIZ telah menunjukan sikap sosial yang BAIK dalam hal kediplinan, kejujuran, tanggung jawab dan keperdulian terhadap orang lain dengan terus berusaha mengamalkan akhlak mulia sesuai dengan nilai-nilai moral yang berlaku</v>
      </c>
      <c r="W17" s="98"/>
      <c r="X17" s="98"/>
      <c r="Y17" s="98"/>
      <c r="Z17" s="98"/>
      <c r="AA17" s="98"/>
      <c r="AB17" s="98"/>
      <c r="AC17" s="331" t="s">
        <v>2474</v>
      </c>
      <c r="AD17" s="331" t="s">
        <v>175</v>
      </c>
      <c r="AE17" s="331"/>
      <c r="AF17" s="331" t="s">
        <v>2476</v>
      </c>
      <c r="AG17" s="331" t="s">
        <v>175</v>
      </c>
      <c r="AH17" s="98"/>
      <c r="AI17" s="180"/>
      <c r="AJ17" s="180"/>
      <c r="AK17" s="98"/>
      <c r="AL17" s="331" t="s">
        <v>2383</v>
      </c>
      <c r="AM17" s="331" t="s">
        <v>175</v>
      </c>
      <c r="AN17" s="98"/>
      <c r="AO17" s="98"/>
      <c r="AP17" s="135"/>
      <c r="AQ17" s="135"/>
      <c r="AR17" t="s">
        <v>231</v>
      </c>
    </row>
    <row r="18" spans="1:44" ht="29.25" customHeight="1" x14ac:dyDescent="0.35">
      <c r="A18" s="38"/>
      <c r="B18" s="38"/>
      <c r="C18" s="38"/>
      <c r="F18" s="61">
        <v>14</v>
      </c>
      <c r="G18" s="77" t="str">
        <f>IF('set-dasis'!F18=0,"",'set-dasis'!F18)</f>
        <v>FADHIL MUHAMMAD ABID AL JABBAR</v>
      </c>
      <c r="H18" s="318">
        <v>2</v>
      </c>
      <c r="I18" s="53"/>
      <c r="J18" s="53"/>
      <c r="K18" s="333" t="s">
        <v>2383</v>
      </c>
      <c r="L18" s="331" t="s">
        <v>2383</v>
      </c>
      <c r="M18" s="331" t="s">
        <v>175</v>
      </c>
      <c r="N18" s="334" t="s">
        <v>2390</v>
      </c>
      <c r="O18" s="176">
        <f t="shared" si="7"/>
        <v>90</v>
      </c>
      <c r="P18" s="73" t="str">
        <f t="shared" si="2"/>
        <v>SB</v>
      </c>
      <c r="Q18" s="73" t="str">
        <f t="shared" si="3"/>
        <v>SANGAT BAIK</v>
      </c>
      <c r="R18" s="74" t="str">
        <f t="shared" si="0"/>
        <v>Alhamdulillah,  Ananda FADHIL MUHAMMAD ABID AL JABBAR telah menunjukan sikap spiritual yang SANGAT BAIK dalam hal beribadah dan bersyukur dengan terus berusaha melakukan ketaatan kepada Allah سبحانه و تعالى dan berbuat baik kepada orang lain</v>
      </c>
      <c r="S18" s="175">
        <f t="shared" si="4"/>
        <v>80</v>
      </c>
      <c r="T18" s="73" t="str">
        <f t="shared" si="5"/>
        <v>B</v>
      </c>
      <c r="U18" s="73" t="str">
        <f t="shared" si="6"/>
        <v>BAIK</v>
      </c>
      <c r="V18" s="74" t="str">
        <f t="shared" si="1"/>
        <v>Alhamdulillah, Ananda FADHIL MUHAMMAD ABID AL JABBAR telah menunjukan sikap sosial yang BAIK dalam hal kediplinan, kejujuran, tanggung jawab dan keperdulian terhadap orang lain dengan terus berusaha mengamalkan akhlak mulia sesuai dengan nilai-nilai moral yang berlaku</v>
      </c>
      <c r="W18" s="98"/>
      <c r="X18" s="98"/>
      <c r="Y18" s="98"/>
      <c r="Z18" s="98"/>
      <c r="AA18" s="98"/>
      <c r="AB18" s="98"/>
      <c r="AC18" s="331" t="s">
        <v>2474</v>
      </c>
      <c r="AD18" s="331" t="s">
        <v>175</v>
      </c>
      <c r="AE18" s="331"/>
      <c r="AF18" s="331" t="s">
        <v>2389</v>
      </c>
      <c r="AG18" s="331" t="s">
        <v>175</v>
      </c>
      <c r="AH18" s="98"/>
      <c r="AI18" s="179"/>
      <c r="AJ18" s="179"/>
      <c r="AK18" s="98"/>
      <c r="AL18" s="331" t="s">
        <v>2383</v>
      </c>
      <c r="AM18" s="331" t="s">
        <v>2383</v>
      </c>
      <c r="AN18" s="98"/>
      <c r="AO18" s="98"/>
      <c r="AP18" s="135"/>
      <c r="AQ18" s="135"/>
      <c r="AR18" t="s">
        <v>231</v>
      </c>
    </row>
    <row r="19" spans="1:44" ht="29.25" customHeight="1" x14ac:dyDescent="0.35">
      <c r="A19" s="38"/>
      <c r="B19" s="38"/>
      <c r="C19" s="38"/>
      <c r="F19" s="61">
        <v>15</v>
      </c>
      <c r="G19" s="77" t="str">
        <f>IF('set-dasis'!F19=0,"",'set-dasis'!F19)</f>
        <v>FAISHAL SYARIF PUTRA AJI</v>
      </c>
      <c r="H19" s="53"/>
      <c r="I19" s="53"/>
      <c r="J19" s="53"/>
      <c r="K19" s="332" t="s">
        <v>2383</v>
      </c>
      <c r="L19" s="331" t="s">
        <v>2383</v>
      </c>
      <c r="M19" s="331" t="s">
        <v>175</v>
      </c>
      <c r="N19" s="334" t="s">
        <v>2390</v>
      </c>
      <c r="O19" s="176">
        <f t="shared" si="7"/>
        <v>90</v>
      </c>
      <c r="P19" s="73" t="str">
        <f t="shared" si="2"/>
        <v>SB</v>
      </c>
      <c r="Q19" s="73" t="str">
        <f t="shared" si="3"/>
        <v>SANGAT BAIK</v>
      </c>
      <c r="R19" s="74" t="str">
        <f t="shared" si="0"/>
        <v>Alhamdulillah,  Ananda FAISHAL SYARIF PUTRA AJI telah menunjukan sikap spiritual yang SANGAT BAIK dalam hal beribadah dan bersyukur dengan terus berusaha melakukan ketaatan kepada Allah سبحانه و تعالى dan berbuat baik kepada orang lain</v>
      </c>
      <c r="S19" s="175">
        <f t="shared" si="4"/>
        <v>80</v>
      </c>
      <c r="T19" s="73" t="str">
        <f t="shared" si="5"/>
        <v>B</v>
      </c>
      <c r="U19" s="73" t="str">
        <f t="shared" si="6"/>
        <v>BAIK</v>
      </c>
      <c r="V19" s="74" t="str">
        <f t="shared" si="1"/>
        <v>Alhamdulillah, Ananda FAISHAL SYARIF PUTRA AJI telah menunjukan sikap sosial yang BAIK dalam hal kediplinan, kejujuran, tanggung jawab dan keperdulian terhadap orang lain dengan terus berusaha mengamalkan akhlak mulia sesuai dengan nilai-nilai moral yang berlaku</v>
      </c>
      <c r="W19" s="98"/>
      <c r="X19" s="98"/>
      <c r="Y19" s="98"/>
      <c r="Z19" s="98"/>
      <c r="AA19" s="98"/>
      <c r="AB19" s="98"/>
      <c r="AC19" s="331" t="s">
        <v>2474</v>
      </c>
      <c r="AD19" s="331" t="s">
        <v>175</v>
      </c>
      <c r="AE19" s="331"/>
      <c r="AF19" s="331" t="s">
        <v>2477</v>
      </c>
      <c r="AG19" s="331" t="s">
        <v>175</v>
      </c>
      <c r="AH19" s="98"/>
      <c r="AI19" s="179"/>
      <c r="AJ19" s="179"/>
      <c r="AK19" s="98"/>
      <c r="AL19" s="331" t="s">
        <v>2469</v>
      </c>
      <c r="AM19" s="331" t="s">
        <v>175</v>
      </c>
      <c r="AN19" s="98"/>
      <c r="AO19" s="98"/>
      <c r="AP19" s="135"/>
      <c r="AQ19" s="135"/>
      <c r="AR19" t="s">
        <v>231</v>
      </c>
    </row>
    <row r="20" spans="1:44" ht="29.25" customHeight="1" x14ac:dyDescent="0.35">
      <c r="A20" s="38"/>
      <c r="B20" s="38"/>
      <c r="C20" s="38"/>
      <c r="F20" s="61">
        <v>16</v>
      </c>
      <c r="G20" s="77" t="str">
        <f>IF('set-dasis'!F20=0,"",'set-dasis'!F20)</f>
        <v>FAQIHUDDIN RAHMAN</v>
      </c>
      <c r="H20" s="53"/>
      <c r="I20" s="53"/>
      <c r="J20" s="53"/>
      <c r="K20" s="332" t="s">
        <v>2383</v>
      </c>
      <c r="L20" s="331" t="s">
        <v>175</v>
      </c>
      <c r="M20" s="331" t="s">
        <v>175</v>
      </c>
      <c r="N20" s="334" t="s">
        <v>2390</v>
      </c>
      <c r="O20" s="176">
        <f t="shared" si="7"/>
        <v>90</v>
      </c>
      <c r="P20" s="73" t="str">
        <f t="shared" si="2"/>
        <v>SB</v>
      </c>
      <c r="Q20" s="73" t="str">
        <f t="shared" si="3"/>
        <v>SANGAT BAIK</v>
      </c>
      <c r="R20" s="74" t="str">
        <f t="shared" si="0"/>
        <v>Alhamdulillah,  Ananda FAQIHUDDIN RAHMAN telah menunjukan sikap spiritual yang SANGAT BAIK dalam hal beribadah dan bersyukur dengan terus berusaha melakukan ketaatan kepada Allah سبحانه و تعالى dan berbuat baik kepada orang lain</v>
      </c>
      <c r="S20" s="175">
        <f t="shared" si="4"/>
        <v>80</v>
      </c>
      <c r="T20" s="73" t="str">
        <f t="shared" si="5"/>
        <v>B</v>
      </c>
      <c r="U20" s="73" t="str">
        <f t="shared" si="6"/>
        <v>BAIK</v>
      </c>
      <c r="V20" s="74" t="str">
        <f t="shared" si="1"/>
        <v>Alhamdulillah, Ananda FAQIHUDDIN RAHMAN telah menunjukan sikap sosial yang BAIK dalam hal kediplinan, kejujuran, tanggung jawab dan keperdulian terhadap orang lain dengan terus berusaha mengamalkan akhlak mulia sesuai dengan nilai-nilai moral yang berlaku</v>
      </c>
      <c r="W20" s="98"/>
      <c r="X20" s="98"/>
      <c r="Y20" s="98"/>
      <c r="Z20" s="98"/>
      <c r="AA20" s="98"/>
      <c r="AB20" s="98"/>
      <c r="AC20" s="331" t="s">
        <v>2474</v>
      </c>
      <c r="AD20" s="331" t="s">
        <v>175</v>
      </c>
      <c r="AE20" s="331"/>
      <c r="AF20" s="331" t="s">
        <v>2475</v>
      </c>
      <c r="AG20" s="331" t="s">
        <v>175</v>
      </c>
      <c r="AH20" s="98"/>
      <c r="AI20" s="180"/>
      <c r="AJ20" s="180"/>
      <c r="AK20" s="98"/>
      <c r="AL20" s="331" t="s">
        <v>2469</v>
      </c>
      <c r="AM20" s="331" t="s">
        <v>2383</v>
      </c>
      <c r="AN20" s="98"/>
      <c r="AO20" s="98"/>
      <c r="AP20" s="135"/>
      <c r="AQ20" s="135"/>
      <c r="AR20" t="s">
        <v>231</v>
      </c>
    </row>
    <row r="21" spans="1:44" ht="29.25" customHeight="1" x14ac:dyDescent="0.35">
      <c r="F21" s="61">
        <v>17</v>
      </c>
      <c r="G21" s="77" t="str">
        <f>IF('set-dasis'!F21=0,"",'set-dasis'!F21)</f>
        <v>FARDAN ADITYA FAHRIZI</v>
      </c>
      <c r="H21" s="318">
        <v>13</v>
      </c>
      <c r="I21" s="53"/>
      <c r="J21" s="53"/>
      <c r="K21" s="332" t="s">
        <v>2383</v>
      </c>
      <c r="L21" s="331" t="s">
        <v>175</v>
      </c>
      <c r="M21" s="331" t="s">
        <v>175</v>
      </c>
      <c r="N21" s="334" t="s">
        <v>2390</v>
      </c>
      <c r="O21" s="176">
        <f t="shared" si="7"/>
        <v>90</v>
      </c>
      <c r="P21" s="73" t="str">
        <f t="shared" si="2"/>
        <v>SB</v>
      </c>
      <c r="Q21" s="73" t="str">
        <f t="shared" si="3"/>
        <v>SANGAT BAIK</v>
      </c>
      <c r="R21" s="74" t="str">
        <f t="shared" si="0"/>
        <v>Alhamdulillah,  Ananda FARDAN ADITYA FAHRIZI telah menunjukan sikap spiritual yang SANGAT BAIK dalam hal beribadah dan bersyukur dengan terus berusaha melakukan ketaatan kepada Allah سبحانه و تعالى dan berbuat baik kepada orang lain</v>
      </c>
      <c r="S21" s="175">
        <f t="shared" si="4"/>
        <v>80</v>
      </c>
      <c r="T21" s="73" t="str">
        <f t="shared" si="5"/>
        <v>B</v>
      </c>
      <c r="U21" s="73" t="str">
        <f t="shared" si="6"/>
        <v>BAIK</v>
      </c>
      <c r="V21" s="74" t="str">
        <f t="shared" si="1"/>
        <v>Alhamdulillah, Ananda FARDAN ADITYA FAHRIZI telah menunjukan sikap sosial yang BAIK dalam hal kediplinan, kejujuran, tanggung jawab dan keperdulian terhadap orang lain dengan terus berusaha mengamalkan akhlak mulia sesuai dengan nilai-nilai moral yang berlaku</v>
      </c>
      <c r="W21" s="98"/>
      <c r="X21" s="98"/>
      <c r="Y21" s="98"/>
      <c r="Z21" s="98"/>
      <c r="AA21" s="98"/>
      <c r="AB21" s="98"/>
      <c r="AC21" s="331" t="s">
        <v>2474</v>
      </c>
      <c r="AD21" s="331" t="s">
        <v>175</v>
      </c>
      <c r="AE21" s="331"/>
      <c r="AF21" s="331" t="s">
        <v>2476</v>
      </c>
      <c r="AG21" s="331" t="s">
        <v>2469</v>
      </c>
      <c r="AH21" s="98"/>
      <c r="AI21" s="179"/>
      <c r="AJ21" s="179"/>
      <c r="AK21" s="98"/>
      <c r="AL21" s="331" t="s">
        <v>175</v>
      </c>
      <c r="AM21" s="331" t="s">
        <v>175</v>
      </c>
      <c r="AN21" s="98"/>
      <c r="AO21" s="98"/>
      <c r="AP21" s="135"/>
      <c r="AQ21" s="135"/>
      <c r="AR21" t="s">
        <v>231</v>
      </c>
    </row>
    <row r="22" spans="1:44" ht="29.25" customHeight="1" x14ac:dyDescent="0.35">
      <c r="F22" s="61">
        <v>18</v>
      </c>
      <c r="G22" s="77" t="str">
        <f>IF('set-dasis'!F22=0,"",'set-dasis'!F22)</f>
        <v>FARHAN ISMAIL</v>
      </c>
      <c r="H22" s="53"/>
      <c r="I22" s="53"/>
      <c r="J22" s="53"/>
      <c r="K22" s="333" t="s">
        <v>2383</v>
      </c>
      <c r="L22" s="331" t="s">
        <v>2383</v>
      </c>
      <c r="M22" s="331" t="s">
        <v>2383</v>
      </c>
      <c r="N22" s="334" t="s">
        <v>2390</v>
      </c>
      <c r="O22" s="176">
        <f t="shared" si="7"/>
        <v>90</v>
      </c>
      <c r="P22" s="73" t="str">
        <f t="shared" si="2"/>
        <v>SB</v>
      </c>
      <c r="Q22" s="73" t="str">
        <f t="shared" si="3"/>
        <v>SANGAT BAIK</v>
      </c>
      <c r="R22" s="74" t="str">
        <f t="shared" si="0"/>
        <v>Alhamdulillah,  Ananda FARHAN ISMAIL telah menunjukan sikap spiritual yang SANGAT BAIK dalam hal beribadah dan bersyukur dengan terus berusaha melakukan ketaatan kepada Allah سبحانه و تعالى dan berbuat baik kepada orang lain</v>
      </c>
      <c r="S22" s="175">
        <f t="shared" si="4"/>
        <v>90</v>
      </c>
      <c r="T22" s="73" t="str">
        <f t="shared" si="5"/>
        <v>SB</v>
      </c>
      <c r="U22" s="73" t="str">
        <f t="shared" si="6"/>
        <v>SANGAT BAIK</v>
      </c>
      <c r="V22" s="74" t="str">
        <f t="shared" si="1"/>
        <v>Alhamdulillah, Ananda FARHAN ISMAIL telah menunjukan sikap sosial yang SANGAT BAIK dalam hal kediplinan, kejujuran, tanggung jawab dan keperdulian terhadap orang lain dengan terus berusaha mengamalkan akhlak mulia sesuai dengan nilai-nilai moral yang berlaku</v>
      </c>
      <c r="W22" s="98"/>
      <c r="X22" s="98"/>
      <c r="Y22" s="98"/>
      <c r="Z22" s="98"/>
      <c r="AA22" s="98"/>
      <c r="AB22" s="98"/>
      <c r="AC22" s="331" t="s">
        <v>2474</v>
      </c>
      <c r="AD22" s="331" t="s">
        <v>175</v>
      </c>
      <c r="AE22" s="331"/>
      <c r="AF22" s="331" t="s">
        <v>2477</v>
      </c>
      <c r="AG22" s="331" t="s">
        <v>175</v>
      </c>
      <c r="AH22" s="98"/>
      <c r="AI22" s="179"/>
      <c r="AJ22" s="179"/>
      <c r="AK22" s="98"/>
      <c r="AL22" s="331" t="s">
        <v>2383</v>
      </c>
      <c r="AM22" s="331" t="s">
        <v>2383</v>
      </c>
      <c r="AN22" s="98"/>
      <c r="AO22" s="98"/>
      <c r="AP22" s="135"/>
      <c r="AQ22" s="135"/>
      <c r="AR22" t="s">
        <v>231</v>
      </c>
    </row>
    <row r="23" spans="1:44" ht="29.25" customHeight="1" x14ac:dyDescent="0.35">
      <c r="F23" s="61">
        <v>19</v>
      </c>
      <c r="G23" s="77" t="str">
        <f>IF('set-dasis'!F23=0,"",'set-dasis'!F23)</f>
        <v>FATHLIH DHIFAN</v>
      </c>
      <c r="H23" s="53"/>
      <c r="I23" s="53"/>
      <c r="J23" s="53"/>
      <c r="K23" s="333" t="s">
        <v>2383</v>
      </c>
      <c r="L23" s="331" t="s">
        <v>2383</v>
      </c>
      <c r="M23" s="331" t="s">
        <v>2383</v>
      </c>
      <c r="N23" s="334" t="s">
        <v>2390</v>
      </c>
      <c r="O23" s="176">
        <f t="shared" si="7"/>
        <v>90</v>
      </c>
      <c r="P23" s="73" t="str">
        <f t="shared" si="2"/>
        <v>SB</v>
      </c>
      <c r="Q23" s="73" t="str">
        <f t="shared" si="3"/>
        <v>SANGAT BAIK</v>
      </c>
      <c r="R23" s="74" t="str">
        <f t="shared" si="0"/>
        <v>Alhamdulillah,  Ananda FATHLIH DHIFAN telah menunjukan sikap spiritual yang SANGAT BAIK dalam hal beribadah dan bersyukur dengan terus berusaha melakukan ketaatan kepada Allah سبحانه و تعالى dan berbuat baik kepada orang lain</v>
      </c>
      <c r="S23" s="175">
        <f t="shared" si="4"/>
        <v>90</v>
      </c>
      <c r="T23" s="73" t="str">
        <f t="shared" si="5"/>
        <v>SB</v>
      </c>
      <c r="U23" s="73" t="str">
        <f t="shared" si="6"/>
        <v>SANGAT BAIK</v>
      </c>
      <c r="V23" s="74" t="str">
        <f t="shared" si="1"/>
        <v>Alhamdulillah, Ananda FATHLIH DHIFAN telah menunjukan sikap sosial yang SANGAT BAIK dalam hal kediplinan, kejujuran, tanggung jawab dan keperdulian terhadap orang lain dengan terus berusaha mengamalkan akhlak mulia sesuai dengan nilai-nilai moral yang berlaku</v>
      </c>
      <c r="W23" s="98"/>
      <c r="X23" s="98"/>
      <c r="Y23" s="98"/>
      <c r="Z23" s="98"/>
      <c r="AA23" s="98"/>
      <c r="AB23" s="98"/>
      <c r="AC23" s="331" t="s">
        <v>2474</v>
      </c>
      <c r="AD23" s="331" t="s">
        <v>175</v>
      </c>
      <c r="AE23" s="331"/>
      <c r="AF23" s="331"/>
      <c r="AG23" s="331"/>
      <c r="AH23" s="98"/>
      <c r="AI23" s="179"/>
      <c r="AJ23" s="179"/>
      <c r="AK23" s="98"/>
      <c r="AL23" s="331" t="s">
        <v>2383</v>
      </c>
      <c r="AM23" s="331" t="s">
        <v>2383</v>
      </c>
      <c r="AN23" s="98"/>
      <c r="AO23" s="98"/>
      <c r="AP23" s="135"/>
      <c r="AQ23" s="135"/>
      <c r="AR23" t="s">
        <v>231</v>
      </c>
    </row>
    <row r="24" spans="1:44" ht="29.25" customHeight="1" x14ac:dyDescent="0.35">
      <c r="F24" s="61">
        <v>20</v>
      </c>
      <c r="G24" s="77" t="str">
        <f>IF('set-dasis'!F24=0,"",'set-dasis'!F24)</f>
        <v>FATIH KAUTSAR PUTRA TOTI</v>
      </c>
      <c r="H24" s="318">
        <v>3</v>
      </c>
      <c r="I24" s="53"/>
      <c r="J24" s="53"/>
      <c r="K24" s="332" t="s">
        <v>2383</v>
      </c>
      <c r="L24" s="331" t="s">
        <v>175</v>
      </c>
      <c r="M24" s="331" t="s">
        <v>175</v>
      </c>
      <c r="N24" s="334" t="s">
        <v>2390</v>
      </c>
      <c r="O24" s="176">
        <f t="shared" si="7"/>
        <v>90</v>
      </c>
      <c r="P24" s="73" t="str">
        <f t="shared" si="2"/>
        <v>SB</v>
      </c>
      <c r="Q24" s="73" t="str">
        <f t="shared" si="3"/>
        <v>SANGAT BAIK</v>
      </c>
      <c r="R24" s="74" t="str">
        <f t="shared" si="0"/>
        <v>Alhamdulillah,  Ananda FATIH KAUTSAR PUTRA TOTI telah menunjukan sikap spiritual yang SANGAT BAIK dalam hal beribadah dan bersyukur dengan terus berusaha melakukan ketaatan kepada Allah سبحانه و تعالى dan berbuat baik kepada orang lain</v>
      </c>
      <c r="S24" s="175">
        <f t="shared" si="4"/>
        <v>80</v>
      </c>
      <c r="T24" s="73" t="str">
        <f t="shared" si="5"/>
        <v>B</v>
      </c>
      <c r="U24" s="73" t="str">
        <f t="shared" si="6"/>
        <v>BAIK</v>
      </c>
      <c r="V24" s="74" t="str">
        <f t="shared" si="1"/>
        <v>Alhamdulillah, Ananda FATIH KAUTSAR PUTRA TOTI telah menunjukan sikap sosial yang BAIK dalam hal kediplinan, kejujuran, tanggung jawab dan keperdulian terhadap orang lain dengan terus berusaha mengamalkan akhlak mulia sesuai dengan nilai-nilai moral yang berlaku</v>
      </c>
      <c r="W24" s="98"/>
      <c r="X24" s="98"/>
      <c r="Y24" s="98"/>
      <c r="Z24" s="98"/>
      <c r="AA24" s="98"/>
      <c r="AB24" s="98"/>
      <c r="AC24" s="331" t="s">
        <v>2474</v>
      </c>
      <c r="AD24" s="331" t="s">
        <v>175</v>
      </c>
      <c r="AE24" s="331"/>
      <c r="AF24" s="331" t="s">
        <v>2477</v>
      </c>
      <c r="AG24" s="331" t="s">
        <v>175</v>
      </c>
      <c r="AH24" s="98"/>
      <c r="AI24" s="179"/>
      <c r="AJ24" s="179"/>
      <c r="AK24" s="98"/>
      <c r="AL24" s="331" t="s">
        <v>2383</v>
      </c>
      <c r="AM24" s="331" t="s">
        <v>2383</v>
      </c>
      <c r="AN24" s="98"/>
      <c r="AO24" s="98"/>
      <c r="AP24" s="135"/>
      <c r="AQ24" s="135"/>
      <c r="AR24" t="s">
        <v>231</v>
      </c>
    </row>
    <row r="25" spans="1:44" ht="29.25" customHeight="1" x14ac:dyDescent="0.35">
      <c r="F25" s="61">
        <v>21</v>
      </c>
      <c r="G25" s="77" t="str">
        <f>IF('set-dasis'!F25=0,"",'set-dasis'!F25)</f>
        <v>FAUZIE MAFTUH AHNAN CHANIAGO</v>
      </c>
      <c r="H25" s="318">
        <v>2</v>
      </c>
      <c r="I25" s="318">
        <v>1</v>
      </c>
      <c r="J25" s="53"/>
      <c r="K25" s="332" t="s">
        <v>175</v>
      </c>
      <c r="L25" s="331" t="s">
        <v>2383</v>
      </c>
      <c r="M25" s="331" t="s">
        <v>175</v>
      </c>
      <c r="N25" s="334" t="s">
        <v>2390</v>
      </c>
      <c r="O25" s="176">
        <f t="shared" si="7"/>
        <v>80</v>
      </c>
      <c r="P25" s="73" t="str">
        <f t="shared" si="2"/>
        <v>B</v>
      </c>
      <c r="Q25" s="73" t="str">
        <f t="shared" si="3"/>
        <v>BAIK</v>
      </c>
      <c r="R25" s="74" t="str">
        <f t="shared" si="0"/>
        <v>Alhamdulillah,  Ananda FAUZIE MAFTUH AHNAN CHANIAGO telah menunjukan sikap spiritual yang BAIK dalam hal beribadah dan bersyukur dengan terus berusaha melakukan ketaatan kepada Allah سبحانه و تعالى dan berbuat baik kepada orang lain</v>
      </c>
      <c r="S25" s="175">
        <f t="shared" si="4"/>
        <v>80</v>
      </c>
      <c r="T25" s="73" t="str">
        <f t="shared" si="5"/>
        <v>B</v>
      </c>
      <c r="U25" s="73" t="str">
        <f t="shared" si="6"/>
        <v>BAIK</v>
      </c>
      <c r="V25" s="74" t="str">
        <f t="shared" si="1"/>
        <v>Alhamdulillah, Ananda FAUZIE MAFTUH AHNAN CHANIAGO telah menunjukan sikap sosial yang BAIK dalam hal kediplinan, kejujuran, tanggung jawab dan keperdulian terhadap orang lain dengan terus berusaha mengamalkan akhlak mulia sesuai dengan nilai-nilai moral yang berlaku</v>
      </c>
      <c r="W25" s="98"/>
      <c r="X25" s="98"/>
      <c r="Y25" s="98"/>
      <c r="Z25" s="98"/>
      <c r="AA25" s="98"/>
      <c r="AB25" s="98"/>
      <c r="AC25" s="331" t="s">
        <v>2474</v>
      </c>
      <c r="AD25" s="331" t="s">
        <v>175</v>
      </c>
      <c r="AE25" s="331"/>
      <c r="AF25" s="331"/>
      <c r="AG25" s="331"/>
      <c r="AH25" s="98"/>
      <c r="AI25" s="179"/>
      <c r="AJ25" s="179"/>
      <c r="AK25" s="98"/>
      <c r="AL25" s="331" t="s">
        <v>175</v>
      </c>
      <c r="AM25" s="331" t="s">
        <v>2383</v>
      </c>
      <c r="AN25" s="98"/>
      <c r="AO25" s="98"/>
      <c r="AP25" s="135"/>
      <c r="AQ25" s="135"/>
      <c r="AR25" t="s">
        <v>231</v>
      </c>
    </row>
    <row r="26" spans="1:44" ht="29.25" customHeight="1" x14ac:dyDescent="0.35">
      <c r="F26" s="61">
        <v>22</v>
      </c>
      <c r="G26" s="77" t="str">
        <f>IF('set-dasis'!F26=0,"",'set-dasis'!F26)</f>
        <v>FERY FADLY</v>
      </c>
      <c r="H26" s="53"/>
      <c r="I26" s="53"/>
      <c r="J26" s="53"/>
      <c r="K26" s="332" t="s">
        <v>2383</v>
      </c>
      <c r="L26" s="331" t="s">
        <v>175</v>
      </c>
      <c r="M26" s="331" t="s">
        <v>175</v>
      </c>
      <c r="N26" s="334" t="s">
        <v>2390</v>
      </c>
      <c r="O26" s="176">
        <f t="shared" si="7"/>
        <v>90</v>
      </c>
      <c r="P26" s="73" t="str">
        <f t="shared" si="2"/>
        <v>SB</v>
      </c>
      <c r="Q26" s="73" t="str">
        <f t="shared" si="3"/>
        <v>SANGAT BAIK</v>
      </c>
      <c r="R26" s="74" t="str">
        <f t="shared" si="0"/>
        <v>Alhamdulillah,  Ananda FERY FADLY telah menunjukan sikap spiritual yang SANGAT BAIK dalam hal beribadah dan bersyukur dengan terus berusaha melakukan ketaatan kepada Allah سبحانه و تعالى dan berbuat baik kepada orang lain</v>
      </c>
      <c r="S26" s="175">
        <f t="shared" si="4"/>
        <v>80</v>
      </c>
      <c r="T26" s="73" t="str">
        <f t="shared" si="5"/>
        <v>B</v>
      </c>
      <c r="U26" s="73" t="str">
        <f t="shared" si="6"/>
        <v>BAIK</v>
      </c>
      <c r="V26" s="74" t="str">
        <f t="shared" si="1"/>
        <v>Alhamdulillah, Ananda FERY FADLY telah menunjukan sikap sosial yang BAIK dalam hal kediplinan, kejujuran, tanggung jawab dan keperdulian terhadap orang lain dengan terus berusaha mengamalkan akhlak mulia sesuai dengan nilai-nilai moral yang berlaku</v>
      </c>
      <c r="W26" s="98"/>
      <c r="X26" s="98"/>
      <c r="Y26" s="98"/>
      <c r="Z26" s="98"/>
      <c r="AA26" s="98"/>
      <c r="AB26" s="98"/>
      <c r="AC26" s="331" t="s">
        <v>2474</v>
      </c>
      <c r="AD26" s="331" t="s">
        <v>175</v>
      </c>
      <c r="AE26" s="331"/>
      <c r="AF26" s="331"/>
      <c r="AG26" s="331"/>
      <c r="AH26" s="98"/>
      <c r="AI26" s="179"/>
      <c r="AJ26" s="179"/>
      <c r="AK26" s="98"/>
      <c r="AL26" s="331" t="s">
        <v>2383</v>
      </c>
      <c r="AM26" s="331" t="s">
        <v>175</v>
      </c>
      <c r="AN26" s="98"/>
      <c r="AO26" s="98"/>
      <c r="AP26" s="135"/>
      <c r="AQ26" s="135"/>
      <c r="AR26" t="s">
        <v>231</v>
      </c>
    </row>
    <row r="27" spans="1:44" ht="29.25" customHeight="1" x14ac:dyDescent="0.35">
      <c r="F27" s="61">
        <v>23</v>
      </c>
      <c r="G27" s="77" t="str">
        <f>IF('set-dasis'!F27=0,"",'set-dasis'!F27)</f>
        <v>GHOLIB AHMAD HARITSAH</v>
      </c>
      <c r="H27" s="318">
        <v>1</v>
      </c>
      <c r="I27" s="53"/>
      <c r="J27" s="53"/>
      <c r="K27" s="332" t="s">
        <v>2383</v>
      </c>
      <c r="L27" s="331" t="s">
        <v>2383</v>
      </c>
      <c r="M27" s="331" t="s">
        <v>175</v>
      </c>
      <c r="N27" s="334" t="s">
        <v>2390</v>
      </c>
      <c r="O27" s="176">
        <f t="shared" si="7"/>
        <v>90</v>
      </c>
      <c r="P27" s="73" t="str">
        <f t="shared" si="2"/>
        <v>SB</v>
      </c>
      <c r="Q27" s="73" t="str">
        <f t="shared" si="3"/>
        <v>SANGAT BAIK</v>
      </c>
      <c r="R27" s="74" t="str">
        <f t="shared" si="0"/>
        <v>Alhamdulillah,  Ananda GHOLIB AHMAD HARITSAH telah menunjukan sikap spiritual yang SANGAT BAIK dalam hal beribadah dan bersyukur dengan terus berusaha melakukan ketaatan kepada Allah سبحانه و تعالى dan berbuat baik kepada orang lain</v>
      </c>
      <c r="S27" s="175">
        <f t="shared" si="4"/>
        <v>80</v>
      </c>
      <c r="T27" s="73" t="str">
        <f t="shared" si="5"/>
        <v>B</v>
      </c>
      <c r="U27" s="73" t="str">
        <f t="shared" si="6"/>
        <v>BAIK</v>
      </c>
      <c r="V27" s="74" t="str">
        <f t="shared" si="1"/>
        <v>Alhamdulillah, Ananda GHOLIB AHMAD HARITSAH telah menunjukan sikap sosial yang BAIK dalam hal kediplinan, kejujuran, tanggung jawab dan keperdulian terhadap orang lain dengan terus berusaha mengamalkan akhlak mulia sesuai dengan nilai-nilai moral yang berlaku</v>
      </c>
      <c r="W27" s="98"/>
      <c r="X27" s="98"/>
      <c r="Y27" s="98"/>
      <c r="Z27" s="98"/>
      <c r="AA27" s="98"/>
      <c r="AB27" s="98"/>
      <c r="AC27" s="331" t="s">
        <v>2474</v>
      </c>
      <c r="AD27" s="331" t="s">
        <v>175</v>
      </c>
      <c r="AE27" s="331"/>
      <c r="AF27" s="331"/>
      <c r="AG27" s="331"/>
      <c r="AH27" s="98"/>
      <c r="AI27" s="181"/>
      <c r="AJ27" s="125"/>
      <c r="AK27" s="98"/>
      <c r="AL27" s="331" t="s">
        <v>175</v>
      </c>
      <c r="AM27" s="331" t="s">
        <v>175</v>
      </c>
      <c r="AN27" s="98"/>
      <c r="AO27" s="98"/>
      <c r="AP27" s="135"/>
      <c r="AQ27" s="135"/>
      <c r="AR27" t="s">
        <v>231</v>
      </c>
    </row>
    <row r="28" spans="1:44" ht="29.25" customHeight="1" x14ac:dyDescent="0.35">
      <c r="F28" s="61">
        <v>24</v>
      </c>
      <c r="G28" s="77" t="str">
        <f>IF('set-dasis'!F28=0,"",'set-dasis'!F28)</f>
        <v>HAFIDZ RAFI RABBANI</v>
      </c>
      <c r="H28" s="318">
        <v>2</v>
      </c>
      <c r="I28" s="53"/>
      <c r="J28" s="53"/>
      <c r="K28" s="331" t="s">
        <v>2383</v>
      </c>
      <c r="L28" s="331" t="s">
        <v>2383</v>
      </c>
      <c r="M28" s="331" t="s">
        <v>175</v>
      </c>
      <c r="N28" s="334" t="s">
        <v>2390</v>
      </c>
      <c r="O28" s="176">
        <f t="shared" si="7"/>
        <v>90</v>
      </c>
      <c r="P28" s="73" t="str">
        <f t="shared" si="2"/>
        <v>SB</v>
      </c>
      <c r="Q28" s="73" t="str">
        <f t="shared" si="3"/>
        <v>SANGAT BAIK</v>
      </c>
      <c r="R28" s="74" t="str">
        <f t="shared" si="0"/>
        <v>Alhamdulillah,  Ananda HAFIDZ RAFI RABBANI telah menunjukan sikap spiritual yang SANGAT BAIK dalam hal beribadah dan bersyukur dengan terus berusaha melakukan ketaatan kepada Allah سبحانه و تعالى dan berbuat baik kepada orang lain</v>
      </c>
      <c r="S28" s="175">
        <f>IF(M28="A",90,80)</f>
        <v>80</v>
      </c>
      <c r="T28" s="73" t="str">
        <f t="shared" si="5"/>
        <v>B</v>
      </c>
      <c r="U28" s="73" t="str">
        <f t="shared" si="6"/>
        <v>BAIK</v>
      </c>
      <c r="V28" s="74" t="str">
        <f t="shared" si="1"/>
        <v>Alhamdulillah, Ananda HAFIDZ RAFI RABBANI telah menunjukan sikap sosial yang BAIK dalam hal kediplinan, kejujuran, tanggung jawab dan keperdulian terhadap orang lain dengan terus berusaha mengamalkan akhlak mulia sesuai dengan nilai-nilai moral yang berlaku</v>
      </c>
      <c r="W28" s="98"/>
      <c r="X28" s="98"/>
      <c r="Y28" s="98"/>
      <c r="Z28" s="98"/>
      <c r="AA28" s="98"/>
      <c r="AB28" s="98"/>
      <c r="AC28" s="331" t="s">
        <v>2474</v>
      </c>
      <c r="AD28" s="331" t="s">
        <v>175</v>
      </c>
      <c r="AE28" s="331"/>
      <c r="AF28" s="331"/>
      <c r="AG28" s="331"/>
      <c r="AH28" s="98"/>
      <c r="AI28" s="181"/>
      <c r="AJ28" s="125"/>
      <c r="AK28" s="98"/>
      <c r="AL28" s="331" t="s">
        <v>175</v>
      </c>
      <c r="AM28" s="331" t="s">
        <v>175</v>
      </c>
      <c r="AN28" s="98"/>
      <c r="AO28" s="98"/>
      <c r="AP28" s="135"/>
      <c r="AQ28" s="135"/>
      <c r="AR28" t="s">
        <v>231</v>
      </c>
    </row>
    <row r="29" spans="1:44" ht="29.25" customHeight="1" x14ac:dyDescent="0.35">
      <c r="F29" s="61">
        <v>25</v>
      </c>
      <c r="G29" s="77" t="str">
        <f>IF('set-dasis'!F29=0,"",'set-dasis'!F29)</f>
        <v>HAFIZ IHSAN MAHENDRA BARLI</v>
      </c>
      <c r="H29" s="318"/>
      <c r="I29" s="53"/>
      <c r="J29" s="53"/>
      <c r="K29" s="331" t="s">
        <v>2383</v>
      </c>
      <c r="L29" s="331" t="s">
        <v>2383</v>
      </c>
      <c r="M29" s="331" t="s">
        <v>175</v>
      </c>
      <c r="N29" s="334" t="s">
        <v>2390</v>
      </c>
      <c r="O29" s="176">
        <f t="shared" si="7"/>
        <v>90</v>
      </c>
      <c r="P29" s="73" t="str">
        <f t="shared" si="2"/>
        <v>SB</v>
      </c>
      <c r="Q29" s="73" t="str">
        <f t="shared" si="3"/>
        <v>SANGAT BAIK</v>
      </c>
      <c r="R29" s="74" t="str">
        <f t="shared" si="0"/>
        <v>Alhamdulillah,  Ananda HAFIZ IHSAN MAHENDRA BARLI telah menunjukan sikap spiritual yang SANGAT BAIK dalam hal beribadah dan bersyukur dengan terus berusaha melakukan ketaatan kepada Allah سبحانه و تعالى dan berbuat baik kepada orang lain</v>
      </c>
      <c r="S29" s="175">
        <f t="shared" si="4"/>
        <v>80</v>
      </c>
      <c r="T29" s="73" t="str">
        <f t="shared" si="5"/>
        <v>B</v>
      </c>
      <c r="U29" s="73" t="str">
        <f t="shared" si="6"/>
        <v>BAIK</v>
      </c>
      <c r="V29" s="74" t="str">
        <f t="shared" si="1"/>
        <v>Alhamdulillah, Ananda HAFIZ IHSAN MAHENDRA BARLI telah menunjukan sikap sosial yang BAIK dalam hal kediplinan, kejujuran, tanggung jawab dan keperdulian terhadap orang lain dengan terus berusaha mengamalkan akhlak mulia sesuai dengan nilai-nilai moral yang berlaku</v>
      </c>
      <c r="W29" s="98"/>
      <c r="X29" s="98"/>
      <c r="Y29" s="98"/>
      <c r="Z29" s="98"/>
      <c r="AA29" s="98"/>
      <c r="AB29" s="98"/>
      <c r="AC29" s="331" t="s">
        <v>2474</v>
      </c>
      <c r="AD29" s="331" t="s">
        <v>175</v>
      </c>
      <c r="AE29" s="331"/>
      <c r="AF29" s="331" t="s">
        <v>2476</v>
      </c>
      <c r="AG29" s="331" t="s">
        <v>175</v>
      </c>
      <c r="AH29" s="98"/>
      <c r="AI29" s="181"/>
      <c r="AJ29" s="125"/>
      <c r="AK29" s="98"/>
      <c r="AL29" s="331" t="s">
        <v>2383</v>
      </c>
      <c r="AM29" s="331" t="s">
        <v>2383</v>
      </c>
      <c r="AN29" s="98"/>
      <c r="AO29" s="98"/>
      <c r="AP29" s="135"/>
      <c r="AQ29" s="135"/>
      <c r="AR29" t="s">
        <v>231</v>
      </c>
    </row>
    <row r="30" spans="1:44" ht="29.25" customHeight="1" x14ac:dyDescent="0.35">
      <c r="F30" s="61">
        <v>26</v>
      </c>
      <c r="G30" s="77" t="str">
        <f>IF('set-dasis'!F30=0,"",'set-dasis'!F30)</f>
        <v>HAITSU YASYA AL FIRDAUS</v>
      </c>
      <c r="H30" s="318">
        <v>2</v>
      </c>
      <c r="I30" s="53"/>
      <c r="J30" s="53"/>
      <c r="K30" s="331" t="s">
        <v>2383</v>
      </c>
      <c r="L30" s="331" t="s">
        <v>175</v>
      </c>
      <c r="M30" s="331" t="s">
        <v>175</v>
      </c>
      <c r="N30" s="334" t="s">
        <v>2390</v>
      </c>
      <c r="O30" s="176">
        <f t="shared" si="7"/>
        <v>90</v>
      </c>
      <c r="P30" s="73" t="str">
        <f t="shared" si="2"/>
        <v>SB</v>
      </c>
      <c r="Q30" s="73" t="str">
        <f t="shared" si="3"/>
        <v>SANGAT BAIK</v>
      </c>
      <c r="R30" s="74" t="str">
        <f t="shared" si="0"/>
        <v>Alhamdulillah,  Ananda HAITSU YASYA AL FIRDAUS telah menunjukan sikap spiritual yang SANGAT BAIK dalam hal beribadah dan bersyukur dengan terus berusaha melakukan ketaatan kepada Allah سبحانه و تعالى dan berbuat baik kepada orang lain</v>
      </c>
      <c r="S30" s="175">
        <f t="shared" si="4"/>
        <v>80</v>
      </c>
      <c r="T30" s="73" t="str">
        <f t="shared" si="5"/>
        <v>B</v>
      </c>
      <c r="U30" s="73" t="str">
        <f t="shared" si="6"/>
        <v>BAIK</v>
      </c>
      <c r="V30" s="74" t="str">
        <f t="shared" si="1"/>
        <v>Alhamdulillah, Ananda HAITSU YASYA AL FIRDAUS telah menunjukan sikap sosial yang BAIK dalam hal kediplinan, kejujuran, tanggung jawab dan keperdulian terhadap orang lain dengan terus berusaha mengamalkan akhlak mulia sesuai dengan nilai-nilai moral yang berlaku</v>
      </c>
      <c r="W30" s="98"/>
      <c r="X30" s="98"/>
      <c r="Y30" s="98"/>
      <c r="Z30" s="98"/>
      <c r="AA30" s="98"/>
      <c r="AB30" s="98"/>
      <c r="AC30" s="331" t="s">
        <v>2474</v>
      </c>
      <c r="AD30" s="331" t="s">
        <v>175</v>
      </c>
      <c r="AE30" s="331"/>
      <c r="AF30" s="331"/>
      <c r="AG30" s="331"/>
      <c r="AH30" s="98"/>
      <c r="AI30" s="181"/>
      <c r="AJ30" s="125"/>
      <c r="AK30" s="98"/>
      <c r="AL30" s="331" t="s">
        <v>2383</v>
      </c>
      <c r="AM30" s="331" t="s">
        <v>2383</v>
      </c>
      <c r="AN30" s="98"/>
      <c r="AO30" s="98"/>
      <c r="AP30" s="135"/>
      <c r="AQ30" s="135"/>
      <c r="AR30" t="s">
        <v>231</v>
      </c>
    </row>
    <row r="31" spans="1:44" ht="43.5" customHeight="1" x14ac:dyDescent="0.35">
      <c r="F31" s="61">
        <v>27</v>
      </c>
      <c r="G31" s="77" t="str">
        <f>IF('set-dasis'!F31=0,"",'set-dasis'!F31)</f>
        <v>IBRAHIM MAJID</v>
      </c>
      <c r="H31" s="318">
        <v>4</v>
      </c>
      <c r="I31" s="318">
        <v>2</v>
      </c>
      <c r="J31" s="53"/>
      <c r="K31" s="331" t="s">
        <v>175</v>
      </c>
      <c r="L31" s="331" t="s">
        <v>2469</v>
      </c>
      <c r="M31" s="331" t="s">
        <v>175</v>
      </c>
      <c r="N31" s="334" t="s">
        <v>2473</v>
      </c>
      <c r="O31" s="176">
        <f t="shared" si="7"/>
        <v>80</v>
      </c>
      <c r="P31" s="73" t="str">
        <f t="shared" si="2"/>
        <v>B</v>
      </c>
      <c r="Q31" s="73" t="str">
        <f t="shared" si="3"/>
        <v>BAIK</v>
      </c>
      <c r="R31" s="74" t="str">
        <f t="shared" si="0"/>
        <v>Alhamdulillah,  Ananda IBRAHIM MAJID telah menunjukan sikap spiritual yang BAIK dalam hal beribadah dan bersyukur dengan terus berusaha melakukan ketaatan kepada Allah سبحانه و تعالى dan berbuat baik kepada orang lain</v>
      </c>
      <c r="S31" s="175">
        <f t="shared" si="4"/>
        <v>80</v>
      </c>
      <c r="T31" s="73" t="str">
        <f t="shared" si="5"/>
        <v>B</v>
      </c>
      <c r="U31" s="73" t="str">
        <f t="shared" si="6"/>
        <v>BAIK</v>
      </c>
      <c r="V31" s="74" t="str">
        <f t="shared" si="1"/>
        <v>Alhamdulillah, Ananda IBRAHIM MAJID telah menunjukan sikap sosial yang BAIK dalam hal kediplinan, kejujuran, tanggung jawab dan keperdulian terhadap orang lain dengan terus berusaha mengamalkan akhlak mulia sesuai dengan nilai-nilai moral yang berlaku</v>
      </c>
      <c r="W31" s="98"/>
      <c r="X31" s="98"/>
      <c r="Y31" s="98"/>
      <c r="Z31" s="98"/>
      <c r="AA31" s="98"/>
      <c r="AB31" s="98"/>
      <c r="AC31" s="331" t="s">
        <v>2474</v>
      </c>
      <c r="AD31" s="331" t="s">
        <v>175</v>
      </c>
      <c r="AE31" s="331"/>
      <c r="AF31" s="331" t="s">
        <v>2389</v>
      </c>
      <c r="AG31" s="331" t="s">
        <v>175</v>
      </c>
      <c r="AH31" s="98"/>
      <c r="AI31" s="181"/>
      <c r="AJ31" s="125"/>
      <c r="AK31" s="98"/>
      <c r="AL31" s="331" t="s">
        <v>175</v>
      </c>
      <c r="AM31" s="331" t="s">
        <v>175</v>
      </c>
      <c r="AN31" s="98"/>
      <c r="AO31" s="98"/>
      <c r="AP31" s="135"/>
      <c r="AQ31" s="135"/>
      <c r="AR31" t="s">
        <v>231</v>
      </c>
    </row>
    <row r="32" spans="1:44" ht="29.25" customHeight="1" x14ac:dyDescent="0.35">
      <c r="F32" s="61">
        <v>28</v>
      </c>
      <c r="G32" s="77" t="str">
        <f>IF('set-dasis'!F32=0,"",'set-dasis'!F32)</f>
        <v>IBRAHIM ZAKI MAULANA</v>
      </c>
      <c r="H32" s="318">
        <v>13</v>
      </c>
      <c r="I32" s="318">
        <v>60</v>
      </c>
      <c r="J32" s="53"/>
      <c r="K32" s="331" t="s">
        <v>2469</v>
      </c>
      <c r="L32" s="331" t="s">
        <v>2469</v>
      </c>
      <c r="M32" s="331" t="s">
        <v>175</v>
      </c>
      <c r="N32" s="334" t="s">
        <v>2390</v>
      </c>
      <c r="O32" s="176">
        <f t="shared" si="7"/>
        <v>80</v>
      </c>
      <c r="P32" s="73" t="str">
        <f t="shared" si="2"/>
        <v>B</v>
      </c>
      <c r="Q32" s="73" t="str">
        <f t="shared" si="3"/>
        <v>BAIK</v>
      </c>
      <c r="R32" s="74" t="str">
        <f t="shared" si="0"/>
        <v>Alhamdulillah,  Ananda IBRAHIM ZAKI MAULANA telah menunjukan sikap spiritual yang BAIK dalam hal beribadah dan bersyukur dengan terus berusaha melakukan ketaatan kepada Allah سبحانه و تعالى dan berbuat baik kepada orang lain</v>
      </c>
      <c r="S32" s="175">
        <f t="shared" si="4"/>
        <v>80</v>
      </c>
      <c r="T32" s="73" t="str">
        <f t="shared" si="5"/>
        <v>B</v>
      </c>
      <c r="U32" s="73" t="str">
        <f t="shared" si="6"/>
        <v>BAIK</v>
      </c>
      <c r="V32" s="74" t="str">
        <f t="shared" si="1"/>
        <v>Alhamdulillah, Ananda IBRAHIM ZAKI MAULANA telah menunjukan sikap sosial yang BAIK dalam hal kediplinan, kejujuran, tanggung jawab dan keperdulian terhadap orang lain dengan terus berusaha mengamalkan akhlak mulia sesuai dengan nilai-nilai moral yang berlaku</v>
      </c>
      <c r="W32" s="98"/>
      <c r="X32" s="98"/>
      <c r="Y32" s="98"/>
      <c r="Z32" s="98"/>
      <c r="AA32" s="98"/>
      <c r="AB32" s="98"/>
      <c r="AC32" s="331" t="s">
        <v>2474</v>
      </c>
      <c r="AD32" s="331" t="s">
        <v>175</v>
      </c>
      <c r="AE32" s="331"/>
      <c r="AF32" s="331" t="s">
        <v>2477</v>
      </c>
      <c r="AG32" s="331" t="s">
        <v>175</v>
      </c>
      <c r="AH32" s="98"/>
      <c r="AI32" s="181"/>
      <c r="AJ32" s="125"/>
      <c r="AK32" s="98"/>
      <c r="AL32" s="331" t="s">
        <v>2469</v>
      </c>
      <c r="AM32" s="331" t="s">
        <v>2383</v>
      </c>
      <c r="AN32" s="98"/>
      <c r="AO32" s="98"/>
      <c r="AP32" s="135"/>
      <c r="AQ32" s="135"/>
      <c r="AR32" t="s">
        <v>231</v>
      </c>
    </row>
    <row r="33" spans="6:44" ht="29.25" customHeight="1" x14ac:dyDescent="0.35">
      <c r="F33" s="61">
        <v>29</v>
      </c>
      <c r="G33" s="77" t="str">
        <f>IF('set-dasis'!F33=0,"",'set-dasis'!F33)</f>
        <v>KENZIE ABHINAYA AL-HAFIZH</v>
      </c>
      <c r="H33" s="318">
        <v>2</v>
      </c>
      <c r="I33" s="318">
        <v>1</v>
      </c>
      <c r="J33" s="53"/>
      <c r="K33" s="331" t="s">
        <v>175</v>
      </c>
      <c r="L33" s="331" t="s">
        <v>175</v>
      </c>
      <c r="M33" s="331" t="s">
        <v>2383</v>
      </c>
      <c r="N33" s="334" t="s">
        <v>2390</v>
      </c>
      <c r="O33" s="176">
        <f t="shared" si="7"/>
        <v>80</v>
      </c>
      <c r="P33" s="73" t="str">
        <f t="shared" si="2"/>
        <v>B</v>
      </c>
      <c r="Q33" s="73" t="str">
        <f t="shared" si="3"/>
        <v>BAIK</v>
      </c>
      <c r="R33" s="74" t="str">
        <f t="shared" si="0"/>
        <v>Alhamdulillah,  Ananda KENZIE ABHINAYA AL-HAFIZH telah menunjukan sikap spiritual yang BAIK dalam hal beribadah dan bersyukur dengan terus berusaha melakukan ketaatan kepada Allah سبحانه و تعالى dan berbuat baik kepada orang lain</v>
      </c>
      <c r="S33" s="175">
        <f t="shared" si="4"/>
        <v>90</v>
      </c>
      <c r="T33" s="73" t="str">
        <f t="shared" si="5"/>
        <v>SB</v>
      </c>
      <c r="U33" s="73" t="str">
        <f t="shared" si="6"/>
        <v>SANGAT BAIK</v>
      </c>
      <c r="V33" s="74" t="str">
        <f t="shared" si="1"/>
        <v>Alhamdulillah, Ananda KENZIE ABHINAYA AL-HAFIZH telah menunjukan sikap sosial yang SANGAT BAIK dalam hal kediplinan, kejujuran, tanggung jawab dan keperdulian terhadap orang lain dengan terus berusaha mengamalkan akhlak mulia sesuai dengan nilai-nilai moral yang berlaku</v>
      </c>
      <c r="W33" s="98"/>
      <c r="X33" s="98"/>
      <c r="Y33" s="98"/>
      <c r="Z33" s="98"/>
      <c r="AA33" s="98"/>
      <c r="AB33" s="98"/>
      <c r="AC33" s="331" t="s">
        <v>2474</v>
      </c>
      <c r="AD33" s="331" t="s">
        <v>175</v>
      </c>
      <c r="AE33" s="331"/>
      <c r="AF33" s="331" t="s">
        <v>2389</v>
      </c>
      <c r="AG33" s="331" t="s">
        <v>175</v>
      </c>
      <c r="AH33" s="98"/>
      <c r="AI33" s="181"/>
      <c r="AJ33" s="125"/>
      <c r="AK33" s="98"/>
      <c r="AL33" s="331" t="s">
        <v>175</v>
      </c>
      <c r="AM33" s="331" t="s">
        <v>2383</v>
      </c>
      <c r="AN33" s="98"/>
      <c r="AO33" s="98"/>
      <c r="AP33" s="135"/>
      <c r="AQ33" s="135"/>
      <c r="AR33" t="s">
        <v>231</v>
      </c>
    </row>
    <row r="34" spans="6:44" ht="29.25" customHeight="1" x14ac:dyDescent="0.35">
      <c r="F34" s="61">
        <v>30</v>
      </c>
      <c r="G34" s="77" t="str">
        <f>IF('set-dasis'!F34=0,"",'set-dasis'!F34)</f>
        <v>KHADAFI AGISTA MUSYAFA</v>
      </c>
      <c r="H34" s="318">
        <v>3</v>
      </c>
      <c r="I34" s="318">
        <v>8</v>
      </c>
      <c r="J34" s="53"/>
      <c r="K34" s="331" t="s">
        <v>175</v>
      </c>
      <c r="L34" s="331" t="s">
        <v>2383</v>
      </c>
      <c r="M34" s="331" t="s">
        <v>175</v>
      </c>
      <c r="N34" s="334" t="s">
        <v>2390</v>
      </c>
      <c r="O34" s="176">
        <f t="shared" si="7"/>
        <v>80</v>
      </c>
      <c r="P34" s="73" t="str">
        <f t="shared" si="2"/>
        <v>B</v>
      </c>
      <c r="Q34" s="73" t="str">
        <f t="shared" si="3"/>
        <v>BAIK</v>
      </c>
      <c r="R34" s="74" t="str">
        <f t="shared" si="0"/>
        <v>Alhamdulillah,  Ananda KHADAFI AGISTA MUSYAFA telah menunjukan sikap spiritual yang BAIK dalam hal beribadah dan bersyukur dengan terus berusaha melakukan ketaatan kepada Allah سبحانه و تعالى dan berbuat baik kepada orang lain</v>
      </c>
      <c r="S34" s="175">
        <f t="shared" si="4"/>
        <v>80</v>
      </c>
      <c r="T34" s="73" t="str">
        <f t="shared" si="5"/>
        <v>B</v>
      </c>
      <c r="U34" s="73" t="str">
        <f t="shared" si="6"/>
        <v>BAIK</v>
      </c>
      <c r="V34" s="74" t="str">
        <f t="shared" si="1"/>
        <v>Alhamdulillah, Ananda KHADAFI AGISTA MUSYAFA telah menunjukan sikap sosial yang BAIK dalam hal kediplinan, kejujuran, tanggung jawab dan keperdulian terhadap orang lain dengan terus berusaha mengamalkan akhlak mulia sesuai dengan nilai-nilai moral yang berlaku</v>
      </c>
      <c r="W34" s="98"/>
      <c r="X34" s="98"/>
      <c r="Y34" s="98"/>
      <c r="Z34" s="98"/>
      <c r="AA34" s="98"/>
      <c r="AB34" s="98"/>
      <c r="AC34" s="331" t="s">
        <v>2474</v>
      </c>
      <c r="AD34" s="331" t="s">
        <v>175</v>
      </c>
      <c r="AE34" s="331"/>
      <c r="AF34" s="331"/>
      <c r="AG34" s="331"/>
      <c r="AH34" s="98"/>
      <c r="AI34" s="181"/>
      <c r="AJ34" s="125"/>
      <c r="AK34" s="98"/>
      <c r="AL34" s="331" t="s">
        <v>175</v>
      </c>
      <c r="AM34" s="331" t="s">
        <v>2383</v>
      </c>
      <c r="AN34" s="98"/>
      <c r="AO34" s="98"/>
      <c r="AP34" s="135"/>
      <c r="AQ34" s="135"/>
      <c r="AR34" t="s">
        <v>231</v>
      </c>
    </row>
    <row r="35" spans="6:44" ht="29.25" customHeight="1" x14ac:dyDescent="0.35">
      <c r="F35" s="61">
        <v>31</v>
      </c>
      <c r="G35" s="77" t="str">
        <f>IF('set-dasis'!F35=0,"",'set-dasis'!F35)</f>
        <v>KHOIRUL AZZAM</v>
      </c>
      <c r="H35" s="318">
        <v>10</v>
      </c>
      <c r="I35" s="318">
        <v>2</v>
      </c>
      <c r="J35" s="53"/>
      <c r="K35" s="331" t="s">
        <v>175</v>
      </c>
      <c r="L35" s="331" t="s">
        <v>175</v>
      </c>
      <c r="M35" s="331" t="s">
        <v>175</v>
      </c>
      <c r="N35" s="334" t="s">
        <v>2390</v>
      </c>
      <c r="O35" s="176">
        <f t="shared" si="7"/>
        <v>80</v>
      </c>
      <c r="P35" s="73" t="str">
        <f t="shared" si="2"/>
        <v>B</v>
      </c>
      <c r="Q35" s="73" t="str">
        <f t="shared" si="3"/>
        <v>BAIK</v>
      </c>
      <c r="R35" s="74" t="str">
        <f t="shared" si="0"/>
        <v>Alhamdulillah,  Ananda KHOIRUL AZZAM telah menunjukan sikap spiritual yang BAIK dalam hal beribadah dan bersyukur dengan terus berusaha melakukan ketaatan kepada Allah سبحانه و تعالى dan berbuat baik kepada orang lain</v>
      </c>
      <c r="S35" s="175">
        <f t="shared" si="4"/>
        <v>80</v>
      </c>
      <c r="T35" s="73" t="str">
        <f t="shared" si="5"/>
        <v>B</v>
      </c>
      <c r="U35" s="73" t="str">
        <f t="shared" si="6"/>
        <v>BAIK</v>
      </c>
      <c r="V35" s="74" t="str">
        <f t="shared" si="1"/>
        <v>Alhamdulillah, Ananda KHOIRUL AZZAM telah menunjukan sikap sosial yang BAIK dalam hal kediplinan, kejujuran, tanggung jawab dan keperdulian terhadap orang lain dengan terus berusaha mengamalkan akhlak mulia sesuai dengan nilai-nilai moral yang berlaku</v>
      </c>
      <c r="W35" s="98"/>
      <c r="X35" s="98"/>
      <c r="Y35" s="98"/>
      <c r="Z35" s="98"/>
      <c r="AA35" s="98"/>
      <c r="AB35" s="98"/>
      <c r="AC35" s="331" t="s">
        <v>2474</v>
      </c>
      <c r="AD35" s="331" t="s">
        <v>175</v>
      </c>
      <c r="AE35" s="331"/>
      <c r="AF35" s="331"/>
      <c r="AG35" s="331"/>
      <c r="AH35" s="98"/>
      <c r="AI35" s="181"/>
      <c r="AJ35" s="125"/>
      <c r="AK35" s="98"/>
      <c r="AL35" s="331" t="s">
        <v>2383</v>
      </c>
      <c r="AM35" s="331" t="s">
        <v>175</v>
      </c>
      <c r="AN35" s="98"/>
      <c r="AO35" s="98"/>
      <c r="AP35" s="135"/>
      <c r="AQ35" s="135"/>
      <c r="AR35" t="s">
        <v>231</v>
      </c>
    </row>
    <row r="36" spans="6:44" ht="29.25" customHeight="1" x14ac:dyDescent="0.35">
      <c r="F36" s="61">
        <v>32</v>
      </c>
      <c r="G36" s="77" t="str">
        <f>IF('set-dasis'!F46=0,"",'set-dasis'!F46)</f>
        <v>MUHAMMAD SEPTIAN RAMADHANI</v>
      </c>
      <c r="H36" s="53"/>
      <c r="I36" s="53"/>
      <c r="J36" s="53"/>
      <c r="K36" s="331" t="s">
        <v>2383</v>
      </c>
      <c r="L36" s="331" t="s">
        <v>2383</v>
      </c>
      <c r="M36" s="331" t="s">
        <v>175</v>
      </c>
      <c r="N36" s="334" t="s">
        <v>2390</v>
      </c>
      <c r="O36" s="176">
        <f t="shared" si="7"/>
        <v>90</v>
      </c>
      <c r="P36" s="73" t="str">
        <f t="shared" si="2"/>
        <v>SB</v>
      </c>
      <c r="Q36" s="73" t="str">
        <f t="shared" si="3"/>
        <v>SANGAT BAIK</v>
      </c>
      <c r="R36" s="74" t="str">
        <f t="shared" si="0"/>
        <v>Alhamdulillah,  Ananda MUHAMMAD SEPTIAN RAMADHANI telah menunjukan sikap spiritual yang SANGAT BAIK dalam hal beribadah dan bersyukur dengan terus berusaha melakukan ketaatan kepada Allah سبحانه و تعالى dan berbuat baik kepada orang lain</v>
      </c>
      <c r="S36" s="175">
        <f t="shared" si="4"/>
        <v>80</v>
      </c>
      <c r="T36" s="73" t="str">
        <f t="shared" si="5"/>
        <v>B</v>
      </c>
      <c r="U36" s="73" t="str">
        <f t="shared" si="6"/>
        <v>BAIK</v>
      </c>
      <c r="V36" s="74" t="str">
        <f t="shared" si="1"/>
        <v>Alhamdulillah, Ananda MUHAMMAD SEPTIAN RAMADHANI telah menunjukan sikap sosial yang BAIK dalam hal kediplinan, kejujuran, tanggung jawab dan keperdulian terhadap orang lain dengan terus berusaha mengamalkan akhlak mulia sesuai dengan nilai-nilai moral yang berlaku</v>
      </c>
      <c r="W36" s="98"/>
      <c r="X36" s="98"/>
      <c r="Y36" s="98"/>
      <c r="Z36" s="98"/>
      <c r="AA36" s="98"/>
      <c r="AB36" s="98"/>
      <c r="AC36" s="331" t="s">
        <v>2474</v>
      </c>
      <c r="AD36" s="331" t="s">
        <v>175</v>
      </c>
      <c r="AE36" s="331"/>
      <c r="AF36" s="331" t="s">
        <v>2476</v>
      </c>
      <c r="AG36" s="331" t="s">
        <v>175</v>
      </c>
      <c r="AH36" s="98"/>
      <c r="AI36" s="99"/>
      <c r="AJ36" s="98"/>
      <c r="AK36" s="98"/>
      <c r="AL36" s="336" t="s">
        <v>175</v>
      </c>
      <c r="AM36" s="331" t="s">
        <v>2383</v>
      </c>
      <c r="AN36" s="98"/>
      <c r="AO36" s="98"/>
      <c r="AP36" s="135"/>
      <c r="AQ36" s="135"/>
      <c r="AR36" t="s">
        <v>231</v>
      </c>
    </row>
    <row r="37" spans="6:44" ht="29.25" customHeight="1" x14ac:dyDescent="0.35">
      <c r="F37" s="61">
        <v>33</v>
      </c>
      <c r="G37" s="77" t="str">
        <f>IF('set-dasis'!F47=0,"",'set-dasis'!F47)</f>
        <v>RAYKHAN DWI FARDHANI</v>
      </c>
      <c r="H37" s="318">
        <v>1</v>
      </c>
      <c r="I37" s="53"/>
      <c r="J37" s="53"/>
      <c r="K37" s="331" t="s">
        <v>2383</v>
      </c>
      <c r="L37" s="331" t="s">
        <v>2469</v>
      </c>
      <c r="M37" s="331" t="s">
        <v>175</v>
      </c>
      <c r="N37" s="334" t="s">
        <v>2390</v>
      </c>
      <c r="O37" s="176">
        <f t="shared" si="7"/>
        <v>90</v>
      </c>
      <c r="P37" s="73" t="str">
        <f t="shared" si="2"/>
        <v>SB</v>
      </c>
      <c r="Q37" s="73" t="str">
        <f t="shared" si="3"/>
        <v>SANGAT BAIK</v>
      </c>
      <c r="R37" s="74" t="str">
        <f t="shared" si="0"/>
        <v>Alhamdulillah,  Ananda RAYKHAN DWI FARDHANI telah menunjukan sikap spiritual yang SANGAT BAIK dalam hal beribadah dan bersyukur dengan terus berusaha melakukan ketaatan kepada Allah سبحانه و تعالى dan berbuat baik kepada orang lain</v>
      </c>
      <c r="S37" s="175">
        <f t="shared" si="4"/>
        <v>80</v>
      </c>
      <c r="T37" s="73" t="str">
        <f t="shared" si="5"/>
        <v>B</v>
      </c>
      <c r="U37" s="73" t="str">
        <f t="shared" si="6"/>
        <v>BAIK</v>
      </c>
      <c r="V37" s="74" t="str">
        <f t="shared" si="1"/>
        <v>Alhamdulillah, Ananda RAYKHAN DWI FARDHANI telah menunjukan sikap sosial yang BAIK dalam hal kediplinan, kejujuran, tanggung jawab dan keperdulian terhadap orang lain dengan terus berusaha mengamalkan akhlak mulia sesuai dengan nilai-nilai moral yang berlaku</v>
      </c>
      <c r="W37" s="98"/>
      <c r="X37" s="98"/>
      <c r="Y37" s="98"/>
      <c r="Z37" s="98"/>
      <c r="AA37" s="98"/>
      <c r="AB37" s="98"/>
      <c r="AC37" s="331" t="s">
        <v>2474</v>
      </c>
      <c r="AD37" s="331" t="s">
        <v>175</v>
      </c>
      <c r="AE37" s="331"/>
      <c r="AF37" s="331"/>
      <c r="AG37" s="335"/>
      <c r="AH37" s="98"/>
      <c r="AI37" s="99"/>
      <c r="AJ37" s="98"/>
      <c r="AK37" s="98"/>
      <c r="AL37" s="331" t="s">
        <v>2383</v>
      </c>
      <c r="AM37" s="337" t="s">
        <v>175</v>
      </c>
      <c r="AN37" s="98"/>
      <c r="AO37" s="98"/>
      <c r="AP37" s="135"/>
      <c r="AQ37" s="135"/>
      <c r="AR37" t="s">
        <v>231</v>
      </c>
    </row>
    <row r="38" spans="6:44" ht="29.25" customHeight="1" x14ac:dyDescent="0.35">
      <c r="F38" s="61">
        <v>34</v>
      </c>
      <c r="G38" s="77" t="str">
        <f>IF('set-dasis'!F48=0,"",'set-dasis'!F48)</f>
        <v>ROZAN</v>
      </c>
      <c r="H38" s="53"/>
      <c r="I38" s="53"/>
      <c r="J38" s="53"/>
      <c r="K38" s="331" t="s">
        <v>2383</v>
      </c>
      <c r="L38" s="331" t="s">
        <v>2383</v>
      </c>
      <c r="M38" s="331" t="s">
        <v>175</v>
      </c>
      <c r="N38" s="334" t="s">
        <v>2390</v>
      </c>
      <c r="O38" s="176">
        <f t="shared" si="7"/>
        <v>90</v>
      </c>
      <c r="P38" s="73" t="str">
        <f t="shared" si="2"/>
        <v>SB</v>
      </c>
      <c r="Q38" s="73" t="str">
        <f t="shared" si="3"/>
        <v>SANGAT BAIK</v>
      </c>
      <c r="R38" s="74" t="str">
        <f t="shared" si="0"/>
        <v>Alhamdulillah,  Ananda ROZAN telah menunjukan sikap spiritual yang SANGAT BAIK dalam hal beribadah dan bersyukur dengan terus berusaha melakukan ketaatan kepada Allah سبحانه و تعالى dan berbuat baik kepada orang lain</v>
      </c>
      <c r="S38" s="175">
        <f t="shared" si="4"/>
        <v>80</v>
      </c>
      <c r="T38" s="73" t="str">
        <f t="shared" si="5"/>
        <v>B</v>
      </c>
      <c r="U38" s="73" t="str">
        <f t="shared" si="6"/>
        <v>BAIK</v>
      </c>
      <c r="V38" s="74" t="str">
        <f t="shared" si="1"/>
        <v>Alhamdulillah, Ananda ROZAN telah menunjukan sikap sosial yang BAIK dalam hal kediplinan, kejujuran, tanggung jawab dan keperdulian terhadap orang lain dengan terus berusaha mengamalkan akhlak mulia sesuai dengan nilai-nilai moral yang berlaku</v>
      </c>
      <c r="W38" s="98"/>
      <c r="X38" s="98"/>
      <c r="Y38" s="98"/>
      <c r="Z38" s="98"/>
      <c r="AA38" s="98"/>
      <c r="AB38" s="98"/>
      <c r="AC38" s="331" t="s">
        <v>2474</v>
      </c>
      <c r="AD38" s="331" t="s">
        <v>175</v>
      </c>
      <c r="AE38" s="331"/>
      <c r="AF38" s="331" t="s">
        <v>2477</v>
      </c>
      <c r="AG38" s="335" t="s">
        <v>175</v>
      </c>
      <c r="AH38" s="98"/>
      <c r="AI38" s="99"/>
      <c r="AJ38" s="98"/>
      <c r="AK38" s="98"/>
      <c r="AL38" s="331" t="s">
        <v>175</v>
      </c>
      <c r="AM38" s="337" t="s">
        <v>2469</v>
      </c>
      <c r="AN38" s="98"/>
      <c r="AO38" s="98"/>
      <c r="AP38" s="135"/>
      <c r="AQ38" s="135"/>
      <c r="AR38" t="s">
        <v>231</v>
      </c>
    </row>
    <row r="39" spans="6:44" ht="29.25" customHeight="1" x14ac:dyDescent="0.35">
      <c r="F39" s="61">
        <v>35</v>
      </c>
      <c r="G39" s="77" t="str">
        <f>IF('set-dasis'!F49=0,"",'set-dasis'!F49)</f>
        <v>UMAIR ABDURROZZAQ</v>
      </c>
      <c r="H39" s="98"/>
      <c r="I39" s="98"/>
      <c r="J39" s="98"/>
      <c r="K39" s="98"/>
      <c r="L39" s="98"/>
      <c r="M39" s="98"/>
      <c r="N39" s="98"/>
      <c r="O39" s="98"/>
      <c r="P39" s="73" t="str">
        <f t="shared" si="2"/>
        <v/>
      </c>
      <c r="Q39" s="73" t="str">
        <f t="shared" si="3"/>
        <v/>
      </c>
      <c r="R39" s="74" t="str">
        <f t="shared" si="0"/>
        <v/>
      </c>
      <c r="S39" s="98"/>
      <c r="T39" s="73" t="str">
        <f t="shared" si="5"/>
        <v/>
      </c>
      <c r="U39" s="73" t="str">
        <f t="shared" si="6"/>
        <v/>
      </c>
      <c r="V39" s="74" t="str">
        <f t="shared" si="1"/>
        <v/>
      </c>
      <c r="W39" s="28"/>
      <c r="X39" s="28"/>
      <c r="Y39" s="28"/>
      <c r="Z39" s="28"/>
      <c r="AA39" s="28"/>
      <c r="AB39" s="28"/>
      <c r="AC39" s="99"/>
      <c r="AD39" s="28"/>
      <c r="AE39" s="28"/>
      <c r="AF39" s="99"/>
      <c r="AG39" s="28"/>
      <c r="AH39" s="28"/>
      <c r="AI39" s="99"/>
      <c r="AJ39" s="28"/>
      <c r="AK39" s="28"/>
      <c r="AL39" s="98"/>
      <c r="AM39" s="98"/>
      <c r="AN39" s="98"/>
      <c r="AO39" s="98"/>
      <c r="AP39" s="135"/>
      <c r="AQ39" s="135"/>
      <c r="AR39" t="s">
        <v>231</v>
      </c>
    </row>
    <row r="40" spans="6:44" ht="29.25" customHeight="1" x14ac:dyDescent="0.35">
      <c r="F40" s="61">
        <v>36</v>
      </c>
      <c r="G40" s="77" t="str">
        <f>IF('set-dasis'!F50=0,"",'set-dasis'!F50)</f>
        <v>YAHYA BIN ABU MUHAMMAD</v>
      </c>
      <c r="H40" s="28"/>
      <c r="I40" s="28"/>
      <c r="J40" s="28"/>
      <c r="K40" s="28"/>
      <c r="L40" s="28"/>
      <c r="M40" s="28"/>
      <c r="N40" s="98"/>
      <c r="O40" s="28"/>
      <c r="P40" s="73" t="str">
        <f t="shared" si="2"/>
        <v/>
      </c>
      <c r="Q40" s="73" t="str">
        <f t="shared" si="3"/>
        <v/>
      </c>
      <c r="R40" s="74" t="str">
        <f t="shared" si="0"/>
        <v/>
      </c>
      <c r="S40" s="28"/>
      <c r="T40" s="73" t="str">
        <f t="shared" si="5"/>
        <v/>
      </c>
      <c r="U40" s="73" t="str">
        <f t="shared" si="6"/>
        <v/>
      </c>
      <c r="V40" s="74" t="str">
        <f t="shared" si="1"/>
        <v/>
      </c>
      <c r="W40" s="28"/>
      <c r="X40" s="28"/>
      <c r="Y40" s="28"/>
      <c r="Z40" s="28"/>
      <c r="AA40" s="28"/>
      <c r="AB40" s="28"/>
      <c r="AC40" s="99"/>
      <c r="AD40" s="28"/>
      <c r="AE40" s="28"/>
      <c r="AF40" s="99"/>
      <c r="AG40" s="28"/>
      <c r="AH40" s="28"/>
      <c r="AI40" s="99"/>
      <c r="AJ40" s="28"/>
      <c r="AK40" s="28"/>
      <c r="AL40" s="98"/>
      <c r="AM40" s="98"/>
      <c r="AN40" s="98"/>
      <c r="AO40" s="98"/>
      <c r="AP40" s="135"/>
      <c r="AQ40" s="135"/>
      <c r="AR40" t="s">
        <v>231</v>
      </c>
    </row>
    <row r="41" spans="6:44" ht="29.25" customHeight="1" x14ac:dyDescent="0.35">
      <c r="F41" s="61">
        <v>37</v>
      </c>
      <c r="G41" s="77" t="str">
        <f>IF('set-dasis'!F51=0,"",'set-dasis'!F51)</f>
        <v/>
      </c>
      <c r="H41" s="28"/>
      <c r="I41" s="28"/>
      <c r="J41" s="28"/>
      <c r="K41" s="28"/>
      <c r="L41" s="28"/>
      <c r="M41" s="28"/>
      <c r="N41" s="98"/>
      <c r="O41" s="28"/>
      <c r="P41" s="73" t="str">
        <f t="shared" si="2"/>
        <v/>
      </c>
      <c r="Q41" s="73" t="str">
        <f t="shared" si="3"/>
        <v/>
      </c>
      <c r="R41" s="74" t="str">
        <f t="shared" si="0"/>
        <v/>
      </c>
      <c r="S41" s="28"/>
      <c r="T41" s="73" t="str">
        <f t="shared" si="5"/>
        <v/>
      </c>
      <c r="U41" s="73" t="str">
        <f t="shared" si="6"/>
        <v/>
      </c>
      <c r="V41" s="74" t="str">
        <f t="shared" si="1"/>
        <v/>
      </c>
      <c r="W41" s="28"/>
      <c r="X41" s="28"/>
      <c r="Y41" s="28"/>
      <c r="Z41" s="28"/>
      <c r="AA41" s="28"/>
      <c r="AB41" s="28"/>
      <c r="AC41" s="99"/>
      <c r="AD41" s="28"/>
      <c r="AE41" s="28"/>
      <c r="AF41" s="99"/>
      <c r="AG41" s="28"/>
      <c r="AH41" s="28"/>
      <c r="AI41" s="99"/>
      <c r="AJ41" s="28"/>
      <c r="AK41" s="28"/>
      <c r="AL41" s="98"/>
      <c r="AM41" s="98"/>
      <c r="AN41" s="98"/>
      <c r="AO41" s="98"/>
      <c r="AP41" s="135"/>
      <c r="AQ41" s="135"/>
      <c r="AR41" t="s">
        <v>231</v>
      </c>
    </row>
    <row r="42" spans="6:44" ht="29.25" customHeight="1" x14ac:dyDescent="0.35">
      <c r="F42" s="61">
        <v>38</v>
      </c>
      <c r="G42" s="77" t="str">
        <f>IF('set-dasis'!F52=0,"",'set-dasis'!F52)</f>
        <v/>
      </c>
      <c r="H42" s="28"/>
      <c r="I42" s="28"/>
      <c r="J42" s="28"/>
      <c r="K42" s="28"/>
      <c r="L42" s="28"/>
      <c r="M42" s="28"/>
      <c r="N42" s="98"/>
      <c r="O42" s="28"/>
      <c r="P42" s="73" t="str">
        <f t="shared" si="2"/>
        <v/>
      </c>
      <c r="Q42" s="73" t="str">
        <f t="shared" si="3"/>
        <v/>
      </c>
      <c r="R42" s="74" t="str">
        <f t="shared" si="0"/>
        <v/>
      </c>
      <c r="S42" s="28"/>
      <c r="T42" s="73" t="str">
        <f t="shared" si="5"/>
        <v/>
      </c>
      <c r="U42" s="73" t="str">
        <f t="shared" si="6"/>
        <v/>
      </c>
      <c r="V42" s="74" t="str">
        <f t="shared" si="1"/>
        <v/>
      </c>
      <c r="W42" s="28"/>
      <c r="X42" s="28"/>
      <c r="Y42" s="28"/>
      <c r="Z42" s="28"/>
      <c r="AA42" s="28"/>
      <c r="AB42" s="28"/>
      <c r="AC42" s="99"/>
      <c r="AD42" s="28"/>
      <c r="AE42" s="28"/>
      <c r="AF42" s="99"/>
      <c r="AG42" s="28"/>
      <c r="AH42" s="28"/>
      <c r="AI42" s="99"/>
      <c r="AJ42" s="28"/>
      <c r="AK42" s="28"/>
      <c r="AL42" s="98"/>
      <c r="AM42" s="98"/>
      <c r="AN42" s="98"/>
      <c r="AO42" s="98"/>
      <c r="AP42" s="135"/>
      <c r="AQ42" s="135"/>
      <c r="AR42" t="s">
        <v>231</v>
      </c>
    </row>
    <row r="43" spans="6:44" ht="29.25" customHeight="1" x14ac:dyDescent="0.35">
      <c r="F43" s="61">
        <v>39</v>
      </c>
      <c r="G43" s="77" t="str">
        <f>IF('set-dasis'!F53=0,"",'set-dasis'!F53)</f>
        <v/>
      </c>
      <c r="H43" s="28"/>
      <c r="I43" s="28"/>
      <c r="J43" s="28"/>
      <c r="K43" s="28"/>
      <c r="L43" s="28"/>
      <c r="M43" s="28"/>
      <c r="N43" s="98"/>
      <c r="O43" s="28"/>
      <c r="P43" s="73" t="str">
        <f t="shared" si="2"/>
        <v/>
      </c>
      <c r="Q43" s="73" t="str">
        <f t="shared" si="3"/>
        <v/>
      </c>
      <c r="R43" s="74" t="str">
        <f t="shared" si="0"/>
        <v/>
      </c>
      <c r="S43" s="28"/>
      <c r="T43" s="73" t="str">
        <f t="shared" si="5"/>
        <v/>
      </c>
      <c r="U43" s="73" t="str">
        <f t="shared" si="6"/>
        <v/>
      </c>
      <c r="V43" s="74" t="str">
        <f t="shared" si="1"/>
        <v/>
      </c>
      <c r="W43" s="28"/>
      <c r="X43" s="28"/>
      <c r="Y43" s="28"/>
      <c r="Z43" s="28"/>
      <c r="AA43" s="28"/>
      <c r="AB43" s="28"/>
      <c r="AC43" s="99"/>
      <c r="AD43" s="28"/>
      <c r="AE43" s="28"/>
      <c r="AF43" s="99"/>
      <c r="AG43" s="28"/>
      <c r="AH43" s="28"/>
      <c r="AI43" s="99"/>
      <c r="AJ43" s="28"/>
      <c r="AK43" s="28"/>
      <c r="AL43" s="98"/>
      <c r="AM43" s="98"/>
      <c r="AN43" s="98"/>
      <c r="AO43" s="98"/>
      <c r="AP43" s="135"/>
      <c r="AQ43" s="135"/>
      <c r="AR43" t="s">
        <v>231</v>
      </c>
    </row>
    <row r="44" spans="6:44" ht="29.25" customHeight="1" x14ac:dyDescent="0.35">
      <c r="F44" s="61">
        <v>40</v>
      </c>
      <c r="G44" s="77" t="str">
        <f>IF('set-dasis'!F54=0,"",'set-dasis'!F54)</f>
        <v/>
      </c>
      <c r="H44" s="28"/>
      <c r="I44" s="28"/>
      <c r="J44" s="28"/>
      <c r="K44" s="28"/>
      <c r="L44" s="28"/>
      <c r="M44" s="28"/>
      <c r="N44" s="98"/>
      <c r="O44" s="28"/>
      <c r="P44" s="73" t="str">
        <f t="shared" si="2"/>
        <v/>
      </c>
      <c r="Q44" s="73" t="str">
        <f t="shared" si="3"/>
        <v/>
      </c>
      <c r="R44" s="74" t="str">
        <f t="shared" si="0"/>
        <v/>
      </c>
      <c r="S44" s="28"/>
      <c r="T44" s="73" t="str">
        <f t="shared" si="5"/>
        <v/>
      </c>
      <c r="U44" s="73" t="str">
        <f t="shared" si="6"/>
        <v/>
      </c>
      <c r="V44" s="74" t="str">
        <f t="shared" si="1"/>
        <v/>
      </c>
      <c r="W44" s="28"/>
      <c r="X44" s="28"/>
      <c r="Y44" s="28"/>
      <c r="Z44" s="28"/>
      <c r="AA44" s="28"/>
      <c r="AB44" s="28"/>
      <c r="AC44" s="99"/>
      <c r="AD44" s="28"/>
      <c r="AE44" s="28"/>
      <c r="AF44" s="99"/>
      <c r="AG44" s="28"/>
      <c r="AH44" s="28"/>
      <c r="AI44" s="99"/>
      <c r="AJ44" s="28"/>
      <c r="AK44" s="28"/>
      <c r="AL44" s="98"/>
      <c r="AM44" s="98"/>
      <c r="AN44" s="98"/>
      <c r="AO44" s="98"/>
      <c r="AP44" s="135"/>
      <c r="AQ44" s="135"/>
      <c r="AR44" t="s">
        <v>231</v>
      </c>
    </row>
  </sheetData>
  <mergeCells count="14">
    <mergeCell ref="AL2:AM2"/>
    <mergeCell ref="AN2:AQ2"/>
    <mergeCell ref="F1:F3"/>
    <mergeCell ref="G1:G3"/>
    <mergeCell ref="H1:AK1"/>
    <mergeCell ref="AL1:AQ1"/>
    <mergeCell ref="H2:J2"/>
    <mergeCell ref="O2:R2"/>
    <mergeCell ref="S2:V2"/>
    <mergeCell ref="W2:AB2"/>
    <mergeCell ref="AC2:AK2"/>
    <mergeCell ref="P3:Q3"/>
    <mergeCell ref="T3:U3"/>
    <mergeCell ref="K2:M2"/>
  </mergeCells>
  <conditionalFormatting sqref="S5:S38">
    <cfRule type="cellIs" dxfId="11" priority="12" operator="equal">
      <formula>0</formula>
    </cfRule>
  </conditionalFormatting>
  <conditionalFormatting sqref="K5:M37">
    <cfRule type="cellIs" dxfId="10" priority="9" operator="lessThan">
      <formula>70</formula>
    </cfRule>
  </conditionalFormatting>
  <conditionalFormatting sqref="K38:M38">
    <cfRule type="cellIs" dxfId="9" priority="10" operator="lessThan">
      <formula>70</formula>
    </cfRule>
  </conditionalFormatting>
  <conditionalFormatting sqref="N5:N38">
    <cfRule type="cellIs" dxfId="8" priority="5" operator="lessThan">
      <formula>70</formula>
    </cfRule>
  </conditionalFormatting>
  <conditionalFormatting sqref="N38">
    <cfRule type="cellIs" dxfId="7" priority="6" operator="lessThan">
      <formula>70</formula>
    </cfRule>
  </conditionalFormatting>
  <conditionalFormatting sqref="AC5:AE38 AF5:AG37">
    <cfRule type="cellIs" dxfId="6" priority="3" operator="lessThan">
      <formula>70</formula>
    </cfRule>
  </conditionalFormatting>
  <conditionalFormatting sqref="AC38:AG38">
    <cfRule type="cellIs" dxfId="5" priority="4" operator="lessThan">
      <formula>70</formula>
    </cfRule>
  </conditionalFormatting>
  <conditionalFormatting sqref="AL5:AM37">
    <cfRule type="cellIs" dxfId="4" priority="1" operator="lessThan">
      <formula>70</formula>
    </cfRule>
  </conditionalFormatting>
  <conditionalFormatting sqref="AL37 AM38">
    <cfRule type="cellIs" dxfId="3" priority="2" operator="lessThan">
      <formula>70</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R54"/>
  <sheetViews>
    <sheetView showGridLines="0" zoomScale="95" zoomScaleNormal="95" workbookViewId="0">
      <selection activeCell="E1" sqref="E1"/>
    </sheetView>
  </sheetViews>
  <sheetFormatPr defaultRowHeight="14.5" x14ac:dyDescent="0.35"/>
  <cols>
    <col min="4" max="4" width="4.1796875" customWidth="1"/>
    <col min="5" max="5" width="1.54296875" customWidth="1"/>
    <col min="6" max="6" width="5.453125" style="18" customWidth="1"/>
    <col min="7" max="7" width="43.7265625" style="19" bestFit="1" customWidth="1"/>
    <col min="8" max="10" width="5.81640625" style="18" customWidth="1"/>
    <col min="11" max="11" width="12" style="18" customWidth="1"/>
    <col min="12" max="12" width="9.54296875" style="18" customWidth="1"/>
    <col min="13" max="13" width="25.1796875" style="18" customWidth="1"/>
    <col min="14" max="14" width="49.453125" style="18" customWidth="1"/>
    <col min="15" max="15" width="7.26953125" style="18" customWidth="1"/>
    <col min="16" max="16" width="9" style="18" customWidth="1"/>
    <col min="17" max="17" width="14.453125" style="18" customWidth="1"/>
    <col min="18" max="18" width="10.81640625" style="18" customWidth="1"/>
    <col min="19" max="19" width="7.26953125" style="18" customWidth="1"/>
    <col min="20" max="20" width="6.453125" style="18" customWidth="1"/>
    <col min="21" max="21" width="12.81640625" style="18" customWidth="1"/>
    <col min="22" max="22" width="27.54296875" style="18" customWidth="1"/>
    <col min="23" max="28" width="15" style="18" hidden="1" customWidth="1"/>
    <col min="29" max="29" width="15.1796875" style="18" customWidth="1"/>
    <col min="30" max="31" width="11.453125" style="18" customWidth="1"/>
    <col min="32" max="32" width="17" style="18" customWidth="1"/>
    <col min="33" max="37" width="11.453125" style="18" customWidth="1"/>
    <col min="38" max="38" width="16.7265625" style="18" customWidth="1"/>
    <col min="39" max="39" width="14.453125" style="18" customWidth="1"/>
    <col min="40" max="40" width="20.54296875" style="18" hidden="1" customWidth="1"/>
    <col min="41" max="43" width="14.453125" style="18" hidden="1" customWidth="1"/>
    <col min="44" max="44" width="34.54296875" hidden="1" customWidth="1"/>
  </cols>
  <sheetData>
    <row r="1" spans="1:44" ht="21" customHeight="1" x14ac:dyDescent="0.35">
      <c r="A1" s="38"/>
      <c r="B1" s="38"/>
      <c r="C1" s="38"/>
      <c r="F1" s="428" t="s">
        <v>39</v>
      </c>
      <c r="G1" s="429" t="s">
        <v>139</v>
      </c>
      <c r="H1" s="430" t="s">
        <v>161</v>
      </c>
      <c r="I1" s="430"/>
      <c r="J1" s="430"/>
      <c r="K1" s="430"/>
      <c r="L1" s="430"/>
      <c r="M1" s="430"/>
      <c r="N1" s="430"/>
      <c r="O1" s="430"/>
      <c r="P1" s="430"/>
      <c r="Q1" s="430"/>
      <c r="R1" s="430"/>
      <c r="S1" s="430"/>
      <c r="T1" s="430"/>
      <c r="U1" s="430"/>
      <c r="V1" s="430"/>
      <c r="W1" s="430"/>
      <c r="X1" s="430"/>
      <c r="Y1" s="430"/>
      <c r="Z1" s="430"/>
      <c r="AA1" s="430"/>
      <c r="AB1" s="430"/>
      <c r="AC1" s="430"/>
      <c r="AD1" s="430"/>
      <c r="AE1" s="430"/>
      <c r="AF1" s="430"/>
      <c r="AG1" s="430"/>
      <c r="AH1" s="430"/>
      <c r="AI1" s="430"/>
      <c r="AJ1" s="430"/>
      <c r="AK1" s="430"/>
      <c r="AL1" s="431" t="s">
        <v>155</v>
      </c>
      <c r="AM1" s="431"/>
      <c r="AN1" s="431"/>
      <c r="AO1" s="431"/>
      <c r="AP1" s="431"/>
      <c r="AQ1" s="431"/>
    </row>
    <row r="2" spans="1:44" ht="21" customHeight="1" x14ac:dyDescent="0.35">
      <c r="A2" s="38"/>
      <c r="B2" s="38"/>
      <c r="C2" s="38"/>
      <c r="F2" s="428"/>
      <c r="G2" s="429"/>
      <c r="H2" s="432" t="s">
        <v>165</v>
      </c>
      <c r="I2" s="432"/>
      <c r="J2" s="432"/>
      <c r="K2" s="436" t="s">
        <v>274</v>
      </c>
      <c r="L2" s="437"/>
      <c r="M2" s="438"/>
      <c r="N2" s="131" t="s">
        <v>166</v>
      </c>
      <c r="O2" s="433" t="s">
        <v>171</v>
      </c>
      <c r="P2" s="433"/>
      <c r="Q2" s="433"/>
      <c r="R2" s="433"/>
      <c r="S2" s="433" t="s">
        <v>230</v>
      </c>
      <c r="T2" s="433"/>
      <c r="U2" s="433"/>
      <c r="V2" s="433"/>
      <c r="W2" s="434" t="s">
        <v>167</v>
      </c>
      <c r="X2" s="434"/>
      <c r="Y2" s="434"/>
      <c r="Z2" s="434"/>
      <c r="AA2" s="434"/>
      <c r="AB2" s="434"/>
      <c r="AC2" s="435" t="s">
        <v>169</v>
      </c>
      <c r="AD2" s="435"/>
      <c r="AE2" s="435"/>
      <c r="AF2" s="435"/>
      <c r="AG2" s="435"/>
      <c r="AH2" s="435"/>
      <c r="AI2" s="435"/>
      <c r="AJ2" s="435"/>
      <c r="AK2" s="435"/>
      <c r="AL2" s="427" t="s">
        <v>244</v>
      </c>
      <c r="AM2" s="427"/>
      <c r="AN2" s="427" t="s">
        <v>247</v>
      </c>
      <c r="AO2" s="427"/>
      <c r="AP2" s="427"/>
      <c r="AQ2" s="427"/>
    </row>
    <row r="3" spans="1:44" s="66" customFormat="1" ht="24.75" customHeight="1" x14ac:dyDescent="0.35">
      <c r="A3" s="69"/>
      <c r="B3" s="69"/>
      <c r="C3" s="69"/>
      <c r="F3" s="428"/>
      <c r="G3" s="429"/>
      <c r="H3" s="132" t="s">
        <v>157</v>
      </c>
      <c r="I3" s="132" t="s">
        <v>158</v>
      </c>
      <c r="J3" s="132" t="s">
        <v>159</v>
      </c>
      <c r="K3" s="144" t="s">
        <v>2454</v>
      </c>
      <c r="L3" s="144" t="s">
        <v>156</v>
      </c>
      <c r="M3" s="144" t="s">
        <v>276</v>
      </c>
      <c r="N3" s="132" t="s">
        <v>168</v>
      </c>
      <c r="O3" s="132" t="s">
        <v>173</v>
      </c>
      <c r="P3" s="433" t="s">
        <v>174</v>
      </c>
      <c r="Q3" s="433"/>
      <c r="R3" s="132" t="s">
        <v>170</v>
      </c>
      <c r="S3" s="132" t="s">
        <v>173</v>
      </c>
      <c r="T3" s="433" t="s">
        <v>174</v>
      </c>
      <c r="U3" s="433"/>
      <c r="V3" s="132" t="s">
        <v>170</v>
      </c>
      <c r="W3" s="132" t="s">
        <v>176</v>
      </c>
      <c r="X3" s="132" t="s">
        <v>177</v>
      </c>
      <c r="Y3" s="132" t="s">
        <v>178</v>
      </c>
      <c r="Z3" s="132" t="s">
        <v>179</v>
      </c>
      <c r="AA3" s="132" t="s">
        <v>180</v>
      </c>
      <c r="AB3" s="132" t="s">
        <v>181</v>
      </c>
      <c r="AC3" s="132" t="s">
        <v>182</v>
      </c>
      <c r="AD3" s="132" t="s">
        <v>183</v>
      </c>
      <c r="AE3" s="76" t="s">
        <v>184</v>
      </c>
      <c r="AF3" s="132" t="s">
        <v>185</v>
      </c>
      <c r="AG3" s="132" t="s">
        <v>186</v>
      </c>
      <c r="AH3" s="76" t="s">
        <v>187</v>
      </c>
      <c r="AI3" s="132" t="s">
        <v>188</v>
      </c>
      <c r="AJ3" s="132" t="s">
        <v>189</v>
      </c>
      <c r="AK3" s="76" t="s">
        <v>190</v>
      </c>
      <c r="AL3" s="229" t="s">
        <v>245</v>
      </c>
      <c r="AM3" s="133" t="s">
        <v>3021</v>
      </c>
      <c r="AN3" s="133" t="s">
        <v>248</v>
      </c>
      <c r="AO3" s="133" t="s">
        <v>249</v>
      </c>
      <c r="AP3" s="133" t="s">
        <v>250</v>
      </c>
      <c r="AQ3" s="133" t="s">
        <v>174</v>
      </c>
    </row>
    <row r="4" spans="1:44" ht="18" customHeight="1" x14ac:dyDescent="0.35">
      <c r="A4" s="38"/>
      <c r="B4" s="38"/>
      <c r="C4" s="38"/>
      <c r="F4" s="70">
        <v>1</v>
      </c>
      <c r="G4" s="71">
        <v>2</v>
      </c>
      <c r="H4" s="70">
        <v>3</v>
      </c>
      <c r="I4" s="71">
        <v>4</v>
      </c>
      <c r="J4" s="70">
        <v>5</v>
      </c>
      <c r="K4" s="71">
        <v>6</v>
      </c>
      <c r="L4" s="70">
        <v>7</v>
      </c>
      <c r="M4" s="71">
        <v>8</v>
      </c>
      <c r="N4" s="70">
        <v>9</v>
      </c>
      <c r="O4" s="71">
        <v>10</v>
      </c>
      <c r="P4" s="70">
        <v>11</v>
      </c>
      <c r="Q4" s="71">
        <v>12</v>
      </c>
      <c r="R4" s="70">
        <v>13</v>
      </c>
      <c r="S4" s="71">
        <v>14</v>
      </c>
      <c r="T4" s="70">
        <v>15</v>
      </c>
      <c r="U4" s="71">
        <v>16</v>
      </c>
      <c r="V4" s="70">
        <v>17</v>
      </c>
      <c r="W4" s="71">
        <v>18</v>
      </c>
      <c r="X4" s="70">
        <v>19</v>
      </c>
      <c r="Y4" s="71">
        <v>20</v>
      </c>
      <c r="Z4" s="70">
        <v>21</v>
      </c>
      <c r="AA4" s="71">
        <v>22</v>
      </c>
      <c r="AB4" s="70">
        <v>23</v>
      </c>
      <c r="AC4" s="71">
        <v>24</v>
      </c>
      <c r="AD4" s="70">
        <v>25</v>
      </c>
      <c r="AE4" s="71">
        <v>26</v>
      </c>
      <c r="AF4" s="70">
        <v>27</v>
      </c>
      <c r="AG4" s="71">
        <v>28</v>
      </c>
      <c r="AH4" s="70">
        <v>29</v>
      </c>
      <c r="AI4" s="71">
        <v>30</v>
      </c>
      <c r="AJ4" s="70">
        <v>31</v>
      </c>
      <c r="AK4" s="71">
        <v>32</v>
      </c>
      <c r="AL4" s="70">
        <v>33</v>
      </c>
      <c r="AM4" s="71">
        <v>34</v>
      </c>
      <c r="AN4" s="70">
        <v>35</v>
      </c>
      <c r="AO4" s="71">
        <v>36</v>
      </c>
      <c r="AP4" s="70">
        <v>37</v>
      </c>
      <c r="AQ4" s="71">
        <v>38</v>
      </c>
      <c r="AR4" s="70">
        <v>39</v>
      </c>
    </row>
    <row r="5" spans="1:44" ht="29.25" customHeight="1" x14ac:dyDescent="0.35">
      <c r="A5" s="38"/>
      <c r="B5" s="38"/>
      <c r="C5" s="38"/>
      <c r="F5" s="61">
        <v>1</v>
      </c>
      <c r="G5" s="77" t="str">
        <f>IF('set-dasis'!F5=0,"",'set-dasis'!F5)</f>
        <v>ABDILLAH MUCHSIN AL ANSYORI</v>
      </c>
      <c r="H5" s="98">
        <v>17</v>
      </c>
      <c r="I5" s="98">
        <v>0</v>
      </c>
      <c r="J5" s="98">
        <v>0</v>
      </c>
      <c r="K5" s="378" t="s">
        <v>175</v>
      </c>
      <c r="L5" s="379" t="s">
        <v>175</v>
      </c>
      <c r="M5" s="379" t="s">
        <v>175</v>
      </c>
      <c r="N5" s="99" t="s">
        <v>2390</v>
      </c>
      <c r="O5" s="176">
        <v>90</v>
      </c>
      <c r="P5" s="73" t="str">
        <f>IF(O5=0,"",IF(O5&gt;=80.1,"SB",IF(O5&gt;=65.81,"B",IF(O5&gt;=50.66,"C",IF(O5&gt;=0.51,"D",)))))</f>
        <v>SB</v>
      </c>
      <c r="Q5" s="73" t="str">
        <f>IF(O5=0,"",IF(O5&gt;=80.1,"SANGAT BAIK",IF(O5&gt;=65.81,"BAIK",IF(O5&gt;=50.66,"CUKUP",IF(O5&gt;=0.51,"KURANG",)))))</f>
        <v>SANGAT BAIK</v>
      </c>
      <c r="R5" s="74" t="str">
        <f>IF(Q5="","",CONCATENATE(AR5&amp;" Ananda "&amp;G5&amp;" telah menunjukan sikap spiritual yang "&amp;Q5&amp;" dalam hal beribadah dan bersyukur dengan terus berusaha melakukan ketaatan kepada Allah سبحانه وتعالى dan berbuat baik kepada orang lain"))</f>
        <v>Alhamdulillah Ananda ABDILLAH MUCHSIN AL ANSYORI telah menunjukan sikap spiritual yang SANGAT BAIK dalam hal beribadah dan bersyukur dengan terus berusaha melakukan ketaatan kepada Allah سبحانه وتعالى dan berbuat baik kepada orang lain</v>
      </c>
      <c r="S5" s="176">
        <v>90</v>
      </c>
      <c r="T5" s="73" t="str">
        <f>IF(S5=0,"",IF(S5&gt;=80.1,"SB",IF(S5&gt;=65.81,"B",IF(S5&gt;=50.66,"C",IF(S5&gt;=0.51,"D",)))))</f>
        <v>SB</v>
      </c>
      <c r="U5" s="73" t="str">
        <f>IF(S5=0,"",IF(S5&gt;=80.1,"SANGAT BAIK",IF(S5&gt;=65.81,"BAIK",IF(S5&gt;=50.66,"CUKUP",IF(S5&gt;=0.51,"KURANG",)))))</f>
        <v>SANGAT BAIK</v>
      </c>
      <c r="V5" s="74" t="str">
        <f>IF(U5="","",CONCATENATE("Alhamdulillah, Ananda "&amp;G5&amp;" telah menunjukan sikap sosial yang "&amp;U5&amp;" dalam hal kedisiplinan, kejujuran, tanggung jawab dan keperdulian terhadap orang lain dengan terus berusaha mengamalkan akhlak mulia sesuai dengan nilai-nilai moral yang berlaku"))</f>
        <v>Alhamdulillah, Ananda ABDILLAH MUCHSIN AL ANSYORI telah menunjukan sikap sosial yang SANGAT BAIK dalam hal kedisiplinan, kejujuran, tanggung jawab dan keperdulian terhadap orang lain dengan terus berusaha mengamalkan akhlak mulia sesuai dengan nilai-nilai moral yang berlaku</v>
      </c>
      <c r="W5" s="99"/>
      <c r="X5" s="99"/>
      <c r="Y5" s="99"/>
      <c r="Z5" s="99"/>
      <c r="AA5" s="99"/>
      <c r="AB5" s="99"/>
      <c r="AC5" s="381" t="s">
        <v>3024</v>
      </c>
      <c r="AD5" s="381" t="s">
        <v>175</v>
      </c>
      <c r="AE5" s="28"/>
      <c r="AF5" s="177"/>
      <c r="AG5" s="178"/>
      <c r="AH5" s="28"/>
      <c r="AI5" s="177"/>
      <c r="AJ5" s="178"/>
      <c r="AK5" s="28"/>
      <c r="AL5" s="382" t="s">
        <v>175</v>
      </c>
      <c r="AM5" s="382" t="s">
        <v>175</v>
      </c>
      <c r="AN5" s="98">
        <v>10</v>
      </c>
      <c r="AO5" s="98">
        <v>10</v>
      </c>
      <c r="AP5" s="135">
        <f>AO5-AN5</f>
        <v>0</v>
      </c>
      <c r="AQ5" s="135" t="str">
        <f>IF(AP5&lt;=-250,"E",IF(AP5&lt;=-101,"D",IF(AP5&lt;=-1,"C",IF(AP5&lt;=99,"B",IF(AP5&gt;=100,"A",)))))</f>
        <v>B</v>
      </c>
      <c r="AR5" t="s">
        <v>229</v>
      </c>
    </row>
    <row r="6" spans="1:44" ht="29.25" customHeight="1" x14ac:dyDescent="0.35">
      <c r="A6" s="38"/>
      <c r="B6" s="38"/>
      <c r="C6" s="38"/>
      <c r="F6" s="61">
        <v>2</v>
      </c>
      <c r="G6" s="77" t="str">
        <f>IF('set-dasis'!F6=0,"",'set-dasis'!F6)</f>
        <v>ABDULLAH MUADZ</v>
      </c>
      <c r="H6" s="98">
        <v>1</v>
      </c>
      <c r="I6" s="98">
        <v>0</v>
      </c>
      <c r="J6" s="98">
        <v>0</v>
      </c>
      <c r="K6" s="380" t="s">
        <v>2383</v>
      </c>
      <c r="L6" s="379" t="s">
        <v>2383</v>
      </c>
      <c r="M6" s="379" t="s">
        <v>2383</v>
      </c>
      <c r="N6" s="99" t="s">
        <v>2470</v>
      </c>
      <c r="O6" s="176">
        <v>80</v>
      </c>
      <c r="P6" s="73" t="str">
        <f t="shared" ref="P6:P38" si="0">IF(O6=0,"",IF(O6&gt;=80.1,"SB",IF(O6&gt;=65.81,"B",IF(O6&gt;=50.66,"C",IF(O6&gt;=0.51,"D",)))))</f>
        <v>B</v>
      </c>
      <c r="Q6" s="73" t="str">
        <f t="shared" ref="Q6:Q38" si="1">IF(O6=0,"",IF(O6&gt;=80.1,"SANGAT BAIK",IF(O6&gt;=65.81,"BAIK",IF(O6&gt;=50.66,"CUKUP",IF(O6&gt;=0.51,"KURANG",)))))</f>
        <v>BAIK</v>
      </c>
      <c r="R6" s="74" t="str">
        <f t="shared" ref="R6:R38" si="2">IF(Q6="","",CONCATENATE(AR6&amp;" Ananda "&amp;G6&amp;" telah menunjukan sikap spiritual yang "&amp;Q6&amp;" dalam hal beribadah dan bersyukur dengan terus berusaha melakukan ketaatan kepada Allah dan berbuat baik kepada orang lain"))</f>
        <v>Alhamdulillah Ananda ABDULLAH MUADZ telah menunjukan sikap spiritual yang BAIK dalam hal beribadah dan bersyukur dengan terus berusaha melakukan ketaatan kepada Allah dan berbuat baik kepada orang lain</v>
      </c>
      <c r="S6" s="176">
        <v>80</v>
      </c>
      <c r="T6" s="73" t="str">
        <f t="shared" ref="T6:T38" si="3">IF(S6=0,"",IF(S6&gt;=80.1,"SB",IF(S6&gt;=65.81,"B",IF(S6&gt;=50.66,"C",IF(S6&gt;=0.51,"D",)))))</f>
        <v>B</v>
      </c>
      <c r="U6" s="73" t="str">
        <f t="shared" ref="U6:U38" si="4">IF(S6=0,"",IF(S6&gt;=80.1,"SANGAT BAIK",IF(S6&gt;=65.81,"BAIK",IF(S6&gt;=50.66,"CUKUP",IF(S6&gt;=0.51,"KURANG",)))))</f>
        <v>BAIK</v>
      </c>
      <c r="V6" s="74" t="str">
        <f t="shared" ref="V6:V38" si="5">IF(U6="","",CONCATENATE("Alhamdulillah, Ananda "&amp;G6&amp;" telah menunjukan sikap sosial yang "&amp;U6&amp;" dalam hal kedisiplinan, kejujuran, tanggung jawab dan keperdulian terhadap orang lain dengan terus berusaha mengamalkan akhlak mulia sesuai dengan nilai-nilai moral yang berlaku"))</f>
        <v>Alhamdulillah, Ananda ABDULLAH MUADZ telah menunjukan sikap sosial yang BAIK dalam hal kedisiplinan, kejujuran, tanggung jawab dan keperdulian terhadap orang lain dengan terus berusaha mengamalkan akhlak mulia sesuai dengan nilai-nilai moral yang berlaku</v>
      </c>
      <c r="W6" s="99"/>
      <c r="X6" s="99"/>
      <c r="Y6" s="99"/>
      <c r="Z6" s="99"/>
      <c r="AA6" s="99"/>
      <c r="AB6" s="99"/>
      <c r="AC6" s="381" t="s">
        <v>3024</v>
      </c>
      <c r="AD6" s="381" t="s">
        <v>175</v>
      </c>
      <c r="AE6" s="28"/>
      <c r="AF6" s="177"/>
      <c r="AG6" s="178"/>
      <c r="AH6" s="28"/>
      <c r="AI6" s="177"/>
      <c r="AJ6" s="178"/>
      <c r="AK6" s="28"/>
      <c r="AL6" s="382" t="s">
        <v>175</v>
      </c>
      <c r="AM6" s="382" t="s">
        <v>2383</v>
      </c>
      <c r="AN6" s="98">
        <v>20</v>
      </c>
      <c r="AO6" s="98">
        <v>20</v>
      </c>
      <c r="AP6" s="135">
        <f t="shared" ref="AP6:AP54" si="6">AO6-AN6</f>
        <v>0</v>
      </c>
      <c r="AQ6" s="135" t="str">
        <f t="shared" ref="AQ6:AQ54" si="7">IF(AP6&lt;=-250,"E",IF(AP6&lt;=-101,"D",IF(AP6&lt;=-1,"C",IF(AP6&lt;=99,"B",IF(AP6&gt;=100,"A",)))))</f>
        <v>B</v>
      </c>
      <c r="AR6" t="s">
        <v>229</v>
      </c>
    </row>
    <row r="7" spans="1:44" ht="29.25" customHeight="1" x14ac:dyDescent="0.35">
      <c r="A7" s="38"/>
      <c r="B7" s="38"/>
      <c r="C7" s="38"/>
      <c r="F7" s="61">
        <v>3</v>
      </c>
      <c r="G7" s="77" t="str">
        <f>IF('set-dasis'!F7=0,"",'set-dasis'!F7)</f>
        <v>ABYAN TSAQIB MUBAROK</v>
      </c>
      <c r="H7" s="98">
        <v>14</v>
      </c>
      <c r="I7" s="98">
        <v>3</v>
      </c>
      <c r="J7" s="98">
        <v>0</v>
      </c>
      <c r="K7" s="378" t="s">
        <v>175</v>
      </c>
      <c r="L7" s="379" t="s">
        <v>175</v>
      </c>
      <c r="M7" s="379" t="s">
        <v>175</v>
      </c>
      <c r="N7" s="99" t="s">
        <v>2390</v>
      </c>
      <c r="O7" s="176">
        <v>90</v>
      </c>
      <c r="P7" s="73" t="str">
        <f t="shared" si="0"/>
        <v>SB</v>
      </c>
      <c r="Q7" s="73" t="str">
        <f t="shared" si="1"/>
        <v>SANGAT BAIK</v>
      </c>
      <c r="R7" s="74" t="str">
        <f t="shared" si="2"/>
        <v>Alhamdulillah Ananda ABYAN TSAQIB MUBAROK telah menunjukan sikap spiritual yang SANGAT BAIK dalam hal beribadah dan bersyukur dengan terus berusaha melakukan ketaatan kepada Allah dan berbuat baik kepada orang lain</v>
      </c>
      <c r="S7" s="176">
        <v>90</v>
      </c>
      <c r="T7" s="73" t="str">
        <f t="shared" si="3"/>
        <v>SB</v>
      </c>
      <c r="U7" s="73" t="str">
        <f t="shared" si="4"/>
        <v>SANGAT BAIK</v>
      </c>
      <c r="V7" s="74" t="str">
        <f t="shared" si="5"/>
        <v>Alhamdulillah, Ananda ABYAN TSAQIB MUBAROK telah menunjukan sikap sosial yang SANGAT BAIK dalam hal kedisiplinan, kejujuran, tanggung jawab dan keperdulian terhadap orang lain dengan terus berusaha mengamalkan akhlak mulia sesuai dengan nilai-nilai moral yang berlaku</v>
      </c>
      <c r="W7" s="99"/>
      <c r="X7" s="99"/>
      <c r="Y7" s="99"/>
      <c r="Z7" s="99"/>
      <c r="AA7" s="99"/>
      <c r="AB7" s="99"/>
      <c r="AC7" s="381"/>
      <c r="AD7" s="381"/>
      <c r="AE7" s="28"/>
      <c r="AF7" s="177"/>
      <c r="AG7" s="178"/>
      <c r="AH7" s="28"/>
      <c r="AI7" s="177"/>
      <c r="AJ7" s="178"/>
      <c r="AK7" s="28"/>
      <c r="AL7" s="382" t="s">
        <v>2383</v>
      </c>
      <c r="AM7" s="382" t="s">
        <v>2383</v>
      </c>
      <c r="AN7" s="98">
        <v>30</v>
      </c>
      <c r="AO7" s="98">
        <v>30</v>
      </c>
      <c r="AP7" s="135">
        <f t="shared" si="6"/>
        <v>0</v>
      </c>
      <c r="AQ7" s="135" t="str">
        <f t="shared" si="7"/>
        <v>B</v>
      </c>
      <c r="AR7" t="s">
        <v>229</v>
      </c>
    </row>
    <row r="8" spans="1:44" ht="29.25" customHeight="1" x14ac:dyDescent="0.35">
      <c r="A8" s="38"/>
      <c r="B8" s="38"/>
      <c r="C8" s="38"/>
      <c r="F8" s="61">
        <v>4</v>
      </c>
      <c r="G8" s="77" t="str">
        <f>IF('set-dasis'!F8=0,"",'set-dasis'!F8)</f>
        <v>AHMAD WILDAN KHULUQIN AZHIM</v>
      </c>
      <c r="H8" s="98">
        <v>3</v>
      </c>
      <c r="I8" s="98">
        <v>0</v>
      </c>
      <c r="J8" s="98">
        <v>0</v>
      </c>
      <c r="K8" s="378" t="s">
        <v>2383</v>
      </c>
      <c r="L8" s="379" t="s">
        <v>2383</v>
      </c>
      <c r="M8" s="379" t="s">
        <v>2383</v>
      </c>
      <c r="N8" s="99" t="s">
        <v>2390</v>
      </c>
      <c r="O8" s="176">
        <v>90</v>
      </c>
      <c r="P8" s="73" t="str">
        <f t="shared" si="0"/>
        <v>SB</v>
      </c>
      <c r="Q8" s="73" t="str">
        <f t="shared" si="1"/>
        <v>SANGAT BAIK</v>
      </c>
      <c r="R8" s="74" t="str">
        <f t="shared" si="2"/>
        <v>Alhamdulillah Ananda AHMAD WILDAN KHULUQIN AZHIM telah menunjukan sikap spiritual yang SANGAT BAIK dalam hal beribadah dan bersyukur dengan terus berusaha melakukan ketaatan kepada Allah dan berbuat baik kepada orang lain</v>
      </c>
      <c r="S8" s="176">
        <v>90</v>
      </c>
      <c r="T8" s="73" t="str">
        <f t="shared" si="3"/>
        <v>SB</v>
      </c>
      <c r="U8" s="73" t="str">
        <f t="shared" si="4"/>
        <v>SANGAT BAIK</v>
      </c>
      <c r="V8" s="74" t="str">
        <f t="shared" si="5"/>
        <v>Alhamdulillah, Ananda AHMAD WILDAN KHULUQIN AZHIM telah menunjukan sikap sosial yang SANGAT BAIK dalam hal kedisiplinan, kejujuran, tanggung jawab dan keperdulian terhadap orang lain dengan terus berusaha mengamalkan akhlak mulia sesuai dengan nilai-nilai moral yang berlaku</v>
      </c>
      <c r="W8" s="99"/>
      <c r="X8" s="99"/>
      <c r="Y8" s="99"/>
      <c r="Z8" s="99"/>
      <c r="AA8" s="99"/>
      <c r="AB8" s="99"/>
      <c r="AC8" s="381" t="s">
        <v>3024</v>
      </c>
      <c r="AD8" s="381" t="s">
        <v>2469</v>
      </c>
      <c r="AE8" s="28"/>
      <c r="AF8" s="177"/>
      <c r="AG8" s="178"/>
      <c r="AH8" s="28"/>
      <c r="AI8" s="177"/>
      <c r="AJ8" s="178"/>
      <c r="AK8" s="28"/>
      <c r="AL8" s="382" t="s">
        <v>175</v>
      </c>
      <c r="AM8" s="382" t="s">
        <v>175</v>
      </c>
      <c r="AN8" s="98">
        <v>40</v>
      </c>
      <c r="AO8" s="98">
        <v>40</v>
      </c>
      <c r="AP8" s="135">
        <f t="shared" si="6"/>
        <v>0</v>
      </c>
      <c r="AQ8" s="135" t="str">
        <f t="shared" si="7"/>
        <v>B</v>
      </c>
      <c r="AR8" t="s">
        <v>229</v>
      </c>
    </row>
    <row r="9" spans="1:44" ht="29.25" customHeight="1" x14ac:dyDescent="0.35">
      <c r="A9" s="38"/>
      <c r="B9" s="38"/>
      <c r="C9" s="38"/>
      <c r="F9" s="61">
        <v>5</v>
      </c>
      <c r="G9" s="77" t="str">
        <f>IF('set-dasis'!F9=0,"",'set-dasis'!F9)</f>
        <v>ANNAQI KHAIRULL AZZAM</v>
      </c>
      <c r="H9" s="98">
        <v>7</v>
      </c>
      <c r="I9" s="98">
        <v>0</v>
      </c>
      <c r="J9" s="98">
        <v>0</v>
      </c>
      <c r="K9" s="378" t="s">
        <v>175</v>
      </c>
      <c r="L9" s="379" t="s">
        <v>175</v>
      </c>
      <c r="M9" s="379" t="s">
        <v>175</v>
      </c>
      <c r="N9" s="99" t="s">
        <v>2470</v>
      </c>
      <c r="O9" s="176">
        <v>80</v>
      </c>
      <c r="P9" s="73" t="str">
        <f t="shared" si="0"/>
        <v>B</v>
      </c>
      <c r="Q9" s="73" t="str">
        <f t="shared" si="1"/>
        <v>BAIK</v>
      </c>
      <c r="R9" s="74" t="str">
        <f t="shared" si="2"/>
        <v>Alhamdulillah Ananda ANNAQI KHAIRULL AZZAM telah menunjukan sikap spiritual yang BAIK dalam hal beribadah dan bersyukur dengan terus berusaha melakukan ketaatan kepada Allah dan berbuat baik kepada orang lain</v>
      </c>
      <c r="S9" s="176">
        <v>80</v>
      </c>
      <c r="T9" s="73" t="str">
        <f t="shared" si="3"/>
        <v>B</v>
      </c>
      <c r="U9" s="73" t="str">
        <f t="shared" si="4"/>
        <v>BAIK</v>
      </c>
      <c r="V9" s="74" t="str">
        <f t="shared" si="5"/>
        <v>Alhamdulillah, Ananda ANNAQI KHAIRULL AZZAM telah menunjukan sikap sosial yang BAIK dalam hal kedisiplinan, kejujuran, tanggung jawab dan keperdulian terhadap orang lain dengan terus berusaha mengamalkan akhlak mulia sesuai dengan nilai-nilai moral yang berlaku</v>
      </c>
      <c r="W9" s="99"/>
      <c r="X9" s="99"/>
      <c r="Y9" s="99"/>
      <c r="Z9" s="99"/>
      <c r="AA9" s="99"/>
      <c r="AB9" s="99"/>
      <c r="AC9" s="381"/>
      <c r="AD9" s="381"/>
      <c r="AE9" s="28"/>
      <c r="AF9" s="177"/>
      <c r="AG9" s="178"/>
      <c r="AH9" s="28"/>
      <c r="AI9" s="177"/>
      <c r="AJ9" s="178"/>
      <c r="AK9" s="28"/>
      <c r="AL9" s="382" t="s">
        <v>175</v>
      </c>
      <c r="AM9" s="382" t="s">
        <v>175</v>
      </c>
      <c r="AN9" s="98">
        <v>50</v>
      </c>
      <c r="AO9" s="98">
        <v>50</v>
      </c>
      <c r="AP9" s="135">
        <f t="shared" si="6"/>
        <v>0</v>
      </c>
      <c r="AQ9" s="135" t="str">
        <f t="shared" si="7"/>
        <v>B</v>
      </c>
      <c r="AR9" t="s">
        <v>229</v>
      </c>
    </row>
    <row r="10" spans="1:44" ht="29.25" customHeight="1" x14ac:dyDescent="0.35">
      <c r="A10" s="38"/>
      <c r="B10" s="38"/>
      <c r="C10" s="38"/>
      <c r="F10" s="61">
        <v>6</v>
      </c>
      <c r="G10" s="77" t="str">
        <f>IF('set-dasis'!F10=0,"",'set-dasis'!F10)</f>
        <v>ARKANA AESAR AULAYAIN</v>
      </c>
      <c r="H10" s="98">
        <v>1</v>
      </c>
      <c r="I10" s="98">
        <v>0</v>
      </c>
      <c r="J10" s="98">
        <v>0</v>
      </c>
      <c r="K10" s="378" t="s">
        <v>2383</v>
      </c>
      <c r="L10" s="379" t="s">
        <v>2383</v>
      </c>
      <c r="M10" s="379" t="s">
        <v>2383</v>
      </c>
      <c r="N10" s="99" t="s">
        <v>2390</v>
      </c>
      <c r="O10" s="176">
        <v>90</v>
      </c>
      <c r="P10" s="73" t="str">
        <f t="shared" si="0"/>
        <v>SB</v>
      </c>
      <c r="Q10" s="73" t="str">
        <f t="shared" si="1"/>
        <v>SANGAT BAIK</v>
      </c>
      <c r="R10" s="74" t="str">
        <f t="shared" si="2"/>
        <v>Alhamdulillah Ananda ARKANA AESAR AULAYAIN telah menunjukan sikap spiritual yang SANGAT BAIK dalam hal beribadah dan bersyukur dengan terus berusaha melakukan ketaatan kepada Allah dan berbuat baik kepada orang lain</v>
      </c>
      <c r="S10" s="176">
        <v>85</v>
      </c>
      <c r="T10" s="73" t="str">
        <f t="shared" si="3"/>
        <v>SB</v>
      </c>
      <c r="U10" s="73" t="str">
        <f t="shared" si="4"/>
        <v>SANGAT BAIK</v>
      </c>
      <c r="V10" s="74" t="str">
        <f t="shared" si="5"/>
        <v>Alhamdulillah, Ananda ARKANA AESAR AULAYAIN telah menunjukan sikap sosial yang SANGAT BAIK dalam hal kedisiplinan, kejujuran, tanggung jawab dan keperdulian terhadap orang lain dengan terus berusaha mengamalkan akhlak mulia sesuai dengan nilai-nilai moral yang berlaku</v>
      </c>
      <c r="W10" s="99"/>
      <c r="X10" s="99"/>
      <c r="Y10" s="99"/>
      <c r="Z10" s="99"/>
      <c r="AA10" s="99"/>
      <c r="AB10" s="99"/>
      <c r="AC10" s="381"/>
      <c r="AD10" s="381"/>
      <c r="AE10" s="28"/>
      <c r="AF10" s="177"/>
      <c r="AG10" s="178"/>
      <c r="AH10" s="28"/>
      <c r="AI10" s="177"/>
      <c r="AJ10" s="178"/>
      <c r="AK10" s="28"/>
      <c r="AL10" s="382" t="s">
        <v>2383</v>
      </c>
      <c r="AM10" s="382" t="s">
        <v>175</v>
      </c>
      <c r="AN10" s="98">
        <v>60</v>
      </c>
      <c r="AO10" s="98">
        <v>60</v>
      </c>
      <c r="AP10" s="135">
        <f t="shared" si="6"/>
        <v>0</v>
      </c>
      <c r="AQ10" s="135" t="str">
        <f t="shared" si="7"/>
        <v>B</v>
      </c>
      <c r="AR10" t="s">
        <v>229</v>
      </c>
    </row>
    <row r="11" spans="1:44" ht="29.25" customHeight="1" x14ac:dyDescent="0.35">
      <c r="A11" s="38"/>
      <c r="B11" s="38"/>
      <c r="C11" s="38"/>
      <c r="F11" s="61">
        <v>7</v>
      </c>
      <c r="G11" s="77" t="str">
        <f>IF('set-dasis'!F11=0,"",'set-dasis'!F11)</f>
        <v>ASYAJJ QAIS AL-FAZAARY</v>
      </c>
      <c r="H11" s="98">
        <v>2</v>
      </c>
      <c r="I11" s="98">
        <v>0</v>
      </c>
      <c r="J11" s="98">
        <v>0</v>
      </c>
      <c r="K11" s="378" t="s">
        <v>2383</v>
      </c>
      <c r="L11" s="379" t="s">
        <v>2383</v>
      </c>
      <c r="M11" s="379" t="s">
        <v>2383</v>
      </c>
      <c r="N11" s="99" t="s">
        <v>2470</v>
      </c>
      <c r="O11" s="176">
        <v>90</v>
      </c>
      <c r="P11" s="73" t="str">
        <f t="shared" si="0"/>
        <v>SB</v>
      </c>
      <c r="Q11" s="73" t="str">
        <f t="shared" si="1"/>
        <v>SANGAT BAIK</v>
      </c>
      <c r="R11" s="74" t="str">
        <f t="shared" si="2"/>
        <v>Alhamdulillah Ananda ASYAJJ QAIS AL-FAZAARY telah menunjukan sikap spiritual yang SANGAT BAIK dalam hal beribadah dan bersyukur dengan terus berusaha melakukan ketaatan kepada Allah dan berbuat baik kepada orang lain</v>
      </c>
      <c r="S11" s="176">
        <v>80</v>
      </c>
      <c r="T11" s="73" t="str">
        <f t="shared" si="3"/>
        <v>B</v>
      </c>
      <c r="U11" s="73" t="str">
        <f t="shared" si="4"/>
        <v>BAIK</v>
      </c>
      <c r="V11" s="74" t="str">
        <f t="shared" si="5"/>
        <v>Alhamdulillah, Ananda ASYAJJ QAIS AL-FAZAARY telah menunjukan sikap sosial yang BAIK dalam hal kedisiplinan, kejujuran, tanggung jawab dan keperdulian terhadap orang lain dengan terus berusaha mengamalkan akhlak mulia sesuai dengan nilai-nilai moral yang berlaku</v>
      </c>
      <c r="W11" s="99"/>
      <c r="X11" s="99"/>
      <c r="Y11" s="99"/>
      <c r="Z11" s="99"/>
      <c r="AA11" s="99"/>
      <c r="AB11" s="99"/>
      <c r="AC11" s="381" t="s">
        <v>3024</v>
      </c>
      <c r="AD11" s="381" t="s">
        <v>2469</v>
      </c>
      <c r="AE11" s="28"/>
      <c r="AF11" s="177"/>
      <c r="AG11" s="178"/>
      <c r="AH11" s="28"/>
      <c r="AI11" s="177"/>
      <c r="AJ11" s="178"/>
      <c r="AK11" s="28"/>
      <c r="AL11" s="382" t="s">
        <v>175</v>
      </c>
      <c r="AM11" s="382" t="s">
        <v>175</v>
      </c>
      <c r="AN11" s="98">
        <v>70</v>
      </c>
      <c r="AO11" s="98">
        <v>70</v>
      </c>
      <c r="AP11" s="135">
        <f t="shared" si="6"/>
        <v>0</v>
      </c>
      <c r="AQ11" s="135" t="str">
        <f t="shared" si="7"/>
        <v>B</v>
      </c>
      <c r="AR11" t="s">
        <v>229</v>
      </c>
    </row>
    <row r="12" spans="1:44" ht="29.25" customHeight="1" x14ac:dyDescent="0.35">
      <c r="A12" s="38"/>
      <c r="B12" s="38"/>
      <c r="C12" s="38"/>
      <c r="F12" s="61">
        <v>8</v>
      </c>
      <c r="G12" s="77" t="str">
        <f>IF('set-dasis'!F12=0,"",'set-dasis'!F12)</f>
        <v>AZKA AZHAR RASYID</v>
      </c>
      <c r="H12" s="98">
        <v>50</v>
      </c>
      <c r="I12" s="98">
        <v>0</v>
      </c>
      <c r="J12" s="98">
        <v>0</v>
      </c>
      <c r="K12" s="378" t="s">
        <v>175</v>
      </c>
      <c r="L12" s="379" t="s">
        <v>175</v>
      </c>
      <c r="M12" s="379" t="s">
        <v>175</v>
      </c>
      <c r="N12" s="99" t="s">
        <v>2470</v>
      </c>
      <c r="O12" s="176">
        <v>80</v>
      </c>
      <c r="P12" s="73" t="str">
        <f t="shared" si="0"/>
        <v>B</v>
      </c>
      <c r="Q12" s="73" t="str">
        <f t="shared" si="1"/>
        <v>BAIK</v>
      </c>
      <c r="R12" s="74" t="str">
        <f t="shared" si="2"/>
        <v>Alhamdulillah Ananda AZKA AZHAR RASYID telah menunjukan sikap spiritual yang BAIK dalam hal beribadah dan bersyukur dengan terus berusaha melakukan ketaatan kepada Allah dan berbuat baik kepada orang lain</v>
      </c>
      <c r="S12" s="176">
        <v>85</v>
      </c>
      <c r="T12" s="73" t="str">
        <f t="shared" si="3"/>
        <v>SB</v>
      </c>
      <c r="U12" s="73" t="str">
        <f t="shared" si="4"/>
        <v>SANGAT BAIK</v>
      </c>
      <c r="V12" s="74" t="str">
        <f t="shared" si="5"/>
        <v>Alhamdulillah, Ananda AZKA AZHAR RASYID telah menunjukan sikap sosial yang SANGAT BAIK dalam hal kedisiplinan, kejujuran, tanggung jawab dan keperdulian terhadap orang lain dengan terus berusaha mengamalkan akhlak mulia sesuai dengan nilai-nilai moral yang berlaku</v>
      </c>
      <c r="W12" s="99"/>
      <c r="X12" s="99"/>
      <c r="Y12" s="99"/>
      <c r="Z12" s="99"/>
      <c r="AA12" s="99"/>
      <c r="AB12" s="99"/>
      <c r="AC12" s="381" t="s">
        <v>3024</v>
      </c>
      <c r="AD12" s="381" t="s">
        <v>2469</v>
      </c>
      <c r="AE12" s="28"/>
      <c r="AF12" s="177"/>
      <c r="AG12" s="178"/>
      <c r="AH12" s="28"/>
      <c r="AI12" s="177"/>
      <c r="AJ12" s="178"/>
      <c r="AK12" s="28"/>
      <c r="AL12" s="382" t="s">
        <v>175</v>
      </c>
      <c r="AM12" s="382" t="s">
        <v>175</v>
      </c>
      <c r="AN12" s="98">
        <v>80</v>
      </c>
      <c r="AO12" s="98">
        <v>80</v>
      </c>
      <c r="AP12" s="135">
        <f t="shared" si="6"/>
        <v>0</v>
      </c>
      <c r="AQ12" s="135" t="str">
        <f t="shared" si="7"/>
        <v>B</v>
      </c>
      <c r="AR12" t="s">
        <v>229</v>
      </c>
    </row>
    <row r="13" spans="1:44" ht="29.25" customHeight="1" x14ac:dyDescent="0.35">
      <c r="A13" s="38"/>
      <c r="B13" s="38"/>
      <c r="C13" s="38"/>
      <c r="F13" s="61">
        <v>9</v>
      </c>
      <c r="G13" s="77" t="str">
        <f>IF('set-dasis'!F13=0,"",'set-dasis'!F13)</f>
        <v>BIYAN AKHTAR NAISYABURI</v>
      </c>
      <c r="H13" s="98">
        <v>34</v>
      </c>
      <c r="I13" s="98">
        <v>5</v>
      </c>
      <c r="J13" s="98">
        <v>2</v>
      </c>
      <c r="K13" s="378" t="s">
        <v>175</v>
      </c>
      <c r="L13" s="379" t="s">
        <v>175</v>
      </c>
      <c r="M13" s="379" t="s">
        <v>175</v>
      </c>
      <c r="N13" s="99" t="s">
        <v>2470</v>
      </c>
      <c r="O13" s="176">
        <v>80</v>
      </c>
      <c r="P13" s="73" t="str">
        <f t="shared" si="0"/>
        <v>B</v>
      </c>
      <c r="Q13" s="73" t="str">
        <f t="shared" si="1"/>
        <v>BAIK</v>
      </c>
      <c r="R13" s="74" t="str">
        <f t="shared" si="2"/>
        <v>Alhamdulillah Ananda BIYAN AKHTAR NAISYABURI telah menunjukan sikap spiritual yang BAIK dalam hal beribadah dan bersyukur dengan terus berusaha melakukan ketaatan kepada Allah dan berbuat baik kepada orang lain</v>
      </c>
      <c r="S13" s="176">
        <v>75</v>
      </c>
      <c r="T13" s="73" t="str">
        <f t="shared" si="3"/>
        <v>B</v>
      </c>
      <c r="U13" s="73" t="str">
        <f t="shared" si="4"/>
        <v>BAIK</v>
      </c>
      <c r="V13" s="74" t="str">
        <f t="shared" si="5"/>
        <v>Alhamdulillah, Ananda BIYAN AKHTAR NAISYABURI telah menunjukan sikap sosial yang BAIK dalam hal kedisiplinan, kejujuran, tanggung jawab dan keperdulian terhadap orang lain dengan terus berusaha mengamalkan akhlak mulia sesuai dengan nilai-nilai moral yang berlaku</v>
      </c>
      <c r="W13" s="99"/>
      <c r="X13" s="99"/>
      <c r="Y13" s="99"/>
      <c r="Z13" s="99"/>
      <c r="AA13" s="99"/>
      <c r="AB13" s="99"/>
      <c r="AC13" s="381"/>
      <c r="AD13" s="381"/>
      <c r="AE13" s="28"/>
      <c r="AF13" s="177"/>
      <c r="AG13" s="178"/>
      <c r="AH13" s="28"/>
      <c r="AI13" s="177"/>
      <c r="AJ13" s="178"/>
      <c r="AK13" s="28"/>
      <c r="AL13" s="382" t="s">
        <v>2383</v>
      </c>
      <c r="AM13" s="382" t="s">
        <v>2383</v>
      </c>
      <c r="AN13" s="98">
        <v>90</v>
      </c>
      <c r="AO13" s="98">
        <v>90</v>
      </c>
      <c r="AP13" s="135">
        <f t="shared" si="6"/>
        <v>0</v>
      </c>
      <c r="AQ13" s="135" t="str">
        <f t="shared" si="7"/>
        <v>B</v>
      </c>
      <c r="AR13" t="s">
        <v>229</v>
      </c>
    </row>
    <row r="14" spans="1:44" ht="29.25" customHeight="1" x14ac:dyDescent="0.35">
      <c r="A14" s="38"/>
      <c r="B14" s="38"/>
      <c r="C14" s="38"/>
      <c r="F14" s="61">
        <v>10</v>
      </c>
      <c r="G14" s="77" t="str">
        <f>IF('set-dasis'!F14=0,"",'set-dasis'!F14)</f>
        <v>CHAIRUL AZZAM RAMADHAN</v>
      </c>
      <c r="H14" s="98">
        <v>19</v>
      </c>
      <c r="I14" s="98">
        <v>0</v>
      </c>
      <c r="J14" s="98">
        <v>0</v>
      </c>
      <c r="K14" s="378" t="s">
        <v>175</v>
      </c>
      <c r="L14" s="379" t="s">
        <v>175</v>
      </c>
      <c r="M14" s="379" t="s">
        <v>175</v>
      </c>
      <c r="N14" s="99" t="s">
        <v>2390</v>
      </c>
      <c r="O14" s="176">
        <v>90</v>
      </c>
      <c r="P14" s="73" t="str">
        <f t="shared" si="0"/>
        <v>SB</v>
      </c>
      <c r="Q14" s="73" t="str">
        <f t="shared" si="1"/>
        <v>SANGAT BAIK</v>
      </c>
      <c r="R14" s="74" t="str">
        <f t="shared" si="2"/>
        <v>Alhamdulillah Ananda CHAIRUL AZZAM RAMADHAN telah menunjukan sikap spiritual yang SANGAT BAIK dalam hal beribadah dan bersyukur dengan terus berusaha melakukan ketaatan kepada Allah dan berbuat baik kepada orang lain</v>
      </c>
      <c r="S14" s="176">
        <v>90</v>
      </c>
      <c r="T14" s="73" t="str">
        <f t="shared" si="3"/>
        <v>SB</v>
      </c>
      <c r="U14" s="73" t="str">
        <f t="shared" si="4"/>
        <v>SANGAT BAIK</v>
      </c>
      <c r="V14" s="74" t="str">
        <f t="shared" si="5"/>
        <v>Alhamdulillah, Ananda CHAIRUL AZZAM RAMADHAN telah menunjukan sikap sosial yang SANGAT BAIK dalam hal kedisiplinan, kejujuran, tanggung jawab dan keperdulian terhadap orang lain dengan terus berusaha mengamalkan akhlak mulia sesuai dengan nilai-nilai moral yang berlaku</v>
      </c>
      <c r="W14" s="365"/>
      <c r="X14" s="365"/>
      <c r="Y14" s="99"/>
      <c r="Z14" s="99"/>
      <c r="AA14" s="99"/>
      <c r="AB14" s="99"/>
      <c r="AC14" s="381" t="s">
        <v>2393</v>
      </c>
      <c r="AD14" s="381" t="s">
        <v>2469</v>
      </c>
      <c r="AE14" s="28"/>
      <c r="AF14" s="177"/>
      <c r="AG14" s="178"/>
      <c r="AH14" s="28"/>
      <c r="AI14" s="177"/>
      <c r="AJ14" s="178"/>
      <c r="AK14" s="28"/>
      <c r="AL14" s="382" t="s">
        <v>2383</v>
      </c>
      <c r="AM14" s="383" t="s">
        <v>175</v>
      </c>
      <c r="AN14" s="98">
        <v>100</v>
      </c>
      <c r="AO14" s="98">
        <v>100</v>
      </c>
      <c r="AP14" s="135">
        <f t="shared" si="6"/>
        <v>0</v>
      </c>
      <c r="AQ14" s="135" t="str">
        <f t="shared" si="7"/>
        <v>B</v>
      </c>
      <c r="AR14" t="s">
        <v>229</v>
      </c>
    </row>
    <row r="15" spans="1:44" ht="29.25" customHeight="1" x14ac:dyDescent="0.35">
      <c r="A15" s="38"/>
      <c r="B15" s="38"/>
      <c r="C15" s="38"/>
      <c r="F15" s="61">
        <v>11</v>
      </c>
      <c r="G15" s="77" t="str">
        <f>IF('set-dasis'!F15=0,"",'set-dasis'!F15)</f>
        <v>DEVARA ABDILLAH GHANI</v>
      </c>
      <c r="H15" s="98">
        <v>1</v>
      </c>
      <c r="I15" s="98">
        <v>0</v>
      </c>
      <c r="J15" s="98">
        <v>0</v>
      </c>
      <c r="K15" s="378" t="s">
        <v>175</v>
      </c>
      <c r="L15" s="379" t="s">
        <v>175</v>
      </c>
      <c r="M15" s="379" t="s">
        <v>175</v>
      </c>
      <c r="N15" s="99" t="s">
        <v>2390</v>
      </c>
      <c r="O15" s="176">
        <v>90</v>
      </c>
      <c r="P15" s="73" t="str">
        <f t="shared" si="0"/>
        <v>SB</v>
      </c>
      <c r="Q15" s="73" t="str">
        <f t="shared" si="1"/>
        <v>SANGAT BAIK</v>
      </c>
      <c r="R15" s="74" t="str">
        <f t="shared" si="2"/>
        <v>Alhamdulillah Ananda DEVARA ABDILLAH GHANI telah menunjukan sikap spiritual yang SANGAT BAIK dalam hal beribadah dan bersyukur dengan terus berusaha melakukan ketaatan kepada Allah dan berbuat baik kepada orang lain</v>
      </c>
      <c r="S15" s="176">
        <v>90</v>
      </c>
      <c r="T15" s="73" t="str">
        <f t="shared" si="3"/>
        <v>SB</v>
      </c>
      <c r="U15" s="73" t="str">
        <f t="shared" si="4"/>
        <v>SANGAT BAIK</v>
      </c>
      <c r="V15" s="74" t="str">
        <f t="shared" si="5"/>
        <v>Alhamdulillah, Ananda DEVARA ABDILLAH GHANI telah menunjukan sikap sosial yang SANGAT BAIK dalam hal kedisiplinan, kejujuran, tanggung jawab dan keperdulian terhadap orang lain dengan terus berusaha mengamalkan akhlak mulia sesuai dengan nilai-nilai moral yang berlaku</v>
      </c>
      <c r="W15" s="99"/>
      <c r="X15" s="99"/>
      <c r="Y15" s="99"/>
      <c r="Z15" s="99"/>
      <c r="AA15" s="99"/>
      <c r="AB15" s="99"/>
      <c r="AC15" s="381" t="s">
        <v>3024</v>
      </c>
      <c r="AD15" s="381" t="s">
        <v>2469</v>
      </c>
      <c r="AE15" s="28"/>
      <c r="AF15" s="177"/>
      <c r="AG15" s="178"/>
      <c r="AH15" s="28"/>
      <c r="AI15" s="177"/>
      <c r="AJ15" s="178"/>
      <c r="AK15" s="28"/>
      <c r="AL15" s="382" t="s">
        <v>175</v>
      </c>
      <c r="AM15" s="382" t="s">
        <v>175</v>
      </c>
      <c r="AN15" s="98">
        <v>110</v>
      </c>
      <c r="AO15" s="98">
        <v>110</v>
      </c>
      <c r="AP15" s="135">
        <f t="shared" si="6"/>
        <v>0</v>
      </c>
      <c r="AQ15" s="135" t="str">
        <f t="shared" si="7"/>
        <v>B</v>
      </c>
      <c r="AR15" t="s">
        <v>229</v>
      </c>
    </row>
    <row r="16" spans="1:44" ht="29.25" customHeight="1" x14ac:dyDescent="0.35">
      <c r="A16" s="38"/>
      <c r="B16" s="38"/>
      <c r="C16" s="38"/>
      <c r="F16" s="61">
        <v>12</v>
      </c>
      <c r="G16" s="77" t="str">
        <f>IF('set-dasis'!F16=0,"",'set-dasis'!F16)</f>
        <v>DYO GALIH PUTRAWAN J</v>
      </c>
      <c r="H16" s="98">
        <v>5</v>
      </c>
      <c r="I16" s="98">
        <v>6</v>
      </c>
      <c r="J16" s="98">
        <v>0</v>
      </c>
      <c r="K16" s="378" t="s">
        <v>175</v>
      </c>
      <c r="L16" s="379" t="s">
        <v>175</v>
      </c>
      <c r="M16" s="379" t="s">
        <v>175</v>
      </c>
      <c r="N16" s="99" t="s">
        <v>2390</v>
      </c>
      <c r="O16" s="176">
        <v>90</v>
      </c>
      <c r="P16" s="73" t="str">
        <f t="shared" si="0"/>
        <v>SB</v>
      </c>
      <c r="Q16" s="73" t="str">
        <f t="shared" si="1"/>
        <v>SANGAT BAIK</v>
      </c>
      <c r="R16" s="74" t="str">
        <f t="shared" si="2"/>
        <v>Alhamdulillah Ananda DYO GALIH PUTRAWAN J telah menunjukan sikap spiritual yang SANGAT BAIK dalam hal beribadah dan bersyukur dengan terus berusaha melakukan ketaatan kepada Allah dan berbuat baik kepada orang lain</v>
      </c>
      <c r="S16" s="176">
        <v>90</v>
      </c>
      <c r="T16" s="73" t="str">
        <f t="shared" si="3"/>
        <v>SB</v>
      </c>
      <c r="U16" s="73" t="str">
        <f t="shared" si="4"/>
        <v>SANGAT BAIK</v>
      </c>
      <c r="V16" s="74" t="str">
        <f t="shared" si="5"/>
        <v>Alhamdulillah, Ananda DYO GALIH PUTRAWAN J telah menunjukan sikap sosial yang SANGAT BAIK dalam hal kedisiplinan, kejujuran, tanggung jawab dan keperdulian terhadap orang lain dengan terus berusaha mengamalkan akhlak mulia sesuai dengan nilai-nilai moral yang berlaku</v>
      </c>
      <c r="W16" s="365"/>
      <c r="X16" s="365"/>
      <c r="Y16" s="99"/>
      <c r="Z16" s="99"/>
      <c r="AA16" s="99"/>
      <c r="AB16" s="99"/>
      <c r="AC16" s="381"/>
      <c r="AD16" s="381"/>
      <c r="AE16" s="28"/>
      <c r="AF16" s="177"/>
      <c r="AG16" s="178"/>
      <c r="AH16" s="28"/>
      <c r="AI16" s="177"/>
      <c r="AJ16" s="178"/>
      <c r="AK16" s="28"/>
      <c r="AL16" s="382" t="s">
        <v>175</v>
      </c>
      <c r="AM16" s="382" t="s">
        <v>175</v>
      </c>
      <c r="AN16" s="98">
        <v>120</v>
      </c>
      <c r="AO16" s="98">
        <v>120</v>
      </c>
      <c r="AP16" s="135">
        <f t="shared" si="6"/>
        <v>0</v>
      </c>
      <c r="AQ16" s="135" t="str">
        <f t="shared" si="7"/>
        <v>B</v>
      </c>
      <c r="AR16" t="s">
        <v>229</v>
      </c>
    </row>
    <row r="17" spans="1:44" ht="29.25" customHeight="1" x14ac:dyDescent="0.35">
      <c r="A17" s="38"/>
      <c r="B17" s="38"/>
      <c r="C17" s="38"/>
      <c r="F17" s="61">
        <v>13</v>
      </c>
      <c r="G17" s="77" t="str">
        <f>IF('set-dasis'!F17=0,"",'set-dasis'!F17)</f>
        <v>DZAKY ABDUL HAFIZ</v>
      </c>
      <c r="H17" s="98">
        <v>2</v>
      </c>
      <c r="I17" s="98">
        <v>0</v>
      </c>
      <c r="J17" s="98">
        <v>0</v>
      </c>
      <c r="K17" s="378" t="s">
        <v>175</v>
      </c>
      <c r="L17" s="379" t="s">
        <v>175</v>
      </c>
      <c r="M17" s="379" t="s">
        <v>175</v>
      </c>
      <c r="N17" s="99" t="s">
        <v>2390</v>
      </c>
      <c r="O17" s="176">
        <v>90</v>
      </c>
      <c r="P17" s="73" t="str">
        <f t="shared" si="0"/>
        <v>SB</v>
      </c>
      <c r="Q17" s="73" t="str">
        <f t="shared" si="1"/>
        <v>SANGAT BAIK</v>
      </c>
      <c r="R17" s="74" t="str">
        <f t="shared" si="2"/>
        <v>Alhamdulillah Ananda DZAKY ABDUL HAFIZ telah menunjukan sikap spiritual yang SANGAT BAIK dalam hal beribadah dan bersyukur dengan terus berusaha melakukan ketaatan kepada Allah dan berbuat baik kepada orang lain</v>
      </c>
      <c r="S17" s="176">
        <v>90</v>
      </c>
      <c r="T17" s="73" t="str">
        <f t="shared" si="3"/>
        <v>SB</v>
      </c>
      <c r="U17" s="73" t="str">
        <f t="shared" si="4"/>
        <v>SANGAT BAIK</v>
      </c>
      <c r="V17" s="74" t="str">
        <f t="shared" si="5"/>
        <v>Alhamdulillah, Ananda DZAKY ABDUL HAFIZ telah menunjukan sikap sosial yang SANGAT BAIK dalam hal kedisiplinan, kejujuran, tanggung jawab dan keperdulian terhadap orang lain dengan terus berusaha mengamalkan akhlak mulia sesuai dengan nilai-nilai moral yang berlaku</v>
      </c>
      <c r="W17" s="99"/>
      <c r="X17" s="99"/>
      <c r="Y17" s="99"/>
      <c r="Z17" s="99"/>
      <c r="AA17" s="99"/>
      <c r="AB17" s="99"/>
      <c r="AC17" s="381" t="s">
        <v>3024</v>
      </c>
      <c r="AD17" s="381" t="s">
        <v>2469</v>
      </c>
      <c r="AE17" s="28"/>
      <c r="AF17" s="177"/>
      <c r="AG17" s="178"/>
      <c r="AH17" s="28"/>
      <c r="AI17" s="177"/>
      <c r="AJ17" s="178"/>
      <c r="AK17" s="28"/>
      <c r="AL17" s="382" t="s">
        <v>175</v>
      </c>
      <c r="AM17" s="382" t="s">
        <v>175</v>
      </c>
      <c r="AN17" s="98">
        <v>130</v>
      </c>
      <c r="AO17" s="98">
        <v>130</v>
      </c>
      <c r="AP17" s="135">
        <f t="shared" si="6"/>
        <v>0</v>
      </c>
      <c r="AQ17" s="135" t="str">
        <f t="shared" si="7"/>
        <v>B</v>
      </c>
      <c r="AR17" t="s">
        <v>229</v>
      </c>
    </row>
    <row r="18" spans="1:44" ht="29.25" customHeight="1" x14ac:dyDescent="0.35">
      <c r="A18" s="38"/>
      <c r="B18" s="38"/>
      <c r="C18" s="38"/>
      <c r="F18" s="61">
        <v>14</v>
      </c>
      <c r="G18" s="77" t="str">
        <f>IF('set-dasis'!F18=0,"",'set-dasis'!F18)</f>
        <v>FADHIL MUHAMMAD ABID AL JABBAR</v>
      </c>
      <c r="H18" s="98">
        <v>11</v>
      </c>
      <c r="I18" s="98">
        <v>2</v>
      </c>
      <c r="J18" s="98">
        <v>0</v>
      </c>
      <c r="K18" s="378" t="s">
        <v>175</v>
      </c>
      <c r="L18" s="379" t="s">
        <v>175</v>
      </c>
      <c r="M18" s="379" t="s">
        <v>175</v>
      </c>
      <c r="N18" s="99" t="s">
        <v>2470</v>
      </c>
      <c r="O18" s="176">
        <v>90</v>
      </c>
      <c r="P18" s="73" t="str">
        <f t="shared" si="0"/>
        <v>SB</v>
      </c>
      <c r="Q18" s="73" t="str">
        <f t="shared" si="1"/>
        <v>SANGAT BAIK</v>
      </c>
      <c r="R18" s="74" t="str">
        <f t="shared" si="2"/>
        <v>Alhamdulillah Ananda FADHIL MUHAMMAD ABID AL JABBAR telah menunjukan sikap spiritual yang SANGAT BAIK dalam hal beribadah dan bersyukur dengan terus berusaha melakukan ketaatan kepada Allah dan berbuat baik kepada orang lain</v>
      </c>
      <c r="S18" s="176">
        <v>85</v>
      </c>
      <c r="T18" s="73" t="str">
        <f t="shared" si="3"/>
        <v>SB</v>
      </c>
      <c r="U18" s="73" t="str">
        <f t="shared" si="4"/>
        <v>SANGAT BAIK</v>
      </c>
      <c r="V18" s="74" t="str">
        <f t="shared" si="5"/>
        <v>Alhamdulillah, Ananda FADHIL MUHAMMAD ABID AL JABBAR telah menunjukan sikap sosial yang SANGAT BAIK dalam hal kedisiplinan, kejujuran, tanggung jawab dan keperdulian terhadap orang lain dengan terus berusaha mengamalkan akhlak mulia sesuai dengan nilai-nilai moral yang berlaku</v>
      </c>
      <c r="W18" s="99"/>
      <c r="X18" s="99"/>
      <c r="Y18" s="99"/>
      <c r="Z18" s="99"/>
      <c r="AA18" s="99"/>
      <c r="AB18" s="99"/>
      <c r="AC18" s="381" t="s">
        <v>3024</v>
      </c>
      <c r="AD18" s="381" t="s">
        <v>2469</v>
      </c>
      <c r="AE18" s="28"/>
      <c r="AF18" s="177"/>
      <c r="AG18" s="178"/>
      <c r="AH18" s="28"/>
      <c r="AI18" s="177"/>
      <c r="AJ18" s="178"/>
      <c r="AK18" s="28"/>
      <c r="AL18" s="382" t="s">
        <v>2383</v>
      </c>
      <c r="AM18" s="382" t="s">
        <v>2383</v>
      </c>
      <c r="AN18" s="98">
        <v>140</v>
      </c>
      <c r="AO18" s="98">
        <v>140</v>
      </c>
      <c r="AP18" s="135">
        <f t="shared" si="6"/>
        <v>0</v>
      </c>
      <c r="AQ18" s="135" t="str">
        <f t="shared" si="7"/>
        <v>B</v>
      </c>
      <c r="AR18" t="s">
        <v>229</v>
      </c>
    </row>
    <row r="19" spans="1:44" ht="29.25" customHeight="1" x14ac:dyDescent="0.35">
      <c r="A19" s="38"/>
      <c r="B19" s="38"/>
      <c r="C19" s="38"/>
      <c r="F19" s="61">
        <v>15</v>
      </c>
      <c r="G19" s="77" t="str">
        <f>IF('set-dasis'!F19=0,"",'set-dasis'!F19)</f>
        <v>FAISHAL SYARIF PUTRA AJI</v>
      </c>
      <c r="H19" s="98">
        <v>25</v>
      </c>
      <c r="I19" s="98">
        <v>0</v>
      </c>
      <c r="J19" s="98">
        <v>0</v>
      </c>
      <c r="K19" s="378" t="s">
        <v>175</v>
      </c>
      <c r="L19" s="379" t="s">
        <v>175</v>
      </c>
      <c r="M19" s="379" t="s">
        <v>175</v>
      </c>
      <c r="N19" s="99" t="s">
        <v>2470</v>
      </c>
      <c r="O19" s="176">
        <v>70</v>
      </c>
      <c r="P19" s="73" t="str">
        <f t="shared" si="0"/>
        <v>B</v>
      </c>
      <c r="Q19" s="73" t="str">
        <f t="shared" si="1"/>
        <v>BAIK</v>
      </c>
      <c r="R19" s="74" t="str">
        <f t="shared" si="2"/>
        <v>Alhamdulillah Ananda FAISHAL SYARIF PUTRA AJI telah menunjukan sikap spiritual yang BAIK dalam hal beribadah dan bersyukur dengan terus berusaha melakukan ketaatan kepada Allah dan berbuat baik kepada orang lain</v>
      </c>
      <c r="S19" s="176">
        <v>80</v>
      </c>
      <c r="T19" s="73" t="str">
        <f t="shared" si="3"/>
        <v>B</v>
      </c>
      <c r="U19" s="73" t="str">
        <f t="shared" si="4"/>
        <v>BAIK</v>
      </c>
      <c r="V19" s="74" t="str">
        <f t="shared" si="5"/>
        <v>Alhamdulillah, Ananda FAISHAL SYARIF PUTRA AJI telah menunjukan sikap sosial yang BAIK dalam hal kedisiplinan, kejujuran, tanggung jawab dan keperdulian terhadap orang lain dengan terus berusaha mengamalkan akhlak mulia sesuai dengan nilai-nilai moral yang berlaku</v>
      </c>
      <c r="W19" s="99"/>
      <c r="X19" s="99"/>
      <c r="Y19" s="99"/>
      <c r="Z19" s="99"/>
      <c r="AA19" s="99"/>
      <c r="AB19" s="99"/>
      <c r="AC19" s="381" t="s">
        <v>3024</v>
      </c>
      <c r="AD19" s="381" t="s">
        <v>2469</v>
      </c>
      <c r="AE19" s="28"/>
      <c r="AF19" s="177"/>
      <c r="AG19" s="178"/>
      <c r="AH19" s="28"/>
      <c r="AI19" s="177"/>
      <c r="AJ19" s="178"/>
      <c r="AK19" s="28"/>
      <c r="AL19" s="382" t="s">
        <v>175</v>
      </c>
      <c r="AM19" s="382" t="s">
        <v>175</v>
      </c>
      <c r="AN19" s="98">
        <v>150</v>
      </c>
      <c r="AO19" s="98">
        <v>150</v>
      </c>
      <c r="AP19" s="135">
        <f t="shared" si="6"/>
        <v>0</v>
      </c>
      <c r="AQ19" s="135" t="str">
        <f t="shared" si="7"/>
        <v>B</v>
      </c>
      <c r="AR19" t="s">
        <v>229</v>
      </c>
    </row>
    <row r="20" spans="1:44" ht="29.25" customHeight="1" x14ac:dyDescent="0.35">
      <c r="A20" s="38"/>
      <c r="B20" s="38"/>
      <c r="C20" s="38"/>
      <c r="F20" s="61">
        <v>16</v>
      </c>
      <c r="G20" s="77" t="str">
        <f>IF('set-dasis'!F20=0,"",'set-dasis'!F20)</f>
        <v>FAQIHUDDIN RAHMAN</v>
      </c>
      <c r="H20" s="98">
        <v>11</v>
      </c>
      <c r="I20" s="98">
        <v>0</v>
      </c>
      <c r="J20" s="98">
        <v>0</v>
      </c>
      <c r="K20" s="378" t="s">
        <v>175</v>
      </c>
      <c r="L20" s="379" t="s">
        <v>175</v>
      </c>
      <c r="M20" s="379" t="s">
        <v>175</v>
      </c>
      <c r="N20" s="99" t="s">
        <v>2470</v>
      </c>
      <c r="O20" s="176">
        <v>90</v>
      </c>
      <c r="P20" s="73" t="str">
        <f t="shared" si="0"/>
        <v>SB</v>
      </c>
      <c r="Q20" s="73" t="str">
        <f t="shared" si="1"/>
        <v>SANGAT BAIK</v>
      </c>
      <c r="R20" s="74" t="str">
        <f t="shared" si="2"/>
        <v>Alhamdulillah Ananda FAQIHUDDIN RAHMAN telah menunjukan sikap spiritual yang SANGAT BAIK dalam hal beribadah dan bersyukur dengan terus berusaha melakukan ketaatan kepada Allah dan berbuat baik kepada orang lain</v>
      </c>
      <c r="S20" s="176">
        <v>80</v>
      </c>
      <c r="T20" s="73" t="str">
        <f t="shared" si="3"/>
        <v>B</v>
      </c>
      <c r="U20" s="73" t="str">
        <f t="shared" si="4"/>
        <v>BAIK</v>
      </c>
      <c r="V20" s="74" t="str">
        <f t="shared" si="5"/>
        <v>Alhamdulillah, Ananda FAQIHUDDIN RAHMAN telah menunjukan sikap sosial yang BAIK dalam hal kedisiplinan, kejujuran, tanggung jawab dan keperdulian terhadap orang lain dengan terus berusaha mengamalkan akhlak mulia sesuai dengan nilai-nilai moral yang berlaku</v>
      </c>
      <c r="W20" s="99"/>
      <c r="X20" s="99"/>
      <c r="Y20" s="99"/>
      <c r="Z20" s="99"/>
      <c r="AA20" s="99"/>
      <c r="AB20" s="99"/>
      <c r="AC20" s="381" t="s">
        <v>3024</v>
      </c>
      <c r="AD20" s="381" t="s">
        <v>175</v>
      </c>
      <c r="AE20" s="28"/>
      <c r="AF20" s="177"/>
      <c r="AG20" s="178"/>
      <c r="AH20" s="28"/>
      <c r="AI20" s="177"/>
      <c r="AJ20" s="178"/>
      <c r="AK20" s="28"/>
      <c r="AL20" s="382" t="s">
        <v>175</v>
      </c>
      <c r="AM20" s="382" t="s">
        <v>175</v>
      </c>
      <c r="AN20" s="98">
        <v>160</v>
      </c>
      <c r="AO20" s="98">
        <v>160</v>
      </c>
      <c r="AP20" s="135">
        <f t="shared" si="6"/>
        <v>0</v>
      </c>
      <c r="AQ20" s="135" t="str">
        <f t="shared" si="7"/>
        <v>B</v>
      </c>
      <c r="AR20" t="s">
        <v>229</v>
      </c>
    </row>
    <row r="21" spans="1:44" ht="29.25" customHeight="1" x14ac:dyDescent="0.35">
      <c r="F21" s="61">
        <v>17</v>
      </c>
      <c r="G21" s="77" t="str">
        <f>IF('set-dasis'!F21=0,"",'set-dasis'!F21)</f>
        <v>FARDAN ADITYA FAHRIZI</v>
      </c>
      <c r="H21" s="98">
        <v>19</v>
      </c>
      <c r="I21" s="98">
        <v>1</v>
      </c>
      <c r="J21" s="98">
        <v>0</v>
      </c>
      <c r="K21" s="378" t="s">
        <v>175</v>
      </c>
      <c r="L21" s="379" t="s">
        <v>175</v>
      </c>
      <c r="M21" s="379" t="s">
        <v>175</v>
      </c>
      <c r="N21" s="99" t="s">
        <v>2390</v>
      </c>
      <c r="O21" s="176">
        <v>90</v>
      </c>
      <c r="P21" s="73" t="str">
        <f t="shared" si="0"/>
        <v>SB</v>
      </c>
      <c r="Q21" s="73" t="str">
        <f t="shared" si="1"/>
        <v>SANGAT BAIK</v>
      </c>
      <c r="R21" s="74" t="str">
        <f t="shared" si="2"/>
        <v>Alhamdulillah Ananda FARDAN ADITYA FAHRIZI telah menunjukan sikap spiritual yang SANGAT BAIK dalam hal beribadah dan bersyukur dengan terus berusaha melakukan ketaatan kepada Allah dan berbuat baik kepada orang lain</v>
      </c>
      <c r="S21" s="176">
        <v>80</v>
      </c>
      <c r="T21" s="73" t="str">
        <f t="shared" si="3"/>
        <v>B</v>
      </c>
      <c r="U21" s="73" t="str">
        <f t="shared" si="4"/>
        <v>BAIK</v>
      </c>
      <c r="V21" s="74" t="str">
        <f t="shared" si="5"/>
        <v>Alhamdulillah, Ananda FARDAN ADITYA FAHRIZI telah menunjukan sikap sosial yang BAIK dalam hal kedisiplinan, kejujuran, tanggung jawab dan keperdulian terhadap orang lain dengan terus berusaha mengamalkan akhlak mulia sesuai dengan nilai-nilai moral yang berlaku</v>
      </c>
      <c r="W21" s="99"/>
      <c r="X21" s="99"/>
      <c r="Y21" s="99"/>
      <c r="Z21" s="99"/>
      <c r="AA21" s="99"/>
      <c r="AB21" s="99"/>
      <c r="AC21" s="381"/>
      <c r="AD21" s="381"/>
      <c r="AE21" s="28"/>
      <c r="AF21" s="177"/>
      <c r="AG21" s="178"/>
      <c r="AH21" s="28"/>
      <c r="AI21" s="177"/>
      <c r="AJ21" s="178"/>
      <c r="AK21" s="28"/>
      <c r="AL21" s="383" t="s">
        <v>175</v>
      </c>
      <c r="AM21" s="382" t="s">
        <v>175</v>
      </c>
      <c r="AN21" s="98">
        <v>170</v>
      </c>
      <c r="AO21" s="98">
        <v>170</v>
      </c>
      <c r="AP21" s="135">
        <f t="shared" si="6"/>
        <v>0</v>
      </c>
      <c r="AQ21" s="135" t="str">
        <f t="shared" si="7"/>
        <v>B</v>
      </c>
      <c r="AR21" t="s">
        <v>229</v>
      </c>
    </row>
    <row r="22" spans="1:44" ht="29.25" customHeight="1" x14ac:dyDescent="0.35">
      <c r="F22" s="61">
        <v>18</v>
      </c>
      <c r="G22" s="77" t="str">
        <f>IF('set-dasis'!F22=0,"",'set-dasis'!F22)</f>
        <v>FARHAN ISMAIL</v>
      </c>
      <c r="H22" s="98">
        <v>3</v>
      </c>
      <c r="I22" s="98">
        <v>0</v>
      </c>
      <c r="J22" s="98">
        <v>0</v>
      </c>
      <c r="K22" s="378" t="s">
        <v>2383</v>
      </c>
      <c r="L22" s="379" t="s">
        <v>2383</v>
      </c>
      <c r="M22" s="379" t="s">
        <v>2383</v>
      </c>
      <c r="N22" s="99" t="s">
        <v>2390</v>
      </c>
      <c r="O22" s="176">
        <v>90</v>
      </c>
      <c r="P22" s="73" t="str">
        <f t="shared" si="0"/>
        <v>SB</v>
      </c>
      <c r="Q22" s="73" t="str">
        <f t="shared" si="1"/>
        <v>SANGAT BAIK</v>
      </c>
      <c r="R22" s="74" t="str">
        <f t="shared" si="2"/>
        <v>Alhamdulillah Ananda FARHAN ISMAIL telah menunjukan sikap spiritual yang SANGAT BAIK dalam hal beribadah dan bersyukur dengan terus berusaha melakukan ketaatan kepada Allah dan berbuat baik kepada orang lain</v>
      </c>
      <c r="S22" s="176">
        <v>90</v>
      </c>
      <c r="T22" s="73" t="str">
        <f t="shared" si="3"/>
        <v>SB</v>
      </c>
      <c r="U22" s="73" t="str">
        <f t="shared" si="4"/>
        <v>SANGAT BAIK</v>
      </c>
      <c r="V22" s="74" t="str">
        <f t="shared" si="5"/>
        <v>Alhamdulillah, Ananda FARHAN ISMAIL telah menunjukan sikap sosial yang SANGAT BAIK dalam hal kedisiplinan, kejujuran, tanggung jawab dan keperdulian terhadap orang lain dengan terus berusaha mengamalkan akhlak mulia sesuai dengan nilai-nilai moral yang berlaku</v>
      </c>
      <c r="W22" s="365"/>
      <c r="X22" s="365"/>
      <c r="Y22" s="99"/>
      <c r="Z22" s="99"/>
      <c r="AA22" s="99"/>
      <c r="AB22" s="99"/>
      <c r="AC22" s="381"/>
      <c r="AD22" s="381"/>
      <c r="AE22" s="28"/>
      <c r="AF22" s="177"/>
      <c r="AG22" s="178"/>
      <c r="AH22" s="28"/>
      <c r="AI22" s="177"/>
      <c r="AJ22" s="178"/>
      <c r="AK22" s="28"/>
      <c r="AL22" s="382" t="s">
        <v>175</v>
      </c>
      <c r="AM22" s="382" t="s">
        <v>175</v>
      </c>
      <c r="AN22" s="98">
        <v>180</v>
      </c>
      <c r="AO22" s="98">
        <v>180</v>
      </c>
      <c r="AP22" s="135">
        <f t="shared" si="6"/>
        <v>0</v>
      </c>
      <c r="AQ22" s="135" t="str">
        <f t="shared" si="7"/>
        <v>B</v>
      </c>
      <c r="AR22" t="s">
        <v>229</v>
      </c>
    </row>
    <row r="23" spans="1:44" ht="29.25" customHeight="1" x14ac:dyDescent="0.35">
      <c r="F23" s="61">
        <v>19</v>
      </c>
      <c r="G23" s="77" t="str">
        <f>IF('set-dasis'!F23=0,"",'set-dasis'!F23)</f>
        <v>FATHLIH DHIFAN</v>
      </c>
      <c r="H23" s="98">
        <v>2</v>
      </c>
      <c r="I23" s="98">
        <v>0</v>
      </c>
      <c r="J23" s="98">
        <v>0</v>
      </c>
      <c r="K23" s="378" t="s">
        <v>175</v>
      </c>
      <c r="L23" s="379" t="s">
        <v>175</v>
      </c>
      <c r="M23" s="379" t="s">
        <v>175</v>
      </c>
      <c r="N23" s="99" t="s">
        <v>2390</v>
      </c>
      <c r="O23" s="176">
        <v>90</v>
      </c>
      <c r="P23" s="73" t="str">
        <f t="shared" si="0"/>
        <v>SB</v>
      </c>
      <c r="Q23" s="73" t="str">
        <f t="shared" si="1"/>
        <v>SANGAT BAIK</v>
      </c>
      <c r="R23" s="74" t="str">
        <f t="shared" si="2"/>
        <v>Alhamdulillah Ananda FATHLIH DHIFAN telah menunjukan sikap spiritual yang SANGAT BAIK dalam hal beribadah dan bersyukur dengan terus berusaha melakukan ketaatan kepada Allah dan berbuat baik kepada orang lain</v>
      </c>
      <c r="S23" s="176">
        <v>90</v>
      </c>
      <c r="T23" s="73" t="str">
        <f t="shared" si="3"/>
        <v>SB</v>
      </c>
      <c r="U23" s="73" t="str">
        <f t="shared" si="4"/>
        <v>SANGAT BAIK</v>
      </c>
      <c r="V23" s="74" t="str">
        <f t="shared" si="5"/>
        <v>Alhamdulillah, Ananda FATHLIH DHIFAN telah menunjukan sikap sosial yang SANGAT BAIK dalam hal kedisiplinan, kejujuran, tanggung jawab dan keperdulian terhadap orang lain dengan terus berusaha mengamalkan akhlak mulia sesuai dengan nilai-nilai moral yang berlaku</v>
      </c>
      <c r="W23" s="99"/>
      <c r="X23" s="99"/>
      <c r="Y23" s="99"/>
      <c r="Z23" s="99"/>
      <c r="AA23" s="99"/>
      <c r="AB23" s="99"/>
      <c r="AC23" s="381" t="s">
        <v>2393</v>
      </c>
      <c r="AD23" s="381" t="s">
        <v>2469</v>
      </c>
      <c r="AE23" s="28"/>
      <c r="AF23" s="177"/>
      <c r="AG23" s="178"/>
      <c r="AH23" s="28"/>
      <c r="AI23" s="177"/>
      <c r="AJ23" s="178"/>
      <c r="AK23" s="28"/>
      <c r="AL23" s="382" t="s">
        <v>2383</v>
      </c>
      <c r="AM23" s="382" t="s">
        <v>2383</v>
      </c>
      <c r="AN23" s="98">
        <v>190</v>
      </c>
      <c r="AO23" s="98">
        <v>190</v>
      </c>
      <c r="AP23" s="135">
        <f t="shared" si="6"/>
        <v>0</v>
      </c>
      <c r="AQ23" s="135" t="str">
        <f t="shared" si="7"/>
        <v>B</v>
      </c>
      <c r="AR23" t="s">
        <v>229</v>
      </c>
    </row>
    <row r="24" spans="1:44" ht="29.25" customHeight="1" x14ac:dyDescent="0.35">
      <c r="F24" s="61">
        <v>20</v>
      </c>
      <c r="G24" s="77" t="str">
        <f>IF('set-dasis'!F24=0,"",'set-dasis'!F24)</f>
        <v>FATIH KAUTSAR PUTRA TOTI</v>
      </c>
      <c r="H24" s="98">
        <v>0</v>
      </c>
      <c r="I24" s="98">
        <v>0</v>
      </c>
      <c r="J24" s="98">
        <v>0</v>
      </c>
      <c r="K24" s="378" t="s">
        <v>175</v>
      </c>
      <c r="L24" s="379" t="s">
        <v>175</v>
      </c>
      <c r="M24" s="379" t="s">
        <v>175</v>
      </c>
      <c r="N24" s="99" t="s">
        <v>2470</v>
      </c>
      <c r="O24" s="176">
        <v>90</v>
      </c>
      <c r="P24" s="73" t="str">
        <f t="shared" si="0"/>
        <v>SB</v>
      </c>
      <c r="Q24" s="73" t="str">
        <f t="shared" si="1"/>
        <v>SANGAT BAIK</v>
      </c>
      <c r="R24" s="74" t="str">
        <f t="shared" si="2"/>
        <v>Alhamdulillah Ananda FATIH KAUTSAR PUTRA TOTI telah menunjukan sikap spiritual yang SANGAT BAIK dalam hal beribadah dan bersyukur dengan terus berusaha melakukan ketaatan kepada Allah dan berbuat baik kepada orang lain</v>
      </c>
      <c r="S24" s="176">
        <v>80</v>
      </c>
      <c r="T24" s="73" t="str">
        <f t="shared" si="3"/>
        <v>B</v>
      </c>
      <c r="U24" s="73" t="str">
        <f t="shared" si="4"/>
        <v>BAIK</v>
      </c>
      <c r="V24" s="74" t="str">
        <f t="shared" si="5"/>
        <v>Alhamdulillah, Ananda FATIH KAUTSAR PUTRA TOTI telah menunjukan sikap sosial yang BAIK dalam hal kedisiplinan, kejujuran, tanggung jawab dan keperdulian terhadap orang lain dengan terus berusaha mengamalkan akhlak mulia sesuai dengan nilai-nilai moral yang berlaku</v>
      </c>
      <c r="W24" s="99"/>
      <c r="X24" s="99"/>
      <c r="Y24" s="99"/>
      <c r="Z24" s="99"/>
      <c r="AA24" s="99"/>
      <c r="AB24" s="99"/>
      <c r="AC24" s="381" t="s">
        <v>3022</v>
      </c>
      <c r="AD24" s="381" t="s">
        <v>175</v>
      </c>
      <c r="AE24" s="28"/>
      <c r="AF24" s="177"/>
      <c r="AG24" s="178"/>
      <c r="AH24" s="28"/>
      <c r="AI24" s="177"/>
      <c r="AJ24" s="178"/>
      <c r="AK24" s="28"/>
      <c r="AL24" s="382" t="s">
        <v>175</v>
      </c>
      <c r="AM24" s="382" t="s">
        <v>175</v>
      </c>
      <c r="AN24" s="98">
        <v>200</v>
      </c>
      <c r="AO24" s="98">
        <v>200</v>
      </c>
      <c r="AP24" s="135">
        <f t="shared" si="6"/>
        <v>0</v>
      </c>
      <c r="AQ24" s="135" t="str">
        <f t="shared" si="7"/>
        <v>B</v>
      </c>
      <c r="AR24" t="s">
        <v>229</v>
      </c>
    </row>
    <row r="25" spans="1:44" ht="29.25" customHeight="1" x14ac:dyDescent="0.35">
      <c r="F25" s="61">
        <v>21</v>
      </c>
      <c r="G25" s="77" t="str">
        <f>IF('set-dasis'!F25=0,"",'set-dasis'!F25)</f>
        <v>FAUZIE MAFTUH AHNAN CHANIAGO</v>
      </c>
      <c r="H25" s="98">
        <v>7</v>
      </c>
      <c r="I25" s="98">
        <v>0</v>
      </c>
      <c r="J25" s="98">
        <v>0</v>
      </c>
      <c r="K25" s="378" t="s">
        <v>175</v>
      </c>
      <c r="L25" s="379" t="s">
        <v>175</v>
      </c>
      <c r="M25" s="379" t="s">
        <v>175</v>
      </c>
      <c r="N25" s="99" t="s">
        <v>2390</v>
      </c>
      <c r="O25" s="176">
        <v>90</v>
      </c>
      <c r="P25" s="73" t="str">
        <f t="shared" si="0"/>
        <v>SB</v>
      </c>
      <c r="Q25" s="73" t="str">
        <f t="shared" si="1"/>
        <v>SANGAT BAIK</v>
      </c>
      <c r="R25" s="74" t="str">
        <f t="shared" si="2"/>
        <v>Alhamdulillah Ananda FAUZIE MAFTUH AHNAN CHANIAGO telah menunjukan sikap spiritual yang SANGAT BAIK dalam hal beribadah dan bersyukur dengan terus berusaha melakukan ketaatan kepada Allah dan berbuat baik kepada orang lain</v>
      </c>
      <c r="S25" s="176">
        <v>85</v>
      </c>
      <c r="T25" s="73" t="str">
        <f t="shared" si="3"/>
        <v>SB</v>
      </c>
      <c r="U25" s="73" t="str">
        <f t="shared" si="4"/>
        <v>SANGAT BAIK</v>
      </c>
      <c r="V25" s="74" t="str">
        <f t="shared" si="5"/>
        <v>Alhamdulillah, Ananda FAUZIE MAFTUH AHNAN CHANIAGO telah menunjukan sikap sosial yang SANGAT BAIK dalam hal kedisiplinan, kejujuran, tanggung jawab dan keperdulian terhadap orang lain dengan terus berusaha mengamalkan akhlak mulia sesuai dengan nilai-nilai moral yang berlaku</v>
      </c>
      <c r="W25" s="99"/>
      <c r="X25" s="99"/>
      <c r="Y25" s="99"/>
      <c r="Z25" s="99"/>
      <c r="AA25" s="99"/>
      <c r="AB25" s="99"/>
      <c r="AC25" s="381" t="s">
        <v>3024</v>
      </c>
      <c r="AD25" s="381" t="s">
        <v>2383</v>
      </c>
      <c r="AE25" s="28"/>
      <c r="AF25" s="177"/>
      <c r="AG25" s="178"/>
      <c r="AH25" s="28"/>
      <c r="AI25" s="177"/>
      <c r="AJ25" s="178"/>
      <c r="AK25" s="28"/>
      <c r="AL25" s="382" t="s">
        <v>2383</v>
      </c>
      <c r="AM25" s="382" t="s">
        <v>175</v>
      </c>
      <c r="AN25" s="98">
        <v>210</v>
      </c>
      <c r="AO25" s="98">
        <v>210</v>
      </c>
      <c r="AP25" s="135">
        <f t="shared" si="6"/>
        <v>0</v>
      </c>
      <c r="AQ25" s="135" t="str">
        <f t="shared" si="7"/>
        <v>B</v>
      </c>
      <c r="AR25" t="s">
        <v>229</v>
      </c>
    </row>
    <row r="26" spans="1:44" ht="29.25" customHeight="1" x14ac:dyDescent="0.35">
      <c r="F26" s="61">
        <v>22</v>
      </c>
      <c r="G26" s="77" t="str">
        <f>IF('set-dasis'!F26=0,"",'set-dasis'!F26)</f>
        <v>FERY FADLY</v>
      </c>
      <c r="H26" s="98">
        <v>4</v>
      </c>
      <c r="I26" s="98">
        <v>0</v>
      </c>
      <c r="J26" s="98">
        <v>0</v>
      </c>
      <c r="K26" s="378" t="s">
        <v>175</v>
      </c>
      <c r="L26" s="379" t="s">
        <v>175</v>
      </c>
      <c r="M26" s="379" t="s">
        <v>175</v>
      </c>
      <c r="N26" s="99" t="s">
        <v>2390</v>
      </c>
      <c r="O26" s="176">
        <v>90</v>
      </c>
      <c r="P26" s="73" t="str">
        <f t="shared" si="0"/>
        <v>SB</v>
      </c>
      <c r="Q26" s="73" t="str">
        <f t="shared" si="1"/>
        <v>SANGAT BAIK</v>
      </c>
      <c r="R26" s="74" t="str">
        <f t="shared" si="2"/>
        <v>Alhamdulillah Ananda FERY FADLY telah menunjukan sikap spiritual yang SANGAT BAIK dalam hal beribadah dan bersyukur dengan terus berusaha melakukan ketaatan kepada Allah dan berbuat baik kepada orang lain</v>
      </c>
      <c r="S26" s="176">
        <v>90</v>
      </c>
      <c r="T26" s="73" t="str">
        <f t="shared" si="3"/>
        <v>SB</v>
      </c>
      <c r="U26" s="73" t="str">
        <f t="shared" si="4"/>
        <v>SANGAT BAIK</v>
      </c>
      <c r="V26" s="74" t="str">
        <f t="shared" si="5"/>
        <v>Alhamdulillah, Ananda FERY FADLY telah menunjukan sikap sosial yang SANGAT BAIK dalam hal kedisiplinan, kejujuran, tanggung jawab dan keperdulian terhadap orang lain dengan terus berusaha mengamalkan akhlak mulia sesuai dengan nilai-nilai moral yang berlaku</v>
      </c>
      <c r="W26" s="99"/>
      <c r="X26" s="99"/>
      <c r="Y26" s="99"/>
      <c r="Z26" s="99"/>
      <c r="AA26" s="99"/>
      <c r="AB26" s="99"/>
      <c r="AC26" s="381" t="s">
        <v>3022</v>
      </c>
      <c r="AD26" s="381" t="s">
        <v>175</v>
      </c>
      <c r="AE26" s="28"/>
      <c r="AF26" s="177"/>
      <c r="AG26" s="178"/>
      <c r="AH26" s="28"/>
      <c r="AI26" s="177"/>
      <c r="AJ26" s="178"/>
      <c r="AK26" s="28"/>
      <c r="AL26" s="382" t="s">
        <v>175</v>
      </c>
      <c r="AM26" s="382" t="s">
        <v>175</v>
      </c>
      <c r="AN26" s="98">
        <v>220</v>
      </c>
      <c r="AO26" s="98">
        <v>220</v>
      </c>
      <c r="AP26" s="135">
        <f t="shared" si="6"/>
        <v>0</v>
      </c>
      <c r="AQ26" s="135" t="str">
        <f t="shared" si="7"/>
        <v>B</v>
      </c>
      <c r="AR26" t="s">
        <v>229</v>
      </c>
    </row>
    <row r="27" spans="1:44" ht="29.25" customHeight="1" x14ac:dyDescent="0.35">
      <c r="F27" s="61">
        <v>23</v>
      </c>
      <c r="G27" s="77" t="str">
        <f>IF('set-dasis'!F27=0,"",'set-dasis'!F27)</f>
        <v>GHOLIB AHMAD HARITSAH</v>
      </c>
      <c r="H27" s="98">
        <v>13</v>
      </c>
      <c r="I27" s="98">
        <v>3</v>
      </c>
      <c r="J27" s="98">
        <v>0</v>
      </c>
      <c r="K27" s="378" t="s">
        <v>2383</v>
      </c>
      <c r="L27" s="379" t="s">
        <v>2383</v>
      </c>
      <c r="M27" s="379" t="s">
        <v>2383</v>
      </c>
      <c r="N27" s="99" t="s">
        <v>2390</v>
      </c>
      <c r="O27" s="176">
        <v>90</v>
      </c>
      <c r="P27" s="73" t="str">
        <f t="shared" si="0"/>
        <v>SB</v>
      </c>
      <c r="Q27" s="73" t="str">
        <f t="shared" si="1"/>
        <v>SANGAT BAIK</v>
      </c>
      <c r="R27" s="74" t="str">
        <f t="shared" si="2"/>
        <v>Alhamdulillah Ananda GHOLIB AHMAD HARITSAH telah menunjukan sikap spiritual yang SANGAT BAIK dalam hal beribadah dan bersyukur dengan terus berusaha melakukan ketaatan kepada Allah dan berbuat baik kepada orang lain</v>
      </c>
      <c r="S27" s="176">
        <v>80</v>
      </c>
      <c r="T27" s="73" t="str">
        <f t="shared" si="3"/>
        <v>B</v>
      </c>
      <c r="U27" s="73" t="str">
        <f t="shared" si="4"/>
        <v>BAIK</v>
      </c>
      <c r="V27" s="74" t="str">
        <f t="shared" si="5"/>
        <v>Alhamdulillah, Ananda GHOLIB AHMAD HARITSAH telah menunjukan sikap sosial yang BAIK dalam hal kedisiplinan, kejujuran, tanggung jawab dan keperdulian terhadap orang lain dengan terus berusaha mengamalkan akhlak mulia sesuai dengan nilai-nilai moral yang berlaku</v>
      </c>
      <c r="W27" s="99"/>
      <c r="X27" s="99"/>
      <c r="Y27" s="99"/>
      <c r="Z27" s="99"/>
      <c r="AA27" s="99"/>
      <c r="AB27" s="99"/>
      <c r="AC27" s="381" t="s">
        <v>2393</v>
      </c>
      <c r="AD27" s="381" t="s">
        <v>175</v>
      </c>
      <c r="AE27" s="28"/>
      <c r="AF27" s="177"/>
      <c r="AG27" s="178"/>
      <c r="AH27" s="28"/>
      <c r="AI27" s="177"/>
      <c r="AJ27" s="178"/>
      <c r="AK27" s="28"/>
      <c r="AL27" s="382" t="s">
        <v>2469</v>
      </c>
      <c r="AM27" s="382" t="s">
        <v>175</v>
      </c>
      <c r="AN27" s="98">
        <v>230</v>
      </c>
      <c r="AO27" s="98">
        <v>230</v>
      </c>
      <c r="AP27" s="135">
        <f t="shared" si="6"/>
        <v>0</v>
      </c>
      <c r="AQ27" s="135" t="str">
        <f t="shared" si="7"/>
        <v>B</v>
      </c>
      <c r="AR27" t="s">
        <v>229</v>
      </c>
    </row>
    <row r="28" spans="1:44" ht="29.25" customHeight="1" x14ac:dyDescent="0.35">
      <c r="F28" s="61">
        <v>24</v>
      </c>
      <c r="G28" s="77" t="str">
        <f>IF('set-dasis'!F28=0,"",'set-dasis'!F28)</f>
        <v>HAFIDZ RAFI RABBANI</v>
      </c>
      <c r="H28" s="98">
        <v>2</v>
      </c>
      <c r="I28" s="98">
        <v>13</v>
      </c>
      <c r="J28" s="98">
        <v>0</v>
      </c>
      <c r="K28" s="378" t="s">
        <v>2383</v>
      </c>
      <c r="L28" s="379" t="s">
        <v>2383</v>
      </c>
      <c r="M28" s="379" t="s">
        <v>2383</v>
      </c>
      <c r="N28" s="99" t="s">
        <v>2470</v>
      </c>
      <c r="O28" s="176">
        <v>80</v>
      </c>
      <c r="P28" s="73" t="str">
        <f t="shared" si="0"/>
        <v>B</v>
      </c>
      <c r="Q28" s="73" t="str">
        <f t="shared" si="1"/>
        <v>BAIK</v>
      </c>
      <c r="R28" s="74" t="str">
        <f t="shared" si="2"/>
        <v>Alhamdulillah Ananda HAFIDZ RAFI RABBANI telah menunjukan sikap spiritual yang BAIK dalam hal beribadah dan bersyukur dengan terus berusaha melakukan ketaatan kepada Allah dan berbuat baik kepada orang lain</v>
      </c>
      <c r="S28" s="176">
        <v>70</v>
      </c>
      <c r="T28" s="73" t="str">
        <f t="shared" si="3"/>
        <v>B</v>
      </c>
      <c r="U28" s="73" t="str">
        <f t="shared" si="4"/>
        <v>BAIK</v>
      </c>
      <c r="V28" s="74" t="str">
        <f t="shared" si="5"/>
        <v>Alhamdulillah, Ananda HAFIDZ RAFI RABBANI telah menunjukan sikap sosial yang BAIK dalam hal kedisiplinan, kejujuran, tanggung jawab dan keperdulian terhadap orang lain dengan terus berusaha mengamalkan akhlak mulia sesuai dengan nilai-nilai moral yang berlaku</v>
      </c>
      <c r="W28" s="99"/>
      <c r="X28" s="99"/>
      <c r="Y28" s="99"/>
      <c r="Z28" s="99"/>
      <c r="AA28" s="99"/>
      <c r="AB28" s="99"/>
      <c r="AC28" s="381"/>
      <c r="AD28" s="381"/>
      <c r="AE28" s="28"/>
      <c r="AF28" s="177"/>
      <c r="AG28" s="178"/>
      <c r="AH28" s="28"/>
      <c r="AI28" s="177"/>
      <c r="AJ28" s="178"/>
      <c r="AK28" s="28"/>
      <c r="AL28" s="382" t="s">
        <v>2383</v>
      </c>
      <c r="AM28" s="382" t="s">
        <v>2383</v>
      </c>
      <c r="AN28" s="98">
        <v>240</v>
      </c>
      <c r="AO28" s="98">
        <v>240</v>
      </c>
      <c r="AP28" s="135">
        <f t="shared" si="6"/>
        <v>0</v>
      </c>
      <c r="AQ28" s="135" t="str">
        <f t="shared" si="7"/>
        <v>B</v>
      </c>
      <c r="AR28" t="s">
        <v>229</v>
      </c>
    </row>
    <row r="29" spans="1:44" ht="29.25" customHeight="1" x14ac:dyDescent="0.35">
      <c r="F29" s="61">
        <v>25</v>
      </c>
      <c r="G29" s="77" t="str">
        <f>IF('set-dasis'!F29=0,"",'set-dasis'!F29)</f>
        <v>HAFIZ IHSAN MAHENDRA BARLI</v>
      </c>
      <c r="H29" s="98">
        <v>33</v>
      </c>
      <c r="I29" s="98">
        <v>8</v>
      </c>
      <c r="J29" s="98">
        <v>0</v>
      </c>
      <c r="K29" s="378" t="s">
        <v>2383</v>
      </c>
      <c r="L29" s="379" t="s">
        <v>2383</v>
      </c>
      <c r="M29" s="379" t="s">
        <v>2383</v>
      </c>
      <c r="N29" s="99" t="s">
        <v>2470</v>
      </c>
      <c r="O29" s="176">
        <v>90</v>
      </c>
      <c r="P29" s="73" t="str">
        <f t="shared" si="0"/>
        <v>SB</v>
      </c>
      <c r="Q29" s="73" t="str">
        <f t="shared" si="1"/>
        <v>SANGAT BAIK</v>
      </c>
      <c r="R29" s="74" t="str">
        <f t="shared" si="2"/>
        <v>Alhamdulillah Ananda HAFIZ IHSAN MAHENDRA BARLI telah menunjukan sikap spiritual yang SANGAT BAIK dalam hal beribadah dan bersyukur dengan terus berusaha melakukan ketaatan kepada Allah dan berbuat baik kepada orang lain</v>
      </c>
      <c r="S29" s="176">
        <v>80</v>
      </c>
      <c r="T29" s="73" t="str">
        <f t="shared" si="3"/>
        <v>B</v>
      </c>
      <c r="U29" s="73" t="str">
        <f t="shared" si="4"/>
        <v>BAIK</v>
      </c>
      <c r="V29" s="74" t="str">
        <f t="shared" si="5"/>
        <v>Alhamdulillah, Ananda HAFIZ IHSAN MAHENDRA BARLI telah menunjukan sikap sosial yang BAIK dalam hal kedisiplinan, kejujuran, tanggung jawab dan keperdulian terhadap orang lain dengan terus berusaha mengamalkan akhlak mulia sesuai dengan nilai-nilai moral yang berlaku</v>
      </c>
      <c r="W29" s="365"/>
      <c r="X29" s="365"/>
      <c r="Y29" s="99"/>
      <c r="Z29" s="99"/>
      <c r="AA29" s="99"/>
      <c r="AB29" s="99"/>
      <c r="AC29" s="381" t="s">
        <v>3024</v>
      </c>
      <c r="AD29" s="381" t="s">
        <v>175</v>
      </c>
      <c r="AE29" s="28"/>
      <c r="AF29" s="177"/>
      <c r="AG29" s="178"/>
      <c r="AH29" s="28"/>
      <c r="AI29" s="177"/>
      <c r="AJ29" s="178"/>
      <c r="AK29" s="28"/>
      <c r="AL29" s="382" t="s">
        <v>175</v>
      </c>
      <c r="AM29" s="382" t="s">
        <v>175</v>
      </c>
      <c r="AN29" s="98">
        <v>250</v>
      </c>
      <c r="AO29" s="98">
        <v>250</v>
      </c>
      <c r="AP29" s="135">
        <f t="shared" si="6"/>
        <v>0</v>
      </c>
      <c r="AQ29" s="135" t="str">
        <f t="shared" si="7"/>
        <v>B</v>
      </c>
      <c r="AR29" t="s">
        <v>229</v>
      </c>
    </row>
    <row r="30" spans="1:44" ht="29.25" customHeight="1" x14ac:dyDescent="0.35">
      <c r="F30" s="61">
        <v>26</v>
      </c>
      <c r="G30" s="77" t="str">
        <f>IF('set-dasis'!F30=0,"",'set-dasis'!F30)</f>
        <v>HAITSU YASYA AL FIRDAUS</v>
      </c>
      <c r="H30" s="98">
        <v>10</v>
      </c>
      <c r="I30" s="98">
        <v>1</v>
      </c>
      <c r="J30" s="98">
        <v>0</v>
      </c>
      <c r="K30" s="378" t="s">
        <v>2383</v>
      </c>
      <c r="L30" s="379" t="s">
        <v>2383</v>
      </c>
      <c r="M30" s="379" t="s">
        <v>2383</v>
      </c>
      <c r="N30" s="99" t="s">
        <v>2390</v>
      </c>
      <c r="O30" s="176">
        <v>90</v>
      </c>
      <c r="P30" s="73" t="str">
        <f t="shared" si="0"/>
        <v>SB</v>
      </c>
      <c r="Q30" s="73" t="str">
        <f t="shared" si="1"/>
        <v>SANGAT BAIK</v>
      </c>
      <c r="R30" s="74" t="str">
        <f t="shared" si="2"/>
        <v>Alhamdulillah Ananda HAITSU YASYA AL FIRDAUS telah menunjukan sikap spiritual yang SANGAT BAIK dalam hal beribadah dan bersyukur dengan terus berusaha melakukan ketaatan kepada Allah dan berbuat baik kepada orang lain</v>
      </c>
      <c r="S30" s="176">
        <v>90</v>
      </c>
      <c r="T30" s="73" t="str">
        <f t="shared" si="3"/>
        <v>SB</v>
      </c>
      <c r="U30" s="73" t="str">
        <f t="shared" si="4"/>
        <v>SANGAT BAIK</v>
      </c>
      <c r="V30" s="74" t="str">
        <f t="shared" si="5"/>
        <v>Alhamdulillah, Ananda HAITSU YASYA AL FIRDAUS telah menunjukan sikap sosial yang SANGAT BAIK dalam hal kedisiplinan, kejujuran, tanggung jawab dan keperdulian terhadap orang lain dengan terus berusaha mengamalkan akhlak mulia sesuai dengan nilai-nilai moral yang berlaku</v>
      </c>
      <c r="W30" s="99"/>
      <c r="X30" s="99"/>
      <c r="Y30" s="99"/>
      <c r="Z30" s="99"/>
      <c r="AA30" s="99"/>
      <c r="AB30" s="99"/>
      <c r="AC30" s="381" t="s">
        <v>3024</v>
      </c>
      <c r="AD30" s="381" t="s">
        <v>2469</v>
      </c>
      <c r="AE30" s="28"/>
      <c r="AF30" s="177"/>
      <c r="AG30" s="178"/>
      <c r="AH30" s="28"/>
      <c r="AI30" s="177"/>
      <c r="AJ30" s="178"/>
      <c r="AK30" s="28"/>
      <c r="AL30" s="382" t="s">
        <v>175</v>
      </c>
      <c r="AM30" s="382" t="s">
        <v>175</v>
      </c>
      <c r="AN30" s="98">
        <v>260</v>
      </c>
      <c r="AO30" s="98">
        <v>260</v>
      </c>
      <c r="AP30" s="135">
        <f t="shared" si="6"/>
        <v>0</v>
      </c>
      <c r="AQ30" s="135" t="str">
        <f t="shared" si="7"/>
        <v>B</v>
      </c>
      <c r="AR30" t="s">
        <v>229</v>
      </c>
    </row>
    <row r="31" spans="1:44" ht="29.25" customHeight="1" x14ac:dyDescent="0.35">
      <c r="F31" s="61">
        <v>27</v>
      </c>
      <c r="G31" s="77" t="str">
        <f>IF('set-dasis'!F31=0,"",'set-dasis'!F31)</f>
        <v>IBRAHIM MAJID</v>
      </c>
      <c r="H31" s="98">
        <v>5</v>
      </c>
      <c r="I31" s="98">
        <v>0</v>
      </c>
      <c r="J31" s="98">
        <v>0</v>
      </c>
      <c r="K31" s="378" t="s">
        <v>2383</v>
      </c>
      <c r="L31" s="379" t="s">
        <v>2383</v>
      </c>
      <c r="M31" s="379" t="s">
        <v>2383</v>
      </c>
      <c r="N31" s="99" t="s">
        <v>2390</v>
      </c>
      <c r="O31" s="176">
        <v>90</v>
      </c>
      <c r="P31" s="73" t="str">
        <f t="shared" si="0"/>
        <v>SB</v>
      </c>
      <c r="Q31" s="73" t="str">
        <f t="shared" si="1"/>
        <v>SANGAT BAIK</v>
      </c>
      <c r="R31" s="74" t="str">
        <f t="shared" si="2"/>
        <v>Alhamdulillah Ananda IBRAHIM MAJID telah menunjukan sikap spiritual yang SANGAT BAIK dalam hal beribadah dan bersyukur dengan terus berusaha melakukan ketaatan kepada Allah dan berbuat baik kepada orang lain</v>
      </c>
      <c r="S31" s="176">
        <v>90</v>
      </c>
      <c r="T31" s="73" t="str">
        <f t="shared" si="3"/>
        <v>SB</v>
      </c>
      <c r="U31" s="73" t="str">
        <f t="shared" si="4"/>
        <v>SANGAT BAIK</v>
      </c>
      <c r="V31" s="74" t="str">
        <f t="shared" si="5"/>
        <v>Alhamdulillah, Ananda IBRAHIM MAJID telah menunjukan sikap sosial yang SANGAT BAIK dalam hal kedisiplinan, kejujuran, tanggung jawab dan keperdulian terhadap orang lain dengan terus berusaha mengamalkan akhlak mulia sesuai dengan nilai-nilai moral yang berlaku</v>
      </c>
      <c r="W31" s="99"/>
      <c r="X31" s="99"/>
      <c r="Y31" s="99"/>
      <c r="Z31" s="99"/>
      <c r="AA31" s="99"/>
      <c r="AB31" s="99"/>
      <c r="AC31" s="381"/>
      <c r="AD31" s="381"/>
      <c r="AE31" s="28"/>
      <c r="AF31" s="177"/>
      <c r="AG31" s="178"/>
      <c r="AH31" s="28"/>
      <c r="AI31" s="177"/>
      <c r="AJ31" s="178"/>
      <c r="AK31" s="28"/>
      <c r="AL31" s="382" t="s">
        <v>175</v>
      </c>
      <c r="AM31" s="382" t="s">
        <v>175</v>
      </c>
      <c r="AN31" s="98">
        <v>270</v>
      </c>
      <c r="AO31" s="98">
        <v>270</v>
      </c>
      <c r="AP31" s="135">
        <f t="shared" si="6"/>
        <v>0</v>
      </c>
      <c r="AQ31" s="135" t="str">
        <f t="shared" si="7"/>
        <v>B</v>
      </c>
      <c r="AR31" t="s">
        <v>229</v>
      </c>
    </row>
    <row r="32" spans="1:44" ht="29.25" customHeight="1" x14ac:dyDescent="0.35">
      <c r="F32" s="61">
        <v>28</v>
      </c>
      <c r="G32" s="77" t="str">
        <f>IF('set-dasis'!F32=0,"",'set-dasis'!F32)</f>
        <v>IBRAHIM ZAKI MAULANA</v>
      </c>
      <c r="H32" s="98">
        <v>3</v>
      </c>
      <c r="I32" s="98">
        <v>0</v>
      </c>
      <c r="J32" s="98">
        <v>0</v>
      </c>
      <c r="K32" s="378" t="s">
        <v>2383</v>
      </c>
      <c r="L32" s="379" t="s">
        <v>2383</v>
      </c>
      <c r="M32" s="379" t="s">
        <v>2383</v>
      </c>
      <c r="N32" s="99" t="s">
        <v>2470</v>
      </c>
      <c r="O32" s="176">
        <v>80</v>
      </c>
      <c r="P32" s="73" t="str">
        <f t="shared" si="0"/>
        <v>B</v>
      </c>
      <c r="Q32" s="73" t="str">
        <f t="shared" si="1"/>
        <v>BAIK</v>
      </c>
      <c r="R32" s="74" t="str">
        <f t="shared" si="2"/>
        <v>Alhamdulillah Ananda IBRAHIM ZAKI MAULANA telah menunjukan sikap spiritual yang BAIK dalam hal beribadah dan bersyukur dengan terus berusaha melakukan ketaatan kepada Allah dan berbuat baik kepada orang lain</v>
      </c>
      <c r="S32" s="176">
        <v>80</v>
      </c>
      <c r="T32" s="73" t="str">
        <f t="shared" si="3"/>
        <v>B</v>
      </c>
      <c r="U32" s="73" t="str">
        <f t="shared" si="4"/>
        <v>BAIK</v>
      </c>
      <c r="V32" s="74" t="str">
        <f t="shared" si="5"/>
        <v>Alhamdulillah, Ananda IBRAHIM ZAKI MAULANA telah menunjukan sikap sosial yang BAIK dalam hal kedisiplinan, kejujuran, tanggung jawab dan keperdulian terhadap orang lain dengan terus berusaha mengamalkan akhlak mulia sesuai dengan nilai-nilai moral yang berlaku</v>
      </c>
      <c r="W32" s="99"/>
      <c r="X32" s="99"/>
      <c r="Y32" s="99"/>
      <c r="Z32" s="99"/>
      <c r="AA32" s="99"/>
      <c r="AB32" s="99"/>
      <c r="AC32" s="381" t="s">
        <v>3024</v>
      </c>
      <c r="AD32" s="381" t="s">
        <v>2469</v>
      </c>
      <c r="AE32" s="28"/>
      <c r="AF32" s="177"/>
      <c r="AG32" s="178"/>
      <c r="AH32" s="28"/>
      <c r="AI32" s="177"/>
      <c r="AJ32" s="178"/>
      <c r="AK32" s="28"/>
      <c r="AL32" s="382" t="s">
        <v>2383</v>
      </c>
      <c r="AM32" s="382" t="s">
        <v>2383</v>
      </c>
      <c r="AN32" s="98">
        <v>280</v>
      </c>
      <c r="AO32" s="98">
        <v>280</v>
      </c>
      <c r="AP32" s="135">
        <f t="shared" si="6"/>
        <v>0</v>
      </c>
      <c r="AQ32" s="135" t="str">
        <f t="shared" si="7"/>
        <v>B</v>
      </c>
      <c r="AR32" t="s">
        <v>229</v>
      </c>
    </row>
    <row r="33" spans="6:44" ht="29.25" customHeight="1" x14ac:dyDescent="0.35">
      <c r="F33" s="61">
        <v>29</v>
      </c>
      <c r="G33" s="77" t="str">
        <f>IF('set-dasis'!F33=0,"",'set-dasis'!F33)</f>
        <v>KENZIE ABHINAYA AL-HAFIZH</v>
      </c>
      <c r="H33" s="98">
        <v>4</v>
      </c>
      <c r="I33" s="98">
        <v>0</v>
      </c>
      <c r="J33" s="98">
        <v>0</v>
      </c>
      <c r="K33" s="378" t="s">
        <v>175</v>
      </c>
      <c r="L33" s="379" t="s">
        <v>175</v>
      </c>
      <c r="M33" s="379" t="s">
        <v>175</v>
      </c>
      <c r="N33" s="99" t="s">
        <v>2470</v>
      </c>
      <c r="O33" s="176">
        <v>90</v>
      </c>
      <c r="P33" s="73" t="str">
        <f t="shared" si="0"/>
        <v>SB</v>
      </c>
      <c r="Q33" s="73" t="str">
        <f t="shared" si="1"/>
        <v>SANGAT BAIK</v>
      </c>
      <c r="R33" s="74" t="str">
        <f t="shared" si="2"/>
        <v>Alhamdulillah Ananda KENZIE ABHINAYA AL-HAFIZH telah menunjukan sikap spiritual yang SANGAT BAIK dalam hal beribadah dan bersyukur dengan terus berusaha melakukan ketaatan kepada Allah dan berbuat baik kepada orang lain</v>
      </c>
      <c r="S33" s="176">
        <v>90</v>
      </c>
      <c r="T33" s="73" t="str">
        <f t="shared" si="3"/>
        <v>SB</v>
      </c>
      <c r="U33" s="73" t="str">
        <f t="shared" si="4"/>
        <v>SANGAT BAIK</v>
      </c>
      <c r="V33" s="74" t="str">
        <f t="shared" si="5"/>
        <v>Alhamdulillah, Ananda KENZIE ABHINAYA AL-HAFIZH telah menunjukan sikap sosial yang SANGAT BAIK dalam hal kedisiplinan, kejujuran, tanggung jawab dan keperdulian terhadap orang lain dengan terus berusaha mengamalkan akhlak mulia sesuai dengan nilai-nilai moral yang berlaku</v>
      </c>
      <c r="W33" s="99"/>
      <c r="X33" s="99"/>
      <c r="Y33" s="99"/>
      <c r="Z33" s="99"/>
      <c r="AA33" s="99"/>
      <c r="AB33" s="99"/>
      <c r="AC33" s="381" t="s">
        <v>3024</v>
      </c>
      <c r="AD33" s="381" t="s">
        <v>2469</v>
      </c>
      <c r="AE33" s="28"/>
      <c r="AF33" s="177"/>
      <c r="AG33" s="178"/>
      <c r="AH33" s="28"/>
      <c r="AI33" s="177"/>
      <c r="AJ33" s="178"/>
      <c r="AK33" s="28"/>
      <c r="AL33" s="382" t="s">
        <v>175</v>
      </c>
      <c r="AM33" s="382" t="s">
        <v>175</v>
      </c>
      <c r="AN33" s="98">
        <v>290</v>
      </c>
      <c r="AO33" s="98">
        <v>290</v>
      </c>
      <c r="AP33" s="135">
        <f t="shared" si="6"/>
        <v>0</v>
      </c>
      <c r="AQ33" s="135" t="str">
        <f t="shared" si="7"/>
        <v>B</v>
      </c>
      <c r="AR33" t="s">
        <v>229</v>
      </c>
    </row>
    <row r="34" spans="6:44" ht="29.25" customHeight="1" x14ac:dyDescent="0.35">
      <c r="F34" s="61">
        <v>30</v>
      </c>
      <c r="G34" s="77" t="str">
        <f>IF('set-dasis'!F34=0,"",'set-dasis'!F34)</f>
        <v>KHADAFI AGISTA MUSYAFA</v>
      </c>
      <c r="H34" s="98">
        <v>13</v>
      </c>
      <c r="I34" s="98">
        <v>0</v>
      </c>
      <c r="J34" s="98">
        <v>0</v>
      </c>
      <c r="K34" s="378" t="s">
        <v>175</v>
      </c>
      <c r="L34" s="379" t="s">
        <v>175</v>
      </c>
      <c r="M34" s="379" t="s">
        <v>175</v>
      </c>
      <c r="N34" s="99" t="s">
        <v>2390</v>
      </c>
      <c r="O34" s="176">
        <v>90</v>
      </c>
      <c r="P34" s="73" t="str">
        <f t="shared" si="0"/>
        <v>SB</v>
      </c>
      <c r="Q34" s="73" t="str">
        <f t="shared" si="1"/>
        <v>SANGAT BAIK</v>
      </c>
      <c r="R34" s="74" t="str">
        <f t="shared" si="2"/>
        <v>Alhamdulillah Ananda KHADAFI AGISTA MUSYAFA telah menunjukan sikap spiritual yang SANGAT BAIK dalam hal beribadah dan bersyukur dengan terus berusaha melakukan ketaatan kepada Allah dan berbuat baik kepada orang lain</v>
      </c>
      <c r="S34" s="176">
        <v>90</v>
      </c>
      <c r="T34" s="73" t="str">
        <f t="shared" si="3"/>
        <v>SB</v>
      </c>
      <c r="U34" s="73" t="str">
        <f t="shared" si="4"/>
        <v>SANGAT BAIK</v>
      </c>
      <c r="V34" s="74" t="str">
        <f t="shared" si="5"/>
        <v>Alhamdulillah, Ananda KHADAFI AGISTA MUSYAFA telah menunjukan sikap sosial yang SANGAT BAIK dalam hal kedisiplinan, kejujuran, tanggung jawab dan keperdulian terhadap orang lain dengan terus berusaha mengamalkan akhlak mulia sesuai dengan nilai-nilai moral yang berlaku</v>
      </c>
      <c r="W34" s="99"/>
      <c r="X34" s="99"/>
      <c r="Y34" s="99"/>
      <c r="Z34" s="99"/>
      <c r="AA34" s="99"/>
      <c r="AB34" s="99"/>
      <c r="AC34" s="381" t="s">
        <v>3024</v>
      </c>
      <c r="AD34" s="381" t="s">
        <v>2469</v>
      </c>
      <c r="AE34" s="28"/>
      <c r="AF34" s="177"/>
      <c r="AG34" s="178"/>
      <c r="AH34" s="28"/>
      <c r="AI34" s="177"/>
      <c r="AJ34" s="178"/>
      <c r="AK34" s="28"/>
      <c r="AL34" s="382" t="s">
        <v>2383</v>
      </c>
      <c r="AM34" s="382" t="s">
        <v>175</v>
      </c>
      <c r="AN34" s="98">
        <v>300</v>
      </c>
      <c r="AO34" s="98">
        <v>300</v>
      </c>
      <c r="AP34" s="135">
        <f t="shared" si="6"/>
        <v>0</v>
      </c>
      <c r="AQ34" s="135" t="str">
        <f t="shared" si="7"/>
        <v>B</v>
      </c>
      <c r="AR34" t="s">
        <v>229</v>
      </c>
    </row>
    <row r="35" spans="6:44" ht="29.25" customHeight="1" x14ac:dyDescent="0.35">
      <c r="F35" s="61">
        <v>31</v>
      </c>
      <c r="G35" s="77" t="str">
        <f>IF('set-dasis'!F35=0,"",'set-dasis'!F35)</f>
        <v>KHOIRUL AZZAM</v>
      </c>
      <c r="H35" s="98">
        <v>5</v>
      </c>
      <c r="I35" s="98">
        <v>0</v>
      </c>
      <c r="J35" s="98">
        <v>0</v>
      </c>
      <c r="K35" s="378" t="s">
        <v>175</v>
      </c>
      <c r="L35" s="379" t="s">
        <v>175</v>
      </c>
      <c r="M35" s="379" t="s">
        <v>175</v>
      </c>
      <c r="N35" s="99" t="s">
        <v>2390</v>
      </c>
      <c r="O35" s="176">
        <v>90</v>
      </c>
      <c r="P35" s="73" t="str">
        <f t="shared" si="0"/>
        <v>SB</v>
      </c>
      <c r="Q35" s="73" t="str">
        <f t="shared" si="1"/>
        <v>SANGAT BAIK</v>
      </c>
      <c r="R35" s="74" t="str">
        <f t="shared" si="2"/>
        <v>Alhamdulillah Ananda KHOIRUL AZZAM telah menunjukan sikap spiritual yang SANGAT BAIK dalam hal beribadah dan bersyukur dengan terus berusaha melakukan ketaatan kepada Allah dan berbuat baik kepada orang lain</v>
      </c>
      <c r="S35" s="176">
        <v>90</v>
      </c>
      <c r="T35" s="73" t="str">
        <f t="shared" si="3"/>
        <v>SB</v>
      </c>
      <c r="U35" s="73" t="str">
        <f t="shared" si="4"/>
        <v>SANGAT BAIK</v>
      </c>
      <c r="V35" s="74" t="str">
        <f t="shared" si="5"/>
        <v>Alhamdulillah, Ananda KHOIRUL AZZAM telah menunjukan sikap sosial yang SANGAT BAIK dalam hal kedisiplinan, kejujuran, tanggung jawab dan keperdulian terhadap orang lain dengan terus berusaha mengamalkan akhlak mulia sesuai dengan nilai-nilai moral yang berlaku</v>
      </c>
      <c r="W35" s="99"/>
      <c r="X35" s="99"/>
      <c r="Y35" s="99"/>
      <c r="Z35" s="99"/>
      <c r="AA35" s="99"/>
      <c r="AB35" s="99"/>
      <c r="AC35" s="381" t="s">
        <v>3024</v>
      </c>
      <c r="AD35" s="381" t="s">
        <v>2469</v>
      </c>
      <c r="AE35" s="28"/>
      <c r="AF35" s="177"/>
      <c r="AG35" s="178"/>
      <c r="AH35" s="28"/>
      <c r="AI35" s="177"/>
      <c r="AJ35" s="178"/>
      <c r="AK35" s="28"/>
      <c r="AL35" s="382" t="s">
        <v>175</v>
      </c>
      <c r="AM35" s="382" t="s">
        <v>175</v>
      </c>
      <c r="AN35" s="98">
        <v>310</v>
      </c>
      <c r="AO35" s="98">
        <v>310</v>
      </c>
      <c r="AP35" s="135">
        <f t="shared" si="6"/>
        <v>0</v>
      </c>
      <c r="AQ35" s="135" t="str">
        <f t="shared" si="7"/>
        <v>B</v>
      </c>
      <c r="AR35" t="s">
        <v>229</v>
      </c>
    </row>
    <row r="36" spans="6:44" ht="29.25" customHeight="1" x14ac:dyDescent="0.35">
      <c r="F36" s="61">
        <v>32</v>
      </c>
      <c r="G36" s="77" t="str">
        <f>IF('set-dasis'!F36=0,"",'set-dasis'!F36)</f>
        <v>LUQMAN ATHAILLAH ARTUNDAYA</v>
      </c>
      <c r="H36" s="98">
        <v>2</v>
      </c>
      <c r="I36" s="98">
        <v>0</v>
      </c>
      <c r="J36" s="98">
        <v>0</v>
      </c>
      <c r="K36" s="378" t="s">
        <v>2383</v>
      </c>
      <c r="L36" s="379" t="s">
        <v>2383</v>
      </c>
      <c r="M36" s="379" t="s">
        <v>2383</v>
      </c>
      <c r="N36" s="99" t="s">
        <v>2470</v>
      </c>
      <c r="O36" s="176">
        <v>90</v>
      </c>
      <c r="P36" s="73" t="str">
        <f t="shared" si="0"/>
        <v>SB</v>
      </c>
      <c r="Q36" s="73" t="str">
        <f t="shared" si="1"/>
        <v>SANGAT BAIK</v>
      </c>
      <c r="R36" s="74" t="str">
        <f t="shared" si="2"/>
        <v>Alhamdulillah Ananda LUQMAN ATHAILLAH ARTUNDAYA telah menunjukan sikap spiritual yang SANGAT BAIK dalam hal beribadah dan bersyukur dengan terus berusaha melakukan ketaatan kepada Allah dan berbuat baik kepada orang lain</v>
      </c>
      <c r="S36" s="176">
        <v>85</v>
      </c>
      <c r="T36" s="73" t="str">
        <f t="shared" si="3"/>
        <v>SB</v>
      </c>
      <c r="U36" s="73" t="str">
        <f t="shared" si="4"/>
        <v>SANGAT BAIK</v>
      </c>
      <c r="V36" s="74" t="str">
        <f t="shared" si="5"/>
        <v>Alhamdulillah, Ananda LUQMAN ATHAILLAH ARTUNDAYA telah menunjukan sikap sosial yang SANGAT BAIK dalam hal kedisiplinan, kejujuran, tanggung jawab dan keperdulian terhadap orang lain dengan terus berusaha mengamalkan akhlak mulia sesuai dengan nilai-nilai moral yang berlaku</v>
      </c>
      <c r="W36" s="99"/>
      <c r="X36" s="99"/>
      <c r="Y36" s="99"/>
      <c r="Z36" s="99"/>
      <c r="AA36" s="99"/>
      <c r="AB36" s="99"/>
      <c r="AC36" s="381" t="s">
        <v>3024</v>
      </c>
      <c r="AD36" s="381" t="s">
        <v>2383</v>
      </c>
      <c r="AE36" s="28"/>
      <c r="AF36" s="177"/>
      <c r="AG36" s="178"/>
      <c r="AH36" s="28"/>
      <c r="AI36" s="177"/>
      <c r="AJ36" s="178"/>
      <c r="AK36" s="28"/>
      <c r="AL36" s="382" t="s">
        <v>175</v>
      </c>
      <c r="AM36" s="382" t="s">
        <v>175</v>
      </c>
      <c r="AN36" s="98">
        <v>320</v>
      </c>
      <c r="AO36" s="98">
        <v>320</v>
      </c>
      <c r="AP36" s="135">
        <f t="shared" si="6"/>
        <v>0</v>
      </c>
      <c r="AQ36" s="135" t="str">
        <f t="shared" si="7"/>
        <v>B</v>
      </c>
      <c r="AR36" t="s">
        <v>229</v>
      </c>
    </row>
    <row r="37" spans="6:44" ht="29.25" customHeight="1" x14ac:dyDescent="0.35">
      <c r="F37" s="61">
        <v>33</v>
      </c>
      <c r="G37" s="77" t="str">
        <f>IF('set-dasis'!F37=0,"",'set-dasis'!F37)</f>
        <v>M. ARHAB FAIZ AZZAM</v>
      </c>
      <c r="H37" s="98">
        <v>29</v>
      </c>
      <c r="I37" s="98">
        <v>2</v>
      </c>
      <c r="J37" s="98">
        <v>0</v>
      </c>
      <c r="K37" s="378" t="s">
        <v>175</v>
      </c>
      <c r="L37" s="379" t="s">
        <v>175</v>
      </c>
      <c r="M37" s="379" t="s">
        <v>175</v>
      </c>
      <c r="N37" s="99" t="s">
        <v>2390</v>
      </c>
      <c r="O37" s="176">
        <v>80</v>
      </c>
      <c r="P37" s="73" t="str">
        <f t="shared" si="0"/>
        <v>B</v>
      </c>
      <c r="Q37" s="73" t="str">
        <f t="shared" si="1"/>
        <v>BAIK</v>
      </c>
      <c r="R37" s="74" t="str">
        <f t="shared" si="2"/>
        <v>Alhamdulillah Ananda M. ARHAB FAIZ AZZAM telah menunjukan sikap spiritual yang BAIK dalam hal beribadah dan bersyukur dengan terus berusaha melakukan ketaatan kepada Allah dan berbuat baik kepada orang lain</v>
      </c>
      <c r="S37" s="176">
        <v>80</v>
      </c>
      <c r="T37" s="73" t="str">
        <f t="shared" si="3"/>
        <v>B</v>
      </c>
      <c r="U37" s="73" t="str">
        <f t="shared" si="4"/>
        <v>BAIK</v>
      </c>
      <c r="V37" s="74" t="str">
        <f t="shared" si="5"/>
        <v>Alhamdulillah, Ananda M. ARHAB FAIZ AZZAM telah menunjukan sikap sosial yang BAIK dalam hal kedisiplinan, kejujuran, tanggung jawab dan keperdulian terhadap orang lain dengan terus berusaha mengamalkan akhlak mulia sesuai dengan nilai-nilai moral yang berlaku</v>
      </c>
      <c r="W37" s="99"/>
      <c r="X37" s="99"/>
      <c r="Y37" s="99"/>
      <c r="Z37" s="99"/>
      <c r="AA37" s="99"/>
      <c r="AB37" s="99"/>
      <c r="AC37" s="381" t="s">
        <v>2393</v>
      </c>
      <c r="AD37" s="381" t="s">
        <v>2469</v>
      </c>
      <c r="AE37" s="28"/>
      <c r="AF37" s="177"/>
      <c r="AG37" s="178"/>
      <c r="AH37" s="28"/>
      <c r="AI37" s="177"/>
      <c r="AJ37" s="178"/>
      <c r="AK37" s="28"/>
      <c r="AL37" s="382" t="s">
        <v>175</v>
      </c>
      <c r="AM37" s="382" t="s">
        <v>175</v>
      </c>
      <c r="AN37" s="98">
        <v>330</v>
      </c>
      <c r="AO37" s="98">
        <v>330</v>
      </c>
      <c r="AP37" s="135">
        <f t="shared" si="6"/>
        <v>0</v>
      </c>
      <c r="AQ37" s="135" t="str">
        <f t="shared" si="7"/>
        <v>B</v>
      </c>
      <c r="AR37" t="s">
        <v>229</v>
      </c>
    </row>
    <row r="38" spans="6:44" ht="29.25" customHeight="1" x14ac:dyDescent="0.35">
      <c r="F38" s="61">
        <v>34</v>
      </c>
      <c r="G38" s="77" t="str">
        <f>IF('set-dasis'!F38=0,"",'set-dasis'!F38)</f>
        <v>M. NABHAN DZAKWAN</v>
      </c>
      <c r="H38" s="98">
        <v>16</v>
      </c>
      <c r="I38" s="98">
        <v>4</v>
      </c>
      <c r="J38" s="98">
        <v>0</v>
      </c>
      <c r="K38" s="378" t="s">
        <v>175</v>
      </c>
      <c r="L38" s="379" t="s">
        <v>175</v>
      </c>
      <c r="M38" s="379" t="s">
        <v>175</v>
      </c>
      <c r="N38" s="99" t="s">
        <v>2470</v>
      </c>
      <c r="O38" s="176">
        <v>80</v>
      </c>
      <c r="P38" s="73" t="str">
        <f t="shared" si="0"/>
        <v>B</v>
      </c>
      <c r="Q38" s="73" t="str">
        <f t="shared" si="1"/>
        <v>BAIK</v>
      </c>
      <c r="R38" s="74" t="str">
        <f t="shared" si="2"/>
        <v>Alhamdulillah Ananda M. NABHAN DZAKWAN telah menunjukan sikap spiritual yang BAIK dalam hal beribadah dan bersyukur dengan terus berusaha melakukan ketaatan kepada Allah dan berbuat baik kepada orang lain</v>
      </c>
      <c r="S38" s="176">
        <v>90</v>
      </c>
      <c r="T38" s="73" t="str">
        <f t="shared" si="3"/>
        <v>SB</v>
      </c>
      <c r="U38" s="73" t="str">
        <f t="shared" si="4"/>
        <v>SANGAT BAIK</v>
      </c>
      <c r="V38" s="74" t="str">
        <f t="shared" si="5"/>
        <v>Alhamdulillah, Ananda M. NABHAN DZAKWAN telah menunjukan sikap sosial yang SANGAT BAIK dalam hal kedisiplinan, kejujuran, tanggung jawab dan keperdulian terhadap orang lain dengan terus berusaha mengamalkan akhlak mulia sesuai dengan nilai-nilai moral yang berlaku</v>
      </c>
      <c r="W38" s="99"/>
      <c r="X38" s="99"/>
      <c r="Y38" s="99"/>
      <c r="Z38" s="99"/>
      <c r="AA38" s="99"/>
      <c r="AB38" s="99"/>
      <c r="AC38" s="381" t="s">
        <v>3024</v>
      </c>
      <c r="AD38" s="381" t="s">
        <v>175</v>
      </c>
      <c r="AE38" s="28"/>
      <c r="AF38" s="177"/>
      <c r="AG38" s="178"/>
      <c r="AH38" s="28"/>
      <c r="AI38" s="177"/>
      <c r="AJ38" s="178"/>
      <c r="AK38" s="28"/>
      <c r="AL38" s="382" t="s">
        <v>175</v>
      </c>
      <c r="AM38" s="382" t="s">
        <v>175</v>
      </c>
      <c r="AN38" s="98">
        <v>340</v>
      </c>
      <c r="AO38" s="98">
        <v>340</v>
      </c>
      <c r="AP38" s="135">
        <f t="shared" si="6"/>
        <v>0</v>
      </c>
      <c r="AQ38" s="135" t="str">
        <f t="shared" si="7"/>
        <v>B</v>
      </c>
      <c r="AR38" t="s">
        <v>229</v>
      </c>
    </row>
    <row r="39" spans="6:44" ht="29.25" customHeight="1" x14ac:dyDescent="0.35">
      <c r="F39" s="61">
        <v>35</v>
      </c>
      <c r="G39" s="77" t="str">
        <f>IF('set-dasis'!F39=0,"",'set-dasis'!F39)</f>
        <v>MOH. DANENDRA RAJWA ABITAH</v>
      </c>
      <c r="H39" s="98">
        <v>2</v>
      </c>
      <c r="I39" s="98">
        <v>2</v>
      </c>
      <c r="J39" s="98">
        <v>0</v>
      </c>
      <c r="K39" s="378" t="s">
        <v>2383</v>
      </c>
      <c r="L39" s="379" t="s">
        <v>2383</v>
      </c>
      <c r="M39" s="379" t="s">
        <v>2383</v>
      </c>
      <c r="N39" s="99" t="s">
        <v>2470</v>
      </c>
      <c r="O39" s="176">
        <v>81</v>
      </c>
      <c r="P39" s="73" t="str">
        <f t="shared" ref="P39:P54" si="8">IF(O39=0,"",IF(O39&gt;=80.1,"SB",IF(O39&gt;=65.81,"B",IF(O39&gt;=50.66,"C",IF(O39&gt;=0.51,"D",)))))</f>
        <v>SB</v>
      </c>
      <c r="Q39" s="73" t="str">
        <f t="shared" ref="Q39:Q54" si="9">IF(O39=0,"",IF(O39&gt;=80.1,"SANGAT BAIK",IF(O39&gt;=65.81,"BAIK",IF(O39&gt;=50.66,"CUKUP",IF(O39&gt;=0.51,"KURANG",)))))</f>
        <v>SANGAT BAIK</v>
      </c>
      <c r="R39" s="74" t="str">
        <f t="shared" ref="R39:R54" si="10">IF(Q39="","",CONCATENATE(AR39&amp;" Ananda "&amp;G39&amp;" telah menunjukan sikap spiritual yang "&amp;Q39&amp;" dalam hal beribadah dan bersyukur dengan terus berusaha melakukan ketaatan kepada Allah dan berbuat baik kepada orang lain"))</f>
        <v>Alhamdulillah Ananda MOH. DANENDRA RAJWA ABITAH telah menunjukan sikap spiritual yang SANGAT BAIK dalam hal beribadah dan bersyukur dengan terus berusaha melakukan ketaatan kepada Allah dan berbuat baik kepada orang lain</v>
      </c>
      <c r="S39" s="176">
        <v>91</v>
      </c>
      <c r="T39" s="73" t="str">
        <f t="shared" ref="T39:T54" si="11">IF(S39=0,"",IF(S39&gt;=80.1,"SB",IF(S39&gt;=65.81,"B",IF(S39&gt;=50.66,"C",IF(S39&gt;=0.51,"D",)))))</f>
        <v>SB</v>
      </c>
      <c r="U39" s="73" t="str">
        <f t="shared" ref="U39:U54" si="12">IF(S39=0,"",IF(S39&gt;=80.1,"SANGAT BAIK",IF(S39&gt;=65.81,"BAIK",IF(S39&gt;=50.66,"CUKUP",IF(S39&gt;=0.51,"KURANG",)))))</f>
        <v>SANGAT BAIK</v>
      </c>
      <c r="V39" s="74" t="str">
        <f t="shared" ref="V39:V54" si="13">IF(U39="","",CONCATENATE("Alhamdulillah, Ananda "&amp;G39&amp;" telah menunjukan sikap sosial yang "&amp;U39&amp;" dalam hal kedisiplinan, kejujuran, tanggung jawab dan keperdulian terhadap orang lain dengan terus berusaha mengamalkan akhlak mulia sesuai dengan nilai-nilai moral yang berlaku"))</f>
        <v>Alhamdulillah, Ananda MOH. DANENDRA RAJWA ABITAH telah menunjukan sikap sosial yang SANGAT BAIK dalam hal kedisiplinan, kejujuran, tanggung jawab dan keperdulian terhadap orang lain dengan terus berusaha mengamalkan akhlak mulia sesuai dengan nilai-nilai moral yang berlaku</v>
      </c>
      <c r="W39" s="28"/>
      <c r="X39" s="28"/>
      <c r="Y39" s="28"/>
      <c r="Z39" s="28"/>
      <c r="AA39" s="28"/>
      <c r="AB39" s="28"/>
      <c r="AC39" s="381" t="s">
        <v>3024</v>
      </c>
      <c r="AD39" s="381" t="s">
        <v>175</v>
      </c>
      <c r="AE39" s="28"/>
      <c r="AF39" s="28"/>
      <c r="AG39" s="28"/>
      <c r="AH39" s="28"/>
      <c r="AI39" s="28"/>
      <c r="AJ39" s="28"/>
      <c r="AK39" s="28"/>
      <c r="AL39" s="382" t="s">
        <v>175</v>
      </c>
      <c r="AM39" s="382" t="s">
        <v>175</v>
      </c>
      <c r="AN39" s="98"/>
      <c r="AO39" s="98"/>
      <c r="AP39" s="135">
        <f t="shared" si="6"/>
        <v>0</v>
      </c>
      <c r="AQ39" s="135" t="str">
        <f t="shared" si="7"/>
        <v>B</v>
      </c>
      <c r="AR39" t="s">
        <v>229</v>
      </c>
    </row>
    <row r="40" spans="6:44" ht="29.25" customHeight="1" x14ac:dyDescent="0.35">
      <c r="F40" s="61">
        <v>36</v>
      </c>
      <c r="G40" s="77" t="str">
        <f>IF('set-dasis'!F40=0,"",'set-dasis'!F40)</f>
        <v>MUH. ZAKI DZUMAYIL</v>
      </c>
      <c r="H40" s="28">
        <v>10</v>
      </c>
      <c r="I40" s="28">
        <v>0</v>
      </c>
      <c r="J40" s="28">
        <v>0</v>
      </c>
      <c r="K40" s="378" t="s">
        <v>175</v>
      </c>
      <c r="L40" s="379" t="s">
        <v>175</v>
      </c>
      <c r="M40" s="379" t="s">
        <v>175</v>
      </c>
      <c r="N40" s="99" t="s">
        <v>2470</v>
      </c>
      <c r="O40" s="176">
        <v>82</v>
      </c>
      <c r="P40" s="73" t="str">
        <f t="shared" si="8"/>
        <v>SB</v>
      </c>
      <c r="Q40" s="73" t="str">
        <f t="shared" si="9"/>
        <v>SANGAT BAIK</v>
      </c>
      <c r="R40" s="74" t="str">
        <f t="shared" si="10"/>
        <v>Alhamdulillah Ananda MUH. ZAKI DZUMAYIL telah menunjukan sikap spiritual yang SANGAT BAIK dalam hal beribadah dan bersyukur dengan terus berusaha melakukan ketaatan kepada Allah dan berbuat baik kepada orang lain</v>
      </c>
      <c r="S40" s="176">
        <v>92</v>
      </c>
      <c r="T40" s="73" t="str">
        <f t="shared" si="11"/>
        <v>SB</v>
      </c>
      <c r="U40" s="73" t="str">
        <f t="shared" si="12"/>
        <v>SANGAT BAIK</v>
      </c>
      <c r="V40" s="74" t="str">
        <f t="shared" si="13"/>
        <v>Alhamdulillah, Ananda MUH. ZAKI DZUMAYIL telah menunjukan sikap sosial yang SANGAT BAIK dalam hal kedisiplinan, kejujuran, tanggung jawab dan keperdulian terhadap orang lain dengan terus berusaha mengamalkan akhlak mulia sesuai dengan nilai-nilai moral yang berlaku</v>
      </c>
      <c r="W40" s="28"/>
      <c r="X40" s="28"/>
      <c r="Y40" s="28"/>
      <c r="Z40" s="28"/>
      <c r="AA40" s="28"/>
      <c r="AB40" s="28"/>
      <c r="AC40" s="381" t="s">
        <v>3024</v>
      </c>
      <c r="AD40" s="381" t="s">
        <v>175</v>
      </c>
      <c r="AE40" s="28"/>
      <c r="AF40" s="28"/>
      <c r="AG40" s="28"/>
      <c r="AH40" s="28"/>
      <c r="AI40" s="28"/>
      <c r="AJ40" s="28"/>
      <c r="AK40" s="28"/>
      <c r="AL40" s="382" t="s">
        <v>175</v>
      </c>
      <c r="AM40" s="382" t="s">
        <v>175</v>
      </c>
      <c r="AN40" s="98"/>
      <c r="AO40" s="98"/>
      <c r="AP40" s="135">
        <f t="shared" si="6"/>
        <v>0</v>
      </c>
      <c r="AQ40" s="135" t="str">
        <f t="shared" si="7"/>
        <v>B</v>
      </c>
      <c r="AR40" t="s">
        <v>229</v>
      </c>
    </row>
    <row r="41" spans="6:44" ht="29.25" customHeight="1" x14ac:dyDescent="0.35">
      <c r="F41" s="61">
        <v>37</v>
      </c>
      <c r="G41" s="77" t="str">
        <f>IF('set-dasis'!F41=0,"",'set-dasis'!F41)</f>
        <v>MUHAMAD RIZQI AKBAR</v>
      </c>
      <c r="H41" s="28">
        <v>1</v>
      </c>
      <c r="I41" s="28">
        <v>2</v>
      </c>
      <c r="J41" s="28">
        <v>0</v>
      </c>
      <c r="K41" s="378" t="s">
        <v>175</v>
      </c>
      <c r="L41" s="379" t="s">
        <v>175</v>
      </c>
      <c r="M41" s="379" t="s">
        <v>175</v>
      </c>
      <c r="N41" s="99" t="s">
        <v>2470</v>
      </c>
      <c r="O41" s="176">
        <v>83</v>
      </c>
      <c r="P41" s="73" t="str">
        <f t="shared" si="8"/>
        <v>SB</v>
      </c>
      <c r="Q41" s="73" t="str">
        <f t="shared" si="9"/>
        <v>SANGAT BAIK</v>
      </c>
      <c r="R41" s="74" t="str">
        <f t="shared" si="10"/>
        <v xml:space="preserve"> Ananda MUHAMAD RIZQI AKBAR telah menunjukan sikap spiritual yang SANGAT BAIK dalam hal beribadah dan bersyukur dengan terus berusaha melakukan ketaatan kepada Allah dan berbuat baik kepada orang lain</v>
      </c>
      <c r="S41" s="176">
        <v>93</v>
      </c>
      <c r="T41" s="73" t="str">
        <f t="shared" si="11"/>
        <v>SB</v>
      </c>
      <c r="U41" s="73" t="str">
        <f t="shared" si="12"/>
        <v>SANGAT BAIK</v>
      </c>
      <c r="V41" s="74" t="str">
        <f t="shared" si="13"/>
        <v>Alhamdulillah, Ananda MUHAMAD RIZQI AKBAR telah menunjukan sikap sosial yang SANGAT BAIK dalam hal kedisiplinan, kejujuran, tanggung jawab dan keperdulian terhadap orang lain dengan terus berusaha mengamalkan akhlak mulia sesuai dengan nilai-nilai moral yang berlaku</v>
      </c>
      <c r="W41" s="28"/>
      <c r="X41" s="28"/>
      <c r="Y41" s="28"/>
      <c r="Z41" s="28"/>
      <c r="AA41" s="28"/>
      <c r="AB41" s="28"/>
      <c r="AC41" s="381"/>
      <c r="AD41" s="381"/>
      <c r="AE41" s="28"/>
      <c r="AF41" s="28"/>
      <c r="AG41" s="28"/>
      <c r="AH41" s="28"/>
      <c r="AI41" s="28"/>
      <c r="AJ41" s="28"/>
      <c r="AK41" s="28"/>
      <c r="AL41" s="382" t="s">
        <v>175</v>
      </c>
      <c r="AM41" s="382" t="s">
        <v>175</v>
      </c>
      <c r="AN41" s="98"/>
      <c r="AO41" s="98"/>
      <c r="AP41" s="135"/>
      <c r="AQ41" s="135"/>
    </row>
    <row r="42" spans="6:44" ht="29.25" customHeight="1" x14ac:dyDescent="0.35">
      <c r="F42" s="61">
        <v>38</v>
      </c>
      <c r="G42" s="77" t="str">
        <f>IF('set-dasis'!F42=0,"",'set-dasis'!F42)</f>
        <v>MUHAMAD TEGAR BIMANTORO</v>
      </c>
      <c r="H42" s="28">
        <v>1</v>
      </c>
      <c r="I42" s="28">
        <v>1</v>
      </c>
      <c r="J42" s="28">
        <v>0</v>
      </c>
      <c r="K42" s="378" t="s">
        <v>175</v>
      </c>
      <c r="L42" s="379" t="s">
        <v>175</v>
      </c>
      <c r="M42" s="379" t="s">
        <v>175</v>
      </c>
      <c r="N42" s="99" t="s">
        <v>2470</v>
      </c>
      <c r="O42" s="176">
        <v>84</v>
      </c>
      <c r="P42" s="73" t="str">
        <f t="shared" si="8"/>
        <v>SB</v>
      </c>
      <c r="Q42" s="73" t="str">
        <f t="shared" si="9"/>
        <v>SANGAT BAIK</v>
      </c>
      <c r="R42" s="74" t="str">
        <f t="shared" si="10"/>
        <v xml:space="preserve"> Ananda MUHAMAD TEGAR BIMANTORO telah menunjukan sikap spiritual yang SANGAT BAIK dalam hal beribadah dan bersyukur dengan terus berusaha melakukan ketaatan kepada Allah dan berbuat baik kepada orang lain</v>
      </c>
      <c r="S42" s="176">
        <v>94</v>
      </c>
      <c r="T42" s="73" t="str">
        <f t="shared" si="11"/>
        <v>SB</v>
      </c>
      <c r="U42" s="73" t="str">
        <f t="shared" si="12"/>
        <v>SANGAT BAIK</v>
      </c>
      <c r="V42" s="74" t="str">
        <f t="shared" si="13"/>
        <v>Alhamdulillah, Ananda MUHAMAD TEGAR BIMANTORO telah menunjukan sikap sosial yang SANGAT BAIK dalam hal kedisiplinan, kejujuran, tanggung jawab dan keperdulian terhadap orang lain dengan terus berusaha mengamalkan akhlak mulia sesuai dengan nilai-nilai moral yang berlaku</v>
      </c>
      <c r="W42" s="28"/>
      <c r="X42" s="28"/>
      <c r="Y42" s="28"/>
      <c r="Z42" s="28"/>
      <c r="AA42" s="28"/>
      <c r="AB42" s="28"/>
      <c r="AC42" s="381" t="s">
        <v>3022</v>
      </c>
      <c r="AD42" s="381" t="s">
        <v>175</v>
      </c>
      <c r="AE42" s="28"/>
      <c r="AF42" s="28"/>
      <c r="AG42" s="28"/>
      <c r="AH42" s="28"/>
      <c r="AI42" s="28"/>
      <c r="AJ42" s="28"/>
      <c r="AK42" s="28"/>
      <c r="AL42" s="382" t="s">
        <v>2383</v>
      </c>
      <c r="AM42" s="382" t="s">
        <v>2383</v>
      </c>
      <c r="AN42" s="98"/>
      <c r="AO42" s="98"/>
      <c r="AP42" s="135"/>
      <c r="AQ42" s="135"/>
    </row>
    <row r="43" spans="6:44" ht="29.25" customHeight="1" x14ac:dyDescent="0.35">
      <c r="F43" s="61">
        <v>39</v>
      </c>
      <c r="G43" s="77" t="str">
        <f>IF('set-dasis'!F43=0,"",'set-dasis'!F43)</f>
        <v>MUHAMMAD DENNIS</v>
      </c>
      <c r="H43" s="28">
        <v>0</v>
      </c>
      <c r="I43" s="28">
        <v>0</v>
      </c>
      <c r="J43" s="28">
        <v>0</v>
      </c>
      <c r="K43" s="378" t="s">
        <v>175</v>
      </c>
      <c r="L43" s="379" t="s">
        <v>175</v>
      </c>
      <c r="M43" s="379" t="s">
        <v>175</v>
      </c>
      <c r="N43" s="99" t="s">
        <v>2470</v>
      </c>
      <c r="O43" s="176">
        <v>85</v>
      </c>
      <c r="P43" s="73" t="str">
        <f t="shared" si="8"/>
        <v>SB</v>
      </c>
      <c r="Q43" s="73" t="str">
        <f t="shared" si="9"/>
        <v>SANGAT BAIK</v>
      </c>
      <c r="R43" s="74" t="str">
        <f t="shared" si="10"/>
        <v xml:space="preserve"> Ananda MUHAMMAD DENNIS telah menunjukan sikap spiritual yang SANGAT BAIK dalam hal beribadah dan bersyukur dengan terus berusaha melakukan ketaatan kepada Allah dan berbuat baik kepada orang lain</v>
      </c>
      <c r="S43" s="176">
        <v>95</v>
      </c>
      <c r="T43" s="73" t="str">
        <f t="shared" si="11"/>
        <v>SB</v>
      </c>
      <c r="U43" s="73" t="str">
        <f t="shared" si="12"/>
        <v>SANGAT BAIK</v>
      </c>
      <c r="V43" s="74" t="str">
        <f t="shared" si="13"/>
        <v>Alhamdulillah, Ananda MUHAMMAD DENNIS telah menunjukan sikap sosial yang SANGAT BAIK dalam hal kedisiplinan, kejujuran, tanggung jawab dan keperdulian terhadap orang lain dengan terus berusaha mengamalkan akhlak mulia sesuai dengan nilai-nilai moral yang berlaku</v>
      </c>
      <c r="W43" s="28"/>
      <c r="X43" s="28"/>
      <c r="Y43" s="28"/>
      <c r="Z43" s="28"/>
      <c r="AA43" s="28"/>
      <c r="AB43" s="28"/>
      <c r="AC43" s="381"/>
      <c r="AD43" s="381"/>
      <c r="AE43" s="28"/>
      <c r="AF43" s="28"/>
      <c r="AG43" s="28"/>
      <c r="AH43" s="28"/>
      <c r="AI43" s="28"/>
      <c r="AJ43" s="28"/>
      <c r="AK43" s="28"/>
      <c r="AL43" s="382" t="s">
        <v>175</v>
      </c>
      <c r="AM43" s="382" t="s">
        <v>175</v>
      </c>
      <c r="AN43" s="98"/>
      <c r="AO43" s="98"/>
      <c r="AP43" s="135"/>
      <c r="AQ43" s="135"/>
    </row>
    <row r="44" spans="6:44" ht="29.25" customHeight="1" x14ac:dyDescent="0.35">
      <c r="F44" s="61">
        <v>40</v>
      </c>
      <c r="G44" s="77" t="str">
        <f>IF('set-dasis'!F44=0,"",'set-dasis'!F44)</f>
        <v>MUHAMMAD ISA</v>
      </c>
      <c r="H44" s="28">
        <v>1</v>
      </c>
      <c r="I44" s="28">
        <v>0</v>
      </c>
      <c r="J44" s="28">
        <v>0</v>
      </c>
      <c r="K44" s="378" t="s">
        <v>175</v>
      </c>
      <c r="L44" s="379" t="s">
        <v>175</v>
      </c>
      <c r="M44" s="379" t="s">
        <v>175</v>
      </c>
      <c r="N44" s="99" t="s">
        <v>2470</v>
      </c>
      <c r="O44" s="176">
        <v>86</v>
      </c>
      <c r="P44" s="73" t="str">
        <f t="shared" si="8"/>
        <v>SB</v>
      </c>
      <c r="Q44" s="73" t="str">
        <f t="shared" si="9"/>
        <v>SANGAT BAIK</v>
      </c>
      <c r="R44" s="74" t="str">
        <f t="shared" si="10"/>
        <v xml:space="preserve"> Ananda MUHAMMAD ISA telah menunjukan sikap spiritual yang SANGAT BAIK dalam hal beribadah dan bersyukur dengan terus berusaha melakukan ketaatan kepada Allah dan berbuat baik kepada orang lain</v>
      </c>
      <c r="S44" s="176">
        <v>96</v>
      </c>
      <c r="T44" s="73" t="str">
        <f t="shared" si="11"/>
        <v>SB</v>
      </c>
      <c r="U44" s="73" t="str">
        <f t="shared" si="12"/>
        <v>SANGAT BAIK</v>
      </c>
      <c r="V44" s="74" t="str">
        <f t="shared" si="13"/>
        <v>Alhamdulillah, Ananda MUHAMMAD ISA telah menunjukan sikap sosial yang SANGAT BAIK dalam hal kedisiplinan, kejujuran, tanggung jawab dan keperdulian terhadap orang lain dengan terus berusaha mengamalkan akhlak mulia sesuai dengan nilai-nilai moral yang berlaku</v>
      </c>
      <c r="W44" s="28"/>
      <c r="X44" s="28"/>
      <c r="Y44" s="28"/>
      <c r="Z44" s="28"/>
      <c r="AA44" s="28"/>
      <c r="AB44" s="28"/>
      <c r="AC44" s="381"/>
      <c r="AD44" s="381"/>
      <c r="AE44" s="28"/>
      <c r="AF44" s="28"/>
      <c r="AG44" s="28"/>
      <c r="AH44" s="28"/>
      <c r="AI44" s="28"/>
      <c r="AJ44" s="28"/>
      <c r="AK44" s="28"/>
      <c r="AL44" s="382" t="s">
        <v>175</v>
      </c>
      <c r="AM44" s="382" t="s">
        <v>175</v>
      </c>
      <c r="AN44" s="98"/>
      <c r="AO44" s="98"/>
      <c r="AP44" s="135"/>
      <c r="AQ44" s="135"/>
    </row>
    <row r="45" spans="6:44" ht="29.25" customHeight="1" x14ac:dyDescent="0.35">
      <c r="F45" s="61">
        <v>41</v>
      </c>
      <c r="G45" s="77" t="str">
        <f>IF('set-dasis'!F45=0,"",'set-dasis'!F45)</f>
        <v>MUHAMMAD NAZRIEL AR-RIJAL</v>
      </c>
      <c r="H45" s="28">
        <v>27</v>
      </c>
      <c r="I45" s="28">
        <v>4</v>
      </c>
      <c r="J45" s="28">
        <v>0</v>
      </c>
      <c r="K45" s="378" t="s">
        <v>175</v>
      </c>
      <c r="L45" s="379" t="s">
        <v>175</v>
      </c>
      <c r="M45" s="379" t="s">
        <v>175</v>
      </c>
      <c r="N45" s="99" t="s">
        <v>2470</v>
      </c>
      <c r="O45" s="176">
        <v>87</v>
      </c>
      <c r="P45" s="73" t="str">
        <f t="shared" si="8"/>
        <v>SB</v>
      </c>
      <c r="Q45" s="73" t="str">
        <f t="shared" si="9"/>
        <v>SANGAT BAIK</v>
      </c>
      <c r="R45" s="74" t="str">
        <f t="shared" si="10"/>
        <v xml:space="preserve"> Ananda MUHAMMAD NAZRIEL AR-RIJAL telah menunjukan sikap spiritual yang SANGAT BAIK dalam hal beribadah dan bersyukur dengan terus berusaha melakukan ketaatan kepada Allah dan berbuat baik kepada orang lain</v>
      </c>
      <c r="S45" s="176">
        <v>97</v>
      </c>
      <c r="T45" s="73" t="str">
        <f t="shared" si="11"/>
        <v>SB</v>
      </c>
      <c r="U45" s="73" t="str">
        <f t="shared" si="12"/>
        <v>SANGAT BAIK</v>
      </c>
      <c r="V45" s="74" t="str">
        <f t="shared" si="13"/>
        <v>Alhamdulillah, Ananda MUHAMMAD NAZRIEL AR-RIJAL telah menunjukan sikap sosial yang SANGAT BAIK dalam hal kedisiplinan, kejujuran, tanggung jawab dan keperdulian terhadap orang lain dengan terus berusaha mengamalkan akhlak mulia sesuai dengan nilai-nilai moral yang berlaku</v>
      </c>
      <c r="W45" s="28"/>
      <c r="X45" s="28"/>
      <c r="Y45" s="28"/>
      <c r="Z45" s="28"/>
      <c r="AA45" s="28"/>
      <c r="AB45" s="28"/>
      <c r="AC45" s="381"/>
      <c r="AD45" s="381"/>
      <c r="AE45" s="28"/>
      <c r="AF45" s="28"/>
      <c r="AG45" s="28"/>
      <c r="AH45" s="28"/>
      <c r="AI45" s="28"/>
      <c r="AJ45" s="28"/>
      <c r="AK45" s="28"/>
      <c r="AL45" s="382" t="s">
        <v>175</v>
      </c>
      <c r="AM45" s="382" t="s">
        <v>175</v>
      </c>
      <c r="AN45" s="98"/>
      <c r="AO45" s="98"/>
      <c r="AP45" s="135"/>
      <c r="AQ45" s="135"/>
    </row>
    <row r="46" spans="6:44" ht="29.25" customHeight="1" x14ac:dyDescent="0.35">
      <c r="F46" s="61">
        <v>42</v>
      </c>
      <c r="G46" s="77" t="str">
        <f>IF('set-dasis'!F46=0,"",'set-dasis'!F46)</f>
        <v>MUHAMMAD SEPTIAN RAMADHANI</v>
      </c>
      <c r="H46" s="28">
        <v>2</v>
      </c>
      <c r="I46" s="28">
        <v>0</v>
      </c>
      <c r="J46" s="28">
        <v>0</v>
      </c>
      <c r="K46" s="378" t="s">
        <v>2383</v>
      </c>
      <c r="L46" s="379" t="s">
        <v>2383</v>
      </c>
      <c r="M46" s="379" t="s">
        <v>2383</v>
      </c>
      <c r="N46" s="99" t="s">
        <v>2470</v>
      </c>
      <c r="O46" s="176">
        <v>88</v>
      </c>
      <c r="P46" s="73" t="str">
        <f t="shared" si="8"/>
        <v>SB</v>
      </c>
      <c r="Q46" s="73" t="str">
        <f t="shared" si="9"/>
        <v>SANGAT BAIK</v>
      </c>
      <c r="R46" s="74" t="str">
        <f t="shared" si="10"/>
        <v xml:space="preserve"> Ananda MUHAMMAD SEPTIAN RAMADHANI telah menunjukan sikap spiritual yang SANGAT BAIK dalam hal beribadah dan bersyukur dengan terus berusaha melakukan ketaatan kepada Allah dan berbuat baik kepada orang lain</v>
      </c>
      <c r="S46" s="176">
        <v>98</v>
      </c>
      <c r="T46" s="73" t="str">
        <f t="shared" si="11"/>
        <v>SB</v>
      </c>
      <c r="U46" s="73" t="str">
        <f t="shared" si="12"/>
        <v>SANGAT BAIK</v>
      </c>
      <c r="V46" s="74" t="str">
        <f t="shared" si="13"/>
        <v>Alhamdulillah, Ananda MUHAMMAD SEPTIAN RAMADHANI telah menunjukan sikap sosial yang SANGAT BAIK dalam hal kedisiplinan, kejujuran, tanggung jawab dan keperdulian terhadap orang lain dengan terus berusaha mengamalkan akhlak mulia sesuai dengan nilai-nilai moral yang berlaku</v>
      </c>
      <c r="W46" s="28"/>
      <c r="X46" s="28"/>
      <c r="Y46" s="28"/>
      <c r="Z46" s="28"/>
      <c r="AA46" s="28"/>
      <c r="AB46" s="28"/>
      <c r="AC46" s="381" t="s">
        <v>2393</v>
      </c>
      <c r="AD46" s="381" t="s">
        <v>2469</v>
      </c>
      <c r="AE46" s="28"/>
      <c r="AF46" s="28"/>
      <c r="AG46" s="28"/>
      <c r="AH46" s="28"/>
      <c r="AI46" s="28"/>
      <c r="AJ46" s="28"/>
      <c r="AK46" s="28"/>
      <c r="AL46" s="382" t="s">
        <v>2383</v>
      </c>
      <c r="AM46" s="382" t="s">
        <v>175</v>
      </c>
      <c r="AN46" s="98"/>
      <c r="AO46" s="98"/>
      <c r="AP46" s="135"/>
      <c r="AQ46" s="135"/>
    </row>
    <row r="47" spans="6:44" ht="29.25" customHeight="1" x14ac:dyDescent="0.35">
      <c r="F47" s="61">
        <v>43</v>
      </c>
      <c r="G47" s="77" t="str">
        <f>IF('set-dasis'!F47=0,"",'set-dasis'!F47)</f>
        <v>RAYKHAN DWI FARDHANI</v>
      </c>
      <c r="H47" s="28">
        <v>0</v>
      </c>
      <c r="I47" s="28">
        <v>0</v>
      </c>
      <c r="J47" s="28">
        <v>0</v>
      </c>
      <c r="K47" s="378" t="s">
        <v>175</v>
      </c>
      <c r="L47" s="379" t="s">
        <v>175</v>
      </c>
      <c r="M47" s="379" t="s">
        <v>175</v>
      </c>
      <c r="N47" s="99" t="s">
        <v>2470</v>
      </c>
      <c r="O47" s="176">
        <v>89</v>
      </c>
      <c r="P47" s="73" t="str">
        <f t="shared" si="8"/>
        <v>SB</v>
      </c>
      <c r="Q47" s="73" t="str">
        <f t="shared" si="9"/>
        <v>SANGAT BAIK</v>
      </c>
      <c r="R47" s="74" t="str">
        <f t="shared" si="10"/>
        <v xml:space="preserve"> Ananda RAYKHAN DWI FARDHANI telah menunjukan sikap spiritual yang SANGAT BAIK dalam hal beribadah dan bersyukur dengan terus berusaha melakukan ketaatan kepada Allah dan berbuat baik kepada orang lain</v>
      </c>
      <c r="S47" s="176">
        <v>99</v>
      </c>
      <c r="T47" s="73" t="str">
        <f t="shared" si="11"/>
        <v>SB</v>
      </c>
      <c r="U47" s="73" t="str">
        <f t="shared" si="12"/>
        <v>SANGAT BAIK</v>
      </c>
      <c r="V47" s="74" t="str">
        <f t="shared" si="13"/>
        <v>Alhamdulillah, Ananda RAYKHAN DWI FARDHANI telah menunjukan sikap sosial yang SANGAT BAIK dalam hal kedisiplinan, kejujuran, tanggung jawab dan keperdulian terhadap orang lain dengan terus berusaha mengamalkan akhlak mulia sesuai dengan nilai-nilai moral yang berlaku</v>
      </c>
      <c r="W47" s="28"/>
      <c r="X47" s="28"/>
      <c r="Y47" s="28"/>
      <c r="Z47" s="28"/>
      <c r="AA47" s="28"/>
      <c r="AB47" s="28"/>
      <c r="AC47" s="381" t="s">
        <v>3024</v>
      </c>
      <c r="AD47" s="381" t="s">
        <v>2469</v>
      </c>
      <c r="AE47" s="28"/>
      <c r="AF47" s="28"/>
      <c r="AG47" s="28"/>
      <c r="AH47" s="28"/>
      <c r="AI47" s="28"/>
      <c r="AJ47" s="28"/>
      <c r="AK47" s="28"/>
      <c r="AL47" s="382" t="s">
        <v>175</v>
      </c>
      <c r="AM47" s="382" t="s">
        <v>175</v>
      </c>
      <c r="AN47" s="98"/>
      <c r="AO47" s="98"/>
      <c r="AP47" s="135"/>
      <c r="AQ47" s="135"/>
    </row>
    <row r="48" spans="6:44" ht="29.25" customHeight="1" x14ac:dyDescent="0.35">
      <c r="F48" s="61">
        <v>44</v>
      </c>
      <c r="G48" s="77" t="str">
        <f>IF('set-dasis'!F48=0,"",'set-dasis'!F48)</f>
        <v>ROZAN</v>
      </c>
      <c r="H48" s="28">
        <v>12</v>
      </c>
      <c r="I48" s="28">
        <v>1</v>
      </c>
      <c r="J48" s="28">
        <v>0</v>
      </c>
      <c r="K48" s="378" t="s">
        <v>2383</v>
      </c>
      <c r="L48" s="379" t="s">
        <v>2383</v>
      </c>
      <c r="M48" s="379" t="s">
        <v>2383</v>
      </c>
      <c r="N48" s="99" t="s">
        <v>2470</v>
      </c>
      <c r="O48" s="176">
        <v>90</v>
      </c>
      <c r="P48" s="73" t="str">
        <f t="shared" si="8"/>
        <v>SB</v>
      </c>
      <c r="Q48" s="73" t="str">
        <f t="shared" si="9"/>
        <v>SANGAT BAIK</v>
      </c>
      <c r="R48" s="74" t="str">
        <f t="shared" si="10"/>
        <v xml:space="preserve"> Ananda ROZAN telah menunjukan sikap spiritual yang SANGAT BAIK dalam hal beribadah dan bersyukur dengan terus berusaha melakukan ketaatan kepada Allah dan berbuat baik kepada orang lain</v>
      </c>
      <c r="S48" s="176">
        <v>100</v>
      </c>
      <c r="T48" s="73" t="str">
        <f t="shared" si="11"/>
        <v>SB</v>
      </c>
      <c r="U48" s="73" t="str">
        <f t="shared" si="12"/>
        <v>SANGAT BAIK</v>
      </c>
      <c r="V48" s="74" t="str">
        <f t="shared" si="13"/>
        <v>Alhamdulillah, Ananda ROZAN telah menunjukan sikap sosial yang SANGAT BAIK dalam hal kedisiplinan, kejujuran, tanggung jawab dan keperdulian terhadap orang lain dengan terus berusaha mengamalkan akhlak mulia sesuai dengan nilai-nilai moral yang berlaku</v>
      </c>
      <c r="W48" s="28"/>
      <c r="X48" s="28"/>
      <c r="Y48" s="28"/>
      <c r="Z48" s="28"/>
      <c r="AA48" s="28"/>
      <c r="AB48" s="28"/>
      <c r="AC48" s="381" t="s">
        <v>3024</v>
      </c>
      <c r="AD48" s="381" t="s">
        <v>2383</v>
      </c>
      <c r="AE48" s="28"/>
      <c r="AF48" s="28"/>
      <c r="AG48" s="28"/>
      <c r="AH48" s="28"/>
      <c r="AI48" s="28"/>
      <c r="AJ48" s="28"/>
      <c r="AK48" s="28"/>
      <c r="AL48" s="382" t="s">
        <v>175</v>
      </c>
      <c r="AM48" s="382" t="s">
        <v>175</v>
      </c>
      <c r="AN48" s="98"/>
      <c r="AO48" s="98"/>
      <c r="AP48" s="135"/>
      <c r="AQ48" s="135"/>
    </row>
    <row r="49" spans="6:44" ht="29.25" customHeight="1" x14ac:dyDescent="0.35">
      <c r="F49" s="61">
        <v>45</v>
      </c>
      <c r="G49" s="77" t="str">
        <f>IF('set-dasis'!F49=0,"",'set-dasis'!F49)</f>
        <v>UMAIR ABDURROZZAQ</v>
      </c>
      <c r="H49" s="28">
        <v>9</v>
      </c>
      <c r="I49" s="28">
        <v>0</v>
      </c>
      <c r="J49" s="28">
        <v>0</v>
      </c>
      <c r="K49" s="378" t="s">
        <v>2383</v>
      </c>
      <c r="L49" s="379" t="s">
        <v>2383</v>
      </c>
      <c r="M49" s="379" t="s">
        <v>2383</v>
      </c>
      <c r="N49" s="99" t="s">
        <v>2470</v>
      </c>
      <c r="O49" s="176">
        <v>91</v>
      </c>
      <c r="P49" s="73" t="str">
        <f t="shared" si="8"/>
        <v>SB</v>
      </c>
      <c r="Q49" s="73" t="str">
        <f t="shared" si="9"/>
        <v>SANGAT BAIK</v>
      </c>
      <c r="R49" s="74" t="str">
        <f t="shared" si="10"/>
        <v xml:space="preserve"> Ananda UMAIR ABDURROZZAQ telah menunjukan sikap spiritual yang SANGAT BAIK dalam hal beribadah dan bersyukur dengan terus berusaha melakukan ketaatan kepada Allah dan berbuat baik kepada orang lain</v>
      </c>
      <c r="S49" s="176">
        <v>101</v>
      </c>
      <c r="T49" s="73" t="str">
        <f t="shared" si="11"/>
        <v>SB</v>
      </c>
      <c r="U49" s="73" t="str">
        <f t="shared" si="12"/>
        <v>SANGAT BAIK</v>
      </c>
      <c r="V49" s="74" t="str">
        <f t="shared" si="13"/>
        <v>Alhamdulillah, Ananda UMAIR ABDURROZZAQ telah menunjukan sikap sosial yang SANGAT BAIK dalam hal kedisiplinan, kejujuran, tanggung jawab dan keperdulian terhadap orang lain dengan terus berusaha mengamalkan akhlak mulia sesuai dengan nilai-nilai moral yang berlaku</v>
      </c>
      <c r="W49" s="28"/>
      <c r="X49" s="28"/>
      <c r="Y49" s="28"/>
      <c r="Z49" s="28"/>
      <c r="AA49" s="28"/>
      <c r="AB49" s="28"/>
      <c r="AC49" s="381"/>
      <c r="AD49" s="381"/>
      <c r="AE49" s="28"/>
      <c r="AF49" s="28"/>
      <c r="AG49" s="28"/>
      <c r="AH49" s="28"/>
      <c r="AI49" s="28"/>
      <c r="AJ49" s="28"/>
      <c r="AK49" s="28"/>
      <c r="AL49" s="382" t="s">
        <v>175</v>
      </c>
      <c r="AM49" s="382" t="s">
        <v>175</v>
      </c>
      <c r="AN49" s="98"/>
      <c r="AO49" s="98"/>
      <c r="AP49" s="135"/>
      <c r="AQ49" s="135"/>
    </row>
    <row r="50" spans="6:44" ht="29.25" customHeight="1" x14ac:dyDescent="0.35">
      <c r="F50" s="61">
        <v>46</v>
      </c>
      <c r="G50" s="77" t="str">
        <f>IF('set-dasis'!F50=0,"",'set-dasis'!F50)</f>
        <v>YAHYA BIN ABU MUHAMMAD</v>
      </c>
      <c r="H50" s="28">
        <v>0</v>
      </c>
      <c r="I50" s="28">
        <v>0</v>
      </c>
      <c r="J50" s="28">
        <v>0</v>
      </c>
      <c r="K50" s="378" t="s">
        <v>2383</v>
      </c>
      <c r="L50" s="379" t="s">
        <v>2383</v>
      </c>
      <c r="M50" s="379" t="s">
        <v>2383</v>
      </c>
      <c r="N50" s="99" t="s">
        <v>2470</v>
      </c>
      <c r="O50" s="176">
        <v>92</v>
      </c>
      <c r="P50" s="73" t="str">
        <f t="shared" si="8"/>
        <v>SB</v>
      </c>
      <c r="Q50" s="73" t="str">
        <f t="shared" si="9"/>
        <v>SANGAT BAIK</v>
      </c>
      <c r="R50" s="74" t="str">
        <f t="shared" si="10"/>
        <v xml:space="preserve"> Ananda YAHYA BIN ABU MUHAMMAD telah menunjukan sikap spiritual yang SANGAT BAIK dalam hal beribadah dan bersyukur dengan terus berusaha melakukan ketaatan kepada Allah dan berbuat baik kepada orang lain</v>
      </c>
      <c r="S50" s="176">
        <v>102</v>
      </c>
      <c r="T50" s="73" t="str">
        <f t="shared" si="11"/>
        <v>SB</v>
      </c>
      <c r="U50" s="73" t="str">
        <f t="shared" si="12"/>
        <v>SANGAT BAIK</v>
      </c>
      <c r="V50" s="74" t="str">
        <f t="shared" si="13"/>
        <v>Alhamdulillah, Ananda YAHYA BIN ABU MUHAMMAD telah menunjukan sikap sosial yang SANGAT BAIK dalam hal kedisiplinan, kejujuran, tanggung jawab dan keperdulian terhadap orang lain dengan terus berusaha mengamalkan akhlak mulia sesuai dengan nilai-nilai moral yang berlaku</v>
      </c>
      <c r="W50" s="28"/>
      <c r="X50" s="28"/>
      <c r="Y50" s="28"/>
      <c r="Z50" s="28"/>
      <c r="AA50" s="28"/>
      <c r="AB50" s="28"/>
      <c r="AC50" s="381"/>
      <c r="AD50" s="381"/>
      <c r="AE50" s="28"/>
      <c r="AF50" s="28"/>
      <c r="AG50" s="28"/>
      <c r="AH50" s="28"/>
      <c r="AI50" s="28"/>
      <c r="AJ50" s="28"/>
      <c r="AK50" s="28"/>
      <c r="AL50" s="382" t="s">
        <v>175</v>
      </c>
      <c r="AM50" s="382" t="s">
        <v>2383</v>
      </c>
      <c r="AN50" s="98"/>
      <c r="AO50" s="98"/>
      <c r="AP50" s="135"/>
      <c r="AQ50" s="135"/>
    </row>
    <row r="51" spans="6:44" ht="29.25" customHeight="1" x14ac:dyDescent="0.35">
      <c r="F51" s="61">
        <v>47</v>
      </c>
      <c r="G51" s="77" t="str">
        <f>IF('set-dasis'!F51=0,"",'set-dasis'!F51)</f>
        <v/>
      </c>
      <c r="H51" s="28"/>
      <c r="I51" s="28"/>
      <c r="J51" s="28"/>
      <c r="K51" s="28"/>
      <c r="L51" s="28"/>
      <c r="M51" s="28"/>
      <c r="N51" s="99" t="s">
        <v>2470</v>
      </c>
      <c r="O51" s="176">
        <v>93</v>
      </c>
      <c r="P51" s="73" t="str">
        <f t="shared" si="8"/>
        <v>SB</v>
      </c>
      <c r="Q51" s="73" t="str">
        <f t="shared" si="9"/>
        <v>SANGAT BAIK</v>
      </c>
      <c r="R51" s="74" t="str">
        <f t="shared" si="10"/>
        <v xml:space="preserve"> Ananda  telah menunjukan sikap spiritual yang SANGAT BAIK dalam hal beribadah dan bersyukur dengan terus berusaha melakukan ketaatan kepada Allah dan berbuat baik kepada orang lain</v>
      </c>
      <c r="S51" s="176">
        <v>103</v>
      </c>
      <c r="T51" s="73" t="str">
        <f t="shared" si="11"/>
        <v>SB</v>
      </c>
      <c r="U51" s="73" t="str">
        <f t="shared" si="12"/>
        <v>SANGAT BAIK</v>
      </c>
      <c r="V51" s="74" t="str">
        <f t="shared" si="13"/>
        <v>Alhamdulillah, Ananda  telah menunjukan sikap sosial yang SANGAT BAIK dalam hal kedisiplinan, kejujuran, tanggung jawab dan keperdulian terhadap orang lain dengan terus berusaha mengamalkan akhlak mulia sesuai dengan nilai-nilai moral yang berlaku</v>
      </c>
      <c r="W51" s="28"/>
      <c r="X51" s="28"/>
      <c r="Y51" s="28"/>
      <c r="Z51" s="28"/>
      <c r="AA51" s="28"/>
      <c r="AB51" s="28"/>
      <c r="AC51" s="28"/>
      <c r="AD51" s="28"/>
      <c r="AE51" s="28"/>
      <c r="AF51" s="28"/>
      <c r="AG51" s="28"/>
      <c r="AH51" s="28"/>
      <c r="AI51" s="28"/>
      <c r="AJ51" s="28"/>
      <c r="AK51" s="28"/>
      <c r="AL51" s="305"/>
      <c r="AM51" s="305"/>
      <c r="AN51" s="98"/>
      <c r="AO51" s="98"/>
      <c r="AP51" s="135"/>
      <c r="AQ51" s="135"/>
    </row>
    <row r="52" spans="6:44" ht="29.25" customHeight="1" x14ac:dyDescent="0.35">
      <c r="F52" s="61">
        <v>48</v>
      </c>
      <c r="G52" s="77" t="str">
        <f>IF('set-dasis'!F52=0,"",'set-dasis'!F52)</f>
        <v/>
      </c>
      <c r="H52" s="28"/>
      <c r="I52" s="28"/>
      <c r="J52" s="28"/>
      <c r="K52" s="28"/>
      <c r="L52" s="28"/>
      <c r="M52" s="28"/>
      <c r="N52" s="99" t="s">
        <v>2470</v>
      </c>
      <c r="O52" s="176">
        <v>94</v>
      </c>
      <c r="P52" s="73" t="str">
        <f t="shared" si="8"/>
        <v>SB</v>
      </c>
      <c r="Q52" s="73" t="str">
        <f t="shared" si="9"/>
        <v>SANGAT BAIK</v>
      </c>
      <c r="R52" s="74" t="str">
        <f t="shared" si="10"/>
        <v>Alhamdulillah Ananda  telah menunjukan sikap spiritual yang SANGAT BAIK dalam hal beribadah dan bersyukur dengan terus berusaha melakukan ketaatan kepada Allah dan berbuat baik kepada orang lain</v>
      </c>
      <c r="S52" s="176">
        <v>104</v>
      </c>
      <c r="T52" s="73" t="str">
        <f t="shared" si="11"/>
        <v>SB</v>
      </c>
      <c r="U52" s="73" t="str">
        <f t="shared" si="12"/>
        <v>SANGAT BAIK</v>
      </c>
      <c r="V52" s="74" t="str">
        <f t="shared" si="13"/>
        <v>Alhamdulillah, Ananda  telah menunjukan sikap sosial yang SANGAT BAIK dalam hal kedisiplinan, kejujuran, tanggung jawab dan keperdulian terhadap orang lain dengan terus berusaha mengamalkan akhlak mulia sesuai dengan nilai-nilai moral yang berlaku</v>
      </c>
      <c r="W52" s="28"/>
      <c r="X52" s="28"/>
      <c r="Y52" s="28"/>
      <c r="Z52" s="28"/>
      <c r="AA52" s="28"/>
      <c r="AB52" s="28"/>
      <c r="AC52" s="28"/>
      <c r="AD52" s="28"/>
      <c r="AE52" s="28"/>
      <c r="AF52" s="28"/>
      <c r="AG52" s="28"/>
      <c r="AH52" s="28"/>
      <c r="AI52" s="28"/>
      <c r="AJ52" s="28"/>
      <c r="AK52" s="28"/>
      <c r="AL52" s="305"/>
      <c r="AM52" s="305"/>
      <c r="AN52" s="98"/>
      <c r="AO52" s="98"/>
      <c r="AP52" s="135">
        <f t="shared" si="6"/>
        <v>0</v>
      </c>
      <c r="AQ52" s="135" t="str">
        <f t="shared" si="7"/>
        <v>B</v>
      </c>
      <c r="AR52" t="s">
        <v>229</v>
      </c>
    </row>
    <row r="53" spans="6:44" ht="29.25" customHeight="1" x14ac:dyDescent="0.35">
      <c r="F53" s="61">
        <v>49</v>
      </c>
      <c r="G53" s="77" t="str">
        <f>IF('set-dasis'!F53=0,"",'set-dasis'!F53)</f>
        <v/>
      </c>
      <c r="H53" s="28"/>
      <c r="I53" s="28"/>
      <c r="J53" s="28"/>
      <c r="K53" s="28"/>
      <c r="L53" s="28"/>
      <c r="M53" s="28"/>
      <c r="N53" s="99" t="s">
        <v>2470</v>
      </c>
      <c r="O53" s="176">
        <v>95</v>
      </c>
      <c r="P53" s="73" t="str">
        <f t="shared" si="8"/>
        <v>SB</v>
      </c>
      <c r="Q53" s="73" t="str">
        <f t="shared" si="9"/>
        <v>SANGAT BAIK</v>
      </c>
      <c r="R53" s="74" t="str">
        <f t="shared" si="10"/>
        <v>Alhamdulillah Ananda  telah menunjukan sikap spiritual yang SANGAT BAIK dalam hal beribadah dan bersyukur dengan terus berusaha melakukan ketaatan kepada Allah dan berbuat baik kepada orang lain</v>
      </c>
      <c r="S53" s="176">
        <v>105</v>
      </c>
      <c r="T53" s="73" t="str">
        <f t="shared" si="11"/>
        <v>SB</v>
      </c>
      <c r="U53" s="73" t="str">
        <f t="shared" si="12"/>
        <v>SANGAT BAIK</v>
      </c>
      <c r="V53" s="74" t="str">
        <f t="shared" si="13"/>
        <v>Alhamdulillah, Ananda  telah menunjukan sikap sosial yang SANGAT BAIK dalam hal kedisiplinan, kejujuran, tanggung jawab dan keperdulian terhadap orang lain dengan terus berusaha mengamalkan akhlak mulia sesuai dengan nilai-nilai moral yang berlaku</v>
      </c>
      <c r="W53" s="28"/>
      <c r="X53" s="28"/>
      <c r="Y53" s="28"/>
      <c r="Z53" s="28"/>
      <c r="AA53" s="28"/>
      <c r="AB53" s="28"/>
      <c r="AC53" s="28"/>
      <c r="AD53" s="28"/>
      <c r="AE53" s="28"/>
      <c r="AF53" s="28"/>
      <c r="AG53" s="28"/>
      <c r="AH53" s="28"/>
      <c r="AI53" s="28"/>
      <c r="AJ53" s="28"/>
      <c r="AK53" s="28"/>
      <c r="AL53" s="305"/>
      <c r="AM53" s="305"/>
      <c r="AN53" s="98"/>
      <c r="AO53" s="98"/>
      <c r="AP53" s="135">
        <f t="shared" si="6"/>
        <v>0</v>
      </c>
      <c r="AQ53" s="135" t="str">
        <f t="shared" si="7"/>
        <v>B</v>
      </c>
      <c r="AR53" t="s">
        <v>229</v>
      </c>
    </row>
    <row r="54" spans="6:44" ht="29.25" customHeight="1" x14ac:dyDescent="0.35">
      <c r="F54" s="61">
        <v>50</v>
      </c>
      <c r="G54" s="77" t="str">
        <f>IF('set-dasis'!F54=0,"",'set-dasis'!F54)</f>
        <v/>
      </c>
      <c r="H54" s="28"/>
      <c r="I54" s="28"/>
      <c r="J54" s="28"/>
      <c r="K54" s="28"/>
      <c r="L54" s="28"/>
      <c r="M54" s="28"/>
      <c r="N54" s="99" t="s">
        <v>2470</v>
      </c>
      <c r="O54" s="176">
        <v>96</v>
      </c>
      <c r="P54" s="73" t="str">
        <f t="shared" si="8"/>
        <v>SB</v>
      </c>
      <c r="Q54" s="73" t="str">
        <f t="shared" si="9"/>
        <v>SANGAT BAIK</v>
      </c>
      <c r="R54" s="74" t="str">
        <f t="shared" si="10"/>
        <v>Alhamdulillah Ananda  telah menunjukan sikap spiritual yang SANGAT BAIK dalam hal beribadah dan bersyukur dengan terus berusaha melakukan ketaatan kepada Allah dan berbuat baik kepada orang lain</v>
      </c>
      <c r="S54" s="176">
        <v>106</v>
      </c>
      <c r="T54" s="73" t="str">
        <f t="shared" si="11"/>
        <v>SB</v>
      </c>
      <c r="U54" s="73" t="str">
        <f t="shared" si="12"/>
        <v>SANGAT BAIK</v>
      </c>
      <c r="V54" s="74" t="str">
        <f t="shared" si="13"/>
        <v>Alhamdulillah, Ananda  telah menunjukan sikap sosial yang SANGAT BAIK dalam hal kedisiplinan, kejujuran, tanggung jawab dan keperdulian terhadap orang lain dengan terus berusaha mengamalkan akhlak mulia sesuai dengan nilai-nilai moral yang berlaku</v>
      </c>
      <c r="W54" s="28"/>
      <c r="X54" s="28"/>
      <c r="Y54" s="28"/>
      <c r="Z54" s="28"/>
      <c r="AA54" s="28"/>
      <c r="AB54" s="28"/>
      <c r="AC54" s="28"/>
      <c r="AD54" s="28"/>
      <c r="AE54" s="28"/>
      <c r="AF54" s="28"/>
      <c r="AG54" s="28"/>
      <c r="AH54" s="28"/>
      <c r="AI54" s="28"/>
      <c r="AJ54" s="28"/>
      <c r="AK54" s="28"/>
      <c r="AL54" s="305"/>
      <c r="AM54" s="305"/>
      <c r="AN54" s="98"/>
      <c r="AO54" s="98"/>
      <c r="AP54" s="135">
        <f t="shared" si="6"/>
        <v>0</v>
      </c>
      <c r="AQ54" s="135" t="str">
        <f t="shared" si="7"/>
        <v>B</v>
      </c>
      <c r="AR54" t="s">
        <v>229</v>
      </c>
    </row>
  </sheetData>
  <mergeCells count="14">
    <mergeCell ref="AL1:AQ1"/>
    <mergeCell ref="T3:U3"/>
    <mergeCell ref="W2:AB2"/>
    <mergeCell ref="AC2:AK2"/>
    <mergeCell ref="AL2:AM2"/>
    <mergeCell ref="AN2:AQ2"/>
    <mergeCell ref="G1:G3"/>
    <mergeCell ref="F1:F3"/>
    <mergeCell ref="P3:Q3"/>
    <mergeCell ref="H1:AK1"/>
    <mergeCell ref="O2:R2"/>
    <mergeCell ref="S2:V2"/>
    <mergeCell ref="H2:J2"/>
    <mergeCell ref="K2:M2"/>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A5"/>
  <sheetViews>
    <sheetView workbookViewId="0">
      <selection activeCell="D17" sqref="D17"/>
    </sheetView>
  </sheetViews>
  <sheetFormatPr defaultRowHeight="14.5" x14ac:dyDescent="0.35"/>
  <sheetData>
    <row r="1" spans="1:1" x14ac:dyDescent="0.35">
      <c r="A1" t="s">
        <v>251</v>
      </c>
    </row>
    <row r="2" spans="1:1" x14ac:dyDescent="0.35">
      <c r="A2" t="s">
        <v>252</v>
      </c>
    </row>
    <row r="3" spans="1:1" x14ac:dyDescent="0.35">
      <c r="A3" t="s">
        <v>253</v>
      </c>
    </row>
    <row r="4" spans="1:1" x14ac:dyDescent="0.35">
      <c r="A4" t="s">
        <v>254</v>
      </c>
    </row>
    <row r="5" spans="1:1" x14ac:dyDescent="0.35">
      <c r="A5" t="s">
        <v>255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BF49"/>
  <sheetViews>
    <sheetView showGridLines="0" zoomScale="55" zoomScaleNormal="55" workbookViewId="0">
      <selection activeCell="AE29" sqref="AE29"/>
    </sheetView>
  </sheetViews>
  <sheetFormatPr defaultRowHeight="14.5" x14ac:dyDescent="0.35"/>
  <cols>
    <col min="4" max="4" width="4.1796875" customWidth="1"/>
    <col min="5" max="5" width="1.54296875" customWidth="1"/>
    <col min="6" max="6" width="5.453125" style="18" customWidth="1"/>
    <col min="7" max="7" width="45.453125" style="19" customWidth="1"/>
    <col min="8" max="8" width="11.54296875" style="18" customWidth="1"/>
    <col min="9" max="20" width="10.7265625" style="18" customWidth="1"/>
    <col min="21" max="21" width="13.7265625" style="18" customWidth="1"/>
    <col min="22" max="23" width="15.1796875" style="18" bestFit="1" customWidth="1"/>
    <col min="24" max="24" width="13.7265625" style="18" customWidth="1"/>
    <col min="25" max="26" width="7.81640625" style="18" customWidth="1"/>
    <col min="27" max="40" width="8.81640625" style="18" customWidth="1"/>
    <col min="42" max="58" width="9.1796875" style="34"/>
  </cols>
  <sheetData>
    <row r="1" spans="1:58" ht="23.25" customHeight="1" x14ac:dyDescent="0.35">
      <c r="A1" s="38"/>
      <c r="B1" s="38"/>
      <c r="C1" s="38"/>
      <c r="F1" s="442"/>
      <c r="G1" s="443"/>
      <c r="H1" s="265">
        <v>1</v>
      </c>
      <c r="I1" s="265">
        <v>2</v>
      </c>
      <c r="J1" s="265">
        <v>2</v>
      </c>
      <c r="K1" s="265">
        <v>3</v>
      </c>
      <c r="L1" s="265"/>
      <c r="M1" s="265">
        <v>4</v>
      </c>
      <c r="N1" s="265">
        <v>5</v>
      </c>
      <c r="O1" s="265">
        <v>6</v>
      </c>
      <c r="P1" s="265">
        <v>7</v>
      </c>
      <c r="Q1" s="265">
        <v>8</v>
      </c>
      <c r="R1" s="275"/>
      <c r="S1" s="265">
        <v>10</v>
      </c>
      <c r="T1" s="265">
        <v>11</v>
      </c>
      <c r="U1" s="265">
        <v>12</v>
      </c>
      <c r="V1" s="265">
        <v>13</v>
      </c>
      <c r="W1" s="265">
        <v>14</v>
      </c>
      <c r="X1" s="265">
        <v>15</v>
      </c>
      <c r="Y1" s="265">
        <v>16</v>
      </c>
      <c r="Z1" s="265">
        <v>17</v>
      </c>
      <c r="AA1" s="319">
        <v>18</v>
      </c>
      <c r="AB1" s="319">
        <v>19</v>
      </c>
      <c r="AC1" s="319">
        <v>20</v>
      </c>
      <c r="AD1" s="319">
        <v>21</v>
      </c>
      <c r="AE1" s="319">
        <v>22</v>
      </c>
      <c r="AF1" s="319">
        <v>23</v>
      </c>
      <c r="AG1" s="319">
        <v>24</v>
      </c>
      <c r="AH1" s="319">
        <v>25</v>
      </c>
      <c r="AI1" s="319">
        <v>26</v>
      </c>
      <c r="AJ1" s="319">
        <v>27</v>
      </c>
      <c r="AK1" s="319">
        <v>28</v>
      </c>
      <c r="AL1" s="319">
        <v>29</v>
      </c>
      <c r="AM1" s="319">
        <v>30</v>
      </c>
      <c r="AN1" s="319">
        <v>31</v>
      </c>
      <c r="AP1" s="439" t="str">
        <f t="shared" ref="AP1:BF1" si="0">H2</f>
        <v>Tahfizh Al-Qur'an</v>
      </c>
      <c r="AQ1" s="439" t="str">
        <f t="shared" si="0"/>
        <v>Akhlaq</v>
      </c>
      <c r="AR1" s="439" t="str">
        <f t="shared" si="0"/>
        <v>Aqidah dan Manhaj</v>
      </c>
      <c r="AS1" s="439" t="str">
        <f t="shared" si="0"/>
        <v>Fiqih</v>
      </c>
      <c r="AT1" s="439" t="str">
        <f t="shared" si="0"/>
        <v>Bahasa Arab</v>
      </c>
      <c r="AU1" s="439" t="str">
        <f t="shared" si="0"/>
        <v>Nahwu dan Shorof</v>
      </c>
      <c r="AV1" s="439" t="str">
        <f t="shared" si="0"/>
        <v>Hadits</v>
      </c>
      <c r="AW1" s="439" t="str">
        <f t="shared" si="0"/>
        <v>Tajwid</v>
      </c>
      <c r="AX1" s="439" t="str">
        <f t="shared" si="0"/>
        <v>Tafsir</v>
      </c>
      <c r="AY1" s="439" t="str">
        <f t="shared" si="0"/>
        <v>Siroh</v>
      </c>
      <c r="AZ1" s="439" t="str">
        <f t="shared" si="0"/>
        <v>Praktek Ibadah dan Bahasa Arab</v>
      </c>
      <c r="BA1" s="439" t="str">
        <f t="shared" si="0"/>
        <v>Bahasa Indonesia</v>
      </c>
      <c r="BB1" s="439" t="str">
        <f t="shared" si="0"/>
        <v>Bahasa Inggris</v>
      </c>
      <c r="BC1" s="439" t="str">
        <f t="shared" si="0"/>
        <v>Matematika</v>
      </c>
      <c r="BD1" s="439" t="str">
        <f t="shared" si="0"/>
        <v>Ilmu Pengetahuan Alam</v>
      </c>
      <c r="BE1" s="439" t="str">
        <f t="shared" si="0"/>
        <v>Ilmu Pengetahuan Sosial</v>
      </c>
      <c r="BF1" s="439" t="str">
        <f t="shared" si="0"/>
        <v>Komputer</v>
      </c>
    </row>
    <row r="2" spans="1:58" ht="47.25" customHeight="1" x14ac:dyDescent="0.35">
      <c r="A2" s="38"/>
      <c r="B2" s="38"/>
      <c r="C2" s="38"/>
      <c r="F2" s="444" t="s">
        <v>138</v>
      </c>
      <c r="G2" s="445"/>
      <c r="H2" s="440" t="str">
        <f>'set-kkm'!F6</f>
        <v>Tahfizh Al-Qur'an</v>
      </c>
      <c r="I2" s="440" t="str">
        <f>'set-kkm'!F7</f>
        <v>Akhlaq</v>
      </c>
      <c r="J2" s="440" t="str">
        <f>'set-kkm'!F8</f>
        <v>Aqidah dan Manhaj</v>
      </c>
      <c r="K2" s="440" t="str">
        <f>'set-kkm'!F9</f>
        <v>Fiqih</v>
      </c>
      <c r="L2" s="440" t="str">
        <f>'set-kkm'!F10</f>
        <v>Bahasa Arab</v>
      </c>
      <c r="M2" s="440" t="str">
        <f>'set-kkm'!F11</f>
        <v>Nahwu dan Shorof</v>
      </c>
      <c r="N2" s="440" t="str">
        <f>'set-kkm'!F12</f>
        <v>Hadits</v>
      </c>
      <c r="O2" s="440" t="str">
        <f>'set-kkm'!F13</f>
        <v>Tajwid</v>
      </c>
      <c r="P2" s="440" t="str">
        <f>'set-kkm'!F14</f>
        <v>Tafsir</v>
      </c>
      <c r="Q2" s="440" t="str">
        <f>'set-kkm'!F15</f>
        <v>Siroh</v>
      </c>
      <c r="R2" s="440" t="str">
        <f>'set-kkm'!F16</f>
        <v>Praktek Ibadah dan Bahasa Arab</v>
      </c>
      <c r="S2" s="440" t="str">
        <f>'set-kkm'!F18</f>
        <v>Bahasa Indonesia</v>
      </c>
      <c r="T2" s="440" t="str">
        <f>'set-kkm'!F19</f>
        <v>Bahasa Inggris</v>
      </c>
      <c r="U2" s="440" t="str">
        <f>'set-kkm'!F20</f>
        <v>Matematika</v>
      </c>
      <c r="V2" s="440" t="str">
        <f>'set-kkm'!F21</f>
        <v>Ilmu Pengetahuan Alam</v>
      </c>
      <c r="W2" s="440" t="str">
        <f>'set-kkm'!F22</f>
        <v>Ilmu Pengetahuan Sosial</v>
      </c>
      <c r="X2" s="440" t="str">
        <f>'set-kkm'!F23</f>
        <v>Komputer</v>
      </c>
      <c r="Y2" s="440" t="s">
        <v>151</v>
      </c>
      <c r="Z2" s="440" t="s">
        <v>153</v>
      </c>
      <c r="AA2" s="427" t="str">
        <f>'set-kkm'!K8</f>
        <v>Pendidikan Agama</v>
      </c>
      <c r="AB2" s="427"/>
      <c r="AC2" s="427" t="str">
        <f>'set-kkm'!K9</f>
        <v>Pendidikan Pancasila dan Kewarganegaraan (PPKN)</v>
      </c>
      <c r="AD2" s="427"/>
      <c r="AE2" s="427" t="str">
        <f>'set-kkm'!K10</f>
        <v>Bahasa Indonesia</v>
      </c>
      <c r="AF2" s="427"/>
      <c r="AG2" s="427" t="str">
        <f>'set-kkm'!K11</f>
        <v>Bahasa Inggris</v>
      </c>
      <c r="AH2" s="427"/>
      <c r="AI2" s="427" t="str">
        <f>'set-kkm'!K12</f>
        <v>Matematika</v>
      </c>
      <c r="AJ2" s="427"/>
      <c r="AK2" s="427" t="str">
        <f>'set-kkm'!K13</f>
        <v>Ilmu Pengetahuan Alam</v>
      </c>
      <c r="AL2" s="427"/>
      <c r="AM2" s="427" t="str">
        <f>'set-kkm'!K14</f>
        <v>Ilmu Pengetahuan Sosial</v>
      </c>
      <c r="AN2" s="427"/>
      <c r="AP2" s="439"/>
      <c r="AQ2" s="439"/>
      <c r="AR2" s="439"/>
      <c r="AS2" s="439"/>
      <c r="AT2" s="439"/>
      <c r="AU2" s="439"/>
      <c r="AV2" s="439"/>
      <c r="AW2" s="439"/>
      <c r="AX2" s="439"/>
      <c r="AY2" s="439"/>
      <c r="AZ2" s="439"/>
      <c r="BA2" s="439"/>
      <c r="BB2" s="439"/>
      <c r="BC2" s="439"/>
      <c r="BD2" s="439"/>
      <c r="BE2" s="439"/>
      <c r="BF2" s="439"/>
    </row>
    <row r="3" spans="1:58" ht="29.25" customHeight="1" x14ac:dyDescent="0.35">
      <c r="A3" s="38"/>
      <c r="B3" s="38"/>
      <c r="C3" s="38"/>
      <c r="F3" s="446"/>
      <c r="G3" s="447"/>
      <c r="H3" s="441"/>
      <c r="I3" s="441"/>
      <c r="J3" s="441"/>
      <c r="K3" s="441"/>
      <c r="L3" s="441"/>
      <c r="M3" s="441"/>
      <c r="N3" s="441"/>
      <c r="O3" s="441"/>
      <c r="P3" s="441"/>
      <c r="Q3" s="441"/>
      <c r="R3" s="441"/>
      <c r="S3" s="441"/>
      <c r="T3" s="441"/>
      <c r="U3" s="441"/>
      <c r="V3" s="441"/>
      <c r="W3" s="441"/>
      <c r="X3" s="441"/>
      <c r="Y3" s="448"/>
      <c r="Z3" s="448"/>
      <c r="AA3" s="450" t="str">
        <f>J2</f>
        <v>Aqidah dan Manhaj</v>
      </c>
      <c r="AB3" s="450"/>
      <c r="AC3" s="450" t="str">
        <f>H2</f>
        <v>Tahfizh Al-Qur'an</v>
      </c>
      <c r="AD3" s="450"/>
      <c r="AE3" s="450" t="str">
        <f>S2</f>
        <v>Bahasa Indonesia</v>
      </c>
      <c r="AF3" s="450"/>
      <c r="AG3" s="450" t="str">
        <f>T2</f>
        <v>Bahasa Inggris</v>
      </c>
      <c r="AH3" s="450"/>
      <c r="AI3" s="450" t="str">
        <f>U2</f>
        <v>Matematika</v>
      </c>
      <c r="AJ3" s="450"/>
      <c r="AK3" s="450" t="str">
        <f>V2</f>
        <v>Ilmu Pengetahuan Alam</v>
      </c>
      <c r="AL3" s="450"/>
      <c r="AM3" s="450" t="str">
        <f>W2</f>
        <v>Ilmu Pengetahuan Sosial</v>
      </c>
      <c r="AN3" s="450"/>
      <c r="AP3" s="439"/>
      <c r="AQ3" s="439"/>
      <c r="AR3" s="439"/>
      <c r="AS3" s="439"/>
      <c r="AT3" s="439"/>
      <c r="AU3" s="439"/>
      <c r="AV3" s="439"/>
      <c r="AW3" s="439"/>
      <c r="AX3" s="439"/>
      <c r="AY3" s="439"/>
      <c r="AZ3" s="439"/>
      <c r="BA3" s="439"/>
      <c r="BB3" s="439"/>
      <c r="BC3" s="439"/>
      <c r="BD3" s="439"/>
      <c r="BE3" s="439"/>
      <c r="BF3" s="439"/>
    </row>
    <row r="4" spans="1:58" ht="18" customHeight="1" x14ac:dyDescent="0.35">
      <c r="A4" s="38"/>
      <c r="B4" s="38"/>
      <c r="C4" s="38"/>
      <c r="F4" s="470" t="s">
        <v>72</v>
      </c>
      <c r="G4" s="470"/>
      <c r="H4" s="265">
        <f>'set-kkm'!H6</f>
        <v>70</v>
      </c>
      <c r="I4" s="265">
        <f>'set-kkm'!H7</f>
        <v>70</v>
      </c>
      <c r="J4" s="265">
        <f>'set-kkm'!H8</f>
        <v>70</v>
      </c>
      <c r="K4" s="265">
        <f>'set-kkm'!H9</f>
        <v>70</v>
      </c>
      <c r="L4" s="265">
        <f>'set-kkm'!H10</f>
        <v>70</v>
      </c>
      <c r="M4" s="265">
        <f>'set-kkm'!H11</f>
        <v>70</v>
      </c>
      <c r="N4" s="265">
        <f>'set-kkm'!H12</f>
        <v>70</v>
      </c>
      <c r="O4" s="265">
        <f>'set-kkm'!H13</f>
        <v>70</v>
      </c>
      <c r="P4" s="265">
        <f>'set-kkm'!H14</f>
        <v>70</v>
      </c>
      <c r="Q4" s="265">
        <f>'set-kkm'!H15</f>
        <v>70</v>
      </c>
      <c r="R4" s="275">
        <f>'set-kkm'!H16</f>
        <v>70</v>
      </c>
      <c r="S4" s="265">
        <f>'set-kkm'!H18</f>
        <v>70</v>
      </c>
      <c r="T4" s="265">
        <f>'set-kkm'!H19</f>
        <v>70</v>
      </c>
      <c r="U4" s="265">
        <f>'set-kkm'!H20</f>
        <v>70</v>
      </c>
      <c r="V4" s="265">
        <f>'set-kkm'!H21</f>
        <v>70</v>
      </c>
      <c r="W4" s="265">
        <f>'set-kkm'!H22</f>
        <v>70</v>
      </c>
      <c r="X4" s="265">
        <f>'set-kkm'!H23</f>
        <v>70</v>
      </c>
      <c r="Y4" s="448"/>
      <c r="Z4" s="448"/>
      <c r="AA4" s="449">
        <f>J4</f>
        <v>70</v>
      </c>
      <c r="AB4" s="449"/>
      <c r="AC4" s="449">
        <f>H4</f>
        <v>70</v>
      </c>
      <c r="AD4" s="449"/>
      <c r="AE4" s="449">
        <f>S4</f>
        <v>70</v>
      </c>
      <c r="AF4" s="449"/>
      <c r="AG4" s="449">
        <f>T4</f>
        <v>70</v>
      </c>
      <c r="AH4" s="449"/>
      <c r="AI4" s="449">
        <f>U4</f>
        <v>70</v>
      </c>
      <c r="AJ4" s="449"/>
      <c r="AK4" s="449">
        <f>V4</f>
        <v>70</v>
      </c>
      <c r="AL4" s="449"/>
      <c r="AM4" s="449">
        <f>W4</f>
        <v>70</v>
      </c>
      <c r="AN4" s="449"/>
      <c r="AP4" s="439"/>
      <c r="AQ4" s="439"/>
      <c r="AR4" s="439"/>
      <c r="AS4" s="439"/>
      <c r="AT4" s="439"/>
      <c r="AU4" s="439"/>
      <c r="AV4" s="439"/>
      <c r="AW4" s="439"/>
      <c r="AX4" s="439"/>
      <c r="AY4" s="439"/>
      <c r="AZ4" s="439"/>
      <c r="BA4" s="439"/>
      <c r="BB4" s="439"/>
      <c r="BC4" s="439"/>
      <c r="BD4" s="439"/>
      <c r="BE4" s="439"/>
      <c r="BF4" s="439"/>
    </row>
    <row r="5" spans="1:58" ht="18" customHeight="1" x14ac:dyDescent="0.35">
      <c r="A5" s="38"/>
      <c r="B5" s="38"/>
      <c r="C5" s="38"/>
      <c r="F5" s="454" t="s">
        <v>39</v>
      </c>
      <c r="G5" s="457" t="s">
        <v>139</v>
      </c>
      <c r="H5" s="460" t="s">
        <v>145</v>
      </c>
      <c r="I5" s="461"/>
      <c r="J5" s="461"/>
      <c r="K5" s="461"/>
      <c r="L5" s="461"/>
      <c r="M5" s="461"/>
      <c r="N5" s="461"/>
      <c r="O5" s="461"/>
      <c r="P5" s="461"/>
      <c r="Q5" s="461"/>
      <c r="R5" s="461"/>
      <c r="S5" s="461"/>
      <c r="T5" s="461"/>
      <c r="U5" s="461"/>
      <c r="V5" s="461"/>
      <c r="W5" s="461"/>
      <c r="X5" s="462"/>
      <c r="Y5" s="448"/>
      <c r="Z5" s="448"/>
      <c r="AA5" s="469" t="s">
        <v>146</v>
      </c>
      <c r="AB5" s="469"/>
      <c r="AC5" s="469"/>
      <c r="AD5" s="469"/>
      <c r="AE5" s="469"/>
      <c r="AF5" s="469"/>
      <c r="AG5" s="469"/>
      <c r="AH5" s="469"/>
      <c r="AI5" s="469"/>
      <c r="AJ5" s="469"/>
      <c r="AK5" s="469"/>
      <c r="AL5" s="469"/>
      <c r="AM5" s="469"/>
      <c r="AN5" s="469"/>
      <c r="AP5" s="439"/>
      <c r="AQ5" s="439"/>
      <c r="AR5" s="439"/>
      <c r="AS5" s="439"/>
      <c r="AT5" s="439"/>
      <c r="AU5" s="439"/>
      <c r="AV5" s="439"/>
      <c r="AW5" s="439"/>
      <c r="AX5" s="439"/>
      <c r="AY5" s="439"/>
      <c r="AZ5" s="439"/>
      <c r="BA5" s="439"/>
      <c r="BB5" s="439"/>
      <c r="BC5" s="439"/>
      <c r="BD5" s="439"/>
      <c r="BE5" s="439"/>
      <c r="BF5" s="439"/>
    </row>
    <row r="6" spans="1:58" ht="18" customHeight="1" x14ac:dyDescent="0.35">
      <c r="A6" s="38"/>
      <c r="B6" s="38"/>
      <c r="C6" s="38"/>
      <c r="F6" s="455"/>
      <c r="G6" s="458"/>
      <c r="H6" s="463"/>
      <c r="I6" s="464"/>
      <c r="J6" s="464"/>
      <c r="K6" s="464"/>
      <c r="L6" s="464"/>
      <c r="M6" s="464"/>
      <c r="N6" s="464"/>
      <c r="O6" s="464"/>
      <c r="P6" s="464"/>
      <c r="Q6" s="464"/>
      <c r="R6" s="464"/>
      <c r="S6" s="464"/>
      <c r="T6" s="464"/>
      <c r="U6" s="464"/>
      <c r="V6" s="464"/>
      <c r="W6" s="464"/>
      <c r="X6" s="465"/>
      <c r="Y6" s="448"/>
      <c r="Z6" s="448"/>
      <c r="AA6" s="451" t="s">
        <v>142</v>
      </c>
      <c r="AB6" s="451"/>
      <c r="AC6" s="451" t="s">
        <v>142</v>
      </c>
      <c r="AD6" s="451"/>
      <c r="AE6" s="451" t="s">
        <v>142</v>
      </c>
      <c r="AF6" s="451"/>
      <c r="AG6" s="451" t="s">
        <v>142</v>
      </c>
      <c r="AH6" s="451"/>
      <c r="AI6" s="451" t="s">
        <v>142</v>
      </c>
      <c r="AJ6" s="451"/>
      <c r="AK6" s="451" t="s">
        <v>142</v>
      </c>
      <c r="AL6" s="451"/>
      <c r="AM6" s="451" t="s">
        <v>142</v>
      </c>
      <c r="AN6" s="451"/>
      <c r="AP6" s="439"/>
      <c r="AQ6" s="439"/>
      <c r="AR6" s="439"/>
      <c r="AS6" s="439"/>
      <c r="AT6" s="439"/>
      <c r="AU6" s="439"/>
      <c r="AV6" s="439"/>
      <c r="AW6" s="439"/>
      <c r="AX6" s="439"/>
      <c r="AY6" s="439"/>
      <c r="AZ6" s="439"/>
      <c r="BA6" s="439"/>
      <c r="BB6" s="439"/>
      <c r="BC6" s="439"/>
      <c r="BD6" s="439"/>
      <c r="BE6" s="439"/>
      <c r="BF6" s="439"/>
    </row>
    <row r="7" spans="1:58" ht="18" customHeight="1" x14ac:dyDescent="0.35">
      <c r="A7" s="38"/>
      <c r="B7" s="38"/>
      <c r="C7" s="38"/>
      <c r="F7" s="456"/>
      <c r="G7" s="459"/>
      <c r="H7" s="466"/>
      <c r="I7" s="467"/>
      <c r="J7" s="467"/>
      <c r="K7" s="467"/>
      <c r="L7" s="467"/>
      <c r="M7" s="467"/>
      <c r="N7" s="467"/>
      <c r="O7" s="467"/>
      <c r="P7" s="467"/>
      <c r="Q7" s="467"/>
      <c r="R7" s="467"/>
      <c r="S7" s="467"/>
      <c r="T7" s="467"/>
      <c r="U7" s="467"/>
      <c r="V7" s="467"/>
      <c r="W7" s="467"/>
      <c r="X7" s="468"/>
      <c r="Y7" s="441"/>
      <c r="Z7" s="441"/>
      <c r="AA7" s="64" t="s">
        <v>141</v>
      </c>
      <c r="AB7" s="64" t="s">
        <v>140</v>
      </c>
      <c r="AC7" s="64" t="s">
        <v>141</v>
      </c>
      <c r="AD7" s="64" t="s">
        <v>140</v>
      </c>
      <c r="AE7" s="64" t="s">
        <v>141</v>
      </c>
      <c r="AF7" s="64" t="s">
        <v>140</v>
      </c>
      <c r="AG7" s="64" t="s">
        <v>141</v>
      </c>
      <c r="AH7" s="64" t="s">
        <v>140</v>
      </c>
      <c r="AI7" s="64" t="s">
        <v>141</v>
      </c>
      <c r="AJ7" s="64" t="s">
        <v>140</v>
      </c>
      <c r="AK7" s="64" t="s">
        <v>141</v>
      </c>
      <c r="AL7" s="64" t="s">
        <v>140</v>
      </c>
      <c r="AM7" s="64" t="s">
        <v>141</v>
      </c>
      <c r="AN7" s="64" t="s">
        <v>140</v>
      </c>
      <c r="AP7" s="439"/>
      <c r="AQ7" s="439"/>
      <c r="AR7" s="439"/>
      <c r="AS7" s="439"/>
      <c r="AT7" s="439"/>
      <c r="AU7" s="439"/>
      <c r="AV7" s="439"/>
      <c r="AW7" s="439"/>
      <c r="AX7" s="439"/>
      <c r="AY7" s="439"/>
      <c r="AZ7" s="439"/>
      <c r="BA7" s="439"/>
      <c r="BB7" s="439"/>
      <c r="BC7" s="439"/>
      <c r="BD7" s="439"/>
      <c r="BE7" s="439"/>
      <c r="BF7" s="439"/>
    </row>
    <row r="8" spans="1:58" ht="18" customHeight="1" x14ac:dyDescent="0.35">
      <c r="A8" s="38"/>
      <c r="B8" s="38"/>
      <c r="C8" s="38"/>
      <c r="F8" s="92">
        <v>1</v>
      </c>
      <c r="G8" s="93">
        <v>2</v>
      </c>
      <c r="H8" s="92">
        <v>3</v>
      </c>
      <c r="I8" s="93">
        <v>4</v>
      </c>
      <c r="J8" s="92">
        <v>5</v>
      </c>
      <c r="K8" s="93">
        <v>6</v>
      </c>
      <c r="L8" s="92">
        <v>7</v>
      </c>
      <c r="M8" s="93">
        <v>8</v>
      </c>
      <c r="N8" s="92">
        <v>9</v>
      </c>
      <c r="O8" s="93">
        <v>10</v>
      </c>
      <c r="P8" s="92">
        <v>11</v>
      </c>
      <c r="Q8" s="93">
        <v>12</v>
      </c>
      <c r="R8" s="92">
        <v>13</v>
      </c>
      <c r="S8" s="93">
        <v>14</v>
      </c>
      <c r="T8" s="92">
        <v>15</v>
      </c>
      <c r="U8" s="93">
        <v>16</v>
      </c>
      <c r="V8" s="92">
        <v>17</v>
      </c>
      <c r="W8" s="93">
        <v>18</v>
      </c>
      <c r="X8" s="92">
        <v>19</v>
      </c>
      <c r="Y8" s="93">
        <v>20</v>
      </c>
      <c r="Z8" s="92">
        <v>21</v>
      </c>
      <c r="AA8" s="93">
        <v>22</v>
      </c>
      <c r="AB8" s="92">
        <v>23</v>
      </c>
      <c r="AC8" s="93">
        <v>24</v>
      </c>
      <c r="AD8" s="92">
        <v>25</v>
      </c>
      <c r="AE8" s="93">
        <v>26</v>
      </c>
      <c r="AF8" s="92">
        <v>27</v>
      </c>
      <c r="AG8" s="93">
        <v>28</v>
      </c>
      <c r="AH8" s="92">
        <v>29</v>
      </c>
      <c r="AI8" s="93">
        <v>30</v>
      </c>
      <c r="AJ8" s="92">
        <v>31</v>
      </c>
      <c r="AK8" s="93">
        <v>32</v>
      </c>
      <c r="AL8" s="92">
        <v>33</v>
      </c>
      <c r="AM8" s="93">
        <v>34</v>
      </c>
      <c r="AN8" s="92">
        <v>35</v>
      </c>
      <c r="AP8" s="439"/>
      <c r="AQ8" s="439"/>
      <c r="AR8" s="439"/>
      <c r="AS8" s="439"/>
      <c r="AT8" s="439"/>
      <c r="AU8" s="439"/>
      <c r="AV8" s="439"/>
      <c r="AW8" s="439"/>
      <c r="AX8" s="439"/>
      <c r="AY8" s="439"/>
      <c r="AZ8" s="439"/>
      <c r="BA8" s="439"/>
      <c r="BB8" s="439"/>
      <c r="BC8" s="439"/>
      <c r="BD8" s="439"/>
      <c r="BE8" s="439"/>
      <c r="BF8" s="439"/>
    </row>
    <row r="9" spans="1:58" ht="20.149999999999999" customHeight="1" x14ac:dyDescent="0.35">
      <c r="A9" s="38"/>
      <c r="B9" s="38"/>
      <c r="C9" s="38"/>
      <c r="F9" s="61">
        <v>1</v>
      </c>
      <c r="G9" s="62" t="str">
        <f>IF('set-dasis'!F5=0,"",'set-dasis'!F5)</f>
        <v>ABDILLAH MUCHSIN AL ANSYORI</v>
      </c>
      <c r="H9" s="320">
        <v>90</v>
      </c>
      <c r="I9" s="322">
        <v>95</v>
      </c>
      <c r="J9" s="323">
        <v>90</v>
      </c>
      <c r="K9" s="323">
        <v>97</v>
      </c>
      <c r="L9" s="324">
        <v>93</v>
      </c>
      <c r="M9" s="323">
        <v>94</v>
      </c>
      <c r="N9" s="323">
        <v>87</v>
      </c>
      <c r="O9" s="323">
        <v>92</v>
      </c>
      <c r="P9" s="324">
        <v>100</v>
      </c>
      <c r="Q9" s="323">
        <v>95</v>
      </c>
      <c r="R9" s="327">
        <v>88</v>
      </c>
      <c r="S9" s="323">
        <v>80</v>
      </c>
      <c r="T9" s="323">
        <v>79</v>
      </c>
      <c r="U9" s="324">
        <v>98</v>
      </c>
      <c r="V9" s="323">
        <v>80</v>
      </c>
      <c r="W9" s="328">
        <v>68</v>
      </c>
      <c r="X9" s="323">
        <v>100</v>
      </c>
      <c r="Y9" s="65">
        <f>SUM(H9:X9)</f>
        <v>1526</v>
      </c>
      <c r="Z9" s="68">
        <f>IFERROR(AVERAGE(H9:X9),"")</f>
        <v>89.764705882352942</v>
      </c>
      <c r="AA9" s="63">
        <f t="shared" ref="AA9:AA48" si="1">IF(J9=0,"",J9)</f>
        <v>90</v>
      </c>
      <c r="AB9" s="63">
        <f>IF(AA9="","",AA9+1)</f>
        <v>91</v>
      </c>
      <c r="AC9" s="63">
        <f t="shared" ref="AC9:AC48" si="2">IF(H9="","",H9)</f>
        <v>90</v>
      </c>
      <c r="AD9" s="63">
        <f>IF(AC9="","",AC9+1)</f>
        <v>91</v>
      </c>
      <c r="AE9" s="63">
        <f t="shared" ref="AE9:AE48" si="3">IF(S9="","",S9)</f>
        <v>80</v>
      </c>
      <c r="AF9" s="63">
        <f>IF(AE9="","",AE9+1)</f>
        <v>81</v>
      </c>
      <c r="AG9" s="63">
        <f t="shared" ref="AG9:AG48" si="4">IF(T9="","",T9)</f>
        <v>79</v>
      </c>
      <c r="AH9" s="63">
        <f>IF(AG9="","",AG9+1)</f>
        <v>80</v>
      </c>
      <c r="AI9" s="63">
        <f t="shared" ref="AI9:AI48" si="5">IF(U9="","",U9)</f>
        <v>98</v>
      </c>
      <c r="AJ9" s="63">
        <f>IF(AI9="","",AI9+1)</f>
        <v>99</v>
      </c>
      <c r="AK9" s="63">
        <f t="shared" ref="AK9:AK48" si="6">IF(V9="","",V9)</f>
        <v>80</v>
      </c>
      <c r="AL9" s="63">
        <f>IF(AK9="","",AK9+1)</f>
        <v>81</v>
      </c>
      <c r="AM9" s="63">
        <f t="shared" ref="AM9:AM48" si="7">IF(W9="","",W9)</f>
        <v>68</v>
      </c>
      <c r="AN9" s="63">
        <f>IF(AM9="","",AM9+1)</f>
        <v>69</v>
      </c>
      <c r="AP9" s="306">
        <f t="shared" ref="AP9:AP42" si="8">IF(H9="","",IF(H9&lt;75,75,H9))</f>
        <v>90</v>
      </c>
      <c r="AQ9" s="306">
        <f t="shared" ref="AQ9:AQ42" si="9">IF(I9="","",IF(I9&lt;75,75,I9))</f>
        <v>95</v>
      </c>
      <c r="AR9" s="306">
        <f t="shared" ref="AR9:AR42" si="10">IF(J9="","",IF(J9&lt;75,75,J9))</f>
        <v>90</v>
      </c>
      <c r="AS9" s="306">
        <f t="shared" ref="AS9:AS42" si="11">IF(K9="","",IF(K9&lt;75,75,K9))</f>
        <v>97</v>
      </c>
      <c r="AT9" s="306">
        <f t="shared" ref="AT9:AT42" si="12">IF(L9="","",IF(L9&lt;75,75,L9))</f>
        <v>93</v>
      </c>
      <c r="AU9" s="306">
        <f t="shared" ref="AU9:AU42" si="13">IF(M9="","",IF(M9&lt;75,75,M9))</f>
        <v>94</v>
      </c>
      <c r="AV9" s="306">
        <f t="shared" ref="AV9:AV42" si="14">IF(N9="","",IF(N9&lt;75,75,N9))</f>
        <v>87</v>
      </c>
      <c r="AW9" s="306">
        <f t="shared" ref="AW9:AW42" si="15">IF(O9="","",IF(O9&lt;75,75,O9))</f>
        <v>92</v>
      </c>
      <c r="AX9" s="306">
        <f t="shared" ref="AX9:AX42" si="16">IF(P9="","",IF(P9&lt;75,75,P9))</f>
        <v>100</v>
      </c>
      <c r="AY9" s="306">
        <f t="shared" ref="AY9:AY42" si="17">IF(Q9="","",IF(Q9&lt;75,75,Q9))</f>
        <v>95</v>
      </c>
      <c r="AZ9" s="306">
        <f t="shared" ref="AZ9:AZ42" si="18">IF(R9="","",IF(R9&lt;75,75,R9))</f>
        <v>88</v>
      </c>
      <c r="BA9" s="306">
        <f t="shared" ref="BA9:BA42" si="19">IF(S9="","",IF(S9&lt;80,80,S9))</f>
        <v>80</v>
      </c>
      <c r="BB9" s="306">
        <f t="shared" ref="BB9:BB42" si="20">IF(T9="","",IF(T9&lt;80,80,T9))</f>
        <v>80</v>
      </c>
      <c r="BC9" s="306">
        <f t="shared" ref="BC9:BC42" si="21">IF(U9="","",IF(U9&lt;80,80,U9))</f>
        <v>98</v>
      </c>
      <c r="BD9" s="306">
        <f t="shared" ref="BD9:BD42" si="22">IF(V9="","",IF(V9&lt;80,80,V9))</f>
        <v>80</v>
      </c>
      <c r="BE9" s="306">
        <f t="shared" ref="BE9:BE42" si="23">IF(W9="","",IF(W9&lt;80,80,W9))</f>
        <v>80</v>
      </c>
      <c r="BF9" s="306">
        <f t="shared" ref="BF9:BF42" si="24">IF(X9="","",IF(X9&lt;80,80,X9))</f>
        <v>100</v>
      </c>
    </row>
    <row r="10" spans="1:58" ht="20.149999999999999" customHeight="1" x14ac:dyDescent="0.35">
      <c r="A10" s="38"/>
      <c r="B10" s="38"/>
      <c r="C10" s="38"/>
      <c r="F10" s="61">
        <v>2</v>
      </c>
      <c r="G10" s="62" t="str">
        <f>IF('set-dasis'!F6=0,"",'set-dasis'!F6)</f>
        <v>ABDULLAH MUADZ</v>
      </c>
      <c r="H10" s="320">
        <v>89</v>
      </c>
      <c r="I10" s="322">
        <v>92</v>
      </c>
      <c r="J10" s="323">
        <v>90</v>
      </c>
      <c r="K10" s="325">
        <v>52</v>
      </c>
      <c r="L10" s="324">
        <v>77</v>
      </c>
      <c r="M10" s="325">
        <v>52</v>
      </c>
      <c r="N10" s="323">
        <v>87</v>
      </c>
      <c r="O10" s="323">
        <v>76</v>
      </c>
      <c r="P10" s="324">
        <v>87</v>
      </c>
      <c r="Q10" s="323">
        <v>94</v>
      </c>
      <c r="R10" s="327">
        <v>83</v>
      </c>
      <c r="S10" s="325">
        <v>65</v>
      </c>
      <c r="T10" s="325">
        <v>65</v>
      </c>
      <c r="U10" s="324">
        <v>74</v>
      </c>
      <c r="V10" s="325">
        <v>35</v>
      </c>
      <c r="W10" s="328">
        <v>50</v>
      </c>
      <c r="X10" s="325">
        <v>65</v>
      </c>
      <c r="Y10" s="65">
        <f t="shared" ref="Y10:Y48" si="25">SUM(H10:X10)</f>
        <v>1233</v>
      </c>
      <c r="Z10" s="68">
        <f t="shared" ref="Z10:Z48" si="26">IFERROR(AVERAGE(H10:X10),"")</f>
        <v>72.529411764705884</v>
      </c>
      <c r="AA10" s="63">
        <f t="shared" si="1"/>
        <v>90</v>
      </c>
      <c r="AB10" s="63">
        <f t="shared" ref="AB10:AB48" si="27">IF(AA10="","",AA10+1)</f>
        <v>91</v>
      </c>
      <c r="AC10" s="63">
        <f t="shared" si="2"/>
        <v>89</v>
      </c>
      <c r="AD10" s="63">
        <f t="shared" ref="AD10:AD48" si="28">IF(AC10="","",AC10+1)</f>
        <v>90</v>
      </c>
      <c r="AE10" s="63">
        <f t="shared" si="3"/>
        <v>65</v>
      </c>
      <c r="AF10" s="63">
        <f t="shared" ref="AF10:AF48" si="29">IF(AE10="","",AE10+1)</f>
        <v>66</v>
      </c>
      <c r="AG10" s="63">
        <f t="shared" si="4"/>
        <v>65</v>
      </c>
      <c r="AH10" s="63">
        <f t="shared" ref="AH10:AH48" si="30">IF(AG10="","",AG10+1)</f>
        <v>66</v>
      </c>
      <c r="AI10" s="63">
        <f t="shared" si="5"/>
        <v>74</v>
      </c>
      <c r="AJ10" s="63">
        <f t="shared" ref="AJ10:AJ48" si="31">IF(AI10="","",AI10+1)</f>
        <v>75</v>
      </c>
      <c r="AK10" s="63">
        <f t="shared" si="6"/>
        <v>35</v>
      </c>
      <c r="AL10" s="63">
        <f t="shared" ref="AL10:AL48" si="32">IF(AK10="","",AK10+1)</f>
        <v>36</v>
      </c>
      <c r="AM10" s="63">
        <f t="shared" si="7"/>
        <v>50</v>
      </c>
      <c r="AN10" s="63">
        <f t="shared" ref="AN10:AN48" si="33">IF(AM10="","",AM10+1)</f>
        <v>51</v>
      </c>
      <c r="AP10" s="306">
        <f t="shared" si="8"/>
        <v>89</v>
      </c>
      <c r="AQ10" s="306">
        <f t="shared" si="9"/>
        <v>92</v>
      </c>
      <c r="AR10" s="306">
        <f t="shared" si="10"/>
        <v>90</v>
      </c>
      <c r="AS10" s="306">
        <f t="shared" si="11"/>
        <v>75</v>
      </c>
      <c r="AT10" s="306">
        <f t="shared" si="12"/>
        <v>77</v>
      </c>
      <c r="AU10" s="306">
        <f t="shared" si="13"/>
        <v>75</v>
      </c>
      <c r="AV10" s="306">
        <f t="shared" si="14"/>
        <v>87</v>
      </c>
      <c r="AW10" s="306">
        <f t="shared" si="15"/>
        <v>76</v>
      </c>
      <c r="AX10" s="306">
        <f t="shared" si="16"/>
        <v>87</v>
      </c>
      <c r="AY10" s="306">
        <f t="shared" si="17"/>
        <v>94</v>
      </c>
      <c r="AZ10" s="306">
        <f t="shared" si="18"/>
        <v>83</v>
      </c>
      <c r="BA10" s="306">
        <f t="shared" si="19"/>
        <v>80</v>
      </c>
      <c r="BB10" s="306">
        <f t="shared" si="20"/>
        <v>80</v>
      </c>
      <c r="BC10" s="306">
        <f t="shared" si="21"/>
        <v>80</v>
      </c>
      <c r="BD10" s="306">
        <f t="shared" si="22"/>
        <v>80</v>
      </c>
      <c r="BE10" s="306">
        <f t="shared" si="23"/>
        <v>80</v>
      </c>
      <c r="BF10" s="306">
        <f t="shared" si="24"/>
        <v>80</v>
      </c>
    </row>
    <row r="11" spans="1:58" ht="20.149999999999999" customHeight="1" x14ac:dyDescent="0.35">
      <c r="A11" s="38"/>
      <c r="B11" s="38"/>
      <c r="C11" s="38"/>
      <c r="F11" s="61">
        <v>3</v>
      </c>
      <c r="G11" s="62" t="str">
        <f>IF('set-dasis'!F7=0,"",'set-dasis'!F7)</f>
        <v>ABYAN TSAQIB MUBAROK</v>
      </c>
      <c r="H11" s="320">
        <v>96</v>
      </c>
      <c r="I11" s="322">
        <v>95</v>
      </c>
      <c r="J11" s="323">
        <v>90</v>
      </c>
      <c r="K11" s="323">
        <v>89</v>
      </c>
      <c r="L11" s="324">
        <v>87</v>
      </c>
      <c r="M11" s="323">
        <v>86</v>
      </c>
      <c r="N11" s="323">
        <v>82</v>
      </c>
      <c r="O11" s="323">
        <v>92</v>
      </c>
      <c r="P11" s="324">
        <v>87</v>
      </c>
      <c r="Q11" s="323">
        <v>85</v>
      </c>
      <c r="R11" s="327">
        <v>85</v>
      </c>
      <c r="S11" s="323">
        <v>75</v>
      </c>
      <c r="T11" s="323">
        <v>75</v>
      </c>
      <c r="U11" s="324">
        <v>86</v>
      </c>
      <c r="V11" s="325">
        <v>45</v>
      </c>
      <c r="W11" s="329">
        <v>88</v>
      </c>
      <c r="X11" s="323">
        <v>75</v>
      </c>
      <c r="Y11" s="65">
        <f t="shared" si="25"/>
        <v>1418</v>
      </c>
      <c r="Z11" s="68">
        <f t="shared" si="26"/>
        <v>83.411764705882348</v>
      </c>
      <c r="AA11" s="63">
        <f t="shared" si="1"/>
        <v>90</v>
      </c>
      <c r="AB11" s="63">
        <f t="shared" si="27"/>
        <v>91</v>
      </c>
      <c r="AC11" s="63">
        <f t="shared" si="2"/>
        <v>96</v>
      </c>
      <c r="AD11" s="63">
        <f t="shared" si="28"/>
        <v>97</v>
      </c>
      <c r="AE11" s="63">
        <f t="shared" si="3"/>
        <v>75</v>
      </c>
      <c r="AF11" s="63">
        <f t="shared" si="29"/>
        <v>76</v>
      </c>
      <c r="AG11" s="63">
        <f t="shared" si="4"/>
        <v>75</v>
      </c>
      <c r="AH11" s="63">
        <f t="shared" si="30"/>
        <v>76</v>
      </c>
      <c r="AI11" s="63">
        <f t="shared" si="5"/>
        <v>86</v>
      </c>
      <c r="AJ11" s="63">
        <f t="shared" si="31"/>
        <v>87</v>
      </c>
      <c r="AK11" s="63">
        <f t="shared" si="6"/>
        <v>45</v>
      </c>
      <c r="AL11" s="63">
        <f t="shared" si="32"/>
        <v>46</v>
      </c>
      <c r="AM11" s="63">
        <f t="shared" si="7"/>
        <v>88</v>
      </c>
      <c r="AN11" s="63">
        <f t="shared" si="33"/>
        <v>89</v>
      </c>
      <c r="AP11" s="306">
        <f t="shared" si="8"/>
        <v>96</v>
      </c>
      <c r="AQ11" s="306">
        <f t="shared" si="9"/>
        <v>95</v>
      </c>
      <c r="AR11" s="306">
        <f t="shared" si="10"/>
        <v>90</v>
      </c>
      <c r="AS11" s="306">
        <f t="shared" si="11"/>
        <v>89</v>
      </c>
      <c r="AT11" s="306">
        <f t="shared" si="12"/>
        <v>87</v>
      </c>
      <c r="AU11" s="306">
        <f t="shared" si="13"/>
        <v>86</v>
      </c>
      <c r="AV11" s="306">
        <f t="shared" si="14"/>
        <v>82</v>
      </c>
      <c r="AW11" s="306">
        <f t="shared" si="15"/>
        <v>92</v>
      </c>
      <c r="AX11" s="306">
        <f t="shared" si="16"/>
        <v>87</v>
      </c>
      <c r="AY11" s="306">
        <f t="shared" si="17"/>
        <v>85</v>
      </c>
      <c r="AZ11" s="306">
        <f t="shared" si="18"/>
        <v>85</v>
      </c>
      <c r="BA11" s="306">
        <f t="shared" si="19"/>
        <v>80</v>
      </c>
      <c r="BB11" s="306">
        <f t="shared" si="20"/>
        <v>80</v>
      </c>
      <c r="BC11" s="306">
        <f t="shared" si="21"/>
        <v>86</v>
      </c>
      <c r="BD11" s="306">
        <f t="shared" si="22"/>
        <v>80</v>
      </c>
      <c r="BE11" s="306">
        <f t="shared" si="23"/>
        <v>88</v>
      </c>
      <c r="BF11" s="306">
        <f t="shared" si="24"/>
        <v>80</v>
      </c>
    </row>
    <row r="12" spans="1:58" ht="20.149999999999999" customHeight="1" x14ac:dyDescent="0.35">
      <c r="A12" s="38"/>
      <c r="B12" s="38"/>
      <c r="C12" s="38"/>
      <c r="F12" s="61">
        <v>4</v>
      </c>
      <c r="G12" s="62" t="str">
        <f>IF('set-dasis'!F8=0,"",'set-dasis'!F8)</f>
        <v>AHMAD WILDAN KHULUQIN AZHIM</v>
      </c>
      <c r="H12" s="320">
        <v>95</v>
      </c>
      <c r="I12" s="322">
        <v>97</v>
      </c>
      <c r="J12" s="323">
        <v>90</v>
      </c>
      <c r="K12" s="323">
        <v>91</v>
      </c>
      <c r="L12" s="324">
        <v>92</v>
      </c>
      <c r="M12" s="323">
        <v>91</v>
      </c>
      <c r="N12" s="323">
        <v>80</v>
      </c>
      <c r="O12" s="323">
        <v>72</v>
      </c>
      <c r="P12" s="324">
        <v>87</v>
      </c>
      <c r="Q12" s="323">
        <v>85</v>
      </c>
      <c r="R12" s="327">
        <v>90</v>
      </c>
      <c r="S12" s="325">
        <v>60</v>
      </c>
      <c r="T12" s="323">
        <v>70</v>
      </c>
      <c r="U12" s="324">
        <v>81</v>
      </c>
      <c r="V12" s="325">
        <v>40</v>
      </c>
      <c r="W12" s="329">
        <v>70</v>
      </c>
      <c r="X12" s="323">
        <v>80</v>
      </c>
      <c r="Y12" s="65">
        <f t="shared" si="25"/>
        <v>1371</v>
      </c>
      <c r="Z12" s="68">
        <f t="shared" si="26"/>
        <v>80.647058823529406</v>
      </c>
      <c r="AA12" s="63">
        <f t="shared" si="1"/>
        <v>90</v>
      </c>
      <c r="AB12" s="63">
        <f t="shared" si="27"/>
        <v>91</v>
      </c>
      <c r="AC12" s="63">
        <f t="shared" si="2"/>
        <v>95</v>
      </c>
      <c r="AD12" s="63">
        <f t="shared" si="28"/>
        <v>96</v>
      </c>
      <c r="AE12" s="63">
        <f t="shared" si="3"/>
        <v>60</v>
      </c>
      <c r="AF12" s="63">
        <f t="shared" si="29"/>
        <v>61</v>
      </c>
      <c r="AG12" s="63">
        <f t="shared" si="4"/>
        <v>70</v>
      </c>
      <c r="AH12" s="63">
        <f t="shared" si="30"/>
        <v>71</v>
      </c>
      <c r="AI12" s="63">
        <f t="shared" si="5"/>
        <v>81</v>
      </c>
      <c r="AJ12" s="63">
        <f t="shared" si="31"/>
        <v>82</v>
      </c>
      <c r="AK12" s="63">
        <f t="shared" si="6"/>
        <v>40</v>
      </c>
      <c r="AL12" s="63">
        <f t="shared" si="32"/>
        <v>41</v>
      </c>
      <c r="AM12" s="63">
        <f t="shared" si="7"/>
        <v>70</v>
      </c>
      <c r="AN12" s="63">
        <f t="shared" si="33"/>
        <v>71</v>
      </c>
      <c r="AP12" s="306">
        <f t="shared" si="8"/>
        <v>95</v>
      </c>
      <c r="AQ12" s="306">
        <f t="shared" si="9"/>
        <v>97</v>
      </c>
      <c r="AR12" s="306">
        <f t="shared" si="10"/>
        <v>90</v>
      </c>
      <c r="AS12" s="306">
        <f t="shared" si="11"/>
        <v>91</v>
      </c>
      <c r="AT12" s="306">
        <f t="shared" si="12"/>
        <v>92</v>
      </c>
      <c r="AU12" s="306">
        <f t="shared" si="13"/>
        <v>91</v>
      </c>
      <c r="AV12" s="306">
        <f t="shared" si="14"/>
        <v>80</v>
      </c>
      <c r="AW12" s="306">
        <f t="shared" si="15"/>
        <v>75</v>
      </c>
      <c r="AX12" s="306">
        <f t="shared" si="16"/>
        <v>87</v>
      </c>
      <c r="AY12" s="306">
        <f t="shared" si="17"/>
        <v>85</v>
      </c>
      <c r="AZ12" s="306">
        <f t="shared" si="18"/>
        <v>90</v>
      </c>
      <c r="BA12" s="306">
        <f t="shared" si="19"/>
        <v>80</v>
      </c>
      <c r="BB12" s="306">
        <f t="shared" si="20"/>
        <v>80</v>
      </c>
      <c r="BC12" s="306">
        <f t="shared" si="21"/>
        <v>81</v>
      </c>
      <c r="BD12" s="306">
        <f t="shared" si="22"/>
        <v>80</v>
      </c>
      <c r="BE12" s="306">
        <f t="shared" si="23"/>
        <v>80</v>
      </c>
      <c r="BF12" s="306">
        <f t="shared" si="24"/>
        <v>80</v>
      </c>
    </row>
    <row r="13" spans="1:58" ht="20.149999999999999" customHeight="1" x14ac:dyDescent="0.35">
      <c r="A13" s="38"/>
      <c r="B13" s="38"/>
      <c r="C13" s="38"/>
      <c r="F13" s="61">
        <v>5</v>
      </c>
      <c r="G13" s="62" t="str">
        <f>IF('set-dasis'!F9=0,"",'set-dasis'!F9)</f>
        <v>ANNAQI KHAIRULL AZZAM</v>
      </c>
      <c r="H13" s="320">
        <v>76</v>
      </c>
      <c r="I13" s="322">
        <v>97</v>
      </c>
      <c r="J13" s="323">
        <v>80</v>
      </c>
      <c r="K13" s="323">
        <v>91</v>
      </c>
      <c r="L13" s="324">
        <v>86</v>
      </c>
      <c r="M13" s="325">
        <v>51</v>
      </c>
      <c r="N13" s="323">
        <v>87</v>
      </c>
      <c r="O13" s="323">
        <v>70</v>
      </c>
      <c r="P13" s="324">
        <v>91</v>
      </c>
      <c r="Q13" s="323">
        <v>71</v>
      </c>
      <c r="R13" s="327">
        <v>73</v>
      </c>
      <c r="S13" s="325">
        <v>65</v>
      </c>
      <c r="T13" s="325">
        <v>65</v>
      </c>
      <c r="U13" s="326">
        <v>59</v>
      </c>
      <c r="V13" s="325">
        <v>40</v>
      </c>
      <c r="W13" s="328">
        <v>62</v>
      </c>
      <c r="X13" s="323">
        <v>70</v>
      </c>
      <c r="Y13" s="65">
        <f t="shared" si="25"/>
        <v>1234</v>
      </c>
      <c r="Z13" s="68">
        <f t="shared" si="26"/>
        <v>72.588235294117652</v>
      </c>
      <c r="AA13" s="63">
        <f t="shared" si="1"/>
        <v>80</v>
      </c>
      <c r="AB13" s="63">
        <f t="shared" si="27"/>
        <v>81</v>
      </c>
      <c r="AC13" s="63">
        <f t="shared" si="2"/>
        <v>76</v>
      </c>
      <c r="AD13" s="63">
        <f t="shared" si="28"/>
        <v>77</v>
      </c>
      <c r="AE13" s="63">
        <f t="shared" si="3"/>
        <v>65</v>
      </c>
      <c r="AF13" s="63">
        <f t="shared" si="29"/>
        <v>66</v>
      </c>
      <c r="AG13" s="63">
        <f t="shared" si="4"/>
        <v>65</v>
      </c>
      <c r="AH13" s="63">
        <f t="shared" si="30"/>
        <v>66</v>
      </c>
      <c r="AI13" s="63">
        <f t="shared" si="5"/>
        <v>59</v>
      </c>
      <c r="AJ13" s="63">
        <f t="shared" si="31"/>
        <v>60</v>
      </c>
      <c r="AK13" s="63">
        <f t="shared" si="6"/>
        <v>40</v>
      </c>
      <c r="AL13" s="63">
        <f t="shared" si="32"/>
        <v>41</v>
      </c>
      <c r="AM13" s="63">
        <f t="shared" si="7"/>
        <v>62</v>
      </c>
      <c r="AN13" s="63">
        <f t="shared" si="33"/>
        <v>63</v>
      </c>
      <c r="AP13" s="306">
        <f t="shared" si="8"/>
        <v>76</v>
      </c>
      <c r="AQ13" s="306">
        <f t="shared" si="9"/>
        <v>97</v>
      </c>
      <c r="AR13" s="306">
        <f t="shared" si="10"/>
        <v>80</v>
      </c>
      <c r="AS13" s="306">
        <f t="shared" si="11"/>
        <v>91</v>
      </c>
      <c r="AT13" s="306">
        <f t="shared" si="12"/>
        <v>86</v>
      </c>
      <c r="AU13" s="306">
        <f t="shared" si="13"/>
        <v>75</v>
      </c>
      <c r="AV13" s="306">
        <f t="shared" si="14"/>
        <v>87</v>
      </c>
      <c r="AW13" s="306">
        <f t="shared" si="15"/>
        <v>75</v>
      </c>
      <c r="AX13" s="306">
        <f t="shared" si="16"/>
        <v>91</v>
      </c>
      <c r="AY13" s="306">
        <f t="shared" si="17"/>
        <v>75</v>
      </c>
      <c r="AZ13" s="306">
        <f t="shared" si="18"/>
        <v>75</v>
      </c>
      <c r="BA13" s="306">
        <f t="shared" si="19"/>
        <v>80</v>
      </c>
      <c r="BB13" s="306">
        <f t="shared" si="20"/>
        <v>80</v>
      </c>
      <c r="BC13" s="306">
        <f t="shared" si="21"/>
        <v>80</v>
      </c>
      <c r="BD13" s="306">
        <f t="shared" si="22"/>
        <v>80</v>
      </c>
      <c r="BE13" s="306">
        <f t="shared" si="23"/>
        <v>80</v>
      </c>
      <c r="BF13" s="306">
        <f t="shared" si="24"/>
        <v>80</v>
      </c>
    </row>
    <row r="14" spans="1:58" ht="20.149999999999999" customHeight="1" x14ac:dyDescent="0.35">
      <c r="A14" s="38"/>
      <c r="B14" s="38"/>
      <c r="C14" s="38"/>
      <c r="F14" s="61">
        <v>6</v>
      </c>
      <c r="G14" s="62" t="str">
        <f>IF('set-dasis'!F10=0,"",'set-dasis'!F10)</f>
        <v>ARKANA AESAR AULAYAIN</v>
      </c>
      <c r="H14" s="320">
        <v>88</v>
      </c>
      <c r="I14" s="322">
        <v>92</v>
      </c>
      <c r="J14" s="323">
        <v>90</v>
      </c>
      <c r="K14" s="323">
        <v>94</v>
      </c>
      <c r="L14" s="324">
        <v>89</v>
      </c>
      <c r="M14" s="323">
        <v>85</v>
      </c>
      <c r="N14" s="323">
        <v>82</v>
      </c>
      <c r="O14" s="323">
        <v>100</v>
      </c>
      <c r="P14" s="324">
        <v>97</v>
      </c>
      <c r="Q14" s="323">
        <v>88</v>
      </c>
      <c r="R14" s="327">
        <v>83</v>
      </c>
      <c r="S14" s="323">
        <v>80</v>
      </c>
      <c r="T14" s="323">
        <v>70</v>
      </c>
      <c r="U14" s="326">
        <v>67</v>
      </c>
      <c r="V14" s="325">
        <v>35</v>
      </c>
      <c r="W14" s="328">
        <v>53</v>
      </c>
      <c r="X14" s="323">
        <v>70</v>
      </c>
      <c r="Y14" s="65">
        <f t="shared" si="25"/>
        <v>1363</v>
      </c>
      <c r="Z14" s="68">
        <f t="shared" si="26"/>
        <v>80.17647058823529</v>
      </c>
      <c r="AA14" s="63">
        <f t="shared" si="1"/>
        <v>90</v>
      </c>
      <c r="AB14" s="63">
        <f t="shared" si="27"/>
        <v>91</v>
      </c>
      <c r="AC14" s="63">
        <f t="shared" si="2"/>
        <v>88</v>
      </c>
      <c r="AD14" s="63">
        <f t="shared" si="28"/>
        <v>89</v>
      </c>
      <c r="AE14" s="63">
        <f t="shared" si="3"/>
        <v>80</v>
      </c>
      <c r="AF14" s="63">
        <f t="shared" si="29"/>
        <v>81</v>
      </c>
      <c r="AG14" s="63">
        <f t="shared" si="4"/>
        <v>70</v>
      </c>
      <c r="AH14" s="63">
        <f t="shared" si="30"/>
        <v>71</v>
      </c>
      <c r="AI14" s="63">
        <f t="shared" si="5"/>
        <v>67</v>
      </c>
      <c r="AJ14" s="63">
        <f t="shared" si="31"/>
        <v>68</v>
      </c>
      <c r="AK14" s="63">
        <f t="shared" si="6"/>
        <v>35</v>
      </c>
      <c r="AL14" s="63">
        <f t="shared" si="32"/>
        <v>36</v>
      </c>
      <c r="AM14" s="63">
        <f t="shared" si="7"/>
        <v>53</v>
      </c>
      <c r="AN14" s="63">
        <f t="shared" si="33"/>
        <v>54</v>
      </c>
      <c r="AP14" s="306">
        <f t="shared" si="8"/>
        <v>88</v>
      </c>
      <c r="AQ14" s="306">
        <f t="shared" si="9"/>
        <v>92</v>
      </c>
      <c r="AR14" s="306">
        <f t="shared" si="10"/>
        <v>90</v>
      </c>
      <c r="AS14" s="306">
        <f t="shared" si="11"/>
        <v>94</v>
      </c>
      <c r="AT14" s="306">
        <f t="shared" si="12"/>
        <v>89</v>
      </c>
      <c r="AU14" s="306">
        <f t="shared" si="13"/>
        <v>85</v>
      </c>
      <c r="AV14" s="306">
        <f t="shared" si="14"/>
        <v>82</v>
      </c>
      <c r="AW14" s="306">
        <f t="shared" si="15"/>
        <v>100</v>
      </c>
      <c r="AX14" s="306">
        <f t="shared" si="16"/>
        <v>97</v>
      </c>
      <c r="AY14" s="306">
        <f t="shared" si="17"/>
        <v>88</v>
      </c>
      <c r="AZ14" s="306">
        <f t="shared" si="18"/>
        <v>83</v>
      </c>
      <c r="BA14" s="306">
        <f t="shared" si="19"/>
        <v>80</v>
      </c>
      <c r="BB14" s="306">
        <f t="shared" si="20"/>
        <v>80</v>
      </c>
      <c r="BC14" s="306">
        <f t="shared" si="21"/>
        <v>80</v>
      </c>
      <c r="BD14" s="306">
        <f t="shared" si="22"/>
        <v>80</v>
      </c>
      <c r="BE14" s="306">
        <f t="shared" si="23"/>
        <v>80</v>
      </c>
      <c r="BF14" s="306">
        <f t="shared" si="24"/>
        <v>80</v>
      </c>
    </row>
    <row r="15" spans="1:58" ht="20.149999999999999" customHeight="1" x14ac:dyDescent="0.35">
      <c r="A15" s="38"/>
      <c r="B15" s="38"/>
      <c r="C15" s="38"/>
      <c r="F15" s="61">
        <v>7</v>
      </c>
      <c r="G15" s="62" t="str">
        <f>IF('set-dasis'!F11=0,"",'set-dasis'!F11)</f>
        <v>ASYAJJ QAIS AL-FAZAARY</v>
      </c>
      <c r="H15" s="320">
        <v>88</v>
      </c>
      <c r="I15" s="322">
        <v>87</v>
      </c>
      <c r="J15" s="323">
        <v>80</v>
      </c>
      <c r="K15" s="323">
        <v>88</v>
      </c>
      <c r="L15" s="324">
        <v>71</v>
      </c>
      <c r="M15" s="325">
        <v>44</v>
      </c>
      <c r="N15" s="325">
        <v>45</v>
      </c>
      <c r="O15" s="323">
        <v>100</v>
      </c>
      <c r="P15" s="326">
        <v>59</v>
      </c>
      <c r="Q15" s="323">
        <v>72</v>
      </c>
      <c r="R15" s="327">
        <v>73</v>
      </c>
      <c r="S15" s="325">
        <v>60</v>
      </c>
      <c r="T15" s="325">
        <v>60</v>
      </c>
      <c r="U15" s="326">
        <v>62</v>
      </c>
      <c r="V15" s="325">
        <v>45</v>
      </c>
      <c r="W15" s="329">
        <v>82</v>
      </c>
      <c r="X15" s="323">
        <v>70</v>
      </c>
      <c r="Y15" s="65">
        <f t="shared" si="25"/>
        <v>1186</v>
      </c>
      <c r="Z15" s="68">
        <f t="shared" si="26"/>
        <v>69.764705882352942</v>
      </c>
      <c r="AA15" s="63">
        <f t="shared" si="1"/>
        <v>80</v>
      </c>
      <c r="AB15" s="63">
        <f t="shared" si="27"/>
        <v>81</v>
      </c>
      <c r="AC15" s="63">
        <f t="shared" si="2"/>
        <v>88</v>
      </c>
      <c r="AD15" s="63">
        <f t="shared" si="28"/>
        <v>89</v>
      </c>
      <c r="AE15" s="63">
        <f t="shared" si="3"/>
        <v>60</v>
      </c>
      <c r="AF15" s="63">
        <f t="shared" si="29"/>
        <v>61</v>
      </c>
      <c r="AG15" s="63">
        <f t="shared" si="4"/>
        <v>60</v>
      </c>
      <c r="AH15" s="63">
        <f t="shared" si="30"/>
        <v>61</v>
      </c>
      <c r="AI15" s="63">
        <f t="shared" si="5"/>
        <v>62</v>
      </c>
      <c r="AJ15" s="63">
        <f t="shared" si="31"/>
        <v>63</v>
      </c>
      <c r="AK15" s="63">
        <f t="shared" si="6"/>
        <v>45</v>
      </c>
      <c r="AL15" s="63">
        <f t="shared" si="32"/>
        <v>46</v>
      </c>
      <c r="AM15" s="63">
        <f t="shared" si="7"/>
        <v>82</v>
      </c>
      <c r="AN15" s="63">
        <f t="shared" si="33"/>
        <v>83</v>
      </c>
      <c r="AP15" s="306">
        <f t="shared" si="8"/>
        <v>88</v>
      </c>
      <c r="AQ15" s="306">
        <f t="shared" si="9"/>
        <v>87</v>
      </c>
      <c r="AR15" s="306">
        <f t="shared" si="10"/>
        <v>80</v>
      </c>
      <c r="AS15" s="306">
        <f t="shared" si="11"/>
        <v>88</v>
      </c>
      <c r="AT15" s="306">
        <f t="shared" si="12"/>
        <v>75</v>
      </c>
      <c r="AU15" s="306">
        <f t="shared" si="13"/>
        <v>75</v>
      </c>
      <c r="AV15" s="306">
        <f t="shared" si="14"/>
        <v>75</v>
      </c>
      <c r="AW15" s="306">
        <f t="shared" si="15"/>
        <v>100</v>
      </c>
      <c r="AX15" s="306">
        <f t="shared" si="16"/>
        <v>75</v>
      </c>
      <c r="AY15" s="306">
        <f t="shared" si="17"/>
        <v>75</v>
      </c>
      <c r="AZ15" s="306">
        <f t="shared" si="18"/>
        <v>75</v>
      </c>
      <c r="BA15" s="306">
        <f t="shared" si="19"/>
        <v>80</v>
      </c>
      <c r="BB15" s="306">
        <f t="shared" si="20"/>
        <v>80</v>
      </c>
      <c r="BC15" s="306">
        <f t="shared" si="21"/>
        <v>80</v>
      </c>
      <c r="BD15" s="306">
        <f t="shared" si="22"/>
        <v>80</v>
      </c>
      <c r="BE15" s="306">
        <f t="shared" si="23"/>
        <v>82</v>
      </c>
      <c r="BF15" s="306">
        <f t="shared" si="24"/>
        <v>80</v>
      </c>
    </row>
    <row r="16" spans="1:58" ht="20.149999999999999" customHeight="1" x14ac:dyDescent="0.35">
      <c r="A16" s="38"/>
      <c r="B16" s="38"/>
      <c r="C16" s="38"/>
      <c r="F16" s="61">
        <v>8</v>
      </c>
      <c r="G16" s="62" t="str">
        <f>IF('set-dasis'!F12=0,"",'set-dasis'!F12)</f>
        <v>AZKA AZHAR RASYID</v>
      </c>
      <c r="H16" s="320">
        <v>97</v>
      </c>
      <c r="I16" s="322">
        <v>95</v>
      </c>
      <c r="J16" s="323">
        <v>80</v>
      </c>
      <c r="K16" s="323">
        <v>79</v>
      </c>
      <c r="L16" s="324">
        <v>74</v>
      </c>
      <c r="M16" s="325">
        <v>61</v>
      </c>
      <c r="N16" s="323">
        <v>85</v>
      </c>
      <c r="O16" s="323">
        <v>92</v>
      </c>
      <c r="P16" s="324">
        <v>79</v>
      </c>
      <c r="Q16" s="323">
        <v>94</v>
      </c>
      <c r="R16" s="327">
        <v>73</v>
      </c>
      <c r="S16" s="325">
        <v>65</v>
      </c>
      <c r="T16" s="323">
        <v>70</v>
      </c>
      <c r="U16" s="324">
        <v>72</v>
      </c>
      <c r="V16" s="325">
        <v>40</v>
      </c>
      <c r="W16" s="328">
        <v>58</v>
      </c>
      <c r="X16" s="323">
        <v>80</v>
      </c>
      <c r="Y16" s="65">
        <f t="shared" si="25"/>
        <v>1294</v>
      </c>
      <c r="Z16" s="68">
        <f t="shared" si="26"/>
        <v>76.117647058823536</v>
      </c>
      <c r="AA16" s="63">
        <f t="shared" si="1"/>
        <v>80</v>
      </c>
      <c r="AB16" s="63">
        <f t="shared" si="27"/>
        <v>81</v>
      </c>
      <c r="AC16" s="63">
        <f t="shared" si="2"/>
        <v>97</v>
      </c>
      <c r="AD16" s="63">
        <f t="shared" si="28"/>
        <v>98</v>
      </c>
      <c r="AE16" s="63">
        <f t="shared" si="3"/>
        <v>65</v>
      </c>
      <c r="AF16" s="63">
        <f t="shared" si="29"/>
        <v>66</v>
      </c>
      <c r="AG16" s="63">
        <f t="shared" si="4"/>
        <v>70</v>
      </c>
      <c r="AH16" s="63">
        <f t="shared" si="30"/>
        <v>71</v>
      </c>
      <c r="AI16" s="63">
        <f t="shared" si="5"/>
        <v>72</v>
      </c>
      <c r="AJ16" s="63">
        <f t="shared" si="31"/>
        <v>73</v>
      </c>
      <c r="AK16" s="63">
        <f t="shared" si="6"/>
        <v>40</v>
      </c>
      <c r="AL16" s="63">
        <f t="shared" si="32"/>
        <v>41</v>
      </c>
      <c r="AM16" s="63">
        <f t="shared" si="7"/>
        <v>58</v>
      </c>
      <c r="AN16" s="63">
        <f t="shared" si="33"/>
        <v>59</v>
      </c>
      <c r="AP16" s="306">
        <f t="shared" si="8"/>
        <v>97</v>
      </c>
      <c r="AQ16" s="306">
        <f t="shared" si="9"/>
        <v>95</v>
      </c>
      <c r="AR16" s="306">
        <f t="shared" si="10"/>
        <v>80</v>
      </c>
      <c r="AS16" s="306">
        <f t="shared" si="11"/>
        <v>79</v>
      </c>
      <c r="AT16" s="306">
        <f t="shared" si="12"/>
        <v>75</v>
      </c>
      <c r="AU16" s="306">
        <f t="shared" si="13"/>
        <v>75</v>
      </c>
      <c r="AV16" s="306">
        <f t="shared" si="14"/>
        <v>85</v>
      </c>
      <c r="AW16" s="306">
        <f t="shared" si="15"/>
        <v>92</v>
      </c>
      <c r="AX16" s="306">
        <f t="shared" si="16"/>
        <v>79</v>
      </c>
      <c r="AY16" s="306">
        <f t="shared" si="17"/>
        <v>94</v>
      </c>
      <c r="AZ16" s="306">
        <f t="shared" si="18"/>
        <v>75</v>
      </c>
      <c r="BA16" s="306">
        <f t="shared" si="19"/>
        <v>80</v>
      </c>
      <c r="BB16" s="306">
        <f t="shared" si="20"/>
        <v>80</v>
      </c>
      <c r="BC16" s="306">
        <f t="shared" si="21"/>
        <v>80</v>
      </c>
      <c r="BD16" s="306">
        <f t="shared" si="22"/>
        <v>80</v>
      </c>
      <c r="BE16" s="306">
        <f t="shared" si="23"/>
        <v>80</v>
      </c>
      <c r="BF16" s="306">
        <f t="shared" si="24"/>
        <v>80</v>
      </c>
    </row>
    <row r="17" spans="1:58" ht="20.149999999999999" customHeight="1" x14ac:dyDescent="0.35">
      <c r="A17" s="38"/>
      <c r="B17" s="38"/>
      <c r="C17" s="38"/>
      <c r="F17" s="61">
        <v>9</v>
      </c>
      <c r="G17" s="62" t="str">
        <f>IF('set-dasis'!F13=0,"",'set-dasis'!F13)</f>
        <v>BIYAN AKHTAR NAISYABURI</v>
      </c>
      <c r="H17" s="320">
        <v>83</v>
      </c>
      <c r="I17" s="325">
        <v>50</v>
      </c>
      <c r="J17" s="323">
        <v>80</v>
      </c>
      <c r="K17" s="325">
        <v>58</v>
      </c>
      <c r="L17" s="326">
        <v>58</v>
      </c>
      <c r="M17" s="325">
        <v>59</v>
      </c>
      <c r="N17" s="323">
        <v>82</v>
      </c>
      <c r="O17" s="323">
        <v>70</v>
      </c>
      <c r="P17" s="326">
        <v>58</v>
      </c>
      <c r="Q17" s="323">
        <v>76</v>
      </c>
      <c r="R17" s="327">
        <v>75</v>
      </c>
      <c r="S17" s="325">
        <v>50</v>
      </c>
      <c r="T17" s="325">
        <v>60</v>
      </c>
      <c r="U17" s="326">
        <v>65</v>
      </c>
      <c r="V17" s="325">
        <v>50</v>
      </c>
      <c r="W17" s="328">
        <v>67</v>
      </c>
      <c r="X17" s="325">
        <v>65</v>
      </c>
      <c r="Y17" s="65">
        <f t="shared" si="25"/>
        <v>1106</v>
      </c>
      <c r="Z17" s="68">
        <f t="shared" si="26"/>
        <v>65.058823529411768</v>
      </c>
      <c r="AA17" s="63">
        <f t="shared" si="1"/>
        <v>80</v>
      </c>
      <c r="AB17" s="63">
        <f t="shared" si="27"/>
        <v>81</v>
      </c>
      <c r="AC17" s="63">
        <f t="shared" si="2"/>
        <v>83</v>
      </c>
      <c r="AD17" s="63">
        <f t="shared" si="28"/>
        <v>84</v>
      </c>
      <c r="AE17" s="63">
        <f t="shared" si="3"/>
        <v>50</v>
      </c>
      <c r="AF17" s="63">
        <f t="shared" si="29"/>
        <v>51</v>
      </c>
      <c r="AG17" s="63">
        <f t="shared" si="4"/>
        <v>60</v>
      </c>
      <c r="AH17" s="63">
        <f t="shared" si="30"/>
        <v>61</v>
      </c>
      <c r="AI17" s="63">
        <f t="shared" si="5"/>
        <v>65</v>
      </c>
      <c r="AJ17" s="63">
        <f t="shared" si="31"/>
        <v>66</v>
      </c>
      <c r="AK17" s="63">
        <f t="shared" si="6"/>
        <v>50</v>
      </c>
      <c r="AL17" s="63">
        <f t="shared" si="32"/>
        <v>51</v>
      </c>
      <c r="AM17" s="63">
        <f t="shared" si="7"/>
        <v>67</v>
      </c>
      <c r="AN17" s="63">
        <f t="shared" si="33"/>
        <v>68</v>
      </c>
      <c r="AP17" s="306">
        <f t="shared" si="8"/>
        <v>83</v>
      </c>
      <c r="AQ17" s="306">
        <f t="shared" si="9"/>
        <v>75</v>
      </c>
      <c r="AR17" s="306">
        <f t="shared" si="10"/>
        <v>80</v>
      </c>
      <c r="AS17" s="306">
        <f t="shared" si="11"/>
        <v>75</v>
      </c>
      <c r="AT17" s="306">
        <f t="shared" si="12"/>
        <v>75</v>
      </c>
      <c r="AU17" s="306">
        <f t="shared" si="13"/>
        <v>75</v>
      </c>
      <c r="AV17" s="306">
        <f t="shared" si="14"/>
        <v>82</v>
      </c>
      <c r="AW17" s="306">
        <f t="shared" si="15"/>
        <v>75</v>
      </c>
      <c r="AX17" s="306">
        <f t="shared" si="16"/>
        <v>75</v>
      </c>
      <c r="AY17" s="306">
        <f t="shared" si="17"/>
        <v>76</v>
      </c>
      <c r="AZ17" s="306">
        <f t="shared" si="18"/>
        <v>75</v>
      </c>
      <c r="BA17" s="306">
        <f t="shared" si="19"/>
        <v>80</v>
      </c>
      <c r="BB17" s="306">
        <f t="shared" si="20"/>
        <v>80</v>
      </c>
      <c r="BC17" s="306">
        <f t="shared" si="21"/>
        <v>80</v>
      </c>
      <c r="BD17" s="306">
        <f t="shared" si="22"/>
        <v>80</v>
      </c>
      <c r="BE17" s="306">
        <f t="shared" si="23"/>
        <v>80</v>
      </c>
      <c r="BF17" s="306">
        <f t="shared" si="24"/>
        <v>80</v>
      </c>
    </row>
    <row r="18" spans="1:58" ht="20.149999999999999" customHeight="1" x14ac:dyDescent="0.35">
      <c r="A18" s="38"/>
      <c r="B18" s="38"/>
      <c r="C18" s="38"/>
      <c r="F18" s="61">
        <v>10</v>
      </c>
      <c r="G18" s="62" t="str">
        <f>IF('set-dasis'!F14=0,"",'set-dasis'!F14)</f>
        <v>CHAIRUL AZZAM RAMADHAN</v>
      </c>
      <c r="H18" s="320">
        <v>87</v>
      </c>
      <c r="I18" s="322">
        <v>100</v>
      </c>
      <c r="J18" s="323">
        <v>90</v>
      </c>
      <c r="K18" s="323">
        <v>90</v>
      </c>
      <c r="L18" s="324">
        <v>100</v>
      </c>
      <c r="M18" s="323">
        <v>100</v>
      </c>
      <c r="N18" s="323">
        <v>97</v>
      </c>
      <c r="O18" s="323">
        <v>96</v>
      </c>
      <c r="P18" s="324">
        <v>100</v>
      </c>
      <c r="Q18" s="323">
        <v>88</v>
      </c>
      <c r="R18" s="327">
        <v>90</v>
      </c>
      <c r="S18" s="323">
        <v>95</v>
      </c>
      <c r="T18" s="323">
        <v>96</v>
      </c>
      <c r="U18" s="324">
        <v>97</v>
      </c>
      <c r="V18" s="323">
        <v>80</v>
      </c>
      <c r="W18" s="328">
        <v>59</v>
      </c>
      <c r="X18" s="323">
        <v>95</v>
      </c>
      <c r="Y18" s="65">
        <f t="shared" si="25"/>
        <v>1560</v>
      </c>
      <c r="Z18" s="68">
        <f t="shared" si="26"/>
        <v>91.764705882352942</v>
      </c>
      <c r="AA18" s="63">
        <f t="shared" si="1"/>
        <v>90</v>
      </c>
      <c r="AB18" s="63">
        <f t="shared" si="27"/>
        <v>91</v>
      </c>
      <c r="AC18" s="63">
        <f t="shared" si="2"/>
        <v>87</v>
      </c>
      <c r="AD18" s="63">
        <f t="shared" si="28"/>
        <v>88</v>
      </c>
      <c r="AE18" s="63">
        <f t="shared" si="3"/>
        <v>95</v>
      </c>
      <c r="AF18" s="63">
        <f t="shared" si="29"/>
        <v>96</v>
      </c>
      <c r="AG18" s="63">
        <f t="shared" si="4"/>
        <v>96</v>
      </c>
      <c r="AH18" s="63">
        <f t="shared" si="30"/>
        <v>97</v>
      </c>
      <c r="AI18" s="63">
        <f t="shared" si="5"/>
        <v>97</v>
      </c>
      <c r="AJ18" s="63">
        <f t="shared" si="31"/>
        <v>98</v>
      </c>
      <c r="AK18" s="63">
        <f t="shared" si="6"/>
        <v>80</v>
      </c>
      <c r="AL18" s="63">
        <f t="shared" si="32"/>
        <v>81</v>
      </c>
      <c r="AM18" s="63">
        <f t="shared" si="7"/>
        <v>59</v>
      </c>
      <c r="AN18" s="63">
        <f t="shared" si="33"/>
        <v>60</v>
      </c>
      <c r="AP18" s="306">
        <f t="shared" si="8"/>
        <v>87</v>
      </c>
      <c r="AQ18" s="306">
        <f t="shared" si="9"/>
        <v>100</v>
      </c>
      <c r="AR18" s="306">
        <f t="shared" si="10"/>
        <v>90</v>
      </c>
      <c r="AS18" s="306">
        <f t="shared" si="11"/>
        <v>90</v>
      </c>
      <c r="AT18" s="306">
        <f t="shared" si="12"/>
        <v>100</v>
      </c>
      <c r="AU18" s="306">
        <f t="shared" si="13"/>
        <v>100</v>
      </c>
      <c r="AV18" s="306">
        <f t="shared" si="14"/>
        <v>97</v>
      </c>
      <c r="AW18" s="306">
        <f t="shared" si="15"/>
        <v>96</v>
      </c>
      <c r="AX18" s="306">
        <f t="shared" si="16"/>
        <v>100</v>
      </c>
      <c r="AY18" s="306">
        <f t="shared" si="17"/>
        <v>88</v>
      </c>
      <c r="AZ18" s="306">
        <f t="shared" si="18"/>
        <v>90</v>
      </c>
      <c r="BA18" s="306">
        <f t="shared" si="19"/>
        <v>95</v>
      </c>
      <c r="BB18" s="306">
        <f t="shared" si="20"/>
        <v>96</v>
      </c>
      <c r="BC18" s="306">
        <f t="shared" si="21"/>
        <v>97</v>
      </c>
      <c r="BD18" s="306">
        <f t="shared" si="22"/>
        <v>80</v>
      </c>
      <c r="BE18" s="306">
        <f t="shared" si="23"/>
        <v>80</v>
      </c>
      <c r="BF18" s="306">
        <f t="shared" si="24"/>
        <v>95</v>
      </c>
    </row>
    <row r="19" spans="1:58" ht="20.149999999999999" customHeight="1" x14ac:dyDescent="0.35">
      <c r="A19" s="38"/>
      <c r="B19" s="38"/>
      <c r="C19" s="38"/>
      <c r="F19" s="61">
        <v>11</v>
      </c>
      <c r="G19" s="62" t="str">
        <f>IF('set-dasis'!F15=0,"",'set-dasis'!F15)</f>
        <v>DEVARA ABDILLAH GHANI</v>
      </c>
      <c r="H19" s="320">
        <v>81</v>
      </c>
      <c r="I19" s="322">
        <v>100</v>
      </c>
      <c r="J19" s="323">
        <v>90</v>
      </c>
      <c r="K19" s="323">
        <v>87</v>
      </c>
      <c r="L19" s="324">
        <v>100</v>
      </c>
      <c r="M19" s="323">
        <v>97</v>
      </c>
      <c r="N19" s="323">
        <v>100</v>
      </c>
      <c r="O19" s="323">
        <v>100</v>
      </c>
      <c r="P19" s="324">
        <v>100</v>
      </c>
      <c r="Q19" s="323">
        <v>97</v>
      </c>
      <c r="R19" s="327">
        <v>83</v>
      </c>
      <c r="S19" s="323">
        <v>95</v>
      </c>
      <c r="T19" s="323">
        <v>85</v>
      </c>
      <c r="U19" s="324">
        <v>99</v>
      </c>
      <c r="V19" s="323">
        <v>75</v>
      </c>
      <c r="W19" s="328">
        <v>60</v>
      </c>
      <c r="X19" s="323">
        <v>100</v>
      </c>
      <c r="Y19" s="65">
        <f t="shared" si="25"/>
        <v>1549</v>
      </c>
      <c r="Z19" s="68">
        <f t="shared" si="26"/>
        <v>91.117647058823536</v>
      </c>
      <c r="AA19" s="63">
        <f t="shared" si="1"/>
        <v>90</v>
      </c>
      <c r="AB19" s="63">
        <f t="shared" si="27"/>
        <v>91</v>
      </c>
      <c r="AC19" s="63">
        <f t="shared" si="2"/>
        <v>81</v>
      </c>
      <c r="AD19" s="63">
        <f t="shared" si="28"/>
        <v>82</v>
      </c>
      <c r="AE19" s="63">
        <f t="shared" si="3"/>
        <v>95</v>
      </c>
      <c r="AF19" s="63">
        <f t="shared" si="29"/>
        <v>96</v>
      </c>
      <c r="AG19" s="63">
        <f t="shared" si="4"/>
        <v>85</v>
      </c>
      <c r="AH19" s="63">
        <f t="shared" si="30"/>
        <v>86</v>
      </c>
      <c r="AI19" s="63">
        <f t="shared" si="5"/>
        <v>99</v>
      </c>
      <c r="AJ19" s="63">
        <f t="shared" si="31"/>
        <v>100</v>
      </c>
      <c r="AK19" s="63">
        <f t="shared" si="6"/>
        <v>75</v>
      </c>
      <c r="AL19" s="63">
        <f t="shared" si="32"/>
        <v>76</v>
      </c>
      <c r="AM19" s="63">
        <f t="shared" si="7"/>
        <v>60</v>
      </c>
      <c r="AN19" s="63">
        <f t="shared" si="33"/>
        <v>61</v>
      </c>
      <c r="AP19" s="306">
        <f t="shared" si="8"/>
        <v>81</v>
      </c>
      <c r="AQ19" s="306">
        <f t="shared" si="9"/>
        <v>100</v>
      </c>
      <c r="AR19" s="306">
        <f t="shared" si="10"/>
        <v>90</v>
      </c>
      <c r="AS19" s="306">
        <f t="shared" si="11"/>
        <v>87</v>
      </c>
      <c r="AT19" s="306">
        <f t="shared" si="12"/>
        <v>100</v>
      </c>
      <c r="AU19" s="306">
        <f t="shared" si="13"/>
        <v>97</v>
      </c>
      <c r="AV19" s="306">
        <f t="shared" si="14"/>
        <v>100</v>
      </c>
      <c r="AW19" s="306">
        <f t="shared" si="15"/>
        <v>100</v>
      </c>
      <c r="AX19" s="306">
        <f t="shared" si="16"/>
        <v>100</v>
      </c>
      <c r="AY19" s="306">
        <f t="shared" si="17"/>
        <v>97</v>
      </c>
      <c r="AZ19" s="306">
        <f t="shared" si="18"/>
        <v>83</v>
      </c>
      <c r="BA19" s="306">
        <f t="shared" si="19"/>
        <v>95</v>
      </c>
      <c r="BB19" s="306">
        <f t="shared" si="20"/>
        <v>85</v>
      </c>
      <c r="BC19" s="306">
        <f t="shared" si="21"/>
        <v>99</v>
      </c>
      <c r="BD19" s="306">
        <f t="shared" si="22"/>
        <v>80</v>
      </c>
      <c r="BE19" s="306">
        <f t="shared" si="23"/>
        <v>80</v>
      </c>
      <c r="BF19" s="306">
        <f t="shared" si="24"/>
        <v>100</v>
      </c>
    </row>
    <row r="20" spans="1:58" ht="20.149999999999999" customHeight="1" x14ac:dyDescent="0.35">
      <c r="A20" s="38"/>
      <c r="B20" s="38"/>
      <c r="C20" s="38"/>
      <c r="F20" s="61">
        <v>12</v>
      </c>
      <c r="G20" s="62" t="str">
        <f>IF('set-dasis'!F16=0,"",'set-dasis'!F16)</f>
        <v>DYO GALIH PUTRAWAN J</v>
      </c>
      <c r="H20" s="320">
        <v>87</v>
      </c>
      <c r="I20" s="322">
        <v>97</v>
      </c>
      <c r="J20" s="323">
        <v>90</v>
      </c>
      <c r="K20" s="323">
        <v>93</v>
      </c>
      <c r="L20" s="324">
        <v>89</v>
      </c>
      <c r="M20" s="323">
        <v>83</v>
      </c>
      <c r="N20" s="323">
        <v>87</v>
      </c>
      <c r="O20" s="323">
        <v>92</v>
      </c>
      <c r="P20" s="324">
        <v>88</v>
      </c>
      <c r="Q20" s="323">
        <v>91</v>
      </c>
      <c r="R20" s="327">
        <v>85</v>
      </c>
      <c r="S20" s="323">
        <v>75</v>
      </c>
      <c r="T20" s="323">
        <v>87</v>
      </c>
      <c r="U20" s="324">
        <v>83</v>
      </c>
      <c r="V20" s="325">
        <v>50</v>
      </c>
      <c r="W20" s="329">
        <v>70</v>
      </c>
      <c r="X20" s="323">
        <v>95</v>
      </c>
      <c r="Y20" s="65">
        <f t="shared" si="25"/>
        <v>1442</v>
      </c>
      <c r="Z20" s="68">
        <f t="shared" si="26"/>
        <v>84.82352941176471</v>
      </c>
      <c r="AA20" s="63">
        <f t="shared" si="1"/>
        <v>90</v>
      </c>
      <c r="AB20" s="63">
        <f t="shared" si="27"/>
        <v>91</v>
      </c>
      <c r="AC20" s="63">
        <f t="shared" si="2"/>
        <v>87</v>
      </c>
      <c r="AD20" s="63">
        <f t="shared" si="28"/>
        <v>88</v>
      </c>
      <c r="AE20" s="63">
        <f t="shared" si="3"/>
        <v>75</v>
      </c>
      <c r="AF20" s="63">
        <f t="shared" si="29"/>
        <v>76</v>
      </c>
      <c r="AG20" s="63">
        <f t="shared" si="4"/>
        <v>87</v>
      </c>
      <c r="AH20" s="63">
        <f t="shared" si="30"/>
        <v>88</v>
      </c>
      <c r="AI20" s="63">
        <f t="shared" si="5"/>
        <v>83</v>
      </c>
      <c r="AJ20" s="63">
        <f t="shared" si="31"/>
        <v>84</v>
      </c>
      <c r="AK20" s="63">
        <f t="shared" si="6"/>
        <v>50</v>
      </c>
      <c r="AL20" s="63">
        <f t="shared" si="32"/>
        <v>51</v>
      </c>
      <c r="AM20" s="63">
        <f t="shared" si="7"/>
        <v>70</v>
      </c>
      <c r="AN20" s="63">
        <f t="shared" si="33"/>
        <v>71</v>
      </c>
      <c r="AP20" s="306">
        <f t="shared" si="8"/>
        <v>87</v>
      </c>
      <c r="AQ20" s="306">
        <f t="shared" si="9"/>
        <v>97</v>
      </c>
      <c r="AR20" s="306">
        <f t="shared" si="10"/>
        <v>90</v>
      </c>
      <c r="AS20" s="306">
        <f t="shared" si="11"/>
        <v>93</v>
      </c>
      <c r="AT20" s="306">
        <f t="shared" si="12"/>
        <v>89</v>
      </c>
      <c r="AU20" s="306">
        <f t="shared" si="13"/>
        <v>83</v>
      </c>
      <c r="AV20" s="306">
        <f t="shared" si="14"/>
        <v>87</v>
      </c>
      <c r="AW20" s="306">
        <f t="shared" si="15"/>
        <v>92</v>
      </c>
      <c r="AX20" s="306">
        <f t="shared" si="16"/>
        <v>88</v>
      </c>
      <c r="AY20" s="306">
        <f t="shared" si="17"/>
        <v>91</v>
      </c>
      <c r="AZ20" s="306">
        <f t="shared" si="18"/>
        <v>85</v>
      </c>
      <c r="BA20" s="306">
        <f t="shared" si="19"/>
        <v>80</v>
      </c>
      <c r="BB20" s="306">
        <f t="shared" si="20"/>
        <v>87</v>
      </c>
      <c r="BC20" s="306">
        <f t="shared" si="21"/>
        <v>83</v>
      </c>
      <c r="BD20" s="306">
        <f t="shared" si="22"/>
        <v>80</v>
      </c>
      <c r="BE20" s="306">
        <f t="shared" si="23"/>
        <v>80</v>
      </c>
      <c r="BF20" s="306">
        <f t="shared" si="24"/>
        <v>95</v>
      </c>
    </row>
    <row r="21" spans="1:58" ht="20.149999999999999" customHeight="1" x14ac:dyDescent="0.35">
      <c r="A21" s="38"/>
      <c r="B21" s="38"/>
      <c r="C21" s="38"/>
      <c r="F21" s="61">
        <v>13</v>
      </c>
      <c r="G21" s="62" t="str">
        <f>IF('set-dasis'!F17=0,"",'set-dasis'!F17)</f>
        <v>DZAKY ABDUL HAFIZ</v>
      </c>
      <c r="H21" s="320">
        <v>91</v>
      </c>
      <c r="I21" s="322">
        <v>95</v>
      </c>
      <c r="J21" s="323">
        <v>90</v>
      </c>
      <c r="K21" s="323">
        <v>88</v>
      </c>
      <c r="L21" s="324">
        <v>74</v>
      </c>
      <c r="M21" s="325">
        <v>54</v>
      </c>
      <c r="N21" s="323">
        <v>100</v>
      </c>
      <c r="O21" s="323">
        <v>88</v>
      </c>
      <c r="P21" s="324">
        <v>91</v>
      </c>
      <c r="Q21" s="323">
        <v>89</v>
      </c>
      <c r="R21" s="327">
        <v>80</v>
      </c>
      <c r="S21" s="323">
        <v>75</v>
      </c>
      <c r="T21" s="323">
        <v>70</v>
      </c>
      <c r="U21" s="324">
        <v>73</v>
      </c>
      <c r="V21" s="325">
        <v>55</v>
      </c>
      <c r="W21" s="328">
        <v>45</v>
      </c>
      <c r="X21" s="323">
        <v>70</v>
      </c>
      <c r="Y21" s="65">
        <f t="shared" si="25"/>
        <v>1328</v>
      </c>
      <c r="Z21" s="68">
        <f t="shared" si="26"/>
        <v>78.117647058823536</v>
      </c>
      <c r="AA21" s="63">
        <f t="shared" si="1"/>
        <v>90</v>
      </c>
      <c r="AB21" s="63">
        <f t="shared" si="27"/>
        <v>91</v>
      </c>
      <c r="AC21" s="63">
        <f t="shared" si="2"/>
        <v>91</v>
      </c>
      <c r="AD21" s="63">
        <f t="shared" si="28"/>
        <v>92</v>
      </c>
      <c r="AE21" s="63">
        <f t="shared" si="3"/>
        <v>75</v>
      </c>
      <c r="AF21" s="63">
        <f t="shared" si="29"/>
        <v>76</v>
      </c>
      <c r="AG21" s="63">
        <f t="shared" si="4"/>
        <v>70</v>
      </c>
      <c r="AH21" s="63">
        <f t="shared" si="30"/>
        <v>71</v>
      </c>
      <c r="AI21" s="63">
        <f t="shared" si="5"/>
        <v>73</v>
      </c>
      <c r="AJ21" s="63">
        <f t="shared" si="31"/>
        <v>74</v>
      </c>
      <c r="AK21" s="63">
        <f t="shared" si="6"/>
        <v>55</v>
      </c>
      <c r="AL21" s="63">
        <f t="shared" si="32"/>
        <v>56</v>
      </c>
      <c r="AM21" s="63">
        <f t="shared" si="7"/>
        <v>45</v>
      </c>
      <c r="AN21" s="63">
        <f t="shared" si="33"/>
        <v>46</v>
      </c>
      <c r="AP21" s="306">
        <f t="shared" si="8"/>
        <v>91</v>
      </c>
      <c r="AQ21" s="306">
        <f t="shared" si="9"/>
        <v>95</v>
      </c>
      <c r="AR21" s="306">
        <f t="shared" si="10"/>
        <v>90</v>
      </c>
      <c r="AS21" s="306">
        <f t="shared" si="11"/>
        <v>88</v>
      </c>
      <c r="AT21" s="306">
        <f t="shared" si="12"/>
        <v>75</v>
      </c>
      <c r="AU21" s="306">
        <f t="shared" si="13"/>
        <v>75</v>
      </c>
      <c r="AV21" s="306">
        <f t="shared" si="14"/>
        <v>100</v>
      </c>
      <c r="AW21" s="306">
        <f t="shared" si="15"/>
        <v>88</v>
      </c>
      <c r="AX21" s="306">
        <f t="shared" si="16"/>
        <v>91</v>
      </c>
      <c r="AY21" s="306">
        <f t="shared" si="17"/>
        <v>89</v>
      </c>
      <c r="AZ21" s="306">
        <f t="shared" si="18"/>
        <v>80</v>
      </c>
      <c r="BA21" s="306">
        <f t="shared" si="19"/>
        <v>80</v>
      </c>
      <c r="BB21" s="306">
        <f t="shared" si="20"/>
        <v>80</v>
      </c>
      <c r="BC21" s="306">
        <f t="shared" si="21"/>
        <v>80</v>
      </c>
      <c r="BD21" s="306">
        <f t="shared" si="22"/>
        <v>80</v>
      </c>
      <c r="BE21" s="306">
        <f t="shared" si="23"/>
        <v>80</v>
      </c>
      <c r="BF21" s="306">
        <f t="shared" si="24"/>
        <v>80</v>
      </c>
    </row>
    <row r="22" spans="1:58" ht="20.149999999999999" customHeight="1" x14ac:dyDescent="0.35">
      <c r="A22" s="38"/>
      <c r="B22" s="38"/>
      <c r="C22" s="38"/>
      <c r="F22" s="61">
        <v>14</v>
      </c>
      <c r="G22" s="62" t="str">
        <f>IF('set-dasis'!F18=0,"",'set-dasis'!F18)</f>
        <v>FADHIL MUHAMMAD ABID AL JABBAR</v>
      </c>
      <c r="H22" s="320">
        <v>78</v>
      </c>
      <c r="I22" s="322">
        <v>90</v>
      </c>
      <c r="J22" s="323">
        <v>80</v>
      </c>
      <c r="K22" s="323">
        <v>73</v>
      </c>
      <c r="L22" s="324">
        <v>85</v>
      </c>
      <c r="M22" s="325">
        <v>60</v>
      </c>
      <c r="N22" s="325">
        <v>62</v>
      </c>
      <c r="O22" s="323">
        <v>80</v>
      </c>
      <c r="P22" s="324">
        <v>90</v>
      </c>
      <c r="Q22" s="323">
        <v>73</v>
      </c>
      <c r="R22" s="327">
        <v>93</v>
      </c>
      <c r="S22" s="325">
        <v>60</v>
      </c>
      <c r="T22" s="323">
        <v>70</v>
      </c>
      <c r="U22" s="324">
        <v>72</v>
      </c>
      <c r="V22" s="325">
        <v>40</v>
      </c>
      <c r="W22" s="328">
        <v>57</v>
      </c>
      <c r="X22" s="323">
        <v>80</v>
      </c>
      <c r="Y22" s="65">
        <f t="shared" si="25"/>
        <v>1243</v>
      </c>
      <c r="Z22" s="68">
        <f t="shared" si="26"/>
        <v>73.117647058823536</v>
      </c>
      <c r="AA22" s="63">
        <f t="shared" si="1"/>
        <v>80</v>
      </c>
      <c r="AB22" s="63">
        <f t="shared" si="27"/>
        <v>81</v>
      </c>
      <c r="AC22" s="63">
        <f t="shared" si="2"/>
        <v>78</v>
      </c>
      <c r="AD22" s="63">
        <f t="shared" si="28"/>
        <v>79</v>
      </c>
      <c r="AE22" s="63">
        <f t="shared" si="3"/>
        <v>60</v>
      </c>
      <c r="AF22" s="63">
        <f t="shared" si="29"/>
        <v>61</v>
      </c>
      <c r="AG22" s="63">
        <f t="shared" si="4"/>
        <v>70</v>
      </c>
      <c r="AH22" s="63">
        <f t="shared" si="30"/>
        <v>71</v>
      </c>
      <c r="AI22" s="63">
        <f t="shared" si="5"/>
        <v>72</v>
      </c>
      <c r="AJ22" s="63">
        <f t="shared" si="31"/>
        <v>73</v>
      </c>
      <c r="AK22" s="63">
        <f t="shared" si="6"/>
        <v>40</v>
      </c>
      <c r="AL22" s="63">
        <f t="shared" si="32"/>
        <v>41</v>
      </c>
      <c r="AM22" s="63">
        <f t="shared" si="7"/>
        <v>57</v>
      </c>
      <c r="AN22" s="63">
        <f t="shared" si="33"/>
        <v>58</v>
      </c>
      <c r="AP22" s="306">
        <f t="shared" si="8"/>
        <v>78</v>
      </c>
      <c r="AQ22" s="306">
        <f t="shared" si="9"/>
        <v>90</v>
      </c>
      <c r="AR22" s="306">
        <f t="shared" si="10"/>
        <v>80</v>
      </c>
      <c r="AS22" s="306">
        <f t="shared" si="11"/>
        <v>75</v>
      </c>
      <c r="AT22" s="306">
        <f t="shared" si="12"/>
        <v>85</v>
      </c>
      <c r="AU22" s="306">
        <f t="shared" si="13"/>
        <v>75</v>
      </c>
      <c r="AV22" s="306">
        <f t="shared" si="14"/>
        <v>75</v>
      </c>
      <c r="AW22" s="306">
        <f t="shared" si="15"/>
        <v>80</v>
      </c>
      <c r="AX22" s="306">
        <f t="shared" si="16"/>
        <v>90</v>
      </c>
      <c r="AY22" s="306">
        <f t="shared" si="17"/>
        <v>75</v>
      </c>
      <c r="AZ22" s="306">
        <f t="shared" si="18"/>
        <v>93</v>
      </c>
      <c r="BA22" s="306">
        <f t="shared" si="19"/>
        <v>80</v>
      </c>
      <c r="BB22" s="306">
        <f t="shared" si="20"/>
        <v>80</v>
      </c>
      <c r="BC22" s="306">
        <f t="shared" si="21"/>
        <v>80</v>
      </c>
      <c r="BD22" s="306">
        <f t="shared" si="22"/>
        <v>80</v>
      </c>
      <c r="BE22" s="306">
        <f t="shared" si="23"/>
        <v>80</v>
      </c>
      <c r="BF22" s="306">
        <f t="shared" si="24"/>
        <v>80</v>
      </c>
    </row>
    <row r="23" spans="1:58" ht="20.149999999999999" customHeight="1" x14ac:dyDescent="0.35">
      <c r="A23" s="38"/>
      <c r="B23" s="38"/>
      <c r="C23" s="38"/>
      <c r="F23" s="61">
        <v>15</v>
      </c>
      <c r="G23" s="62" t="str">
        <f>IF('set-dasis'!F19=0,"",'set-dasis'!F19)</f>
        <v>FAISHAL SYARIF PUTRA AJI</v>
      </c>
      <c r="H23" s="320">
        <v>87</v>
      </c>
      <c r="I23" s="322">
        <v>87</v>
      </c>
      <c r="J23" s="323">
        <v>90</v>
      </c>
      <c r="K23" s="323">
        <v>81</v>
      </c>
      <c r="L23" s="324">
        <v>92</v>
      </c>
      <c r="M23" s="323">
        <v>94</v>
      </c>
      <c r="N23" s="323">
        <v>75</v>
      </c>
      <c r="O23" s="323">
        <v>92</v>
      </c>
      <c r="P23" s="324">
        <v>93</v>
      </c>
      <c r="Q23" s="323">
        <v>86</v>
      </c>
      <c r="R23" s="327">
        <v>85</v>
      </c>
      <c r="S23" s="323">
        <v>70</v>
      </c>
      <c r="T23" s="323">
        <v>70</v>
      </c>
      <c r="U23" s="324">
        <v>97</v>
      </c>
      <c r="V23" s="325">
        <v>45</v>
      </c>
      <c r="W23" s="329">
        <v>90</v>
      </c>
      <c r="X23" s="323">
        <v>85</v>
      </c>
      <c r="Y23" s="65">
        <f t="shared" si="25"/>
        <v>1419</v>
      </c>
      <c r="Z23" s="68">
        <f t="shared" si="26"/>
        <v>83.470588235294116</v>
      </c>
      <c r="AA23" s="63">
        <f t="shared" si="1"/>
        <v>90</v>
      </c>
      <c r="AB23" s="63">
        <f t="shared" si="27"/>
        <v>91</v>
      </c>
      <c r="AC23" s="63">
        <f t="shared" si="2"/>
        <v>87</v>
      </c>
      <c r="AD23" s="63">
        <f t="shared" si="28"/>
        <v>88</v>
      </c>
      <c r="AE23" s="63">
        <f t="shared" si="3"/>
        <v>70</v>
      </c>
      <c r="AF23" s="63">
        <f t="shared" si="29"/>
        <v>71</v>
      </c>
      <c r="AG23" s="63">
        <f t="shared" si="4"/>
        <v>70</v>
      </c>
      <c r="AH23" s="63">
        <f t="shared" si="30"/>
        <v>71</v>
      </c>
      <c r="AI23" s="63">
        <f t="shared" si="5"/>
        <v>97</v>
      </c>
      <c r="AJ23" s="63">
        <f t="shared" si="31"/>
        <v>98</v>
      </c>
      <c r="AK23" s="63">
        <f t="shared" si="6"/>
        <v>45</v>
      </c>
      <c r="AL23" s="63">
        <f t="shared" si="32"/>
        <v>46</v>
      </c>
      <c r="AM23" s="63">
        <f t="shared" si="7"/>
        <v>90</v>
      </c>
      <c r="AN23" s="63">
        <f t="shared" si="33"/>
        <v>91</v>
      </c>
      <c r="AP23" s="306">
        <f t="shared" si="8"/>
        <v>87</v>
      </c>
      <c r="AQ23" s="306">
        <f t="shared" si="9"/>
        <v>87</v>
      </c>
      <c r="AR23" s="306">
        <f t="shared" si="10"/>
        <v>90</v>
      </c>
      <c r="AS23" s="306">
        <f t="shared" si="11"/>
        <v>81</v>
      </c>
      <c r="AT23" s="306">
        <f t="shared" si="12"/>
        <v>92</v>
      </c>
      <c r="AU23" s="306">
        <f t="shared" si="13"/>
        <v>94</v>
      </c>
      <c r="AV23" s="306">
        <f t="shared" si="14"/>
        <v>75</v>
      </c>
      <c r="AW23" s="306">
        <f t="shared" si="15"/>
        <v>92</v>
      </c>
      <c r="AX23" s="306">
        <f t="shared" si="16"/>
        <v>93</v>
      </c>
      <c r="AY23" s="306">
        <f t="shared" si="17"/>
        <v>86</v>
      </c>
      <c r="AZ23" s="306">
        <f t="shared" si="18"/>
        <v>85</v>
      </c>
      <c r="BA23" s="306">
        <f t="shared" si="19"/>
        <v>80</v>
      </c>
      <c r="BB23" s="306">
        <f t="shared" si="20"/>
        <v>80</v>
      </c>
      <c r="BC23" s="306">
        <f t="shared" si="21"/>
        <v>97</v>
      </c>
      <c r="BD23" s="306">
        <f t="shared" si="22"/>
        <v>80</v>
      </c>
      <c r="BE23" s="306">
        <f t="shared" si="23"/>
        <v>90</v>
      </c>
      <c r="BF23" s="306">
        <f t="shared" si="24"/>
        <v>85</v>
      </c>
    </row>
    <row r="24" spans="1:58" ht="20.149999999999999" customHeight="1" x14ac:dyDescent="0.35">
      <c r="A24" s="38"/>
      <c r="B24" s="38"/>
      <c r="C24" s="38"/>
      <c r="F24" s="61">
        <v>16</v>
      </c>
      <c r="G24" s="62" t="str">
        <f>IF('set-dasis'!F20=0,"",'set-dasis'!F20)</f>
        <v>FAQIHUDDIN RAHMAN</v>
      </c>
      <c r="H24" s="320">
        <v>86</v>
      </c>
      <c r="I24" s="322">
        <v>100</v>
      </c>
      <c r="J24" s="323">
        <v>80</v>
      </c>
      <c r="K24" s="323">
        <v>82</v>
      </c>
      <c r="L24" s="324">
        <v>78</v>
      </c>
      <c r="M24" s="325">
        <v>58</v>
      </c>
      <c r="N24" s="323">
        <v>77</v>
      </c>
      <c r="O24" s="323">
        <v>84</v>
      </c>
      <c r="P24" s="324">
        <v>85</v>
      </c>
      <c r="Q24" s="323">
        <v>70</v>
      </c>
      <c r="R24" s="327">
        <v>88</v>
      </c>
      <c r="S24" s="323">
        <v>75</v>
      </c>
      <c r="T24" s="323">
        <v>70</v>
      </c>
      <c r="U24" s="324">
        <v>71</v>
      </c>
      <c r="V24" s="325">
        <v>30</v>
      </c>
      <c r="W24" s="329">
        <v>70</v>
      </c>
      <c r="X24" s="323">
        <v>70</v>
      </c>
      <c r="Y24" s="65">
        <f t="shared" si="25"/>
        <v>1274</v>
      </c>
      <c r="Z24" s="68">
        <f t="shared" si="26"/>
        <v>74.941176470588232</v>
      </c>
      <c r="AA24" s="63">
        <f t="shared" si="1"/>
        <v>80</v>
      </c>
      <c r="AB24" s="63">
        <f t="shared" si="27"/>
        <v>81</v>
      </c>
      <c r="AC24" s="63">
        <f t="shared" si="2"/>
        <v>86</v>
      </c>
      <c r="AD24" s="63">
        <f t="shared" si="28"/>
        <v>87</v>
      </c>
      <c r="AE24" s="63">
        <f t="shared" si="3"/>
        <v>75</v>
      </c>
      <c r="AF24" s="63">
        <f t="shared" si="29"/>
        <v>76</v>
      </c>
      <c r="AG24" s="63">
        <f t="shared" si="4"/>
        <v>70</v>
      </c>
      <c r="AH24" s="63">
        <f t="shared" si="30"/>
        <v>71</v>
      </c>
      <c r="AI24" s="63">
        <f t="shared" si="5"/>
        <v>71</v>
      </c>
      <c r="AJ24" s="63">
        <f t="shared" si="31"/>
        <v>72</v>
      </c>
      <c r="AK24" s="63">
        <f t="shared" si="6"/>
        <v>30</v>
      </c>
      <c r="AL24" s="63">
        <f t="shared" si="32"/>
        <v>31</v>
      </c>
      <c r="AM24" s="63">
        <f t="shared" si="7"/>
        <v>70</v>
      </c>
      <c r="AN24" s="63">
        <f t="shared" si="33"/>
        <v>71</v>
      </c>
      <c r="AP24" s="306">
        <f t="shared" si="8"/>
        <v>86</v>
      </c>
      <c r="AQ24" s="306">
        <f t="shared" si="9"/>
        <v>100</v>
      </c>
      <c r="AR24" s="306">
        <f t="shared" si="10"/>
        <v>80</v>
      </c>
      <c r="AS24" s="306">
        <f t="shared" si="11"/>
        <v>82</v>
      </c>
      <c r="AT24" s="306">
        <f t="shared" si="12"/>
        <v>78</v>
      </c>
      <c r="AU24" s="306">
        <f t="shared" si="13"/>
        <v>75</v>
      </c>
      <c r="AV24" s="306">
        <f t="shared" si="14"/>
        <v>77</v>
      </c>
      <c r="AW24" s="306">
        <f t="shared" si="15"/>
        <v>84</v>
      </c>
      <c r="AX24" s="306">
        <f t="shared" si="16"/>
        <v>85</v>
      </c>
      <c r="AY24" s="306">
        <f t="shared" si="17"/>
        <v>75</v>
      </c>
      <c r="AZ24" s="306">
        <f t="shared" si="18"/>
        <v>88</v>
      </c>
      <c r="BA24" s="306">
        <f t="shared" si="19"/>
        <v>80</v>
      </c>
      <c r="BB24" s="306">
        <f t="shared" si="20"/>
        <v>80</v>
      </c>
      <c r="BC24" s="306">
        <f t="shared" si="21"/>
        <v>80</v>
      </c>
      <c r="BD24" s="306">
        <f t="shared" si="22"/>
        <v>80</v>
      </c>
      <c r="BE24" s="306">
        <f t="shared" si="23"/>
        <v>80</v>
      </c>
      <c r="BF24" s="306">
        <f t="shared" si="24"/>
        <v>80</v>
      </c>
    </row>
    <row r="25" spans="1:58" ht="20.149999999999999" customHeight="1" x14ac:dyDescent="0.35">
      <c r="F25" s="61">
        <v>17</v>
      </c>
      <c r="G25" s="62" t="str">
        <f>IF('set-dasis'!F21=0,"",'set-dasis'!F21)</f>
        <v>FARDAN ADITYA FAHRIZI</v>
      </c>
      <c r="H25" s="320">
        <v>64</v>
      </c>
      <c r="I25" s="322">
        <v>87</v>
      </c>
      <c r="J25" s="323">
        <v>90</v>
      </c>
      <c r="K25" s="323">
        <v>84</v>
      </c>
      <c r="L25" s="324">
        <v>82</v>
      </c>
      <c r="M25" s="325">
        <v>52</v>
      </c>
      <c r="N25" s="323">
        <v>75</v>
      </c>
      <c r="O25" s="323">
        <v>70</v>
      </c>
      <c r="P25" s="326">
        <v>67</v>
      </c>
      <c r="Q25" s="323">
        <v>87</v>
      </c>
      <c r="R25" s="327">
        <v>85</v>
      </c>
      <c r="S25" s="325">
        <v>65</v>
      </c>
      <c r="T25" s="325">
        <v>60</v>
      </c>
      <c r="U25" s="324">
        <v>70</v>
      </c>
      <c r="V25" s="325">
        <v>55</v>
      </c>
      <c r="W25" s="328">
        <v>57</v>
      </c>
      <c r="X25" s="323">
        <v>90</v>
      </c>
      <c r="Y25" s="65">
        <f t="shared" si="25"/>
        <v>1240</v>
      </c>
      <c r="Z25" s="68">
        <f t="shared" si="26"/>
        <v>72.941176470588232</v>
      </c>
      <c r="AA25" s="63">
        <f t="shared" si="1"/>
        <v>90</v>
      </c>
      <c r="AB25" s="63">
        <f t="shared" si="27"/>
        <v>91</v>
      </c>
      <c r="AC25" s="63">
        <f t="shared" si="2"/>
        <v>64</v>
      </c>
      <c r="AD25" s="63">
        <f t="shared" si="28"/>
        <v>65</v>
      </c>
      <c r="AE25" s="63">
        <f t="shared" si="3"/>
        <v>65</v>
      </c>
      <c r="AF25" s="63">
        <f t="shared" si="29"/>
        <v>66</v>
      </c>
      <c r="AG25" s="63">
        <f t="shared" si="4"/>
        <v>60</v>
      </c>
      <c r="AH25" s="63">
        <f t="shared" si="30"/>
        <v>61</v>
      </c>
      <c r="AI25" s="63">
        <f t="shared" si="5"/>
        <v>70</v>
      </c>
      <c r="AJ25" s="63">
        <f t="shared" si="31"/>
        <v>71</v>
      </c>
      <c r="AK25" s="63">
        <f t="shared" si="6"/>
        <v>55</v>
      </c>
      <c r="AL25" s="63">
        <f t="shared" si="32"/>
        <v>56</v>
      </c>
      <c r="AM25" s="63">
        <f t="shared" si="7"/>
        <v>57</v>
      </c>
      <c r="AN25" s="63">
        <f t="shared" si="33"/>
        <v>58</v>
      </c>
      <c r="AP25" s="306">
        <f t="shared" si="8"/>
        <v>75</v>
      </c>
      <c r="AQ25" s="306">
        <f t="shared" si="9"/>
        <v>87</v>
      </c>
      <c r="AR25" s="306">
        <f t="shared" si="10"/>
        <v>90</v>
      </c>
      <c r="AS25" s="306">
        <f t="shared" si="11"/>
        <v>84</v>
      </c>
      <c r="AT25" s="306">
        <f t="shared" si="12"/>
        <v>82</v>
      </c>
      <c r="AU25" s="306">
        <f t="shared" si="13"/>
        <v>75</v>
      </c>
      <c r="AV25" s="306">
        <f t="shared" si="14"/>
        <v>75</v>
      </c>
      <c r="AW25" s="306">
        <f t="shared" si="15"/>
        <v>75</v>
      </c>
      <c r="AX25" s="306">
        <f t="shared" si="16"/>
        <v>75</v>
      </c>
      <c r="AY25" s="306">
        <f t="shared" si="17"/>
        <v>87</v>
      </c>
      <c r="AZ25" s="306">
        <f t="shared" si="18"/>
        <v>85</v>
      </c>
      <c r="BA25" s="306">
        <f t="shared" si="19"/>
        <v>80</v>
      </c>
      <c r="BB25" s="306">
        <f t="shared" si="20"/>
        <v>80</v>
      </c>
      <c r="BC25" s="306">
        <f t="shared" si="21"/>
        <v>80</v>
      </c>
      <c r="BD25" s="306">
        <f t="shared" si="22"/>
        <v>80</v>
      </c>
      <c r="BE25" s="306">
        <f t="shared" si="23"/>
        <v>80</v>
      </c>
      <c r="BF25" s="306">
        <f t="shared" si="24"/>
        <v>90</v>
      </c>
    </row>
    <row r="26" spans="1:58" ht="20.149999999999999" customHeight="1" x14ac:dyDescent="0.35">
      <c r="F26" s="61">
        <v>18</v>
      </c>
      <c r="G26" s="62" t="str">
        <f>IF('set-dasis'!F22=0,"",'set-dasis'!F22)</f>
        <v>FARHAN ISMAIL</v>
      </c>
      <c r="H26" s="320">
        <v>96</v>
      </c>
      <c r="I26" s="322">
        <v>87</v>
      </c>
      <c r="J26" s="323">
        <v>85</v>
      </c>
      <c r="K26" s="323">
        <v>83</v>
      </c>
      <c r="L26" s="324">
        <v>92</v>
      </c>
      <c r="M26" s="323">
        <v>93</v>
      </c>
      <c r="N26" s="323">
        <v>92</v>
      </c>
      <c r="O26" s="323">
        <v>70</v>
      </c>
      <c r="P26" s="324">
        <v>77</v>
      </c>
      <c r="Q26" s="323">
        <v>70</v>
      </c>
      <c r="R26" s="327">
        <v>80</v>
      </c>
      <c r="S26" s="323"/>
      <c r="T26" s="325">
        <v>60</v>
      </c>
      <c r="U26" s="326">
        <v>55</v>
      </c>
      <c r="V26" s="325">
        <v>50</v>
      </c>
      <c r="W26" s="329">
        <v>88</v>
      </c>
      <c r="X26" s="323">
        <v>75</v>
      </c>
      <c r="Y26" s="65">
        <f t="shared" si="25"/>
        <v>1253</v>
      </c>
      <c r="Z26" s="68">
        <f t="shared" si="26"/>
        <v>78.3125</v>
      </c>
      <c r="AA26" s="63">
        <f t="shared" si="1"/>
        <v>85</v>
      </c>
      <c r="AB26" s="63">
        <f t="shared" si="27"/>
        <v>86</v>
      </c>
      <c r="AC26" s="63">
        <f t="shared" si="2"/>
        <v>96</v>
      </c>
      <c r="AD26" s="63">
        <f t="shared" si="28"/>
        <v>97</v>
      </c>
      <c r="AE26" s="63" t="str">
        <f t="shared" si="3"/>
        <v/>
      </c>
      <c r="AF26" s="63" t="str">
        <f t="shared" si="29"/>
        <v/>
      </c>
      <c r="AG26" s="63">
        <f t="shared" si="4"/>
        <v>60</v>
      </c>
      <c r="AH26" s="63">
        <f t="shared" si="30"/>
        <v>61</v>
      </c>
      <c r="AI26" s="63">
        <f t="shared" si="5"/>
        <v>55</v>
      </c>
      <c r="AJ26" s="63">
        <f t="shared" si="31"/>
        <v>56</v>
      </c>
      <c r="AK26" s="63">
        <f t="shared" si="6"/>
        <v>50</v>
      </c>
      <c r="AL26" s="63">
        <f t="shared" si="32"/>
        <v>51</v>
      </c>
      <c r="AM26" s="63">
        <f t="shared" si="7"/>
        <v>88</v>
      </c>
      <c r="AN26" s="63">
        <f t="shared" si="33"/>
        <v>89</v>
      </c>
      <c r="AP26" s="306">
        <f t="shared" si="8"/>
        <v>96</v>
      </c>
      <c r="AQ26" s="306">
        <f t="shared" si="9"/>
        <v>87</v>
      </c>
      <c r="AR26" s="306">
        <f t="shared" si="10"/>
        <v>85</v>
      </c>
      <c r="AS26" s="306">
        <f t="shared" si="11"/>
        <v>83</v>
      </c>
      <c r="AT26" s="306">
        <f t="shared" si="12"/>
        <v>92</v>
      </c>
      <c r="AU26" s="306">
        <f t="shared" si="13"/>
        <v>93</v>
      </c>
      <c r="AV26" s="306">
        <f t="shared" si="14"/>
        <v>92</v>
      </c>
      <c r="AW26" s="306">
        <f t="shared" si="15"/>
        <v>75</v>
      </c>
      <c r="AX26" s="306">
        <f t="shared" si="16"/>
        <v>77</v>
      </c>
      <c r="AY26" s="306">
        <f t="shared" si="17"/>
        <v>75</v>
      </c>
      <c r="AZ26" s="306">
        <f t="shared" si="18"/>
        <v>80</v>
      </c>
      <c r="BA26" s="306" t="str">
        <f t="shared" si="19"/>
        <v/>
      </c>
      <c r="BB26" s="306">
        <f t="shared" si="20"/>
        <v>80</v>
      </c>
      <c r="BC26" s="306">
        <f t="shared" si="21"/>
        <v>80</v>
      </c>
      <c r="BD26" s="306">
        <f t="shared" si="22"/>
        <v>80</v>
      </c>
      <c r="BE26" s="306">
        <f t="shared" si="23"/>
        <v>88</v>
      </c>
      <c r="BF26" s="306">
        <f t="shared" si="24"/>
        <v>80</v>
      </c>
    </row>
    <row r="27" spans="1:58" ht="20.149999999999999" customHeight="1" x14ac:dyDescent="0.35">
      <c r="F27" s="61">
        <v>19</v>
      </c>
      <c r="G27" s="62" t="str">
        <f>IF('set-dasis'!F23=0,"",'set-dasis'!F23)</f>
        <v>FATHLIH DHIFAN</v>
      </c>
      <c r="H27" s="320">
        <v>91</v>
      </c>
      <c r="I27" s="322">
        <v>100</v>
      </c>
      <c r="J27" s="323">
        <v>85</v>
      </c>
      <c r="K27" s="323">
        <v>94</v>
      </c>
      <c r="L27" s="324">
        <v>90</v>
      </c>
      <c r="M27" s="323">
        <v>96</v>
      </c>
      <c r="N27" s="323">
        <v>92</v>
      </c>
      <c r="O27" s="323">
        <v>88</v>
      </c>
      <c r="P27" s="324">
        <v>100</v>
      </c>
      <c r="Q27" s="323">
        <v>75</v>
      </c>
      <c r="R27" s="327">
        <v>88</v>
      </c>
      <c r="S27" s="323">
        <v>80</v>
      </c>
      <c r="T27" s="325">
        <v>65</v>
      </c>
      <c r="U27" s="324">
        <v>74</v>
      </c>
      <c r="V27" s="325">
        <v>60</v>
      </c>
      <c r="W27" s="328">
        <v>51</v>
      </c>
      <c r="X27" s="323">
        <v>70</v>
      </c>
      <c r="Y27" s="65">
        <f t="shared" si="25"/>
        <v>1399</v>
      </c>
      <c r="Z27" s="68">
        <f t="shared" si="26"/>
        <v>82.294117647058826</v>
      </c>
      <c r="AA27" s="63">
        <f t="shared" si="1"/>
        <v>85</v>
      </c>
      <c r="AB27" s="63">
        <f t="shared" si="27"/>
        <v>86</v>
      </c>
      <c r="AC27" s="63">
        <f t="shared" si="2"/>
        <v>91</v>
      </c>
      <c r="AD27" s="63">
        <f t="shared" si="28"/>
        <v>92</v>
      </c>
      <c r="AE27" s="63">
        <f t="shared" si="3"/>
        <v>80</v>
      </c>
      <c r="AF27" s="63">
        <f t="shared" si="29"/>
        <v>81</v>
      </c>
      <c r="AG27" s="63">
        <f t="shared" si="4"/>
        <v>65</v>
      </c>
      <c r="AH27" s="63">
        <f t="shared" si="30"/>
        <v>66</v>
      </c>
      <c r="AI27" s="63">
        <f t="shared" si="5"/>
        <v>74</v>
      </c>
      <c r="AJ27" s="63">
        <f t="shared" si="31"/>
        <v>75</v>
      </c>
      <c r="AK27" s="63">
        <f t="shared" si="6"/>
        <v>60</v>
      </c>
      <c r="AL27" s="63">
        <f t="shared" si="32"/>
        <v>61</v>
      </c>
      <c r="AM27" s="63">
        <f t="shared" si="7"/>
        <v>51</v>
      </c>
      <c r="AN27" s="63">
        <f t="shared" si="33"/>
        <v>52</v>
      </c>
      <c r="AP27" s="306">
        <f t="shared" si="8"/>
        <v>91</v>
      </c>
      <c r="AQ27" s="306">
        <f t="shared" si="9"/>
        <v>100</v>
      </c>
      <c r="AR27" s="306">
        <f t="shared" si="10"/>
        <v>85</v>
      </c>
      <c r="AS27" s="306">
        <f t="shared" si="11"/>
        <v>94</v>
      </c>
      <c r="AT27" s="306">
        <f t="shared" si="12"/>
        <v>90</v>
      </c>
      <c r="AU27" s="306">
        <f t="shared" si="13"/>
        <v>96</v>
      </c>
      <c r="AV27" s="306">
        <f t="shared" si="14"/>
        <v>92</v>
      </c>
      <c r="AW27" s="306">
        <f t="shared" si="15"/>
        <v>88</v>
      </c>
      <c r="AX27" s="306">
        <f t="shared" si="16"/>
        <v>100</v>
      </c>
      <c r="AY27" s="306">
        <f t="shared" si="17"/>
        <v>75</v>
      </c>
      <c r="AZ27" s="306">
        <f t="shared" si="18"/>
        <v>88</v>
      </c>
      <c r="BA27" s="306">
        <f t="shared" si="19"/>
        <v>80</v>
      </c>
      <c r="BB27" s="306">
        <f t="shared" si="20"/>
        <v>80</v>
      </c>
      <c r="BC27" s="306">
        <f t="shared" si="21"/>
        <v>80</v>
      </c>
      <c r="BD27" s="306">
        <f t="shared" si="22"/>
        <v>80</v>
      </c>
      <c r="BE27" s="306">
        <f t="shared" si="23"/>
        <v>80</v>
      </c>
      <c r="BF27" s="306">
        <f t="shared" si="24"/>
        <v>80</v>
      </c>
    </row>
    <row r="28" spans="1:58" ht="20.149999999999999" customHeight="1" x14ac:dyDescent="0.35">
      <c r="F28" s="61">
        <v>20</v>
      </c>
      <c r="G28" s="62" t="str">
        <f>IF('set-dasis'!F24=0,"",'set-dasis'!F24)</f>
        <v>FATIH KAUTSAR PUTRA TOTI</v>
      </c>
      <c r="H28" s="320">
        <v>91</v>
      </c>
      <c r="I28" s="322">
        <v>97</v>
      </c>
      <c r="J28" s="323">
        <v>90</v>
      </c>
      <c r="K28" s="323">
        <v>89</v>
      </c>
      <c r="L28" s="324">
        <v>87</v>
      </c>
      <c r="M28" s="325">
        <v>59</v>
      </c>
      <c r="N28" s="323">
        <v>82</v>
      </c>
      <c r="O28" s="323">
        <v>92</v>
      </c>
      <c r="P28" s="324">
        <v>79</v>
      </c>
      <c r="Q28" s="323">
        <v>77</v>
      </c>
      <c r="R28" s="327">
        <v>83</v>
      </c>
      <c r="S28" s="323">
        <v>75</v>
      </c>
      <c r="T28" s="325">
        <v>60</v>
      </c>
      <c r="U28" s="324">
        <v>78</v>
      </c>
      <c r="V28" s="325">
        <v>60</v>
      </c>
      <c r="W28" s="328">
        <v>63</v>
      </c>
      <c r="X28" s="325">
        <v>60</v>
      </c>
      <c r="Y28" s="65">
        <f t="shared" si="25"/>
        <v>1322</v>
      </c>
      <c r="Z28" s="68">
        <f t="shared" si="26"/>
        <v>77.764705882352942</v>
      </c>
      <c r="AA28" s="63">
        <f t="shared" si="1"/>
        <v>90</v>
      </c>
      <c r="AB28" s="63">
        <f t="shared" si="27"/>
        <v>91</v>
      </c>
      <c r="AC28" s="63">
        <f t="shared" si="2"/>
        <v>91</v>
      </c>
      <c r="AD28" s="63">
        <f t="shared" si="28"/>
        <v>92</v>
      </c>
      <c r="AE28" s="63">
        <f t="shared" si="3"/>
        <v>75</v>
      </c>
      <c r="AF28" s="63">
        <f t="shared" si="29"/>
        <v>76</v>
      </c>
      <c r="AG28" s="63">
        <f t="shared" si="4"/>
        <v>60</v>
      </c>
      <c r="AH28" s="63">
        <f t="shared" si="30"/>
        <v>61</v>
      </c>
      <c r="AI28" s="63">
        <f t="shared" si="5"/>
        <v>78</v>
      </c>
      <c r="AJ28" s="63">
        <f t="shared" si="31"/>
        <v>79</v>
      </c>
      <c r="AK28" s="63">
        <f t="shared" si="6"/>
        <v>60</v>
      </c>
      <c r="AL28" s="63">
        <f t="shared" si="32"/>
        <v>61</v>
      </c>
      <c r="AM28" s="63">
        <f t="shared" si="7"/>
        <v>63</v>
      </c>
      <c r="AN28" s="63">
        <f t="shared" si="33"/>
        <v>64</v>
      </c>
      <c r="AP28" s="306">
        <f t="shared" si="8"/>
        <v>91</v>
      </c>
      <c r="AQ28" s="306">
        <f t="shared" si="9"/>
        <v>97</v>
      </c>
      <c r="AR28" s="306">
        <f t="shared" si="10"/>
        <v>90</v>
      </c>
      <c r="AS28" s="306">
        <f t="shared" si="11"/>
        <v>89</v>
      </c>
      <c r="AT28" s="306">
        <f t="shared" si="12"/>
        <v>87</v>
      </c>
      <c r="AU28" s="306">
        <f t="shared" si="13"/>
        <v>75</v>
      </c>
      <c r="AV28" s="306">
        <f t="shared" si="14"/>
        <v>82</v>
      </c>
      <c r="AW28" s="306">
        <f t="shared" si="15"/>
        <v>92</v>
      </c>
      <c r="AX28" s="306">
        <f t="shared" si="16"/>
        <v>79</v>
      </c>
      <c r="AY28" s="306">
        <f t="shared" si="17"/>
        <v>77</v>
      </c>
      <c r="AZ28" s="306">
        <f t="shared" si="18"/>
        <v>83</v>
      </c>
      <c r="BA28" s="306">
        <f t="shared" si="19"/>
        <v>80</v>
      </c>
      <c r="BB28" s="306">
        <f t="shared" si="20"/>
        <v>80</v>
      </c>
      <c r="BC28" s="306">
        <f t="shared" si="21"/>
        <v>80</v>
      </c>
      <c r="BD28" s="306">
        <f t="shared" si="22"/>
        <v>80</v>
      </c>
      <c r="BE28" s="306">
        <f t="shared" si="23"/>
        <v>80</v>
      </c>
      <c r="BF28" s="306">
        <f t="shared" si="24"/>
        <v>80</v>
      </c>
    </row>
    <row r="29" spans="1:58" ht="20.149999999999999" customHeight="1" x14ac:dyDescent="0.35">
      <c r="F29" s="61">
        <v>21</v>
      </c>
      <c r="G29" s="62" t="str">
        <f>IF('set-dasis'!F25=0,"",'set-dasis'!F25)</f>
        <v>FAUZIE MAFTUH AHNAN CHANIAGO</v>
      </c>
      <c r="H29" s="320">
        <v>92</v>
      </c>
      <c r="I29" s="322">
        <v>92</v>
      </c>
      <c r="J29" s="323">
        <v>90</v>
      </c>
      <c r="K29" s="323">
        <v>95</v>
      </c>
      <c r="L29" s="324">
        <v>89</v>
      </c>
      <c r="M29" s="323">
        <v>89</v>
      </c>
      <c r="N29" s="323">
        <v>95</v>
      </c>
      <c r="O29" s="323">
        <v>84</v>
      </c>
      <c r="P29" s="324">
        <v>99</v>
      </c>
      <c r="Q29" s="323">
        <v>88</v>
      </c>
      <c r="R29" s="327">
        <v>73</v>
      </c>
      <c r="S29" s="323">
        <v>75</v>
      </c>
      <c r="T29" s="323">
        <v>77</v>
      </c>
      <c r="U29" s="324">
        <v>95</v>
      </c>
      <c r="V29" s="325">
        <v>65</v>
      </c>
      <c r="W29" s="328">
        <v>55</v>
      </c>
      <c r="X29" s="323">
        <v>95</v>
      </c>
      <c r="Y29" s="65">
        <f t="shared" si="25"/>
        <v>1448</v>
      </c>
      <c r="Z29" s="68">
        <f t="shared" si="26"/>
        <v>85.17647058823529</v>
      </c>
      <c r="AA29" s="63">
        <f t="shared" si="1"/>
        <v>90</v>
      </c>
      <c r="AB29" s="63">
        <f t="shared" si="27"/>
        <v>91</v>
      </c>
      <c r="AC29" s="63">
        <f t="shared" si="2"/>
        <v>92</v>
      </c>
      <c r="AD29" s="63">
        <f t="shared" si="28"/>
        <v>93</v>
      </c>
      <c r="AE29" s="63">
        <f t="shared" si="3"/>
        <v>75</v>
      </c>
      <c r="AF29" s="63">
        <f t="shared" si="29"/>
        <v>76</v>
      </c>
      <c r="AG29" s="63">
        <f t="shared" si="4"/>
        <v>77</v>
      </c>
      <c r="AH29" s="63">
        <f t="shared" si="30"/>
        <v>78</v>
      </c>
      <c r="AI29" s="63">
        <f t="shared" si="5"/>
        <v>95</v>
      </c>
      <c r="AJ29" s="63">
        <f t="shared" si="31"/>
        <v>96</v>
      </c>
      <c r="AK29" s="63">
        <f t="shared" si="6"/>
        <v>65</v>
      </c>
      <c r="AL29" s="63">
        <f t="shared" si="32"/>
        <v>66</v>
      </c>
      <c r="AM29" s="63">
        <f t="shared" si="7"/>
        <v>55</v>
      </c>
      <c r="AN29" s="63">
        <f t="shared" si="33"/>
        <v>56</v>
      </c>
      <c r="AP29" s="306">
        <f t="shared" si="8"/>
        <v>92</v>
      </c>
      <c r="AQ29" s="306">
        <f t="shared" si="9"/>
        <v>92</v>
      </c>
      <c r="AR29" s="306">
        <f t="shared" si="10"/>
        <v>90</v>
      </c>
      <c r="AS29" s="306">
        <f t="shared" si="11"/>
        <v>95</v>
      </c>
      <c r="AT29" s="306">
        <f t="shared" si="12"/>
        <v>89</v>
      </c>
      <c r="AU29" s="306">
        <f t="shared" si="13"/>
        <v>89</v>
      </c>
      <c r="AV29" s="306">
        <f t="shared" si="14"/>
        <v>95</v>
      </c>
      <c r="AW29" s="306">
        <f t="shared" si="15"/>
        <v>84</v>
      </c>
      <c r="AX29" s="306">
        <f t="shared" si="16"/>
        <v>99</v>
      </c>
      <c r="AY29" s="306">
        <f t="shared" si="17"/>
        <v>88</v>
      </c>
      <c r="AZ29" s="306">
        <f t="shared" si="18"/>
        <v>75</v>
      </c>
      <c r="BA29" s="306">
        <f t="shared" si="19"/>
        <v>80</v>
      </c>
      <c r="BB29" s="306">
        <f t="shared" si="20"/>
        <v>80</v>
      </c>
      <c r="BC29" s="306">
        <f t="shared" si="21"/>
        <v>95</v>
      </c>
      <c r="BD29" s="306">
        <f t="shared" si="22"/>
        <v>80</v>
      </c>
      <c r="BE29" s="306">
        <f t="shared" si="23"/>
        <v>80</v>
      </c>
      <c r="BF29" s="306">
        <f t="shared" si="24"/>
        <v>95</v>
      </c>
    </row>
    <row r="30" spans="1:58" ht="20.149999999999999" customHeight="1" x14ac:dyDescent="0.35">
      <c r="F30" s="61">
        <v>22</v>
      </c>
      <c r="G30" s="62" t="str">
        <f>IF('set-dasis'!F26=0,"",'set-dasis'!F26)</f>
        <v>FERY FADLY</v>
      </c>
      <c r="H30" s="320">
        <v>90</v>
      </c>
      <c r="I30" s="322">
        <v>87</v>
      </c>
      <c r="J30" s="323">
        <v>90</v>
      </c>
      <c r="K30" s="323">
        <v>83</v>
      </c>
      <c r="L30" s="324">
        <v>88</v>
      </c>
      <c r="M30" s="325">
        <v>69</v>
      </c>
      <c r="N30" s="325">
        <v>55</v>
      </c>
      <c r="O30" s="323">
        <v>76</v>
      </c>
      <c r="P30" s="324">
        <v>86</v>
      </c>
      <c r="Q30" s="323">
        <v>84</v>
      </c>
      <c r="R30" s="327">
        <v>85</v>
      </c>
      <c r="S30" s="325">
        <v>65</v>
      </c>
      <c r="T30" s="323">
        <v>70</v>
      </c>
      <c r="U30" s="326">
        <v>68</v>
      </c>
      <c r="V30" s="325">
        <v>35</v>
      </c>
      <c r="W30" s="329">
        <v>71</v>
      </c>
      <c r="X30" s="323">
        <v>70</v>
      </c>
      <c r="Y30" s="65">
        <f t="shared" si="25"/>
        <v>1272</v>
      </c>
      <c r="Z30" s="68">
        <f t="shared" si="26"/>
        <v>74.82352941176471</v>
      </c>
      <c r="AA30" s="63">
        <f t="shared" si="1"/>
        <v>90</v>
      </c>
      <c r="AB30" s="63">
        <f t="shared" si="27"/>
        <v>91</v>
      </c>
      <c r="AC30" s="63">
        <f t="shared" si="2"/>
        <v>90</v>
      </c>
      <c r="AD30" s="63">
        <f t="shared" si="28"/>
        <v>91</v>
      </c>
      <c r="AE30" s="63">
        <f t="shared" si="3"/>
        <v>65</v>
      </c>
      <c r="AF30" s="63">
        <f t="shared" si="29"/>
        <v>66</v>
      </c>
      <c r="AG30" s="63">
        <f t="shared" si="4"/>
        <v>70</v>
      </c>
      <c r="AH30" s="63">
        <f t="shared" si="30"/>
        <v>71</v>
      </c>
      <c r="AI30" s="63">
        <f t="shared" si="5"/>
        <v>68</v>
      </c>
      <c r="AJ30" s="63">
        <f t="shared" si="31"/>
        <v>69</v>
      </c>
      <c r="AK30" s="63">
        <f t="shared" si="6"/>
        <v>35</v>
      </c>
      <c r="AL30" s="63">
        <f t="shared" si="32"/>
        <v>36</v>
      </c>
      <c r="AM30" s="63">
        <f t="shared" si="7"/>
        <v>71</v>
      </c>
      <c r="AN30" s="63">
        <f t="shared" si="33"/>
        <v>72</v>
      </c>
      <c r="AP30" s="306">
        <f t="shared" si="8"/>
        <v>90</v>
      </c>
      <c r="AQ30" s="306">
        <f t="shared" si="9"/>
        <v>87</v>
      </c>
      <c r="AR30" s="306">
        <f t="shared" si="10"/>
        <v>90</v>
      </c>
      <c r="AS30" s="306">
        <f t="shared" si="11"/>
        <v>83</v>
      </c>
      <c r="AT30" s="306">
        <f t="shared" si="12"/>
        <v>88</v>
      </c>
      <c r="AU30" s="306">
        <f t="shared" si="13"/>
        <v>75</v>
      </c>
      <c r="AV30" s="306">
        <f t="shared" si="14"/>
        <v>75</v>
      </c>
      <c r="AW30" s="306">
        <f t="shared" si="15"/>
        <v>76</v>
      </c>
      <c r="AX30" s="306">
        <f t="shared" si="16"/>
        <v>86</v>
      </c>
      <c r="AY30" s="306">
        <f t="shared" si="17"/>
        <v>84</v>
      </c>
      <c r="AZ30" s="306">
        <f t="shared" si="18"/>
        <v>85</v>
      </c>
      <c r="BA30" s="306">
        <f t="shared" si="19"/>
        <v>80</v>
      </c>
      <c r="BB30" s="306">
        <f t="shared" si="20"/>
        <v>80</v>
      </c>
      <c r="BC30" s="306">
        <f t="shared" si="21"/>
        <v>80</v>
      </c>
      <c r="BD30" s="306">
        <f t="shared" si="22"/>
        <v>80</v>
      </c>
      <c r="BE30" s="306">
        <f t="shared" si="23"/>
        <v>80</v>
      </c>
      <c r="BF30" s="306">
        <f t="shared" si="24"/>
        <v>80</v>
      </c>
    </row>
    <row r="31" spans="1:58" ht="20.149999999999999" customHeight="1" x14ac:dyDescent="0.35">
      <c r="F31" s="61">
        <v>23</v>
      </c>
      <c r="G31" s="62" t="str">
        <f>IF('set-dasis'!F27=0,"",'set-dasis'!F27)</f>
        <v>GHOLIB AHMAD HARITSAH</v>
      </c>
      <c r="H31" s="320">
        <v>82</v>
      </c>
      <c r="I31" s="322">
        <v>75</v>
      </c>
      <c r="J31" s="323">
        <v>85</v>
      </c>
      <c r="K31" s="323">
        <v>86</v>
      </c>
      <c r="L31" s="324">
        <v>82</v>
      </c>
      <c r="M31" s="323">
        <v>83</v>
      </c>
      <c r="N31" s="323">
        <v>92</v>
      </c>
      <c r="O31" s="323">
        <v>70</v>
      </c>
      <c r="P31" s="324">
        <v>85</v>
      </c>
      <c r="Q31" s="323">
        <v>91</v>
      </c>
      <c r="R31" s="327">
        <v>85</v>
      </c>
      <c r="S31" s="323">
        <v>80</v>
      </c>
      <c r="T31" s="323">
        <v>70</v>
      </c>
      <c r="U31" s="324">
        <v>84</v>
      </c>
      <c r="V31" s="325">
        <v>60</v>
      </c>
      <c r="W31" s="328">
        <v>54</v>
      </c>
      <c r="X31" s="323">
        <v>95</v>
      </c>
      <c r="Y31" s="65">
        <f t="shared" si="25"/>
        <v>1359</v>
      </c>
      <c r="Z31" s="68">
        <f t="shared" si="26"/>
        <v>79.941176470588232</v>
      </c>
      <c r="AA31" s="63">
        <f t="shared" si="1"/>
        <v>85</v>
      </c>
      <c r="AB31" s="63">
        <f t="shared" si="27"/>
        <v>86</v>
      </c>
      <c r="AC31" s="63">
        <f t="shared" si="2"/>
        <v>82</v>
      </c>
      <c r="AD31" s="63">
        <f t="shared" si="28"/>
        <v>83</v>
      </c>
      <c r="AE31" s="63">
        <f t="shared" si="3"/>
        <v>80</v>
      </c>
      <c r="AF31" s="63">
        <f t="shared" si="29"/>
        <v>81</v>
      </c>
      <c r="AG31" s="63">
        <f t="shared" si="4"/>
        <v>70</v>
      </c>
      <c r="AH31" s="63">
        <f t="shared" si="30"/>
        <v>71</v>
      </c>
      <c r="AI31" s="63">
        <f t="shared" si="5"/>
        <v>84</v>
      </c>
      <c r="AJ31" s="63">
        <f t="shared" si="31"/>
        <v>85</v>
      </c>
      <c r="AK31" s="63">
        <f t="shared" si="6"/>
        <v>60</v>
      </c>
      <c r="AL31" s="63">
        <f t="shared" si="32"/>
        <v>61</v>
      </c>
      <c r="AM31" s="63">
        <f t="shared" si="7"/>
        <v>54</v>
      </c>
      <c r="AN31" s="63">
        <f t="shared" si="33"/>
        <v>55</v>
      </c>
      <c r="AP31" s="306">
        <f t="shared" si="8"/>
        <v>82</v>
      </c>
      <c r="AQ31" s="306">
        <f t="shared" si="9"/>
        <v>75</v>
      </c>
      <c r="AR31" s="306">
        <f t="shared" si="10"/>
        <v>85</v>
      </c>
      <c r="AS31" s="306">
        <f t="shared" si="11"/>
        <v>86</v>
      </c>
      <c r="AT31" s="306">
        <f t="shared" si="12"/>
        <v>82</v>
      </c>
      <c r="AU31" s="306">
        <f t="shared" si="13"/>
        <v>83</v>
      </c>
      <c r="AV31" s="306">
        <f t="shared" si="14"/>
        <v>92</v>
      </c>
      <c r="AW31" s="306">
        <f t="shared" si="15"/>
        <v>75</v>
      </c>
      <c r="AX31" s="306">
        <f t="shared" si="16"/>
        <v>85</v>
      </c>
      <c r="AY31" s="306">
        <f t="shared" si="17"/>
        <v>91</v>
      </c>
      <c r="AZ31" s="306">
        <f t="shared" si="18"/>
        <v>85</v>
      </c>
      <c r="BA31" s="306">
        <f t="shared" si="19"/>
        <v>80</v>
      </c>
      <c r="BB31" s="306">
        <f t="shared" si="20"/>
        <v>80</v>
      </c>
      <c r="BC31" s="306">
        <f t="shared" si="21"/>
        <v>84</v>
      </c>
      <c r="BD31" s="306">
        <f t="shared" si="22"/>
        <v>80</v>
      </c>
      <c r="BE31" s="306">
        <f t="shared" si="23"/>
        <v>80</v>
      </c>
      <c r="BF31" s="306">
        <f t="shared" si="24"/>
        <v>95</v>
      </c>
    </row>
    <row r="32" spans="1:58" ht="20.149999999999999" customHeight="1" x14ac:dyDescent="0.35">
      <c r="F32" s="61">
        <v>24</v>
      </c>
      <c r="G32" s="62" t="str">
        <f>IF('set-dasis'!F28=0,"",'set-dasis'!F28)</f>
        <v>HAFIDZ RAFI RABBANI</v>
      </c>
      <c r="H32" s="320">
        <v>89</v>
      </c>
      <c r="I32" s="322">
        <v>92</v>
      </c>
      <c r="J32" s="323">
        <v>85</v>
      </c>
      <c r="K32" s="323">
        <v>85</v>
      </c>
      <c r="L32" s="324">
        <v>83</v>
      </c>
      <c r="M32" s="323">
        <v>74</v>
      </c>
      <c r="N32" s="323">
        <v>90</v>
      </c>
      <c r="O32" s="323">
        <v>82</v>
      </c>
      <c r="P32" s="324">
        <v>76</v>
      </c>
      <c r="Q32" s="323">
        <v>90</v>
      </c>
      <c r="R32" s="327">
        <v>83</v>
      </c>
      <c r="S32" s="323">
        <v>70</v>
      </c>
      <c r="T32" s="323">
        <v>70</v>
      </c>
      <c r="U32" s="324">
        <v>84</v>
      </c>
      <c r="V32" s="325">
        <v>35</v>
      </c>
      <c r="W32" s="329">
        <v>72</v>
      </c>
      <c r="X32" s="323">
        <v>90</v>
      </c>
      <c r="Y32" s="65">
        <f t="shared" si="25"/>
        <v>1350</v>
      </c>
      <c r="Z32" s="68">
        <f t="shared" si="26"/>
        <v>79.411764705882348</v>
      </c>
      <c r="AA32" s="63">
        <f t="shared" si="1"/>
        <v>85</v>
      </c>
      <c r="AB32" s="63">
        <f t="shared" si="27"/>
        <v>86</v>
      </c>
      <c r="AC32" s="63">
        <f t="shared" si="2"/>
        <v>89</v>
      </c>
      <c r="AD32" s="63">
        <f t="shared" si="28"/>
        <v>90</v>
      </c>
      <c r="AE32" s="63">
        <f t="shared" si="3"/>
        <v>70</v>
      </c>
      <c r="AF32" s="63">
        <f t="shared" si="29"/>
        <v>71</v>
      </c>
      <c r="AG32" s="63">
        <f t="shared" si="4"/>
        <v>70</v>
      </c>
      <c r="AH32" s="63">
        <f t="shared" si="30"/>
        <v>71</v>
      </c>
      <c r="AI32" s="63">
        <f t="shared" si="5"/>
        <v>84</v>
      </c>
      <c r="AJ32" s="63">
        <f t="shared" si="31"/>
        <v>85</v>
      </c>
      <c r="AK32" s="63">
        <f t="shared" si="6"/>
        <v>35</v>
      </c>
      <c r="AL32" s="63">
        <f t="shared" si="32"/>
        <v>36</v>
      </c>
      <c r="AM32" s="63">
        <f t="shared" si="7"/>
        <v>72</v>
      </c>
      <c r="AN32" s="63">
        <f t="shared" si="33"/>
        <v>73</v>
      </c>
      <c r="AP32" s="306">
        <f t="shared" si="8"/>
        <v>89</v>
      </c>
      <c r="AQ32" s="306">
        <f t="shared" si="9"/>
        <v>92</v>
      </c>
      <c r="AR32" s="306">
        <f t="shared" si="10"/>
        <v>85</v>
      </c>
      <c r="AS32" s="306">
        <f t="shared" si="11"/>
        <v>85</v>
      </c>
      <c r="AT32" s="306">
        <f t="shared" si="12"/>
        <v>83</v>
      </c>
      <c r="AU32" s="306">
        <f t="shared" si="13"/>
        <v>75</v>
      </c>
      <c r="AV32" s="306">
        <f t="shared" si="14"/>
        <v>90</v>
      </c>
      <c r="AW32" s="306">
        <f t="shared" si="15"/>
        <v>82</v>
      </c>
      <c r="AX32" s="306">
        <f t="shared" si="16"/>
        <v>76</v>
      </c>
      <c r="AY32" s="306">
        <f t="shared" si="17"/>
        <v>90</v>
      </c>
      <c r="AZ32" s="306">
        <f t="shared" si="18"/>
        <v>83</v>
      </c>
      <c r="BA32" s="306">
        <f t="shared" si="19"/>
        <v>80</v>
      </c>
      <c r="BB32" s="306">
        <f t="shared" si="20"/>
        <v>80</v>
      </c>
      <c r="BC32" s="306">
        <f t="shared" si="21"/>
        <v>84</v>
      </c>
      <c r="BD32" s="306">
        <f t="shared" si="22"/>
        <v>80</v>
      </c>
      <c r="BE32" s="306">
        <f t="shared" si="23"/>
        <v>80</v>
      </c>
      <c r="BF32" s="306">
        <f t="shared" si="24"/>
        <v>90</v>
      </c>
    </row>
    <row r="33" spans="6:58" ht="20.149999999999999" customHeight="1" x14ac:dyDescent="0.35">
      <c r="F33" s="61">
        <v>25</v>
      </c>
      <c r="G33" s="62" t="str">
        <f>IF('set-dasis'!F29=0,"",'set-dasis'!F29)</f>
        <v>HAFIZ IHSAN MAHENDRA BARLI</v>
      </c>
      <c r="H33" s="320">
        <v>80</v>
      </c>
      <c r="I33" s="322">
        <v>92</v>
      </c>
      <c r="J33" s="323">
        <v>90</v>
      </c>
      <c r="K33" s="323">
        <v>84</v>
      </c>
      <c r="L33" s="324">
        <v>87</v>
      </c>
      <c r="M33" s="323">
        <v>83</v>
      </c>
      <c r="N33" s="325">
        <v>55</v>
      </c>
      <c r="O33" s="323">
        <v>96</v>
      </c>
      <c r="P33" s="324">
        <v>91</v>
      </c>
      <c r="Q33" s="323">
        <v>77</v>
      </c>
      <c r="R33" s="327">
        <v>80</v>
      </c>
      <c r="S33" s="323">
        <v>85</v>
      </c>
      <c r="T33" s="323">
        <v>70</v>
      </c>
      <c r="U33" s="324">
        <v>87</v>
      </c>
      <c r="V33" s="325">
        <v>60</v>
      </c>
      <c r="W33" s="328">
        <v>50</v>
      </c>
      <c r="X33" s="323">
        <v>95</v>
      </c>
      <c r="Y33" s="65">
        <f t="shared" si="25"/>
        <v>1362</v>
      </c>
      <c r="Z33" s="68">
        <f t="shared" si="26"/>
        <v>80.117647058823536</v>
      </c>
      <c r="AA33" s="63">
        <f t="shared" si="1"/>
        <v>90</v>
      </c>
      <c r="AB33" s="63">
        <f t="shared" si="27"/>
        <v>91</v>
      </c>
      <c r="AC33" s="63">
        <f t="shared" si="2"/>
        <v>80</v>
      </c>
      <c r="AD33" s="63">
        <f t="shared" si="28"/>
        <v>81</v>
      </c>
      <c r="AE33" s="63">
        <f t="shared" si="3"/>
        <v>85</v>
      </c>
      <c r="AF33" s="63">
        <f t="shared" si="29"/>
        <v>86</v>
      </c>
      <c r="AG33" s="63">
        <f t="shared" si="4"/>
        <v>70</v>
      </c>
      <c r="AH33" s="63">
        <f t="shared" si="30"/>
        <v>71</v>
      </c>
      <c r="AI33" s="63">
        <f t="shared" si="5"/>
        <v>87</v>
      </c>
      <c r="AJ33" s="63">
        <f t="shared" si="31"/>
        <v>88</v>
      </c>
      <c r="AK33" s="63">
        <f t="shared" si="6"/>
        <v>60</v>
      </c>
      <c r="AL33" s="63">
        <f t="shared" si="32"/>
        <v>61</v>
      </c>
      <c r="AM33" s="63">
        <f t="shared" si="7"/>
        <v>50</v>
      </c>
      <c r="AN33" s="63">
        <f t="shared" si="33"/>
        <v>51</v>
      </c>
      <c r="AP33" s="306">
        <f t="shared" si="8"/>
        <v>80</v>
      </c>
      <c r="AQ33" s="306">
        <f t="shared" si="9"/>
        <v>92</v>
      </c>
      <c r="AR33" s="306">
        <f t="shared" si="10"/>
        <v>90</v>
      </c>
      <c r="AS33" s="306">
        <f t="shared" si="11"/>
        <v>84</v>
      </c>
      <c r="AT33" s="306">
        <f t="shared" si="12"/>
        <v>87</v>
      </c>
      <c r="AU33" s="306">
        <f t="shared" si="13"/>
        <v>83</v>
      </c>
      <c r="AV33" s="306">
        <f t="shared" si="14"/>
        <v>75</v>
      </c>
      <c r="AW33" s="306">
        <f t="shared" si="15"/>
        <v>96</v>
      </c>
      <c r="AX33" s="306">
        <f t="shared" si="16"/>
        <v>91</v>
      </c>
      <c r="AY33" s="306">
        <f t="shared" si="17"/>
        <v>77</v>
      </c>
      <c r="AZ33" s="306">
        <f t="shared" si="18"/>
        <v>80</v>
      </c>
      <c r="BA33" s="306">
        <f t="shared" si="19"/>
        <v>85</v>
      </c>
      <c r="BB33" s="306">
        <f t="shared" si="20"/>
        <v>80</v>
      </c>
      <c r="BC33" s="306">
        <f t="shared" si="21"/>
        <v>87</v>
      </c>
      <c r="BD33" s="306">
        <f t="shared" si="22"/>
        <v>80</v>
      </c>
      <c r="BE33" s="306">
        <f t="shared" si="23"/>
        <v>80</v>
      </c>
      <c r="BF33" s="306">
        <f t="shared" si="24"/>
        <v>95</v>
      </c>
    </row>
    <row r="34" spans="6:58" ht="20.149999999999999" customHeight="1" x14ac:dyDescent="0.35">
      <c r="F34" s="61">
        <v>26</v>
      </c>
      <c r="G34" s="62" t="str">
        <f>IF('set-dasis'!F30=0,"",'set-dasis'!F30)</f>
        <v>HAITSU YASYA AL FIRDAUS</v>
      </c>
      <c r="H34" s="320">
        <v>84</v>
      </c>
      <c r="I34" s="322">
        <v>95</v>
      </c>
      <c r="J34" s="323">
        <v>90</v>
      </c>
      <c r="K34" s="325">
        <v>69</v>
      </c>
      <c r="L34" s="324">
        <v>87</v>
      </c>
      <c r="M34" s="323">
        <v>72</v>
      </c>
      <c r="N34" s="323">
        <v>80</v>
      </c>
      <c r="O34" s="323">
        <v>70</v>
      </c>
      <c r="P34" s="324">
        <v>92</v>
      </c>
      <c r="Q34" s="323">
        <v>93</v>
      </c>
      <c r="R34" s="327">
        <v>75</v>
      </c>
      <c r="S34" s="323">
        <v>75</v>
      </c>
      <c r="T34" s="323">
        <v>70</v>
      </c>
      <c r="U34" s="326">
        <v>58</v>
      </c>
      <c r="V34" s="325">
        <v>30</v>
      </c>
      <c r="W34" s="328">
        <v>54</v>
      </c>
      <c r="X34" s="323">
        <v>80</v>
      </c>
      <c r="Y34" s="65">
        <f t="shared" si="25"/>
        <v>1274</v>
      </c>
      <c r="Z34" s="68">
        <f t="shared" si="26"/>
        <v>74.941176470588232</v>
      </c>
      <c r="AA34" s="63">
        <f t="shared" si="1"/>
        <v>90</v>
      </c>
      <c r="AB34" s="63">
        <f t="shared" si="27"/>
        <v>91</v>
      </c>
      <c r="AC34" s="63">
        <f t="shared" si="2"/>
        <v>84</v>
      </c>
      <c r="AD34" s="63">
        <f t="shared" si="28"/>
        <v>85</v>
      </c>
      <c r="AE34" s="63">
        <f t="shared" si="3"/>
        <v>75</v>
      </c>
      <c r="AF34" s="63">
        <f t="shared" si="29"/>
        <v>76</v>
      </c>
      <c r="AG34" s="63">
        <f t="shared" si="4"/>
        <v>70</v>
      </c>
      <c r="AH34" s="63">
        <f t="shared" si="30"/>
        <v>71</v>
      </c>
      <c r="AI34" s="63">
        <f t="shared" si="5"/>
        <v>58</v>
      </c>
      <c r="AJ34" s="63">
        <f t="shared" si="31"/>
        <v>59</v>
      </c>
      <c r="AK34" s="63">
        <f t="shared" si="6"/>
        <v>30</v>
      </c>
      <c r="AL34" s="63">
        <f t="shared" si="32"/>
        <v>31</v>
      </c>
      <c r="AM34" s="63">
        <f t="shared" si="7"/>
        <v>54</v>
      </c>
      <c r="AN34" s="63">
        <f t="shared" si="33"/>
        <v>55</v>
      </c>
      <c r="AP34" s="306">
        <f t="shared" si="8"/>
        <v>84</v>
      </c>
      <c r="AQ34" s="306">
        <f t="shared" si="9"/>
        <v>95</v>
      </c>
      <c r="AR34" s="306">
        <f t="shared" si="10"/>
        <v>90</v>
      </c>
      <c r="AS34" s="306">
        <f t="shared" si="11"/>
        <v>75</v>
      </c>
      <c r="AT34" s="306">
        <f t="shared" si="12"/>
        <v>87</v>
      </c>
      <c r="AU34" s="306">
        <f t="shared" si="13"/>
        <v>75</v>
      </c>
      <c r="AV34" s="306">
        <f t="shared" si="14"/>
        <v>80</v>
      </c>
      <c r="AW34" s="306">
        <f t="shared" si="15"/>
        <v>75</v>
      </c>
      <c r="AX34" s="306">
        <f t="shared" si="16"/>
        <v>92</v>
      </c>
      <c r="AY34" s="306">
        <f t="shared" si="17"/>
        <v>93</v>
      </c>
      <c r="AZ34" s="306">
        <f t="shared" si="18"/>
        <v>75</v>
      </c>
      <c r="BA34" s="306">
        <f t="shared" si="19"/>
        <v>80</v>
      </c>
      <c r="BB34" s="306">
        <f t="shared" si="20"/>
        <v>80</v>
      </c>
      <c r="BC34" s="306">
        <f t="shared" si="21"/>
        <v>80</v>
      </c>
      <c r="BD34" s="306">
        <f t="shared" si="22"/>
        <v>80</v>
      </c>
      <c r="BE34" s="306">
        <f t="shared" si="23"/>
        <v>80</v>
      </c>
      <c r="BF34" s="306">
        <f t="shared" si="24"/>
        <v>80</v>
      </c>
    </row>
    <row r="35" spans="6:58" ht="20.149999999999999" customHeight="1" x14ac:dyDescent="0.35">
      <c r="F35" s="61">
        <v>27</v>
      </c>
      <c r="G35" s="62" t="str">
        <f>IF('set-dasis'!F31=0,"",'set-dasis'!F31)</f>
        <v>IBRAHIM MAJID</v>
      </c>
      <c r="H35" s="321">
        <v>60</v>
      </c>
      <c r="I35" s="322">
        <v>97</v>
      </c>
      <c r="J35" s="323">
        <v>90</v>
      </c>
      <c r="K35" s="323">
        <v>83</v>
      </c>
      <c r="L35" s="326">
        <v>59</v>
      </c>
      <c r="M35" s="325">
        <v>59</v>
      </c>
      <c r="N35" s="325">
        <v>50</v>
      </c>
      <c r="O35" s="323">
        <v>70</v>
      </c>
      <c r="P35" s="326">
        <v>64</v>
      </c>
      <c r="Q35" s="323">
        <v>80</v>
      </c>
      <c r="R35" s="327">
        <v>75</v>
      </c>
      <c r="S35" s="325">
        <v>55</v>
      </c>
      <c r="T35" s="325">
        <v>65</v>
      </c>
      <c r="U35" s="324">
        <v>72</v>
      </c>
      <c r="V35" s="325">
        <v>35</v>
      </c>
      <c r="W35" s="328">
        <v>51</v>
      </c>
      <c r="X35" s="325">
        <v>60</v>
      </c>
      <c r="Y35" s="65">
        <f t="shared" si="25"/>
        <v>1125</v>
      </c>
      <c r="Z35" s="68">
        <f t="shared" si="26"/>
        <v>66.17647058823529</v>
      </c>
      <c r="AA35" s="63">
        <f t="shared" si="1"/>
        <v>90</v>
      </c>
      <c r="AB35" s="63">
        <f t="shared" si="27"/>
        <v>91</v>
      </c>
      <c r="AC35" s="63">
        <f t="shared" si="2"/>
        <v>60</v>
      </c>
      <c r="AD35" s="63">
        <f t="shared" si="28"/>
        <v>61</v>
      </c>
      <c r="AE35" s="63">
        <f t="shared" si="3"/>
        <v>55</v>
      </c>
      <c r="AF35" s="63">
        <f t="shared" si="29"/>
        <v>56</v>
      </c>
      <c r="AG35" s="63">
        <f t="shared" si="4"/>
        <v>65</v>
      </c>
      <c r="AH35" s="63">
        <f t="shared" si="30"/>
        <v>66</v>
      </c>
      <c r="AI35" s="63">
        <f t="shared" si="5"/>
        <v>72</v>
      </c>
      <c r="AJ35" s="63">
        <f t="shared" si="31"/>
        <v>73</v>
      </c>
      <c r="AK35" s="63">
        <f t="shared" si="6"/>
        <v>35</v>
      </c>
      <c r="AL35" s="63">
        <f t="shared" si="32"/>
        <v>36</v>
      </c>
      <c r="AM35" s="63">
        <f t="shared" si="7"/>
        <v>51</v>
      </c>
      <c r="AN35" s="63">
        <f t="shared" si="33"/>
        <v>52</v>
      </c>
      <c r="AP35" s="306">
        <f t="shared" si="8"/>
        <v>75</v>
      </c>
      <c r="AQ35" s="306">
        <f t="shared" si="9"/>
        <v>97</v>
      </c>
      <c r="AR35" s="306">
        <f t="shared" si="10"/>
        <v>90</v>
      </c>
      <c r="AS35" s="306">
        <f t="shared" si="11"/>
        <v>83</v>
      </c>
      <c r="AT35" s="306">
        <f t="shared" si="12"/>
        <v>75</v>
      </c>
      <c r="AU35" s="306">
        <f t="shared" si="13"/>
        <v>75</v>
      </c>
      <c r="AV35" s="306">
        <f t="shared" si="14"/>
        <v>75</v>
      </c>
      <c r="AW35" s="306">
        <f t="shared" si="15"/>
        <v>75</v>
      </c>
      <c r="AX35" s="306">
        <f t="shared" si="16"/>
        <v>75</v>
      </c>
      <c r="AY35" s="306">
        <f t="shared" si="17"/>
        <v>80</v>
      </c>
      <c r="AZ35" s="306">
        <f t="shared" si="18"/>
        <v>75</v>
      </c>
      <c r="BA35" s="306">
        <f t="shared" si="19"/>
        <v>80</v>
      </c>
      <c r="BB35" s="306">
        <f t="shared" si="20"/>
        <v>80</v>
      </c>
      <c r="BC35" s="306">
        <f t="shared" si="21"/>
        <v>80</v>
      </c>
      <c r="BD35" s="306">
        <f t="shared" si="22"/>
        <v>80</v>
      </c>
      <c r="BE35" s="306">
        <f t="shared" si="23"/>
        <v>80</v>
      </c>
      <c r="BF35" s="306">
        <f t="shared" si="24"/>
        <v>80</v>
      </c>
    </row>
    <row r="36" spans="6:58" ht="20.149999999999999" customHeight="1" x14ac:dyDescent="0.35">
      <c r="F36" s="61">
        <v>28</v>
      </c>
      <c r="G36" s="62" t="str">
        <f>IF('set-dasis'!F32=0,"",'set-dasis'!F32)</f>
        <v>IBRAHIM ZAKI MAULANA</v>
      </c>
      <c r="H36" s="320">
        <v>77</v>
      </c>
      <c r="I36" s="322">
        <v>87</v>
      </c>
      <c r="J36" s="323">
        <v>85</v>
      </c>
      <c r="K36" s="325">
        <v>62</v>
      </c>
      <c r="L36" s="326">
        <v>46</v>
      </c>
      <c r="M36" s="325">
        <v>55</v>
      </c>
      <c r="N36" s="325">
        <v>32</v>
      </c>
      <c r="O36" s="323">
        <v>70</v>
      </c>
      <c r="P36" s="326">
        <v>46</v>
      </c>
      <c r="Q36" s="323">
        <v>70</v>
      </c>
      <c r="R36" s="327">
        <v>83</v>
      </c>
      <c r="S36" s="325">
        <v>50</v>
      </c>
      <c r="T36" s="325">
        <v>65</v>
      </c>
      <c r="U36" s="326">
        <v>57</v>
      </c>
      <c r="V36" s="325">
        <v>30</v>
      </c>
      <c r="W36" s="328">
        <v>51</v>
      </c>
      <c r="X36" s="323">
        <v>70</v>
      </c>
      <c r="Y36" s="65">
        <f t="shared" si="25"/>
        <v>1036</v>
      </c>
      <c r="Z36" s="68">
        <f t="shared" si="26"/>
        <v>60.941176470588232</v>
      </c>
      <c r="AA36" s="63">
        <f t="shared" si="1"/>
        <v>85</v>
      </c>
      <c r="AB36" s="63">
        <f t="shared" si="27"/>
        <v>86</v>
      </c>
      <c r="AC36" s="63">
        <f t="shared" si="2"/>
        <v>77</v>
      </c>
      <c r="AD36" s="63">
        <f t="shared" si="28"/>
        <v>78</v>
      </c>
      <c r="AE36" s="63">
        <f t="shared" si="3"/>
        <v>50</v>
      </c>
      <c r="AF36" s="63">
        <f t="shared" si="29"/>
        <v>51</v>
      </c>
      <c r="AG36" s="63">
        <f t="shared" si="4"/>
        <v>65</v>
      </c>
      <c r="AH36" s="63">
        <f t="shared" si="30"/>
        <v>66</v>
      </c>
      <c r="AI36" s="63">
        <f t="shared" si="5"/>
        <v>57</v>
      </c>
      <c r="AJ36" s="63">
        <f t="shared" si="31"/>
        <v>58</v>
      </c>
      <c r="AK36" s="63">
        <f t="shared" si="6"/>
        <v>30</v>
      </c>
      <c r="AL36" s="63">
        <f t="shared" si="32"/>
        <v>31</v>
      </c>
      <c r="AM36" s="63">
        <f t="shared" si="7"/>
        <v>51</v>
      </c>
      <c r="AN36" s="63">
        <f t="shared" si="33"/>
        <v>52</v>
      </c>
      <c r="AP36" s="306">
        <f t="shared" si="8"/>
        <v>77</v>
      </c>
      <c r="AQ36" s="306">
        <f t="shared" si="9"/>
        <v>87</v>
      </c>
      <c r="AR36" s="306">
        <f t="shared" si="10"/>
        <v>85</v>
      </c>
      <c r="AS36" s="306">
        <f t="shared" si="11"/>
        <v>75</v>
      </c>
      <c r="AT36" s="306">
        <f t="shared" si="12"/>
        <v>75</v>
      </c>
      <c r="AU36" s="306">
        <f t="shared" si="13"/>
        <v>75</v>
      </c>
      <c r="AV36" s="306">
        <f t="shared" si="14"/>
        <v>75</v>
      </c>
      <c r="AW36" s="306">
        <f t="shared" si="15"/>
        <v>75</v>
      </c>
      <c r="AX36" s="306">
        <f t="shared" si="16"/>
        <v>75</v>
      </c>
      <c r="AY36" s="306">
        <f t="shared" si="17"/>
        <v>75</v>
      </c>
      <c r="AZ36" s="306">
        <f t="shared" si="18"/>
        <v>83</v>
      </c>
      <c r="BA36" s="306">
        <f t="shared" si="19"/>
        <v>80</v>
      </c>
      <c r="BB36" s="306">
        <f t="shared" si="20"/>
        <v>80</v>
      </c>
      <c r="BC36" s="306">
        <f t="shared" si="21"/>
        <v>80</v>
      </c>
      <c r="BD36" s="306">
        <f t="shared" si="22"/>
        <v>80</v>
      </c>
      <c r="BE36" s="306">
        <f t="shared" si="23"/>
        <v>80</v>
      </c>
      <c r="BF36" s="306">
        <f t="shared" si="24"/>
        <v>80</v>
      </c>
    </row>
    <row r="37" spans="6:58" ht="20.149999999999999" customHeight="1" x14ac:dyDescent="0.35">
      <c r="F37" s="61">
        <v>29</v>
      </c>
      <c r="G37" s="62" t="str">
        <f>IF('set-dasis'!F33=0,"",'set-dasis'!F33)</f>
        <v>KENZIE ABHINAYA AL-HAFIZH</v>
      </c>
      <c r="H37" s="320">
        <v>87</v>
      </c>
      <c r="I37" s="322">
        <v>100</v>
      </c>
      <c r="J37" s="323">
        <v>85</v>
      </c>
      <c r="K37" s="323">
        <v>86</v>
      </c>
      <c r="L37" s="324">
        <v>89</v>
      </c>
      <c r="M37" s="325">
        <v>63</v>
      </c>
      <c r="N37" s="323">
        <v>82</v>
      </c>
      <c r="O37" s="323">
        <v>70</v>
      </c>
      <c r="P37" s="324">
        <v>79</v>
      </c>
      <c r="Q37" s="323">
        <v>87</v>
      </c>
      <c r="R37" s="327">
        <v>80</v>
      </c>
      <c r="S37" s="325">
        <v>60</v>
      </c>
      <c r="T37" s="325">
        <v>65</v>
      </c>
      <c r="U37" s="326">
        <v>62</v>
      </c>
      <c r="V37" s="325">
        <v>30</v>
      </c>
      <c r="W37" s="329">
        <v>75</v>
      </c>
      <c r="X37" s="323">
        <v>80</v>
      </c>
      <c r="Y37" s="65">
        <f t="shared" si="25"/>
        <v>1280</v>
      </c>
      <c r="Z37" s="68">
        <f t="shared" si="26"/>
        <v>75.294117647058826</v>
      </c>
      <c r="AA37" s="63">
        <f t="shared" si="1"/>
        <v>85</v>
      </c>
      <c r="AB37" s="63">
        <f t="shared" si="27"/>
        <v>86</v>
      </c>
      <c r="AC37" s="63">
        <f t="shared" si="2"/>
        <v>87</v>
      </c>
      <c r="AD37" s="63">
        <f t="shared" si="28"/>
        <v>88</v>
      </c>
      <c r="AE37" s="63">
        <f t="shared" si="3"/>
        <v>60</v>
      </c>
      <c r="AF37" s="63">
        <f t="shared" si="29"/>
        <v>61</v>
      </c>
      <c r="AG37" s="63">
        <f t="shared" si="4"/>
        <v>65</v>
      </c>
      <c r="AH37" s="63">
        <f t="shared" si="30"/>
        <v>66</v>
      </c>
      <c r="AI37" s="63">
        <f t="shared" si="5"/>
        <v>62</v>
      </c>
      <c r="AJ37" s="63">
        <f t="shared" si="31"/>
        <v>63</v>
      </c>
      <c r="AK37" s="63">
        <f t="shared" si="6"/>
        <v>30</v>
      </c>
      <c r="AL37" s="63">
        <f t="shared" si="32"/>
        <v>31</v>
      </c>
      <c r="AM37" s="63">
        <f t="shared" si="7"/>
        <v>75</v>
      </c>
      <c r="AN37" s="63">
        <f t="shared" si="33"/>
        <v>76</v>
      </c>
      <c r="AP37" s="306">
        <f t="shared" si="8"/>
        <v>87</v>
      </c>
      <c r="AQ37" s="306">
        <f t="shared" si="9"/>
        <v>100</v>
      </c>
      <c r="AR37" s="306">
        <f t="shared" si="10"/>
        <v>85</v>
      </c>
      <c r="AS37" s="306">
        <f t="shared" si="11"/>
        <v>86</v>
      </c>
      <c r="AT37" s="306">
        <f t="shared" si="12"/>
        <v>89</v>
      </c>
      <c r="AU37" s="306">
        <f t="shared" si="13"/>
        <v>75</v>
      </c>
      <c r="AV37" s="306">
        <f t="shared" si="14"/>
        <v>82</v>
      </c>
      <c r="AW37" s="306">
        <f t="shared" si="15"/>
        <v>75</v>
      </c>
      <c r="AX37" s="306">
        <f t="shared" si="16"/>
        <v>79</v>
      </c>
      <c r="AY37" s="306">
        <f t="shared" si="17"/>
        <v>87</v>
      </c>
      <c r="AZ37" s="306">
        <f t="shared" si="18"/>
        <v>80</v>
      </c>
      <c r="BA37" s="306">
        <f t="shared" si="19"/>
        <v>80</v>
      </c>
      <c r="BB37" s="306">
        <f t="shared" si="20"/>
        <v>80</v>
      </c>
      <c r="BC37" s="306">
        <f t="shared" si="21"/>
        <v>80</v>
      </c>
      <c r="BD37" s="306">
        <f t="shared" si="22"/>
        <v>80</v>
      </c>
      <c r="BE37" s="306">
        <f t="shared" si="23"/>
        <v>80</v>
      </c>
      <c r="BF37" s="306">
        <f t="shared" si="24"/>
        <v>80</v>
      </c>
    </row>
    <row r="38" spans="6:58" ht="20.149999999999999" customHeight="1" x14ac:dyDescent="0.35">
      <c r="F38" s="61">
        <v>30</v>
      </c>
      <c r="G38" s="62" t="str">
        <f>IF('set-dasis'!F34=0,"",'set-dasis'!F34)</f>
        <v>KHADAFI AGISTA MUSYAFA</v>
      </c>
      <c r="H38" s="320">
        <v>84</v>
      </c>
      <c r="I38" s="322">
        <v>100</v>
      </c>
      <c r="J38" s="323">
        <v>90</v>
      </c>
      <c r="K38" s="323">
        <v>94</v>
      </c>
      <c r="L38" s="324">
        <v>84</v>
      </c>
      <c r="M38" s="323">
        <v>94</v>
      </c>
      <c r="N38" s="323">
        <v>87</v>
      </c>
      <c r="O38" s="323">
        <v>88</v>
      </c>
      <c r="P38" s="324">
        <v>89</v>
      </c>
      <c r="Q38" s="323">
        <v>77</v>
      </c>
      <c r="R38" s="327">
        <v>85</v>
      </c>
      <c r="S38" s="325">
        <v>55</v>
      </c>
      <c r="T38" s="325">
        <v>65</v>
      </c>
      <c r="U38" s="324">
        <v>86</v>
      </c>
      <c r="V38" s="325">
        <v>55</v>
      </c>
      <c r="W38" s="328">
        <v>53</v>
      </c>
      <c r="X38" s="323">
        <v>80</v>
      </c>
      <c r="Y38" s="65">
        <f t="shared" si="25"/>
        <v>1366</v>
      </c>
      <c r="Z38" s="68">
        <f t="shared" si="26"/>
        <v>80.352941176470594</v>
      </c>
      <c r="AA38" s="63">
        <f t="shared" si="1"/>
        <v>90</v>
      </c>
      <c r="AB38" s="63">
        <f t="shared" si="27"/>
        <v>91</v>
      </c>
      <c r="AC38" s="63">
        <f t="shared" si="2"/>
        <v>84</v>
      </c>
      <c r="AD38" s="63">
        <f t="shared" si="28"/>
        <v>85</v>
      </c>
      <c r="AE38" s="63">
        <f t="shared" si="3"/>
        <v>55</v>
      </c>
      <c r="AF38" s="63">
        <f t="shared" si="29"/>
        <v>56</v>
      </c>
      <c r="AG38" s="63">
        <f t="shared" si="4"/>
        <v>65</v>
      </c>
      <c r="AH38" s="63">
        <f t="shared" si="30"/>
        <v>66</v>
      </c>
      <c r="AI38" s="63">
        <f t="shared" si="5"/>
        <v>86</v>
      </c>
      <c r="AJ38" s="63">
        <f t="shared" si="31"/>
        <v>87</v>
      </c>
      <c r="AK38" s="63">
        <f t="shared" si="6"/>
        <v>55</v>
      </c>
      <c r="AL38" s="63">
        <f t="shared" si="32"/>
        <v>56</v>
      </c>
      <c r="AM38" s="63">
        <f t="shared" si="7"/>
        <v>53</v>
      </c>
      <c r="AN38" s="63">
        <f t="shared" si="33"/>
        <v>54</v>
      </c>
      <c r="AP38" s="306">
        <f t="shared" si="8"/>
        <v>84</v>
      </c>
      <c r="AQ38" s="306">
        <f t="shared" si="9"/>
        <v>100</v>
      </c>
      <c r="AR38" s="306">
        <f t="shared" si="10"/>
        <v>90</v>
      </c>
      <c r="AS38" s="306">
        <f t="shared" si="11"/>
        <v>94</v>
      </c>
      <c r="AT38" s="306">
        <f t="shared" si="12"/>
        <v>84</v>
      </c>
      <c r="AU38" s="306">
        <f t="shared" si="13"/>
        <v>94</v>
      </c>
      <c r="AV38" s="306">
        <f t="shared" si="14"/>
        <v>87</v>
      </c>
      <c r="AW38" s="306">
        <f t="shared" si="15"/>
        <v>88</v>
      </c>
      <c r="AX38" s="306">
        <f t="shared" si="16"/>
        <v>89</v>
      </c>
      <c r="AY38" s="306">
        <f t="shared" si="17"/>
        <v>77</v>
      </c>
      <c r="AZ38" s="306">
        <f t="shared" si="18"/>
        <v>85</v>
      </c>
      <c r="BA38" s="306">
        <f t="shared" si="19"/>
        <v>80</v>
      </c>
      <c r="BB38" s="306">
        <f t="shared" si="20"/>
        <v>80</v>
      </c>
      <c r="BC38" s="306">
        <f t="shared" si="21"/>
        <v>86</v>
      </c>
      <c r="BD38" s="306">
        <f t="shared" si="22"/>
        <v>80</v>
      </c>
      <c r="BE38" s="306">
        <f t="shared" si="23"/>
        <v>80</v>
      </c>
      <c r="BF38" s="306">
        <f t="shared" si="24"/>
        <v>80</v>
      </c>
    </row>
    <row r="39" spans="6:58" ht="20.149999999999999" customHeight="1" x14ac:dyDescent="0.35">
      <c r="F39" s="61">
        <v>31</v>
      </c>
      <c r="G39" s="62" t="str">
        <f>IF('set-dasis'!F35=0,"",'set-dasis'!F35)</f>
        <v>KHOIRUL AZZAM</v>
      </c>
      <c r="H39" s="320">
        <v>64</v>
      </c>
      <c r="I39" s="322">
        <v>90</v>
      </c>
      <c r="J39" s="323">
        <v>75</v>
      </c>
      <c r="K39" s="323">
        <v>77</v>
      </c>
      <c r="L39" s="324">
        <v>73</v>
      </c>
      <c r="M39" s="325">
        <v>53</v>
      </c>
      <c r="N39" s="323">
        <v>87</v>
      </c>
      <c r="O39" s="323">
        <v>70</v>
      </c>
      <c r="P39" s="326">
        <v>62</v>
      </c>
      <c r="Q39" s="323">
        <v>91</v>
      </c>
      <c r="R39" s="327">
        <v>73</v>
      </c>
      <c r="S39" s="325">
        <v>40</v>
      </c>
      <c r="T39" s="325">
        <v>60</v>
      </c>
      <c r="U39" s="324">
        <v>73</v>
      </c>
      <c r="V39" s="325">
        <v>30</v>
      </c>
      <c r="W39" s="328">
        <v>40</v>
      </c>
      <c r="X39" s="325">
        <v>65</v>
      </c>
      <c r="Y39" s="65">
        <f t="shared" si="25"/>
        <v>1123</v>
      </c>
      <c r="Z39" s="68">
        <f t="shared" si="26"/>
        <v>66.058823529411768</v>
      </c>
      <c r="AA39" s="63">
        <f t="shared" si="1"/>
        <v>75</v>
      </c>
      <c r="AB39" s="63">
        <f t="shared" si="27"/>
        <v>76</v>
      </c>
      <c r="AC39" s="63">
        <f t="shared" si="2"/>
        <v>64</v>
      </c>
      <c r="AD39" s="63">
        <f t="shared" si="28"/>
        <v>65</v>
      </c>
      <c r="AE39" s="63">
        <f t="shared" si="3"/>
        <v>40</v>
      </c>
      <c r="AF39" s="63">
        <f t="shared" si="29"/>
        <v>41</v>
      </c>
      <c r="AG39" s="63">
        <f t="shared" si="4"/>
        <v>60</v>
      </c>
      <c r="AH39" s="63">
        <f t="shared" si="30"/>
        <v>61</v>
      </c>
      <c r="AI39" s="63">
        <f t="shared" si="5"/>
        <v>73</v>
      </c>
      <c r="AJ39" s="63">
        <f t="shared" si="31"/>
        <v>74</v>
      </c>
      <c r="AK39" s="63">
        <f t="shared" si="6"/>
        <v>30</v>
      </c>
      <c r="AL39" s="63">
        <f t="shared" si="32"/>
        <v>31</v>
      </c>
      <c r="AM39" s="63">
        <f t="shared" si="7"/>
        <v>40</v>
      </c>
      <c r="AN39" s="63">
        <f t="shared" si="33"/>
        <v>41</v>
      </c>
      <c r="AP39" s="306">
        <f t="shared" si="8"/>
        <v>75</v>
      </c>
      <c r="AQ39" s="306">
        <f t="shared" si="9"/>
        <v>90</v>
      </c>
      <c r="AR39" s="306">
        <f t="shared" si="10"/>
        <v>75</v>
      </c>
      <c r="AS39" s="306">
        <f t="shared" si="11"/>
        <v>77</v>
      </c>
      <c r="AT39" s="306">
        <f t="shared" si="12"/>
        <v>75</v>
      </c>
      <c r="AU39" s="306">
        <f t="shared" si="13"/>
        <v>75</v>
      </c>
      <c r="AV39" s="306">
        <f t="shared" si="14"/>
        <v>87</v>
      </c>
      <c r="AW39" s="306">
        <f t="shared" si="15"/>
        <v>75</v>
      </c>
      <c r="AX39" s="306">
        <f t="shared" si="16"/>
        <v>75</v>
      </c>
      <c r="AY39" s="306">
        <f t="shared" si="17"/>
        <v>91</v>
      </c>
      <c r="AZ39" s="306">
        <f t="shared" si="18"/>
        <v>75</v>
      </c>
      <c r="BA39" s="306">
        <f t="shared" si="19"/>
        <v>80</v>
      </c>
      <c r="BB39" s="306">
        <f t="shared" si="20"/>
        <v>80</v>
      </c>
      <c r="BC39" s="306">
        <f t="shared" si="21"/>
        <v>80</v>
      </c>
      <c r="BD39" s="306">
        <f t="shared" si="22"/>
        <v>80</v>
      </c>
      <c r="BE39" s="306">
        <f t="shared" si="23"/>
        <v>80</v>
      </c>
      <c r="BF39" s="306">
        <f t="shared" si="24"/>
        <v>80</v>
      </c>
    </row>
    <row r="40" spans="6:58" ht="20.149999999999999" customHeight="1" x14ac:dyDescent="0.35">
      <c r="F40" s="61">
        <v>32</v>
      </c>
      <c r="G40" s="62" t="str">
        <f>IF('set-dasis'!F46=0,"",'set-dasis'!F46)</f>
        <v>MUHAMMAD SEPTIAN RAMADHANI</v>
      </c>
      <c r="H40" s="320">
        <v>88</v>
      </c>
      <c r="I40" s="322">
        <v>100</v>
      </c>
      <c r="J40" s="323">
        <v>90</v>
      </c>
      <c r="K40" s="323">
        <v>97</v>
      </c>
      <c r="L40" s="324">
        <v>99</v>
      </c>
      <c r="M40" s="323">
        <v>94</v>
      </c>
      <c r="N40" s="323">
        <v>97</v>
      </c>
      <c r="O40" s="323">
        <v>70</v>
      </c>
      <c r="P40" s="324">
        <v>99</v>
      </c>
      <c r="Q40" s="323">
        <v>87</v>
      </c>
      <c r="R40" s="327">
        <v>90</v>
      </c>
      <c r="S40" s="323">
        <v>95</v>
      </c>
      <c r="T40" s="323">
        <v>81</v>
      </c>
      <c r="U40" s="324">
        <v>84</v>
      </c>
      <c r="V40" s="325">
        <v>55</v>
      </c>
      <c r="W40" s="328">
        <v>50</v>
      </c>
      <c r="X40" s="323">
        <v>75</v>
      </c>
      <c r="Y40" s="65">
        <f t="shared" si="25"/>
        <v>1451</v>
      </c>
      <c r="Z40" s="68">
        <f t="shared" si="26"/>
        <v>85.352941176470594</v>
      </c>
      <c r="AA40" s="63">
        <f t="shared" si="1"/>
        <v>90</v>
      </c>
      <c r="AB40" s="63">
        <f t="shared" si="27"/>
        <v>91</v>
      </c>
      <c r="AC40" s="63">
        <f t="shared" si="2"/>
        <v>88</v>
      </c>
      <c r="AD40" s="63">
        <f t="shared" si="28"/>
        <v>89</v>
      </c>
      <c r="AE40" s="63">
        <f t="shared" si="3"/>
        <v>95</v>
      </c>
      <c r="AF40" s="63">
        <f t="shared" si="29"/>
        <v>96</v>
      </c>
      <c r="AG40" s="63">
        <f t="shared" si="4"/>
        <v>81</v>
      </c>
      <c r="AH40" s="63">
        <f t="shared" si="30"/>
        <v>82</v>
      </c>
      <c r="AI40" s="63">
        <f t="shared" si="5"/>
        <v>84</v>
      </c>
      <c r="AJ40" s="63">
        <f t="shared" si="31"/>
        <v>85</v>
      </c>
      <c r="AK40" s="63">
        <f t="shared" si="6"/>
        <v>55</v>
      </c>
      <c r="AL40" s="63">
        <f t="shared" si="32"/>
        <v>56</v>
      </c>
      <c r="AM40" s="63">
        <f t="shared" si="7"/>
        <v>50</v>
      </c>
      <c r="AN40" s="63">
        <f t="shared" si="33"/>
        <v>51</v>
      </c>
      <c r="AP40" s="306">
        <f t="shared" si="8"/>
        <v>88</v>
      </c>
      <c r="AQ40" s="306">
        <f t="shared" si="9"/>
        <v>100</v>
      </c>
      <c r="AR40" s="306">
        <f t="shared" si="10"/>
        <v>90</v>
      </c>
      <c r="AS40" s="306">
        <f t="shared" si="11"/>
        <v>97</v>
      </c>
      <c r="AT40" s="306">
        <f t="shared" si="12"/>
        <v>99</v>
      </c>
      <c r="AU40" s="306">
        <f t="shared" si="13"/>
        <v>94</v>
      </c>
      <c r="AV40" s="306">
        <f t="shared" si="14"/>
        <v>97</v>
      </c>
      <c r="AW40" s="306">
        <f t="shared" si="15"/>
        <v>75</v>
      </c>
      <c r="AX40" s="306">
        <f t="shared" si="16"/>
        <v>99</v>
      </c>
      <c r="AY40" s="306">
        <f t="shared" si="17"/>
        <v>87</v>
      </c>
      <c r="AZ40" s="306">
        <f t="shared" si="18"/>
        <v>90</v>
      </c>
      <c r="BA40" s="306">
        <f t="shared" si="19"/>
        <v>95</v>
      </c>
      <c r="BB40" s="306">
        <f t="shared" si="20"/>
        <v>81</v>
      </c>
      <c r="BC40" s="306">
        <f t="shared" si="21"/>
        <v>84</v>
      </c>
      <c r="BD40" s="306">
        <f t="shared" si="22"/>
        <v>80</v>
      </c>
      <c r="BE40" s="306">
        <f t="shared" si="23"/>
        <v>80</v>
      </c>
      <c r="BF40" s="306">
        <f t="shared" si="24"/>
        <v>80</v>
      </c>
    </row>
    <row r="41" spans="6:58" ht="20.149999999999999" customHeight="1" x14ac:dyDescent="0.35">
      <c r="F41" s="61">
        <v>33</v>
      </c>
      <c r="G41" s="62" t="str">
        <f>IF('set-dasis'!F47=0,"",'set-dasis'!F47)</f>
        <v>RAYKHAN DWI FARDHANI</v>
      </c>
      <c r="H41" s="320">
        <v>68</v>
      </c>
      <c r="I41" s="322">
        <v>92</v>
      </c>
      <c r="J41" s="323">
        <v>85</v>
      </c>
      <c r="K41" s="325">
        <v>64</v>
      </c>
      <c r="L41" s="326">
        <v>68</v>
      </c>
      <c r="M41" s="325">
        <v>60</v>
      </c>
      <c r="N41" s="325">
        <v>67</v>
      </c>
      <c r="O41" s="323">
        <v>70</v>
      </c>
      <c r="P41" s="324">
        <v>70</v>
      </c>
      <c r="Q41" s="323">
        <v>76</v>
      </c>
      <c r="R41" s="327">
        <v>80</v>
      </c>
      <c r="S41" s="325">
        <v>65</v>
      </c>
      <c r="T41" s="325">
        <v>65</v>
      </c>
      <c r="U41" s="326">
        <v>61</v>
      </c>
      <c r="V41" s="325">
        <v>55</v>
      </c>
      <c r="W41" s="328">
        <v>41</v>
      </c>
      <c r="X41" s="325">
        <v>60</v>
      </c>
      <c r="Y41" s="65">
        <f t="shared" si="25"/>
        <v>1147</v>
      </c>
      <c r="Z41" s="68">
        <f t="shared" si="26"/>
        <v>67.470588235294116</v>
      </c>
      <c r="AA41" s="63">
        <f t="shared" si="1"/>
        <v>85</v>
      </c>
      <c r="AB41" s="63">
        <f t="shared" si="27"/>
        <v>86</v>
      </c>
      <c r="AC41" s="63">
        <f t="shared" si="2"/>
        <v>68</v>
      </c>
      <c r="AD41" s="63">
        <f t="shared" si="28"/>
        <v>69</v>
      </c>
      <c r="AE41" s="63">
        <f t="shared" si="3"/>
        <v>65</v>
      </c>
      <c r="AF41" s="63">
        <f t="shared" si="29"/>
        <v>66</v>
      </c>
      <c r="AG41" s="63">
        <f t="shared" si="4"/>
        <v>65</v>
      </c>
      <c r="AH41" s="63">
        <f t="shared" si="30"/>
        <v>66</v>
      </c>
      <c r="AI41" s="63">
        <f t="shared" si="5"/>
        <v>61</v>
      </c>
      <c r="AJ41" s="63">
        <f t="shared" si="31"/>
        <v>62</v>
      </c>
      <c r="AK41" s="63">
        <f t="shared" si="6"/>
        <v>55</v>
      </c>
      <c r="AL41" s="63">
        <f t="shared" si="32"/>
        <v>56</v>
      </c>
      <c r="AM41" s="63">
        <f t="shared" si="7"/>
        <v>41</v>
      </c>
      <c r="AN41" s="63">
        <f t="shared" si="33"/>
        <v>42</v>
      </c>
      <c r="AP41" s="306">
        <f t="shared" si="8"/>
        <v>75</v>
      </c>
      <c r="AQ41" s="306">
        <f t="shared" si="9"/>
        <v>92</v>
      </c>
      <c r="AR41" s="306">
        <f t="shared" si="10"/>
        <v>85</v>
      </c>
      <c r="AS41" s="306">
        <f t="shared" si="11"/>
        <v>75</v>
      </c>
      <c r="AT41" s="306">
        <f t="shared" si="12"/>
        <v>75</v>
      </c>
      <c r="AU41" s="306">
        <f t="shared" si="13"/>
        <v>75</v>
      </c>
      <c r="AV41" s="306">
        <f t="shared" si="14"/>
        <v>75</v>
      </c>
      <c r="AW41" s="306">
        <f t="shared" si="15"/>
        <v>75</v>
      </c>
      <c r="AX41" s="306">
        <f t="shared" si="16"/>
        <v>75</v>
      </c>
      <c r="AY41" s="306">
        <f t="shared" si="17"/>
        <v>76</v>
      </c>
      <c r="AZ41" s="306">
        <f t="shared" si="18"/>
        <v>80</v>
      </c>
      <c r="BA41" s="306">
        <f t="shared" si="19"/>
        <v>80</v>
      </c>
      <c r="BB41" s="306">
        <f t="shared" si="20"/>
        <v>80</v>
      </c>
      <c r="BC41" s="306">
        <f t="shared" si="21"/>
        <v>80</v>
      </c>
      <c r="BD41" s="306">
        <f t="shared" si="22"/>
        <v>80</v>
      </c>
      <c r="BE41" s="306">
        <f t="shared" si="23"/>
        <v>80</v>
      </c>
      <c r="BF41" s="306">
        <f t="shared" si="24"/>
        <v>80</v>
      </c>
    </row>
    <row r="42" spans="6:58" ht="20.149999999999999" customHeight="1" x14ac:dyDescent="0.35">
      <c r="F42" s="61">
        <v>34</v>
      </c>
      <c r="G42" s="62" t="str">
        <f>IF('set-dasis'!F48=0,"",'set-dasis'!F48)</f>
        <v>ROZAN</v>
      </c>
      <c r="H42" s="320">
        <v>79</v>
      </c>
      <c r="I42" s="322">
        <v>90</v>
      </c>
      <c r="J42" s="323">
        <v>85</v>
      </c>
      <c r="K42" s="323">
        <v>73</v>
      </c>
      <c r="L42" s="324">
        <v>77</v>
      </c>
      <c r="M42" s="323">
        <v>80</v>
      </c>
      <c r="N42" s="323">
        <v>77</v>
      </c>
      <c r="O42" s="323">
        <v>100</v>
      </c>
      <c r="P42" s="324">
        <v>95</v>
      </c>
      <c r="Q42" s="323">
        <v>77</v>
      </c>
      <c r="R42" s="327">
        <v>85</v>
      </c>
      <c r="S42" s="323">
        <v>70</v>
      </c>
      <c r="T42" s="323">
        <v>70</v>
      </c>
      <c r="U42" s="324">
        <v>96</v>
      </c>
      <c r="V42" s="325">
        <v>55</v>
      </c>
      <c r="W42" s="328">
        <v>50</v>
      </c>
      <c r="X42" s="323">
        <v>70</v>
      </c>
      <c r="Y42" s="65">
        <f t="shared" si="25"/>
        <v>1329</v>
      </c>
      <c r="Z42" s="68">
        <f t="shared" si="26"/>
        <v>78.17647058823529</v>
      </c>
      <c r="AA42" s="63">
        <f t="shared" si="1"/>
        <v>85</v>
      </c>
      <c r="AB42" s="63">
        <f t="shared" si="27"/>
        <v>86</v>
      </c>
      <c r="AC42" s="63">
        <f t="shared" si="2"/>
        <v>79</v>
      </c>
      <c r="AD42" s="63">
        <f t="shared" si="28"/>
        <v>80</v>
      </c>
      <c r="AE42" s="63">
        <f t="shared" si="3"/>
        <v>70</v>
      </c>
      <c r="AF42" s="63">
        <f t="shared" si="29"/>
        <v>71</v>
      </c>
      <c r="AG42" s="63">
        <f t="shared" si="4"/>
        <v>70</v>
      </c>
      <c r="AH42" s="63">
        <f t="shared" si="30"/>
        <v>71</v>
      </c>
      <c r="AI42" s="63">
        <f t="shared" si="5"/>
        <v>96</v>
      </c>
      <c r="AJ42" s="63">
        <f t="shared" si="31"/>
        <v>97</v>
      </c>
      <c r="AK42" s="63">
        <f t="shared" si="6"/>
        <v>55</v>
      </c>
      <c r="AL42" s="63">
        <f t="shared" si="32"/>
        <v>56</v>
      </c>
      <c r="AM42" s="63">
        <f t="shared" si="7"/>
        <v>50</v>
      </c>
      <c r="AN42" s="63">
        <f t="shared" si="33"/>
        <v>51</v>
      </c>
      <c r="AP42" s="306">
        <f t="shared" si="8"/>
        <v>79</v>
      </c>
      <c r="AQ42" s="306">
        <f t="shared" si="9"/>
        <v>90</v>
      </c>
      <c r="AR42" s="306">
        <f t="shared" si="10"/>
        <v>85</v>
      </c>
      <c r="AS42" s="306">
        <f t="shared" si="11"/>
        <v>75</v>
      </c>
      <c r="AT42" s="306">
        <f t="shared" si="12"/>
        <v>77</v>
      </c>
      <c r="AU42" s="306">
        <f t="shared" si="13"/>
        <v>80</v>
      </c>
      <c r="AV42" s="306">
        <f t="shared" si="14"/>
        <v>77</v>
      </c>
      <c r="AW42" s="306">
        <f t="shared" si="15"/>
        <v>100</v>
      </c>
      <c r="AX42" s="306">
        <f t="shared" si="16"/>
        <v>95</v>
      </c>
      <c r="AY42" s="306">
        <f t="shared" si="17"/>
        <v>77</v>
      </c>
      <c r="AZ42" s="306">
        <f t="shared" si="18"/>
        <v>85</v>
      </c>
      <c r="BA42" s="306">
        <f t="shared" si="19"/>
        <v>80</v>
      </c>
      <c r="BB42" s="306">
        <f t="shared" si="20"/>
        <v>80</v>
      </c>
      <c r="BC42" s="306">
        <f t="shared" si="21"/>
        <v>96</v>
      </c>
      <c r="BD42" s="306">
        <f t="shared" si="22"/>
        <v>80</v>
      </c>
      <c r="BE42" s="306">
        <f t="shared" si="23"/>
        <v>80</v>
      </c>
      <c r="BF42" s="306">
        <f t="shared" si="24"/>
        <v>80</v>
      </c>
    </row>
    <row r="43" spans="6:58" ht="20.149999999999999" customHeight="1" x14ac:dyDescent="0.35">
      <c r="F43" s="61">
        <v>35</v>
      </c>
      <c r="G43" s="62" t="str">
        <f>IF('set-dasis'!F49=0,"",'set-dasis'!F49)</f>
        <v>UMAIR ABDURROZZAQ</v>
      </c>
      <c r="H43" s="28"/>
      <c r="I43" s="28"/>
      <c r="J43" s="28"/>
      <c r="K43" s="28"/>
      <c r="L43" s="28"/>
      <c r="M43" s="28"/>
      <c r="N43" s="28"/>
      <c r="O43" s="28"/>
      <c r="P43" s="28"/>
      <c r="Q43" s="28"/>
      <c r="R43" s="98"/>
      <c r="S43" s="28"/>
      <c r="T43" s="28"/>
      <c r="U43" s="28"/>
      <c r="V43" s="28"/>
      <c r="W43" s="28"/>
      <c r="X43" s="28"/>
      <c r="Y43" s="65">
        <f t="shared" si="25"/>
        <v>0</v>
      </c>
      <c r="Z43" s="68" t="str">
        <f t="shared" si="26"/>
        <v/>
      </c>
      <c r="AA43" s="63" t="str">
        <f t="shared" si="1"/>
        <v/>
      </c>
      <c r="AB43" s="63" t="str">
        <f t="shared" si="27"/>
        <v/>
      </c>
      <c r="AC43" s="63" t="str">
        <f t="shared" si="2"/>
        <v/>
      </c>
      <c r="AD43" s="63" t="str">
        <f t="shared" si="28"/>
        <v/>
      </c>
      <c r="AE43" s="63" t="str">
        <f t="shared" si="3"/>
        <v/>
      </c>
      <c r="AF43" s="63" t="str">
        <f t="shared" si="29"/>
        <v/>
      </c>
      <c r="AG43" s="63" t="str">
        <f t="shared" si="4"/>
        <v/>
      </c>
      <c r="AH43" s="63" t="str">
        <f t="shared" si="30"/>
        <v/>
      </c>
      <c r="AI43" s="63" t="str">
        <f t="shared" si="5"/>
        <v/>
      </c>
      <c r="AJ43" s="63" t="str">
        <f t="shared" si="31"/>
        <v/>
      </c>
      <c r="AK43" s="63" t="str">
        <f t="shared" si="6"/>
        <v/>
      </c>
      <c r="AL43" s="63" t="str">
        <f t="shared" si="32"/>
        <v/>
      </c>
      <c r="AM43" s="63" t="str">
        <f t="shared" si="7"/>
        <v/>
      </c>
      <c r="AN43" s="63" t="str">
        <f t="shared" si="33"/>
        <v/>
      </c>
      <c r="AP43" s="53"/>
      <c r="AQ43" s="53"/>
      <c r="AR43" s="53"/>
      <c r="AS43" s="53"/>
      <c r="AT43" s="53"/>
      <c r="AU43" s="53"/>
      <c r="AV43" s="53"/>
      <c r="AW43" s="53"/>
      <c r="AX43" s="53"/>
      <c r="AY43" s="53"/>
      <c r="AZ43" s="53"/>
      <c r="BA43" s="53"/>
      <c r="BB43" s="53"/>
      <c r="BC43" s="53"/>
      <c r="BD43" s="53"/>
      <c r="BE43" s="53"/>
      <c r="BF43" s="53"/>
    </row>
    <row r="44" spans="6:58" ht="20.149999999999999" customHeight="1" x14ac:dyDescent="0.35">
      <c r="F44" s="61">
        <v>36</v>
      </c>
      <c r="G44" s="62" t="str">
        <f>IF('set-dasis'!F50=0,"",'set-dasis'!F50)</f>
        <v>YAHYA BIN ABU MUHAMMAD</v>
      </c>
      <c r="H44" s="28"/>
      <c r="I44" s="28"/>
      <c r="J44" s="28"/>
      <c r="K44" s="28"/>
      <c r="L44" s="28"/>
      <c r="M44" s="28"/>
      <c r="N44" s="28"/>
      <c r="O44" s="28"/>
      <c r="P44" s="28"/>
      <c r="Q44" s="28"/>
      <c r="R44" s="98"/>
      <c r="S44" s="28"/>
      <c r="T44" s="28"/>
      <c r="U44" s="28"/>
      <c r="V44" s="28"/>
      <c r="W44" s="28"/>
      <c r="X44" s="28"/>
      <c r="Y44" s="65">
        <f t="shared" si="25"/>
        <v>0</v>
      </c>
      <c r="Z44" s="68" t="str">
        <f t="shared" si="26"/>
        <v/>
      </c>
      <c r="AA44" s="63" t="str">
        <f t="shared" si="1"/>
        <v/>
      </c>
      <c r="AB44" s="63" t="str">
        <f t="shared" si="27"/>
        <v/>
      </c>
      <c r="AC44" s="63" t="str">
        <f t="shared" si="2"/>
        <v/>
      </c>
      <c r="AD44" s="63" t="str">
        <f t="shared" si="28"/>
        <v/>
      </c>
      <c r="AE44" s="63" t="str">
        <f t="shared" si="3"/>
        <v/>
      </c>
      <c r="AF44" s="63" t="str">
        <f t="shared" si="29"/>
        <v/>
      </c>
      <c r="AG44" s="63" t="str">
        <f t="shared" si="4"/>
        <v/>
      </c>
      <c r="AH44" s="63" t="str">
        <f t="shared" si="30"/>
        <v/>
      </c>
      <c r="AI44" s="63" t="str">
        <f t="shared" si="5"/>
        <v/>
      </c>
      <c r="AJ44" s="63" t="str">
        <f t="shared" si="31"/>
        <v/>
      </c>
      <c r="AK44" s="63" t="str">
        <f t="shared" si="6"/>
        <v/>
      </c>
      <c r="AL44" s="63" t="str">
        <f t="shared" si="32"/>
        <v/>
      </c>
      <c r="AM44" s="63" t="str">
        <f t="shared" si="7"/>
        <v/>
      </c>
      <c r="AN44" s="63" t="str">
        <f t="shared" si="33"/>
        <v/>
      </c>
      <c r="AP44" s="53"/>
      <c r="AQ44" s="53"/>
      <c r="AR44" s="53"/>
      <c r="AS44" s="53"/>
      <c r="AT44" s="53"/>
      <c r="AU44" s="53"/>
      <c r="AV44" s="53"/>
      <c r="AW44" s="53"/>
      <c r="AX44" s="53"/>
      <c r="AY44" s="53"/>
      <c r="AZ44" s="53"/>
      <c r="BA44" s="53"/>
      <c r="BB44" s="53"/>
      <c r="BC44" s="53"/>
      <c r="BD44" s="53"/>
      <c r="BE44" s="53"/>
      <c r="BF44" s="53"/>
    </row>
    <row r="45" spans="6:58" ht="20.149999999999999" customHeight="1" x14ac:dyDescent="0.35">
      <c r="F45" s="61">
        <v>37</v>
      </c>
      <c r="G45" s="62" t="str">
        <f>IF('set-dasis'!F51=0,"",'set-dasis'!F51)</f>
        <v/>
      </c>
      <c r="H45" s="28"/>
      <c r="I45" s="28"/>
      <c r="J45" s="28"/>
      <c r="K45" s="28"/>
      <c r="L45" s="28"/>
      <c r="M45" s="28"/>
      <c r="N45" s="28"/>
      <c r="O45" s="28"/>
      <c r="P45" s="28"/>
      <c r="Q45" s="28"/>
      <c r="R45" s="98"/>
      <c r="S45" s="28"/>
      <c r="T45" s="28"/>
      <c r="U45" s="28"/>
      <c r="V45" s="28"/>
      <c r="W45" s="28"/>
      <c r="X45" s="28"/>
      <c r="Y45" s="65">
        <f t="shared" si="25"/>
        <v>0</v>
      </c>
      <c r="Z45" s="68" t="str">
        <f t="shared" si="26"/>
        <v/>
      </c>
      <c r="AA45" s="63" t="str">
        <f t="shared" si="1"/>
        <v/>
      </c>
      <c r="AB45" s="63" t="str">
        <f t="shared" si="27"/>
        <v/>
      </c>
      <c r="AC45" s="63" t="str">
        <f t="shared" si="2"/>
        <v/>
      </c>
      <c r="AD45" s="63" t="str">
        <f t="shared" si="28"/>
        <v/>
      </c>
      <c r="AE45" s="63" t="str">
        <f t="shared" si="3"/>
        <v/>
      </c>
      <c r="AF45" s="63" t="str">
        <f t="shared" si="29"/>
        <v/>
      </c>
      <c r="AG45" s="63" t="str">
        <f t="shared" si="4"/>
        <v/>
      </c>
      <c r="AH45" s="63" t="str">
        <f t="shared" si="30"/>
        <v/>
      </c>
      <c r="AI45" s="63" t="str">
        <f t="shared" si="5"/>
        <v/>
      </c>
      <c r="AJ45" s="63" t="str">
        <f t="shared" si="31"/>
        <v/>
      </c>
      <c r="AK45" s="63" t="str">
        <f t="shared" si="6"/>
        <v/>
      </c>
      <c r="AL45" s="63" t="str">
        <f t="shared" si="32"/>
        <v/>
      </c>
      <c r="AM45" s="63" t="str">
        <f t="shared" si="7"/>
        <v/>
      </c>
      <c r="AN45" s="63" t="str">
        <f t="shared" si="33"/>
        <v/>
      </c>
      <c r="AP45" s="53"/>
      <c r="AQ45" s="53"/>
      <c r="AR45" s="53"/>
      <c r="AS45" s="53"/>
      <c r="AT45" s="53"/>
      <c r="AU45" s="53"/>
      <c r="AV45" s="53"/>
      <c r="AW45" s="53"/>
      <c r="AX45" s="53"/>
      <c r="AY45" s="53"/>
      <c r="AZ45" s="53"/>
      <c r="BA45" s="53"/>
      <c r="BB45" s="53"/>
      <c r="BC45" s="53"/>
      <c r="BD45" s="53"/>
      <c r="BE45" s="53"/>
      <c r="BF45" s="53"/>
    </row>
    <row r="46" spans="6:58" ht="20.149999999999999" customHeight="1" x14ac:dyDescent="0.35">
      <c r="F46" s="61">
        <v>38</v>
      </c>
      <c r="G46" s="62" t="str">
        <f>IF('set-dasis'!F52=0,"",'set-dasis'!F52)</f>
        <v/>
      </c>
      <c r="H46" s="28"/>
      <c r="I46" s="28"/>
      <c r="J46" s="28"/>
      <c r="K46" s="28"/>
      <c r="L46" s="28"/>
      <c r="M46" s="28"/>
      <c r="N46" s="28"/>
      <c r="O46" s="28"/>
      <c r="P46" s="28"/>
      <c r="Q46" s="28"/>
      <c r="R46" s="98"/>
      <c r="S46" s="28"/>
      <c r="T46" s="28"/>
      <c r="U46" s="28"/>
      <c r="V46" s="28"/>
      <c r="W46" s="28"/>
      <c r="X46" s="28"/>
      <c r="Y46" s="65">
        <f t="shared" si="25"/>
        <v>0</v>
      </c>
      <c r="Z46" s="68" t="str">
        <f t="shared" si="26"/>
        <v/>
      </c>
      <c r="AA46" s="63" t="str">
        <f t="shared" si="1"/>
        <v/>
      </c>
      <c r="AB46" s="63" t="str">
        <f t="shared" si="27"/>
        <v/>
      </c>
      <c r="AC46" s="63" t="str">
        <f t="shared" si="2"/>
        <v/>
      </c>
      <c r="AD46" s="63" t="str">
        <f t="shared" si="28"/>
        <v/>
      </c>
      <c r="AE46" s="63" t="str">
        <f t="shared" si="3"/>
        <v/>
      </c>
      <c r="AF46" s="63" t="str">
        <f t="shared" si="29"/>
        <v/>
      </c>
      <c r="AG46" s="63" t="str">
        <f t="shared" si="4"/>
        <v/>
      </c>
      <c r="AH46" s="63" t="str">
        <f t="shared" si="30"/>
        <v/>
      </c>
      <c r="AI46" s="63" t="str">
        <f t="shared" si="5"/>
        <v/>
      </c>
      <c r="AJ46" s="63" t="str">
        <f t="shared" si="31"/>
        <v/>
      </c>
      <c r="AK46" s="63" t="str">
        <f t="shared" si="6"/>
        <v/>
      </c>
      <c r="AL46" s="63" t="str">
        <f t="shared" si="32"/>
        <v/>
      </c>
      <c r="AM46" s="63" t="str">
        <f t="shared" si="7"/>
        <v/>
      </c>
      <c r="AN46" s="63" t="str">
        <f t="shared" si="33"/>
        <v/>
      </c>
      <c r="AP46" s="53"/>
      <c r="AQ46" s="53"/>
      <c r="AR46" s="53"/>
      <c r="AS46" s="53"/>
      <c r="AT46" s="53"/>
      <c r="AU46" s="53"/>
      <c r="AV46" s="53"/>
      <c r="AW46" s="53"/>
      <c r="AX46" s="53"/>
      <c r="AY46" s="53"/>
      <c r="AZ46" s="53"/>
      <c r="BA46" s="53"/>
      <c r="BB46" s="53"/>
      <c r="BC46" s="53"/>
      <c r="BD46" s="53"/>
      <c r="BE46" s="53"/>
      <c r="BF46" s="53"/>
    </row>
    <row r="47" spans="6:58" ht="20.149999999999999" customHeight="1" x14ac:dyDescent="0.35">
      <c r="F47" s="61">
        <v>39</v>
      </c>
      <c r="G47" s="62" t="str">
        <f>IF('set-dasis'!F53=0,"",'set-dasis'!F53)</f>
        <v/>
      </c>
      <c r="H47" s="28"/>
      <c r="I47" s="28"/>
      <c r="J47" s="28"/>
      <c r="K47" s="28"/>
      <c r="L47" s="28"/>
      <c r="M47" s="28"/>
      <c r="N47" s="28"/>
      <c r="O47" s="28"/>
      <c r="P47" s="28"/>
      <c r="Q47" s="28"/>
      <c r="R47" s="98"/>
      <c r="S47" s="28"/>
      <c r="T47" s="28"/>
      <c r="U47" s="28"/>
      <c r="V47" s="28"/>
      <c r="W47" s="28"/>
      <c r="X47" s="28"/>
      <c r="Y47" s="65">
        <f t="shared" si="25"/>
        <v>0</v>
      </c>
      <c r="Z47" s="68" t="str">
        <f t="shared" si="26"/>
        <v/>
      </c>
      <c r="AA47" s="63" t="str">
        <f t="shared" si="1"/>
        <v/>
      </c>
      <c r="AB47" s="63" t="str">
        <f t="shared" si="27"/>
        <v/>
      </c>
      <c r="AC47" s="63" t="str">
        <f t="shared" si="2"/>
        <v/>
      </c>
      <c r="AD47" s="63" t="str">
        <f t="shared" si="28"/>
        <v/>
      </c>
      <c r="AE47" s="63" t="str">
        <f t="shared" si="3"/>
        <v/>
      </c>
      <c r="AF47" s="63" t="str">
        <f t="shared" si="29"/>
        <v/>
      </c>
      <c r="AG47" s="63" t="str">
        <f t="shared" si="4"/>
        <v/>
      </c>
      <c r="AH47" s="63" t="str">
        <f t="shared" si="30"/>
        <v/>
      </c>
      <c r="AI47" s="63" t="str">
        <f t="shared" si="5"/>
        <v/>
      </c>
      <c r="AJ47" s="63" t="str">
        <f t="shared" si="31"/>
        <v/>
      </c>
      <c r="AK47" s="63" t="str">
        <f t="shared" si="6"/>
        <v/>
      </c>
      <c r="AL47" s="63" t="str">
        <f t="shared" si="32"/>
        <v/>
      </c>
      <c r="AM47" s="63" t="str">
        <f t="shared" si="7"/>
        <v/>
      </c>
      <c r="AN47" s="63" t="str">
        <f t="shared" si="33"/>
        <v/>
      </c>
      <c r="AP47" s="53"/>
      <c r="AQ47" s="53"/>
      <c r="AR47" s="53"/>
      <c r="AS47" s="53"/>
      <c r="AT47" s="53"/>
      <c r="AU47" s="53"/>
      <c r="AV47" s="53"/>
      <c r="AW47" s="53"/>
      <c r="AX47" s="53"/>
      <c r="AY47" s="53"/>
      <c r="AZ47" s="53"/>
      <c r="BA47" s="53"/>
      <c r="BB47" s="53"/>
      <c r="BC47" s="53"/>
      <c r="BD47" s="53"/>
      <c r="BE47" s="53"/>
      <c r="BF47" s="53"/>
    </row>
    <row r="48" spans="6:58" ht="20.149999999999999" customHeight="1" x14ac:dyDescent="0.35">
      <c r="F48" s="61">
        <v>40</v>
      </c>
      <c r="G48" s="62" t="str">
        <f>IF('set-dasis'!F54=0,"",'set-dasis'!F54)</f>
        <v/>
      </c>
      <c r="H48" s="28"/>
      <c r="I48" s="28"/>
      <c r="J48" s="28"/>
      <c r="K48" s="28"/>
      <c r="L48" s="28"/>
      <c r="M48" s="28"/>
      <c r="N48" s="28"/>
      <c r="O48" s="28"/>
      <c r="P48" s="28"/>
      <c r="Q48" s="28"/>
      <c r="R48" s="98"/>
      <c r="S48" s="28"/>
      <c r="T48" s="28"/>
      <c r="U48" s="28"/>
      <c r="V48" s="28"/>
      <c r="W48" s="28"/>
      <c r="X48" s="28"/>
      <c r="Y48" s="65">
        <f t="shared" si="25"/>
        <v>0</v>
      </c>
      <c r="Z48" s="68" t="str">
        <f t="shared" si="26"/>
        <v/>
      </c>
      <c r="AA48" s="63" t="str">
        <f t="shared" si="1"/>
        <v/>
      </c>
      <c r="AB48" s="63" t="str">
        <f t="shared" si="27"/>
        <v/>
      </c>
      <c r="AC48" s="63" t="str">
        <f t="shared" si="2"/>
        <v/>
      </c>
      <c r="AD48" s="63" t="str">
        <f t="shared" si="28"/>
        <v/>
      </c>
      <c r="AE48" s="63" t="str">
        <f t="shared" si="3"/>
        <v/>
      </c>
      <c r="AF48" s="63" t="str">
        <f t="shared" si="29"/>
        <v/>
      </c>
      <c r="AG48" s="63" t="str">
        <f t="shared" si="4"/>
        <v/>
      </c>
      <c r="AH48" s="63" t="str">
        <f t="shared" si="30"/>
        <v/>
      </c>
      <c r="AI48" s="63" t="str">
        <f t="shared" si="5"/>
        <v/>
      </c>
      <c r="AJ48" s="63" t="str">
        <f t="shared" si="31"/>
        <v/>
      </c>
      <c r="AK48" s="63" t="str">
        <f t="shared" si="6"/>
        <v/>
      </c>
      <c r="AL48" s="63" t="str">
        <f t="shared" si="32"/>
        <v/>
      </c>
      <c r="AM48" s="63" t="str">
        <f t="shared" si="7"/>
        <v/>
      </c>
      <c r="AN48" s="63" t="str">
        <f t="shared" si="33"/>
        <v/>
      </c>
      <c r="AP48" s="53"/>
      <c r="AQ48" s="53"/>
      <c r="AR48" s="53"/>
      <c r="AS48" s="53"/>
      <c r="AT48" s="53"/>
      <c r="AU48" s="53"/>
      <c r="AV48" s="53"/>
      <c r="AW48" s="53"/>
      <c r="AX48" s="53"/>
      <c r="AY48" s="53"/>
      <c r="AZ48" s="53"/>
      <c r="BA48" s="53"/>
      <c r="BB48" s="53"/>
      <c r="BC48" s="53"/>
      <c r="BD48" s="53"/>
      <c r="BE48" s="53"/>
      <c r="BF48" s="53"/>
    </row>
    <row r="49" spans="6:58" ht="20.149999999999999" customHeight="1" x14ac:dyDescent="0.35">
      <c r="F49" s="452" t="s">
        <v>164</v>
      </c>
      <c r="G49" s="453"/>
      <c r="H49" s="170">
        <f>AVERAGE(H9:H48)</f>
        <v>84.264705882352942</v>
      </c>
      <c r="I49" s="170">
        <f t="shared" ref="I49:X49" si="34">AVERAGE(I9:I48)</f>
        <v>92.029411764705884</v>
      </c>
      <c r="J49" s="170">
        <f t="shared" si="34"/>
        <v>86.617647058823536</v>
      </c>
      <c r="K49" s="170">
        <f t="shared" si="34"/>
        <v>82.970588235294116</v>
      </c>
      <c r="L49" s="170">
        <f t="shared" si="34"/>
        <v>82.558823529411768</v>
      </c>
      <c r="M49" s="170">
        <f t="shared" si="34"/>
        <v>73.441176470588232</v>
      </c>
      <c r="N49" s="170">
        <f t="shared" si="34"/>
        <v>79.470588235294116</v>
      </c>
      <c r="O49" s="170">
        <f t="shared" si="34"/>
        <v>82.411764705882348</v>
      </c>
      <c r="P49" s="170">
        <f t="shared" si="34"/>
        <v>83.764705882352942</v>
      </c>
      <c r="Q49" s="170">
        <f t="shared" si="34"/>
        <v>83.264705882352942</v>
      </c>
      <c r="R49" s="170">
        <f t="shared" si="34"/>
        <v>82.205882352941174</v>
      </c>
      <c r="S49" s="170">
        <f t="shared" si="34"/>
        <v>69.848484848484844</v>
      </c>
      <c r="T49" s="170">
        <f t="shared" si="34"/>
        <v>69.705882352941174</v>
      </c>
      <c r="U49" s="170">
        <f t="shared" si="34"/>
        <v>76.470588235294116</v>
      </c>
      <c r="V49" s="170">
        <f t="shared" si="34"/>
        <v>48.235294117647058</v>
      </c>
      <c r="W49" s="170">
        <f t="shared" si="34"/>
        <v>61.029411764705884</v>
      </c>
      <c r="X49" s="170">
        <f t="shared" si="34"/>
        <v>77.941176470588232</v>
      </c>
      <c r="Y49" s="67"/>
      <c r="Z49" s="67"/>
      <c r="AA49" s="67"/>
      <c r="AB49" s="67"/>
      <c r="AC49" s="67"/>
      <c r="AD49" s="67"/>
      <c r="AE49" s="67"/>
      <c r="AF49" s="67"/>
      <c r="AG49" s="67"/>
      <c r="AH49" s="67"/>
      <c r="AI49" s="67"/>
      <c r="AJ49" s="67"/>
      <c r="AK49" s="67"/>
      <c r="AL49" s="67"/>
      <c r="AM49" s="67"/>
      <c r="AN49" s="67"/>
      <c r="AP49" s="170">
        <f>AVERAGE(AP9:AP48)</f>
        <v>85.558823529411768</v>
      </c>
      <c r="AQ49" s="170">
        <f t="shared" ref="AQ49:BF49" si="35">AVERAGE(AQ9:AQ48)</f>
        <v>92.764705882352942</v>
      </c>
      <c r="AR49" s="170">
        <f t="shared" si="35"/>
        <v>86.617647058823536</v>
      </c>
      <c r="AS49" s="170">
        <f t="shared" si="35"/>
        <v>85.147058823529406</v>
      </c>
      <c r="AT49" s="170">
        <f t="shared" si="35"/>
        <v>84.82352941176471</v>
      </c>
      <c r="AU49" s="170">
        <f t="shared" si="35"/>
        <v>82.117647058823536</v>
      </c>
      <c r="AV49" s="170">
        <f t="shared" si="35"/>
        <v>84.147058823529406</v>
      </c>
      <c r="AW49" s="170">
        <f t="shared" si="35"/>
        <v>84.264705882352942</v>
      </c>
      <c r="AX49" s="170">
        <f t="shared" si="35"/>
        <v>86.67647058823529</v>
      </c>
      <c r="AY49" s="170">
        <f t="shared" si="35"/>
        <v>83.970588235294116</v>
      </c>
      <c r="AZ49" s="170">
        <f t="shared" si="35"/>
        <v>82.5</v>
      </c>
      <c r="BA49" s="170">
        <f t="shared" si="35"/>
        <v>81.515151515151516</v>
      </c>
      <c r="BB49" s="170">
        <f t="shared" si="35"/>
        <v>80.852941176470594</v>
      </c>
      <c r="BC49" s="170">
        <f t="shared" si="35"/>
        <v>84.029411764705884</v>
      </c>
      <c r="BD49" s="170">
        <f t="shared" si="35"/>
        <v>80</v>
      </c>
      <c r="BE49" s="170">
        <f t="shared" si="35"/>
        <v>80.82352941176471</v>
      </c>
      <c r="BF49" s="170">
        <f t="shared" si="35"/>
        <v>84.117647058823536</v>
      </c>
    </row>
  </sheetData>
  <mergeCells count="72">
    <mergeCell ref="AM2:AN2"/>
    <mergeCell ref="AK3:AL3"/>
    <mergeCell ref="AM3:AN3"/>
    <mergeCell ref="AM6:AN6"/>
    <mergeCell ref="F49:G49"/>
    <mergeCell ref="AK4:AL4"/>
    <mergeCell ref="AM4:AN4"/>
    <mergeCell ref="F5:F7"/>
    <mergeCell ref="G5:G7"/>
    <mergeCell ref="H5:X7"/>
    <mergeCell ref="AA5:AN5"/>
    <mergeCell ref="AA6:AB6"/>
    <mergeCell ref="AC6:AD6"/>
    <mergeCell ref="AE6:AF6"/>
    <mergeCell ref="AG6:AH6"/>
    <mergeCell ref="F4:G4"/>
    <mergeCell ref="AI3:AJ3"/>
    <mergeCell ref="AI2:AJ2"/>
    <mergeCell ref="AI6:AJ6"/>
    <mergeCell ref="AK6:AL6"/>
    <mergeCell ref="AK2:AL2"/>
    <mergeCell ref="AI4:AJ4"/>
    <mergeCell ref="AG2:AH2"/>
    <mergeCell ref="Y2:Y7"/>
    <mergeCell ref="Z2:Z7"/>
    <mergeCell ref="AA2:AB2"/>
    <mergeCell ref="AC2:AD2"/>
    <mergeCell ref="AE2:AF2"/>
    <mergeCell ref="AC4:AD4"/>
    <mergeCell ref="AE4:AF4"/>
    <mergeCell ref="AA3:AB3"/>
    <mergeCell ref="AC3:AD3"/>
    <mergeCell ref="AE3:AF3"/>
    <mergeCell ref="AG3:AH3"/>
    <mergeCell ref="AA4:AB4"/>
    <mergeCell ref="AG4:AH4"/>
    <mergeCell ref="X2:X3"/>
    <mergeCell ref="L2:L3"/>
    <mergeCell ref="M2:M3"/>
    <mergeCell ref="N2:N3"/>
    <mergeCell ref="O2:O3"/>
    <mergeCell ref="P2:P3"/>
    <mergeCell ref="Q2:Q3"/>
    <mergeCell ref="S2:S3"/>
    <mergeCell ref="T2:T3"/>
    <mergeCell ref="U2:U3"/>
    <mergeCell ref="V2:V3"/>
    <mergeCell ref="W2:W3"/>
    <mergeCell ref="K2:K3"/>
    <mergeCell ref="R2:R3"/>
    <mergeCell ref="F1:G1"/>
    <mergeCell ref="F2:G3"/>
    <mergeCell ref="H2:H3"/>
    <mergeCell ref="I2:I3"/>
    <mergeCell ref="J2:J3"/>
    <mergeCell ref="AP1:AP8"/>
    <mergeCell ref="AQ1:AQ8"/>
    <mergeCell ref="AR1:AR8"/>
    <mergeCell ref="AS1:AS8"/>
    <mergeCell ref="AT1:AT8"/>
    <mergeCell ref="AU1:AU8"/>
    <mergeCell ref="AV1:AV8"/>
    <mergeCell ref="AW1:AW8"/>
    <mergeCell ref="AX1:AX8"/>
    <mergeCell ref="AY1:AY8"/>
    <mergeCell ref="BE1:BE8"/>
    <mergeCell ref="BF1:BF8"/>
    <mergeCell ref="AZ1:AZ8"/>
    <mergeCell ref="BA1:BA8"/>
    <mergeCell ref="BB1:BB8"/>
    <mergeCell ref="BC1:BC8"/>
    <mergeCell ref="BD1:BD8"/>
  </mergeCell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G59"/>
  <sheetViews>
    <sheetView showGridLines="0" zoomScale="55" zoomScaleNormal="55" workbookViewId="0">
      <selection activeCell="T22" sqref="T22"/>
    </sheetView>
  </sheetViews>
  <sheetFormatPr defaultRowHeight="14.5" x14ac:dyDescent="0.35"/>
  <cols>
    <col min="4" max="4" width="4.1796875" customWidth="1"/>
    <col min="5" max="5" width="1.54296875" customWidth="1"/>
    <col min="6" max="6" width="5.453125" style="18" customWidth="1"/>
    <col min="7" max="7" width="49.7265625" style="19" customWidth="1"/>
    <col min="8" max="8" width="11.54296875" style="18" customWidth="1"/>
    <col min="9" max="18" width="10.7265625" style="18" customWidth="1"/>
    <col min="19" max="19" width="13" style="18" customWidth="1"/>
    <col min="20" max="20" width="10.7265625" style="18" customWidth="1"/>
    <col min="21" max="21" width="13.7265625" style="18" customWidth="1"/>
    <col min="22" max="23" width="15.1796875" style="18" bestFit="1" customWidth="1"/>
    <col min="24" max="24" width="13.7265625" style="18" customWidth="1"/>
    <col min="25" max="25" width="8.453125" style="18" customWidth="1"/>
    <col min="26" max="26" width="7.81640625" style="18" customWidth="1"/>
    <col min="27" max="40" width="8.81640625" style="18" customWidth="1"/>
    <col min="43" max="59" width="9.1796875" style="34"/>
  </cols>
  <sheetData>
    <row r="1" spans="1:59" ht="23.25" customHeight="1" x14ac:dyDescent="0.35">
      <c r="A1" s="38"/>
      <c r="B1" s="38"/>
      <c r="C1" s="38"/>
      <c r="F1" s="442"/>
      <c r="G1" s="443"/>
      <c r="H1" s="60">
        <v>1</v>
      </c>
      <c r="I1" s="226">
        <v>2</v>
      </c>
      <c r="J1" s="60">
        <v>2</v>
      </c>
      <c r="K1" s="60">
        <v>3</v>
      </c>
      <c r="L1" s="226"/>
      <c r="M1" s="60">
        <v>4</v>
      </c>
      <c r="N1" s="60">
        <v>5</v>
      </c>
      <c r="O1" s="60">
        <v>6</v>
      </c>
      <c r="P1" s="60">
        <v>7</v>
      </c>
      <c r="Q1" s="60">
        <v>8</v>
      </c>
      <c r="R1" s="275"/>
      <c r="S1" s="60">
        <v>10</v>
      </c>
      <c r="T1" s="60">
        <v>11</v>
      </c>
      <c r="U1" s="60">
        <v>12</v>
      </c>
      <c r="V1" s="60">
        <v>13</v>
      </c>
      <c r="W1" s="130">
        <v>14</v>
      </c>
      <c r="X1" s="184">
        <v>15</v>
      </c>
      <c r="Y1" s="184">
        <v>16</v>
      </c>
      <c r="Z1" s="184">
        <v>17</v>
      </c>
      <c r="AA1" s="184">
        <v>18</v>
      </c>
      <c r="AB1" s="184">
        <v>19</v>
      </c>
      <c r="AC1" s="184">
        <v>20</v>
      </c>
      <c r="AD1" s="184">
        <v>21</v>
      </c>
      <c r="AE1" s="184">
        <v>22</v>
      </c>
      <c r="AF1" s="184">
        <v>23</v>
      </c>
      <c r="AG1" s="184">
        <v>24</v>
      </c>
      <c r="AH1" s="184">
        <v>25</v>
      </c>
      <c r="AI1" s="184">
        <v>26</v>
      </c>
      <c r="AJ1" s="184">
        <v>27</v>
      </c>
      <c r="AK1" s="184">
        <v>28</v>
      </c>
      <c r="AL1" s="184">
        <v>29</v>
      </c>
      <c r="AM1" s="184">
        <v>30</v>
      </c>
      <c r="AN1" s="184">
        <v>31</v>
      </c>
      <c r="AQ1" s="439" t="str">
        <f>H2</f>
        <v>Tahfizh Al-Qur'an</v>
      </c>
      <c r="AR1" s="439" t="str">
        <f t="shared" ref="AR1:BC1" si="0">I2</f>
        <v>Akhlaq</v>
      </c>
      <c r="AS1" s="439" t="str">
        <f t="shared" si="0"/>
        <v>Aqidah dan Manhaj</v>
      </c>
      <c r="AT1" s="439" t="str">
        <f t="shared" si="0"/>
        <v>Fiqih</v>
      </c>
      <c r="AU1" s="439" t="str">
        <f t="shared" si="0"/>
        <v>Bahasa Arab</v>
      </c>
      <c r="AV1" s="439" t="str">
        <f t="shared" si="0"/>
        <v>Nahwu dan Shorof</v>
      </c>
      <c r="AW1" s="439" t="str">
        <f t="shared" si="0"/>
        <v>Hadits</v>
      </c>
      <c r="AX1" s="439" t="str">
        <f t="shared" si="0"/>
        <v>Tajwid</v>
      </c>
      <c r="AY1" s="439" t="str">
        <f t="shared" si="0"/>
        <v>Tafsir</v>
      </c>
      <c r="AZ1" s="439" t="str">
        <f t="shared" si="0"/>
        <v>Siroh</v>
      </c>
      <c r="BA1" s="439" t="str">
        <f t="shared" si="0"/>
        <v>Praktek Ibadah dan Bahasa Arab</v>
      </c>
      <c r="BB1" s="439" t="str">
        <f t="shared" si="0"/>
        <v>Bahasa Indonesia</v>
      </c>
      <c r="BC1" s="439" t="str">
        <f t="shared" si="0"/>
        <v>Bahasa Inggris</v>
      </c>
      <c r="BD1" s="439" t="str">
        <f>U2</f>
        <v>Matematika</v>
      </c>
      <c r="BE1" s="439" t="str">
        <f t="shared" ref="BE1" si="1">V2</f>
        <v>Ilmu Pengetahuan Alam</v>
      </c>
      <c r="BF1" s="439" t="str">
        <f t="shared" ref="BF1" si="2">W2</f>
        <v>Ilmu Pengetahuan Sosial</v>
      </c>
      <c r="BG1" s="439" t="str">
        <f t="shared" ref="BG1" si="3">X2</f>
        <v>Komputer</v>
      </c>
    </row>
    <row r="2" spans="1:59" ht="47.25" customHeight="1" x14ac:dyDescent="0.35">
      <c r="A2" s="38"/>
      <c r="B2" s="38"/>
      <c r="C2" s="38"/>
      <c r="F2" s="444" t="s">
        <v>138</v>
      </c>
      <c r="G2" s="445"/>
      <c r="H2" s="440" t="str">
        <f>'set-kkm'!F6</f>
        <v>Tahfizh Al-Qur'an</v>
      </c>
      <c r="I2" s="440" t="str">
        <f>'set-kkm'!F7</f>
        <v>Akhlaq</v>
      </c>
      <c r="J2" s="440" t="str">
        <f>'set-kkm'!F8</f>
        <v>Aqidah dan Manhaj</v>
      </c>
      <c r="K2" s="440" t="str">
        <f>'set-kkm'!F9</f>
        <v>Fiqih</v>
      </c>
      <c r="L2" s="440" t="str">
        <f>'set-kkm'!F10</f>
        <v>Bahasa Arab</v>
      </c>
      <c r="M2" s="440" t="str">
        <f>'set-kkm'!F11</f>
        <v>Nahwu dan Shorof</v>
      </c>
      <c r="N2" s="440" t="str">
        <f>'set-kkm'!F12</f>
        <v>Hadits</v>
      </c>
      <c r="O2" s="440" t="str">
        <f>'set-kkm'!F13</f>
        <v>Tajwid</v>
      </c>
      <c r="P2" s="440" t="str">
        <f>'set-kkm'!F14</f>
        <v>Tafsir</v>
      </c>
      <c r="Q2" s="440" t="str">
        <f>'set-kkm'!F15</f>
        <v>Siroh</v>
      </c>
      <c r="R2" s="440" t="str">
        <f>'set-kkm'!F16</f>
        <v>Praktek Ibadah dan Bahasa Arab</v>
      </c>
      <c r="S2" s="440" t="str">
        <f>'set-kkm'!F18</f>
        <v>Bahasa Indonesia</v>
      </c>
      <c r="T2" s="440" t="str">
        <f>'set-kkm'!F19</f>
        <v>Bahasa Inggris</v>
      </c>
      <c r="U2" s="440" t="str">
        <f>'set-kkm'!F20</f>
        <v>Matematika</v>
      </c>
      <c r="V2" s="440" t="str">
        <f>'set-kkm'!F21</f>
        <v>Ilmu Pengetahuan Alam</v>
      </c>
      <c r="W2" s="440" t="str">
        <f>'set-kkm'!F22</f>
        <v>Ilmu Pengetahuan Sosial</v>
      </c>
      <c r="X2" s="440" t="str">
        <f>'set-kkm'!F23</f>
        <v>Komputer</v>
      </c>
      <c r="Y2" s="440" t="s">
        <v>151</v>
      </c>
      <c r="Z2" s="440" t="s">
        <v>153</v>
      </c>
      <c r="AA2" s="427" t="str">
        <f>'set-kkm'!K8</f>
        <v>Pendidikan Agama</v>
      </c>
      <c r="AB2" s="427"/>
      <c r="AC2" s="427" t="str">
        <f>'set-kkm'!K9</f>
        <v>Pendidikan Pancasila dan Kewarganegaraan (PPKN)</v>
      </c>
      <c r="AD2" s="427"/>
      <c r="AE2" s="427" t="str">
        <f>'set-kkm'!K10</f>
        <v>Bahasa Indonesia</v>
      </c>
      <c r="AF2" s="427"/>
      <c r="AG2" s="427" t="str">
        <f>'set-kkm'!K11</f>
        <v>Bahasa Inggris</v>
      </c>
      <c r="AH2" s="427"/>
      <c r="AI2" s="427" t="str">
        <f>'set-kkm'!K12</f>
        <v>Matematika</v>
      </c>
      <c r="AJ2" s="427"/>
      <c r="AK2" s="427" t="str">
        <f>'set-kkm'!K13</f>
        <v>Ilmu Pengetahuan Alam</v>
      </c>
      <c r="AL2" s="427"/>
      <c r="AM2" s="427" t="str">
        <f>'set-kkm'!K14</f>
        <v>Ilmu Pengetahuan Sosial</v>
      </c>
      <c r="AN2" s="427"/>
      <c r="AQ2" s="439"/>
      <c r="AR2" s="439"/>
      <c r="AS2" s="439"/>
      <c r="AT2" s="439"/>
      <c r="AU2" s="439"/>
      <c r="AV2" s="439"/>
      <c r="AW2" s="439"/>
      <c r="AX2" s="439"/>
      <c r="AY2" s="439"/>
      <c r="AZ2" s="439"/>
      <c r="BA2" s="439"/>
      <c r="BB2" s="439"/>
      <c r="BC2" s="439"/>
      <c r="BD2" s="439"/>
      <c r="BE2" s="439"/>
      <c r="BF2" s="439"/>
      <c r="BG2" s="439"/>
    </row>
    <row r="3" spans="1:59" ht="29.25" customHeight="1" x14ac:dyDescent="0.35">
      <c r="A3" s="38"/>
      <c r="B3" s="38"/>
      <c r="C3" s="38"/>
      <c r="F3" s="446"/>
      <c r="G3" s="447"/>
      <c r="H3" s="441"/>
      <c r="I3" s="441"/>
      <c r="J3" s="441"/>
      <c r="K3" s="441"/>
      <c r="L3" s="441"/>
      <c r="M3" s="441"/>
      <c r="N3" s="441"/>
      <c r="O3" s="441"/>
      <c r="P3" s="441"/>
      <c r="Q3" s="441"/>
      <c r="R3" s="441"/>
      <c r="S3" s="441"/>
      <c r="T3" s="441"/>
      <c r="U3" s="441"/>
      <c r="V3" s="441"/>
      <c r="W3" s="441"/>
      <c r="X3" s="441"/>
      <c r="Y3" s="448"/>
      <c r="Z3" s="448"/>
      <c r="AA3" s="450" t="str">
        <f>J2</f>
        <v>Aqidah dan Manhaj</v>
      </c>
      <c r="AB3" s="450"/>
      <c r="AC3" s="450" t="str">
        <f>H2</f>
        <v>Tahfizh Al-Qur'an</v>
      </c>
      <c r="AD3" s="450"/>
      <c r="AE3" s="450" t="str">
        <f>S2</f>
        <v>Bahasa Indonesia</v>
      </c>
      <c r="AF3" s="450"/>
      <c r="AG3" s="450" t="str">
        <f>T2</f>
        <v>Bahasa Inggris</v>
      </c>
      <c r="AH3" s="450"/>
      <c r="AI3" s="450" t="str">
        <f>U2</f>
        <v>Matematika</v>
      </c>
      <c r="AJ3" s="450"/>
      <c r="AK3" s="450" t="str">
        <f>V2</f>
        <v>Ilmu Pengetahuan Alam</v>
      </c>
      <c r="AL3" s="450"/>
      <c r="AM3" s="450" t="str">
        <f>W2</f>
        <v>Ilmu Pengetahuan Sosial</v>
      </c>
      <c r="AN3" s="450"/>
      <c r="AQ3" s="439"/>
      <c r="AR3" s="439"/>
      <c r="AS3" s="439"/>
      <c r="AT3" s="439"/>
      <c r="AU3" s="439"/>
      <c r="AV3" s="439"/>
      <c r="AW3" s="439"/>
      <c r="AX3" s="439"/>
      <c r="AY3" s="439"/>
      <c r="AZ3" s="439"/>
      <c r="BA3" s="439"/>
      <c r="BB3" s="439"/>
      <c r="BC3" s="439"/>
      <c r="BD3" s="439"/>
      <c r="BE3" s="439"/>
      <c r="BF3" s="439"/>
      <c r="BG3" s="439"/>
    </row>
    <row r="4" spans="1:59" ht="18" customHeight="1" x14ac:dyDescent="0.35">
      <c r="A4" s="38"/>
      <c r="B4" s="38"/>
      <c r="C4" s="38"/>
      <c r="F4" s="470" t="s">
        <v>72</v>
      </c>
      <c r="G4" s="470"/>
      <c r="H4" s="60">
        <f>'set-kkm'!H6</f>
        <v>70</v>
      </c>
      <c r="I4" s="226">
        <f>'set-kkm'!H7</f>
        <v>70</v>
      </c>
      <c r="J4" s="60">
        <f>'set-kkm'!H8</f>
        <v>70</v>
      </c>
      <c r="K4" s="60">
        <f>'set-kkm'!H9</f>
        <v>70</v>
      </c>
      <c r="L4" s="226">
        <f>'set-kkm'!H10</f>
        <v>70</v>
      </c>
      <c r="M4" s="60">
        <f>'set-kkm'!H11</f>
        <v>70</v>
      </c>
      <c r="N4" s="60">
        <f>'set-kkm'!H12</f>
        <v>70</v>
      </c>
      <c r="O4" s="60">
        <f>'set-kkm'!H13</f>
        <v>70</v>
      </c>
      <c r="P4" s="60">
        <f>'set-kkm'!H14</f>
        <v>70</v>
      </c>
      <c r="Q4" s="60">
        <f>'set-kkm'!H15</f>
        <v>70</v>
      </c>
      <c r="R4" s="275">
        <f>'set-kkm'!H16</f>
        <v>70</v>
      </c>
      <c r="S4" s="60">
        <f>'set-kkm'!H18</f>
        <v>70</v>
      </c>
      <c r="T4" s="60">
        <f>'set-kkm'!H19</f>
        <v>70</v>
      </c>
      <c r="U4" s="60">
        <f>'set-kkm'!H20</f>
        <v>70</v>
      </c>
      <c r="V4" s="60">
        <f>'set-kkm'!H21</f>
        <v>70</v>
      </c>
      <c r="W4" s="60">
        <f>'set-kkm'!H22</f>
        <v>70</v>
      </c>
      <c r="X4" s="184">
        <f>'set-kkm'!H23</f>
        <v>70</v>
      </c>
      <c r="Y4" s="448"/>
      <c r="Z4" s="448"/>
      <c r="AA4" s="449">
        <f>J4</f>
        <v>70</v>
      </c>
      <c r="AB4" s="449"/>
      <c r="AC4" s="449">
        <f>H4</f>
        <v>70</v>
      </c>
      <c r="AD4" s="449"/>
      <c r="AE4" s="449">
        <f>S4</f>
        <v>70</v>
      </c>
      <c r="AF4" s="449"/>
      <c r="AG4" s="449">
        <f>T4</f>
        <v>70</v>
      </c>
      <c r="AH4" s="449"/>
      <c r="AI4" s="449">
        <f>U4</f>
        <v>70</v>
      </c>
      <c r="AJ4" s="449"/>
      <c r="AK4" s="449">
        <f>V4</f>
        <v>70</v>
      </c>
      <c r="AL4" s="449"/>
      <c r="AM4" s="449">
        <f>W4</f>
        <v>70</v>
      </c>
      <c r="AN4" s="449"/>
      <c r="AQ4" s="439"/>
      <c r="AR4" s="439"/>
      <c r="AS4" s="439"/>
      <c r="AT4" s="439"/>
      <c r="AU4" s="439"/>
      <c r="AV4" s="439"/>
      <c r="AW4" s="439"/>
      <c r="AX4" s="439"/>
      <c r="AY4" s="439"/>
      <c r="AZ4" s="439"/>
      <c r="BA4" s="439"/>
      <c r="BB4" s="439"/>
      <c r="BC4" s="439"/>
      <c r="BD4" s="439"/>
      <c r="BE4" s="439"/>
      <c r="BF4" s="439"/>
      <c r="BG4" s="439"/>
    </row>
    <row r="5" spans="1:59" ht="18" customHeight="1" x14ac:dyDescent="0.35">
      <c r="A5" s="38"/>
      <c r="B5" s="38"/>
      <c r="C5" s="38"/>
      <c r="F5" s="454" t="s">
        <v>39</v>
      </c>
      <c r="G5" s="457" t="s">
        <v>139</v>
      </c>
      <c r="H5" s="460" t="s">
        <v>145</v>
      </c>
      <c r="I5" s="461"/>
      <c r="J5" s="461"/>
      <c r="K5" s="461"/>
      <c r="L5" s="461"/>
      <c r="M5" s="461"/>
      <c r="N5" s="461"/>
      <c r="O5" s="461"/>
      <c r="P5" s="461"/>
      <c r="Q5" s="461"/>
      <c r="R5" s="461"/>
      <c r="S5" s="461"/>
      <c r="T5" s="461"/>
      <c r="U5" s="461"/>
      <c r="V5" s="461"/>
      <c r="W5" s="461"/>
      <c r="X5" s="462"/>
      <c r="Y5" s="448"/>
      <c r="Z5" s="448"/>
      <c r="AA5" s="471" t="s">
        <v>146</v>
      </c>
      <c r="AB5" s="472"/>
      <c r="AC5" s="472"/>
      <c r="AD5" s="472"/>
      <c r="AE5" s="472"/>
      <c r="AF5" s="472"/>
      <c r="AG5" s="472"/>
      <c r="AH5" s="472"/>
      <c r="AI5" s="472"/>
      <c r="AJ5" s="472"/>
      <c r="AK5" s="472"/>
      <c r="AL5" s="472"/>
      <c r="AM5" s="472"/>
      <c r="AN5" s="472"/>
      <c r="AQ5" s="439"/>
      <c r="AR5" s="439"/>
      <c r="AS5" s="439"/>
      <c r="AT5" s="439"/>
      <c r="AU5" s="439"/>
      <c r="AV5" s="439"/>
      <c r="AW5" s="439"/>
      <c r="AX5" s="439"/>
      <c r="AY5" s="439"/>
      <c r="AZ5" s="439"/>
      <c r="BA5" s="439"/>
      <c r="BB5" s="439"/>
      <c r="BC5" s="439"/>
      <c r="BD5" s="439"/>
      <c r="BE5" s="439"/>
      <c r="BF5" s="439"/>
      <c r="BG5" s="439"/>
    </row>
    <row r="6" spans="1:59" ht="18" customHeight="1" x14ac:dyDescent="0.35">
      <c r="A6" s="38"/>
      <c r="B6" s="38"/>
      <c r="C6" s="38"/>
      <c r="F6" s="455"/>
      <c r="G6" s="458"/>
      <c r="H6" s="463"/>
      <c r="I6" s="464"/>
      <c r="J6" s="464"/>
      <c r="K6" s="464"/>
      <c r="L6" s="464"/>
      <c r="M6" s="464"/>
      <c r="N6" s="464"/>
      <c r="O6" s="464"/>
      <c r="P6" s="464"/>
      <c r="Q6" s="464"/>
      <c r="R6" s="464"/>
      <c r="S6" s="464"/>
      <c r="T6" s="464"/>
      <c r="U6" s="464"/>
      <c r="V6" s="464"/>
      <c r="W6" s="464"/>
      <c r="X6" s="465"/>
      <c r="Y6" s="448"/>
      <c r="Z6" s="448"/>
      <c r="AA6" s="451" t="s">
        <v>142</v>
      </c>
      <c r="AB6" s="451"/>
      <c r="AC6" s="451" t="s">
        <v>142</v>
      </c>
      <c r="AD6" s="451"/>
      <c r="AE6" s="451" t="s">
        <v>142</v>
      </c>
      <c r="AF6" s="451"/>
      <c r="AG6" s="451" t="s">
        <v>142</v>
      </c>
      <c r="AH6" s="451"/>
      <c r="AI6" s="451" t="s">
        <v>142</v>
      </c>
      <c r="AJ6" s="451"/>
      <c r="AK6" s="451" t="s">
        <v>142</v>
      </c>
      <c r="AL6" s="451"/>
      <c r="AM6" s="451" t="s">
        <v>142</v>
      </c>
      <c r="AN6" s="451"/>
      <c r="AQ6" s="439"/>
      <c r="AR6" s="439"/>
      <c r="AS6" s="439"/>
      <c r="AT6" s="439"/>
      <c r="AU6" s="439"/>
      <c r="AV6" s="439"/>
      <c r="AW6" s="439"/>
      <c r="AX6" s="439"/>
      <c r="AY6" s="439"/>
      <c r="AZ6" s="439"/>
      <c r="BA6" s="439"/>
      <c r="BB6" s="439"/>
      <c r="BC6" s="439"/>
      <c r="BD6" s="439"/>
      <c r="BE6" s="439"/>
      <c r="BF6" s="439"/>
      <c r="BG6" s="439"/>
    </row>
    <row r="7" spans="1:59" ht="18" customHeight="1" x14ac:dyDescent="0.35">
      <c r="A7" s="38"/>
      <c r="B7" s="38"/>
      <c r="C7" s="38"/>
      <c r="F7" s="456"/>
      <c r="G7" s="459"/>
      <c r="H7" s="466"/>
      <c r="I7" s="467"/>
      <c r="J7" s="467"/>
      <c r="K7" s="467"/>
      <c r="L7" s="467"/>
      <c r="M7" s="467"/>
      <c r="N7" s="467"/>
      <c r="O7" s="467"/>
      <c r="P7" s="467"/>
      <c r="Q7" s="467"/>
      <c r="R7" s="467"/>
      <c r="S7" s="467"/>
      <c r="T7" s="467"/>
      <c r="U7" s="467"/>
      <c r="V7" s="467"/>
      <c r="W7" s="467"/>
      <c r="X7" s="468"/>
      <c r="Y7" s="441"/>
      <c r="Z7" s="441"/>
      <c r="AA7" s="64" t="s">
        <v>141</v>
      </c>
      <c r="AB7" s="64" t="s">
        <v>140</v>
      </c>
      <c r="AC7" s="64" t="s">
        <v>141</v>
      </c>
      <c r="AD7" s="64" t="s">
        <v>140</v>
      </c>
      <c r="AE7" s="64" t="s">
        <v>141</v>
      </c>
      <c r="AF7" s="64" t="s">
        <v>140</v>
      </c>
      <c r="AG7" s="64" t="s">
        <v>141</v>
      </c>
      <c r="AH7" s="64" t="s">
        <v>140</v>
      </c>
      <c r="AI7" s="64" t="s">
        <v>141</v>
      </c>
      <c r="AJ7" s="64" t="s">
        <v>140</v>
      </c>
      <c r="AK7" s="64" t="s">
        <v>141</v>
      </c>
      <c r="AL7" s="64" t="s">
        <v>140</v>
      </c>
      <c r="AM7" s="64" t="s">
        <v>141</v>
      </c>
      <c r="AN7" s="64" t="s">
        <v>140</v>
      </c>
      <c r="AQ7" s="439"/>
      <c r="AR7" s="439"/>
      <c r="AS7" s="439"/>
      <c r="AT7" s="439"/>
      <c r="AU7" s="439"/>
      <c r="AV7" s="439"/>
      <c r="AW7" s="439"/>
      <c r="AX7" s="439"/>
      <c r="AY7" s="439"/>
      <c r="AZ7" s="439"/>
      <c r="BA7" s="439"/>
      <c r="BB7" s="439"/>
      <c r="BC7" s="439"/>
      <c r="BD7" s="439"/>
      <c r="BE7" s="439"/>
      <c r="BF7" s="439"/>
      <c r="BG7" s="439"/>
    </row>
    <row r="8" spans="1:59" ht="18" customHeight="1" x14ac:dyDescent="0.35">
      <c r="A8" s="38"/>
      <c r="B8" s="38"/>
      <c r="C8" s="38"/>
      <c r="F8" s="92">
        <v>1</v>
      </c>
      <c r="G8" s="93">
        <v>2</v>
      </c>
      <c r="H8" s="92">
        <v>3</v>
      </c>
      <c r="I8" s="93">
        <v>4</v>
      </c>
      <c r="J8" s="92">
        <v>5</v>
      </c>
      <c r="K8" s="93">
        <v>6</v>
      </c>
      <c r="L8" s="92">
        <v>7</v>
      </c>
      <c r="M8" s="93">
        <v>8</v>
      </c>
      <c r="N8" s="92">
        <v>9</v>
      </c>
      <c r="O8" s="93">
        <v>10</v>
      </c>
      <c r="P8" s="92">
        <v>11</v>
      </c>
      <c r="Q8" s="93">
        <v>12</v>
      </c>
      <c r="R8" s="92">
        <v>13</v>
      </c>
      <c r="S8" s="93">
        <v>14</v>
      </c>
      <c r="T8" s="92">
        <v>15</v>
      </c>
      <c r="U8" s="93">
        <v>16</v>
      </c>
      <c r="V8" s="92">
        <v>17</v>
      </c>
      <c r="W8" s="93">
        <v>18</v>
      </c>
      <c r="X8" s="92">
        <v>19</v>
      </c>
      <c r="Y8" s="93">
        <v>20</v>
      </c>
      <c r="Z8" s="92">
        <v>21</v>
      </c>
      <c r="AA8" s="93">
        <v>22</v>
      </c>
      <c r="AB8" s="92">
        <v>23</v>
      </c>
      <c r="AC8" s="93">
        <v>24</v>
      </c>
      <c r="AD8" s="92">
        <v>25</v>
      </c>
      <c r="AE8" s="93">
        <v>26</v>
      </c>
      <c r="AF8" s="92">
        <v>27</v>
      </c>
      <c r="AG8" s="93">
        <v>28</v>
      </c>
      <c r="AH8" s="92">
        <v>29</v>
      </c>
      <c r="AI8" s="93">
        <v>30</v>
      </c>
      <c r="AJ8" s="92">
        <v>31</v>
      </c>
      <c r="AK8" s="93">
        <v>32</v>
      </c>
      <c r="AL8" s="92">
        <v>33</v>
      </c>
      <c r="AM8" s="93">
        <v>34</v>
      </c>
      <c r="AN8" s="92">
        <v>35</v>
      </c>
      <c r="AQ8" s="439"/>
      <c r="AR8" s="439"/>
      <c r="AS8" s="439"/>
      <c r="AT8" s="439"/>
      <c r="AU8" s="439"/>
      <c r="AV8" s="439"/>
      <c r="AW8" s="439"/>
      <c r="AX8" s="439"/>
      <c r="AY8" s="439"/>
      <c r="AZ8" s="439"/>
      <c r="BA8" s="439"/>
      <c r="BB8" s="439"/>
      <c r="BC8" s="439"/>
      <c r="BD8" s="439"/>
      <c r="BE8" s="439"/>
      <c r="BF8" s="439"/>
      <c r="BG8" s="439"/>
    </row>
    <row r="9" spans="1:59" ht="20.149999999999999" customHeight="1" x14ac:dyDescent="0.35">
      <c r="A9" s="38"/>
      <c r="B9" s="38"/>
      <c r="C9" s="38"/>
      <c r="F9" s="61">
        <v>1</v>
      </c>
      <c r="G9" s="62" t="str">
        <f>IF('set-dasis'!F5=0,"",'set-dasis'!F5)</f>
        <v>ABDILLAH MUCHSIN AL ANSYORI</v>
      </c>
      <c r="H9" s="376">
        <v>81</v>
      </c>
      <c r="I9" s="376">
        <v>100</v>
      </c>
      <c r="J9" s="376">
        <v>77</v>
      </c>
      <c r="K9" s="376">
        <v>71</v>
      </c>
      <c r="L9" s="376">
        <v>80</v>
      </c>
      <c r="M9" s="376">
        <v>60</v>
      </c>
      <c r="N9" s="376">
        <v>95</v>
      </c>
      <c r="O9" s="376">
        <v>76</v>
      </c>
      <c r="P9" s="376">
        <v>64</v>
      </c>
      <c r="Q9" s="376">
        <v>75</v>
      </c>
      <c r="R9" s="376">
        <v>80</v>
      </c>
      <c r="S9" s="376">
        <v>45</v>
      </c>
      <c r="T9" s="376">
        <v>95</v>
      </c>
      <c r="U9" s="376">
        <v>80</v>
      </c>
      <c r="V9" s="376">
        <v>65</v>
      </c>
      <c r="W9" s="376">
        <v>90</v>
      </c>
      <c r="X9" s="376">
        <v>95</v>
      </c>
      <c r="Y9" s="65">
        <f>SUM(H9:X9)</f>
        <v>1329</v>
      </c>
      <c r="Z9" s="68">
        <f>IFERROR(AVERAGE(H9:X9),"")</f>
        <v>78.17647058823529</v>
      </c>
      <c r="AA9" s="63">
        <f t="shared" ref="AA9" si="4">IF(J9=0,"",J9)</f>
        <v>77</v>
      </c>
      <c r="AB9" s="63">
        <f>IF(AA9="","",IF(AA9=100,100,AA9+1))</f>
        <v>78</v>
      </c>
      <c r="AC9" s="63">
        <f t="shared" ref="AC9" si="5">IF(H9="","",H9)</f>
        <v>81</v>
      </c>
      <c r="AD9" s="63">
        <f>IF(AC9="","",IF(AC9=100,100,AC9+1))</f>
        <v>82</v>
      </c>
      <c r="AE9" s="63">
        <f t="shared" ref="AE9" si="6">IF(S9="","",S9)</f>
        <v>45</v>
      </c>
      <c r="AF9" s="63">
        <f>IF(AE9="","",IF(AE9=100,100,AE9+1))</f>
        <v>46</v>
      </c>
      <c r="AG9" s="63">
        <f t="shared" ref="AG9" si="7">IF(T9="","",T9)</f>
        <v>95</v>
      </c>
      <c r="AH9" s="63">
        <f>IF(AG9="","",IF(AG9=100,100,AG9+1))</f>
        <v>96</v>
      </c>
      <c r="AI9" s="63">
        <f t="shared" ref="AI9" si="8">IF(U9="","",U9)</f>
        <v>80</v>
      </c>
      <c r="AJ9" s="63">
        <f>IF(AI9="","",IF(AI9=100,100,AI9+1))</f>
        <v>81</v>
      </c>
      <c r="AK9" s="63">
        <f t="shared" ref="AK9" si="9">IF(V9="","",V9)</f>
        <v>65</v>
      </c>
      <c r="AL9" s="63">
        <f>IF(AK9="","",IF(AK9=100,100,AK9+1))</f>
        <v>66</v>
      </c>
      <c r="AM9" s="63">
        <f t="shared" ref="AM9" si="10">IF(W9="","",W9)</f>
        <v>90</v>
      </c>
      <c r="AN9" s="63">
        <f>IF(AM9="","",IF(AM9=100,100,AM9+1))</f>
        <v>91</v>
      </c>
      <c r="AQ9" s="306">
        <f>IF(H9="","",IF(H9&lt;75,75,H9))</f>
        <v>81</v>
      </c>
      <c r="AR9" s="306">
        <f t="shared" ref="AR9:BA9" si="11">IF(I9="","",IF(I9&lt;75,75,I9))</f>
        <v>100</v>
      </c>
      <c r="AS9" s="306">
        <f t="shared" si="11"/>
        <v>77</v>
      </c>
      <c r="AT9" s="306">
        <f t="shared" si="11"/>
        <v>75</v>
      </c>
      <c r="AU9" s="306">
        <f t="shared" si="11"/>
        <v>80</v>
      </c>
      <c r="AV9" s="306">
        <f t="shared" si="11"/>
        <v>75</v>
      </c>
      <c r="AW9" s="306">
        <f t="shared" si="11"/>
        <v>95</v>
      </c>
      <c r="AX9" s="306">
        <f t="shared" si="11"/>
        <v>76</v>
      </c>
      <c r="AY9" s="306">
        <f t="shared" si="11"/>
        <v>75</v>
      </c>
      <c r="AZ9" s="306">
        <f t="shared" si="11"/>
        <v>75</v>
      </c>
      <c r="BA9" s="306">
        <f t="shared" si="11"/>
        <v>80</v>
      </c>
      <c r="BB9" s="306">
        <f>IF(S9="","",IF(S9&lt;80,80,S9))</f>
        <v>80</v>
      </c>
      <c r="BC9" s="306">
        <f t="shared" ref="BC9:BG9" si="12">IF(T9="","",IF(T9&lt;80,80,T9))</f>
        <v>95</v>
      </c>
      <c r="BD9" s="306">
        <f t="shared" si="12"/>
        <v>80</v>
      </c>
      <c r="BE9" s="306">
        <f t="shared" si="12"/>
        <v>80</v>
      </c>
      <c r="BF9" s="306">
        <f t="shared" si="12"/>
        <v>90</v>
      </c>
      <c r="BG9" s="306">
        <f t="shared" si="12"/>
        <v>95</v>
      </c>
    </row>
    <row r="10" spans="1:59" ht="20.149999999999999" customHeight="1" x14ac:dyDescent="0.35">
      <c r="A10" s="38"/>
      <c r="B10" s="38"/>
      <c r="C10" s="38"/>
      <c r="F10" s="61">
        <v>2</v>
      </c>
      <c r="G10" s="62" t="str">
        <f>IF('set-dasis'!F6=0,"",'set-dasis'!F6)</f>
        <v>ABDULLAH MUADZ</v>
      </c>
      <c r="H10" s="376">
        <v>86</v>
      </c>
      <c r="I10" s="376">
        <v>100</v>
      </c>
      <c r="J10" s="376">
        <v>98</v>
      </c>
      <c r="K10" s="376">
        <v>100</v>
      </c>
      <c r="L10" s="376">
        <v>100</v>
      </c>
      <c r="M10" s="376">
        <v>96</v>
      </c>
      <c r="N10" s="376">
        <v>90</v>
      </c>
      <c r="O10" s="376">
        <v>94</v>
      </c>
      <c r="P10" s="376">
        <v>90</v>
      </c>
      <c r="Q10" s="376">
        <v>90</v>
      </c>
      <c r="R10" s="376">
        <v>80</v>
      </c>
      <c r="S10" s="376">
        <v>45</v>
      </c>
      <c r="T10" s="376">
        <v>88</v>
      </c>
      <c r="U10" s="376">
        <v>90</v>
      </c>
      <c r="V10" s="376">
        <v>100</v>
      </c>
      <c r="W10" s="376">
        <v>87</v>
      </c>
      <c r="X10" s="376">
        <v>88</v>
      </c>
      <c r="Y10" s="65">
        <f t="shared" ref="Y10:Y44" si="13">SUM(H10:X10)</f>
        <v>1522</v>
      </c>
      <c r="Z10" s="68">
        <f t="shared" ref="Z10:Z44" si="14">IFERROR(AVERAGE(H10:X10),"")</f>
        <v>89.529411764705884</v>
      </c>
      <c r="AA10" s="63">
        <f t="shared" ref="AA10:AA45" si="15">IF(J10=0,"",J10)</f>
        <v>98</v>
      </c>
      <c r="AB10" s="63">
        <f t="shared" ref="AB10:AB58" si="16">IF(AA10="","",IF(AA10=100,100,AA10+1))</f>
        <v>99</v>
      </c>
      <c r="AC10" s="63">
        <f t="shared" ref="AC10:AC45" si="17">IF(H10="","",H10)</f>
        <v>86</v>
      </c>
      <c r="AD10" s="63">
        <f t="shared" ref="AD10:AD58" si="18">IF(AC10="","",IF(AC10=100,100,AC10+1))</f>
        <v>87</v>
      </c>
      <c r="AE10" s="63">
        <f t="shared" ref="AE10:AE45" si="19">IF(S10="","",S10)</f>
        <v>45</v>
      </c>
      <c r="AF10" s="63">
        <f t="shared" ref="AF10:AF58" si="20">IF(AE10="","",IF(AE10=100,100,AE10+1))</f>
        <v>46</v>
      </c>
      <c r="AG10" s="63">
        <f t="shared" ref="AG10:AG45" si="21">IF(T10="","",T10)</f>
        <v>88</v>
      </c>
      <c r="AH10" s="63">
        <f t="shared" ref="AH10:AH58" si="22">IF(AG10="","",IF(AG10=100,100,AG10+1))</f>
        <v>89</v>
      </c>
      <c r="AI10" s="63">
        <f t="shared" ref="AI10:AI45" si="23">IF(U10="","",U10)</f>
        <v>90</v>
      </c>
      <c r="AJ10" s="63">
        <f t="shared" ref="AJ10:AJ58" si="24">IF(AI10="","",IF(AI10=100,100,AI10+1))</f>
        <v>91</v>
      </c>
      <c r="AK10" s="63">
        <f t="shared" ref="AK10:AK45" si="25">IF(V10="","",V10)</f>
        <v>100</v>
      </c>
      <c r="AL10" s="63">
        <f t="shared" ref="AL10:AL58" si="26">IF(AK10="","",IF(AK10=100,100,AK10+1))</f>
        <v>100</v>
      </c>
      <c r="AM10" s="63">
        <f t="shared" ref="AM10:AM45" si="27">IF(W10="","",W10)</f>
        <v>87</v>
      </c>
      <c r="AN10" s="63">
        <f t="shared" ref="AN10:AN58" si="28">IF(AM10="","",IF(AM10=100,100,AM10+1))</f>
        <v>88</v>
      </c>
      <c r="AQ10" s="365">
        <f t="shared" ref="AQ10:AQ58" si="29">IF(H10="","",IF(H10&lt;75,75,H10))</f>
        <v>86</v>
      </c>
      <c r="AR10" s="365">
        <f t="shared" ref="AR10:AR58" si="30">IF(I10="","",IF(I10&lt;75,75,I10))</f>
        <v>100</v>
      </c>
      <c r="AS10" s="365">
        <f t="shared" ref="AS10:AS58" si="31">IF(J10="","",IF(J10&lt;75,75,J10))</f>
        <v>98</v>
      </c>
      <c r="AT10" s="365">
        <f t="shared" ref="AT10:AT58" si="32">IF(K10="","",IF(K10&lt;75,75,K10))</f>
        <v>100</v>
      </c>
      <c r="AU10" s="365">
        <f t="shared" ref="AU10:AU58" si="33">IF(L10="","",IF(L10&lt;75,75,L10))</f>
        <v>100</v>
      </c>
      <c r="AV10" s="365">
        <f t="shared" ref="AV10:AV58" si="34">IF(M10="","",IF(M10&lt;75,75,M10))</f>
        <v>96</v>
      </c>
      <c r="AW10" s="365">
        <f t="shared" ref="AW10:AW58" si="35">IF(N10="","",IF(N10&lt;75,75,N10))</f>
        <v>90</v>
      </c>
      <c r="AX10" s="365">
        <f t="shared" ref="AX10:AX58" si="36">IF(O10="","",IF(O10&lt;75,75,O10))</f>
        <v>94</v>
      </c>
      <c r="AY10" s="365">
        <f t="shared" ref="AY10:AY58" si="37">IF(P10="","",IF(P10&lt;75,75,P10))</f>
        <v>90</v>
      </c>
      <c r="AZ10" s="365">
        <f t="shared" ref="AZ10:AZ58" si="38">IF(Q10="","",IF(Q10&lt;75,75,Q10))</f>
        <v>90</v>
      </c>
      <c r="BA10" s="365">
        <f t="shared" ref="BA10:BA58" si="39">IF(R10="","",IF(R10&lt;75,75,R10))</f>
        <v>80</v>
      </c>
      <c r="BB10" s="365">
        <f t="shared" ref="BB10:BB58" si="40">IF(S10="","",IF(S10&lt;80,80,S10))</f>
        <v>80</v>
      </c>
      <c r="BC10" s="365">
        <f t="shared" ref="BC10:BC58" si="41">IF(T10="","",IF(T10&lt;80,80,T10))</f>
        <v>88</v>
      </c>
      <c r="BD10" s="365">
        <f t="shared" ref="BD10:BD58" si="42">IF(U10="","",IF(U10&lt;80,80,U10))</f>
        <v>90</v>
      </c>
      <c r="BE10" s="365">
        <f t="shared" ref="BE10:BE58" si="43">IF(V10="","",IF(V10&lt;80,80,V10))</f>
        <v>100</v>
      </c>
      <c r="BF10" s="365">
        <f t="shared" ref="BF10:BF58" si="44">IF(W10="","",IF(W10&lt;80,80,W10))</f>
        <v>87</v>
      </c>
      <c r="BG10" s="365">
        <f t="shared" ref="BG10:BG58" si="45">IF(X10="","",IF(X10&lt;80,80,X10))</f>
        <v>88</v>
      </c>
    </row>
    <row r="11" spans="1:59" ht="20.149999999999999" customHeight="1" x14ac:dyDescent="0.35">
      <c r="A11" s="38"/>
      <c r="B11" s="38"/>
      <c r="C11" s="38"/>
      <c r="F11" s="61">
        <v>3</v>
      </c>
      <c r="G11" s="62" t="str">
        <f>IF('set-dasis'!F7=0,"",'set-dasis'!F7)</f>
        <v>ABYAN TSAQIB MUBAROK</v>
      </c>
      <c r="H11" s="376">
        <v>79</v>
      </c>
      <c r="I11" s="376">
        <v>100</v>
      </c>
      <c r="J11" s="376">
        <v>74</v>
      </c>
      <c r="K11" s="376">
        <v>70</v>
      </c>
      <c r="L11" s="376">
        <v>85</v>
      </c>
      <c r="M11" s="376">
        <v>20</v>
      </c>
      <c r="N11" s="376">
        <v>75</v>
      </c>
      <c r="O11" s="376">
        <v>85</v>
      </c>
      <c r="P11" s="376">
        <v>53</v>
      </c>
      <c r="Q11" s="376">
        <v>70</v>
      </c>
      <c r="R11" s="376">
        <v>80</v>
      </c>
      <c r="S11" s="376">
        <v>45</v>
      </c>
      <c r="T11" s="376">
        <v>86</v>
      </c>
      <c r="U11" s="376">
        <v>90</v>
      </c>
      <c r="V11" s="376">
        <v>80</v>
      </c>
      <c r="W11" s="376">
        <v>81</v>
      </c>
      <c r="X11" s="376">
        <v>86</v>
      </c>
      <c r="Y11" s="65">
        <f t="shared" si="13"/>
        <v>1259</v>
      </c>
      <c r="Z11" s="68">
        <f t="shared" si="14"/>
        <v>74.058823529411768</v>
      </c>
      <c r="AA11" s="63">
        <f t="shared" si="15"/>
        <v>74</v>
      </c>
      <c r="AB11" s="63">
        <f t="shared" si="16"/>
        <v>75</v>
      </c>
      <c r="AC11" s="63">
        <f t="shared" si="17"/>
        <v>79</v>
      </c>
      <c r="AD11" s="63">
        <f t="shared" si="18"/>
        <v>80</v>
      </c>
      <c r="AE11" s="63">
        <f t="shared" si="19"/>
        <v>45</v>
      </c>
      <c r="AF11" s="63">
        <f t="shared" si="20"/>
        <v>46</v>
      </c>
      <c r="AG11" s="63">
        <f t="shared" si="21"/>
        <v>86</v>
      </c>
      <c r="AH11" s="63">
        <f t="shared" si="22"/>
        <v>87</v>
      </c>
      <c r="AI11" s="63">
        <f t="shared" si="23"/>
        <v>90</v>
      </c>
      <c r="AJ11" s="63">
        <f t="shared" si="24"/>
        <v>91</v>
      </c>
      <c r="AK11" s="63">
        <f t="shared" si="25"/>
        <v>80</v>
      </c>
      <c r="AL11" s="63">
        <f t="shared" si="26"/>
        <v>81</v>
      </c>
      <c r="AM11" s="63">
        <f t="shared" si="27"/>
        <v>81</v>
      </c>
      <c r="AN11" s="63">
        <f t="shared" si="28"/>
        <v>82</v>
      </c>
      <c r="AQ11" s="365">
        <f t="shared" si="29"/>
        <v>79</v>
      </c>
      <c r="AR11" s="365">
        <f t="shared" si="30"/>
        <v>100</v>
      </c>
      <c r="AS11" s="365">
        <f t="shared" si="31"/>
        <v>75</v>
      </c>
      <c r="AT11" s="365">
        <f t="shared" si="32"/>
        <v>75</v>
      </c>
      <c r="AU11" s="365">
        <f t="shared" si="33"/>
        <v>85</v>
      </c>
      <c r="AV11" s="365">
        <f t="shared" si="34"/>
        <v>75</v>
      </c>
      <c r="AW11" s="365">
        <f t="shared" si="35"/>
        <v>75</v>
      </c>
      <c r="AX11" s="365">
        <f t="shared" si="36"/>
        <v>85</v>
      </c>
      <c r="AY11" s="365">
        <f t="shared" si="37"/>
        <v>75</v>
      </c>
      <c r="AZ11" s="365">
        <f t="shared" si="38"/>
        <v>75</v>
      </c>
      <c r="BA11" s="365">
        <f t="shared" si="39"/>
        <v>80</v>
      </c>
      <c r="BB11" s="365">
        <f t="shared" si="40"/>
        <v>80</v>
      </c>
      <c r="BC11" s="365">
        <f t="shared" si="41"/>
        <v>86</v>
      </c>
      <c r="BD11" s="365">
        <f t="shared" si="42"/>
        <v>90</v>
      </c>
      <c r="BE11" s="365">
        <f t="shared" si="43"/>
        <v>80</v>
      </c>
      <c r="BF11" s="365">
        <f t="shared" si="44"/>
        <v>81</v>
      </c>
      <c r="BG11" s="365">
        <f t="shared" si="45"/>
        <v>86</v>
      </c>
    </row>
    <row r="12" spans="1:59" ht="20.149999999999999" customHeight="1" x14ac:dyDescent="0.35">
      <c r="A12" s="38"/>
      <c r="B12" s="38"/>
      <c r="C12" s="38"/>
      <c r="F12" s="61">
        <v>4</v>
      </c>
      <c r="G12" s="62" t="str">
        <f>IF('set-dasis'!F8=0,"",'set-dasis'!F8)</f>
        <v>AHMAD WILDAN KHULUQIN AZHIM</v>
      </c>
      <c r="H12" s="376">
        <v>79</v>
      </c>
      <c r="I12" s="376">
        <v>100</v>
      </c>
      <c r="J12" s="376">
        <v>85</v>
      </c>
      <c r="K12" s="376">
        <v>91</v>
      </c>
      <c r="L12" s="376">
        <v>95</v>
      </c>
      <c r="M12" s="376">
        <v>96</v>
      </c>
      <c r="N12" s="376">
        <v>100</v>
      </c>
      <c r="O12" s="377">
        <f>H12</f>
        <v>79</v>
      </c>
      <c r="P12" s="376">
        <v>72</v>
      </c>
      <c r="Q12" s="376">
        <v>90</v>
      </c>
      <c r="R12" s="376">
        <v>85</v>
      </c>
      <c r="S12" s="376">
        <v>45</v>
      </c>
      <c r="T12" s="376">
        <v>88</v>
      </c>
      <c r="U12" s="376">
        <v>90</v>
      </c>
      <c r="V12" s="376">
        <v>90</v>
      </c>
      <c r="W12" s="376">
        <v>87</v>
      </c>
      <c r="X12" s="376">
        <v>88</v>
      </c>
      <c r="Y12" s="65">
        <f t="shared" si="13"/>
        <v>1460</v>
      </c>
      <c r="Z12" s="68">
        <f t="shared" si="14"/>
        <v>85.882352941176464</v>
      </c>
      <c r="AA12" s="63">
        <f t="shared" si="15"/>
        <v>85</v>
      </c>
      <c r="AB12" s="63">
        <f t="shared" si="16"/>
        <v>86</v>
      </c>
      <c r="AC12" s="63">
        <f t="shared" si="17"/>
        <v>79</v>
      </c>
      <c r="AD12" s="63">
        <f t="shared" si="18"/>
        <v>80</v>
      </c>
      <c r="AE12" s="63">
        <f t="shared" si="19"/>
        <v>45</v>
      </c>
      <c r="AF12" s="63">
        <f t="shared" si="20"/>
        <v>46</v>
      </c>
      <c r="AG12" s="63">
        <f t="shared" si="21"/>
        <v>88</v>
      </c>
      <c r="AH12" s="63">
        <f t="shared" si="22"/>
        <v>89</v>
      </c>
      <c r="AI12" s="63">
        <f t="shared" si="23"/>
        <v>90</v>
      </c>
      <c r="AJ12" s="63">
        <f t="shared" si="24"/>
        <v>91</v>
      </c>
      <c r="AK12" s="63">
        <f t="shared" si="25"/>
        <v>90</v>
      </c>
      <c r="AL12" s="63">
        <f t="shared" si="26"/>
        <v>91</v>
      </c>
      <c r="AM12" s="63">
        <f t="shared" si="27"/>
        <v>87</v>
      </c>
      <c r="AN12" s="63">
        <f t="shared" si="28"/>
        <v>88</v>
      </c>
      <c r="AQ12" s="365">
        <f t="shared" si="29"/>
        <v>79</v>
      </c>
      <c r="AR12" s="365">
        <f t="shared" si="30"/>
        <v>100</v>
      </c>
      <c r="AS12" s="365">
        <f t="shared" si="31"/>
        <v>85</v>
      </c>
      <c r="AT12" s="365">
        <f t="shared" si="32"/>
        <v>91</v>
      </c>
      <c r="AU12" s="365">
        <f t="shared" si="33"/>
        <v>95</v>
      </c>
      <c r="AV12" s="365">
        <f t="shared" si="34"/>
        <v>96</v>
      </c>
      <c r="AW12" s="365">
        <f t="shared" si="35"/>
        <v>100</v>
      </c>
      <c r="AX12" s="365">
        <f t="shared" si="36"/>
        <v>79</v>
      </c>
      <c r="AY12" s="365">
        <f t="shared" si="37"/>
        <v>75</v>
      </c>
      <c r="AZ12" s="365">
        <f t="shared" si="38"/>
        <v>90</v>
      </c>
      <c r="BA12" s="365">
        <f t="shared" si="39"/>
        <v>85</v>
      </c>
      <c r="BB12" s="365">
        <f t="shared" si="40"/>
        <v>80</v>
      </c>
      <c r="BC12" s="365">
        <f t="shared" si="41"/>
        <v>88</v>
      </c>
      <c r="BD12" s="365">
        <f t="shared" si="42"/>
        <v>90</v>
      </c>
      <c r="BE12" s="365">
        <f t="shared" si="43"/>
        <v>90</v>
      </c>
      <c r="BF12" s="365">
        <f t="shared" si="44"/>
        <v>87</v>
      </c>
      <c r="BG12" s="365">
        <f t="shared" si="45"/>
        <v>88</v>
      </c>
    </row>
    <row r="13" spans="1:59" ht="20.149999999999999" customHeight="1" x14ac:dyDescent="0.35">
      <c r="A13" s="38"/>
      <c r="B13" s="38"/>
      <c r="C13" s="38"/>
      <c r="F13" s="61">
        <v>5</v>
      </c>
      <c r="G13" s="62" t="str">
        <f>IF('set-dasis'!F9=0,"",'set-dasis'!F9)</f>
        <v>ANNAQI KHAIRULL AZZAM</v>
      </c>
      <c r="H13" s="376">
        <v>77</v>
      </c>
      <c r="I13" s="376">
        <v>90</v>
      </c>
      <c r="J13" s="376">
        <v>87</v>
      </c>
      <c r="K13" s="376">
        <v>83</v>
      </c>
      <c r="L13" s="376">
        <v>95</v>
      </c>
      <c r="M13" s="376">
        <v>72</v>
      </c>
      <c r="N13" s="376">
        <v>97</v>
      </c>
      <c r="O13" s="376">
        <v>60</v>
      </c>
      <c r="P13" s="376">
        <v>75</v>
      </c>
      <c r="Q13" s="376">
        <v>80</v>
      </c>
      <c r="R13" s="376">
        <v>80</v>
      </c>
      <c r="S13" s="376">
        <v>40</v>
      </c>
      <c r="T13" s="376">
        <v>93</v>
      </c>
      <c r="U13" s="376">
        <v>60</v>
      </c>
      <c r="V13" s="376">
        <v>75</v>
      </c>
      <c r="W13" s="376">
        <v>92</v>
      </c>
      <c r="X13" s="376">
        <v>93</v>
      </c>
      <c r="Y13" s="65">
        <f t="shared" si="13"/>
        <v>1349</v>
      </c>
      <c r="Z13" s="68">
        <f t="shared" si="14"/>
        <v>79.352941176470594</v>
      </c>
      <c r="AA13" s="63">
        <f t="shared" si="15"/>
        <v>87</v>
      </c>
      <c r="AB13" s="63">
        <f t="shared" si="16"/>
        <v>88</v>
      </c>
      <c r="AC13" s="63">
        <f t="shared" si="17"/>
        <v>77</v>
      </c>
      <c r="AD13" s="63">
        <f t="shared" si="18"/>
        <v>78</v>
      </c>
      <c r="AE13" s="63">
        <f t="shared" si="19"/>
        <v>40</v>
      </c>
      <c r="AF13" s="63">
        <f t="shared" si="20"/>
        <v>41</v>
      </c>
      <c r="AG13" s="63">
        <f t="shared" si="21"/>
        <v>93</v>
      </c>
      <c r="AH13" s="63">
        <f t="shared" si="22"/>
        <v>94</v>
      </c>
      <c r="AI13" s="63">
        <f t="shared" si="23"/>
        <v>60</v>
      </c>
      <c r="AJ13" s="63">
        <f t="shared" si="24"/>
        <v>61</v>
      </c>
      <c r="AK13" s="63">
        <f t="shared" si="25"/>
        <v>75</v>
      </c>
      <c r="AL13" s="63">
        <f t="shared" si="26"/>
        <v>76</v>
      </c>
      <c r="AM13" s="63">
        <f t="shared" si="27"/>
        <v>92</v>
      </c>
      <c r="AN13" s="63">
        <f t="shared" si="28"/>
        <v>93</v>
      </c>
      <c r="AQ13" s="365">
        <f t="shared" si="29"/>
        <v>77</v>
      </c>
      <c r="AR13" s="365">
        <f t="shared" si="30"/>
        <v>90</v>
      </c>
      <c r="AS13" s="365">
        <f t="shared" si="31"/>
        <v>87</v>
      </c>
      <c r="AT13" s="365">
        <f t="shared" si="32"/>
        <v>83</v>
      </c>
      <c r="AU13" s="365">
        <f t="shared" si="33"/>
        <v>95</v>
      </c>
      <c r="AV13" s="365">
        <f t="shared" si="34"/>
        <v>75</v>
      </c>
      <c r="AW13" s="365">
        <f t="shared" si="35"/>
        <v>97</v>
      </c>
      <c r="AX13" s="365">
        <f t="shared" si="36"/>
        <v>75</v>
      </c>
      <c r="AY13" s="365">
        <f t="shared" si="37"/>
        <v>75</v>
      </c>
      <c r="AZ13" s="365">
        <f t="shared" si="38"/>
        <v>80</v>
      </c>
      <c r="BA13" s="365">
        <f t="shared" si="39"/>
        <v>80</v>
      </c>
      <c r="BB13" s="365">
        <f t="shared" si="40"/>
        <v>80</v>
      </c>
      <c r="BC13" s="365">
        <f t="shared" si="41"/>
        <v>93</v>
      </c>
      <c r="BD13" s="365">
        <f t="shared" si="42"/>
        <v>80</v>
      </c>
      <c r="BE13" s="365">
        <f t="shared" si="43"/>
        <v>80</v>
      </c>
      <c r="BF13" s="365">
        <f t="shared" si="44"/>
        <v>92</v>
      </c>
      <c r="BG13" s="365">
        <f t="shared" si="45"/>
        <v>93</v>
      </c>
    </row>
    <row r="14" spans="1:59" ht="20.149999999999999" customHeight="1" x14ac:dyDescent="0.35">
      <c r="A14" s="38"/>
      <c r="B14" s="38"/>
      <c r="C14" s="38"/>
      <c r="F14" s="61">
        <v>6</v>
      </c>
      <c r="G14" s="62" t="str">
        <f>IF('set-dasis'!F10=0,"",'set-dasis'!F10)</f>
        <v>ARKANA AESAR AULAYAIN</v>
      </c>
      <c r="H14" s="376">
        <v>74</v>
      </c>
      <c r="I14" s="376">
        <v>100</v>
      </c>
      <c r="J14" s="376">
        <v>93</v>
      </c>
      <c r="K14" s="376">
        <v>93</v>
      </c>
      <c r="L14" s="376">
        <v>90</v>
      </c>
      <c r="M14" s="376">
        <v>58</v>
      </c>
      <c r="N14" s="376">
        <v>75</v>
      </c>
      <c r="O14" s="376">
        <v>82</v>
      </c>
      <c r="P14" s="376">
        <v>70</v>
      </c>
      <c r="Q14" s="376">
        <v>85</v>
      </c>
      <c r="R14" s="376">
        <v>80</v>
      </c>
      <c r="S14" s="376">
        <v>65</v>
      </c>
      <c r="T14" s="376">
        <v>97</v>
      </c>
      <c r="U14" s="376">
        <v>90</v>
      </c>
      <c r="V14" s="376">
        <v>70</v>
      </c>
      <c r="W14" s="376">
        <v>94</v>
      </c>
      <c r="X14" s="376">
        <v>97</v>
      </c>
      <c r="Y14" s="65">
        <f t="shared" si="13"/>
        <v>1413</v>
      </c>
      <c r="Z14" s="68">
        <f t="shared" si="14"/>
        <v>83.117647058823536</v>
      </c>
      <c r="AA14" s="63">
        <f t="shared" si="15"/>
        <v>93</v>
      </c>
      <c r="AB14" s="63">
        <f t="shared" si="16"/>
        <v>94</v>
      </c>
      <c r="AC14" s="63">
        <f t="shared" si="17"/>
        <v>74</v>
      </c>
      <c r="AD14" s="63">
        <f t="shared" si="18"/>
        <v>75</v>
      </c>
      <c r="AE14" s="63">
        <f t="shared" si="19"/>
        <v>65</v>
      </c>
      <c r="AF14" s="63">
        <f t="shared" si="20"/>
        <v>66</v>
      </c>
      <c r="AG14" s="63">
        <f t="shared" si="21"/>
        <v>97</v>
      </c>
      <c r="AH14" s="63">
        <f t="shared" si="22"/>
        <v>98</v>
      </c>
      <c r="AI14" s="63">
        <f t="shared" si="23"/>
        <v>90</v>
      </c>
      <c r="AJ14" s="63">
        <f t="shared" si="24"/>
        <v>91</v>
      </c>
      <c r="AK14" s="63">
        <f t="shared" si="25"/>
        <v>70</v>
      </c>
      <c r="AL14" s="63">
        <f t="shared" si="26"/>
        <v>71</v>
      </c>
      <c r="AM14" s="63">
        <f t="shared" si="27"/>
        <v>94</v>
      </c>
      <c r="AN14" s="63">
        <f t="shared" si="28"/>
        <v>95</v>
      </c>
      <c r="AQ14" s="365">
        <f t="shared" si="29"/>
        <v>75</v>
      </c>
      <c r="AR14" s="365">
        <f t="shared" si="30"/>
        <v>100</v>
      </c>
      <c r="AS14" s="365">
        <f t="shared" si="31"/>
        <v>93</v>
      </c>
      <c r="AT14" s="365">
        <f t="shared" si="32"/>
        <v>93</v>
      </c>
      <c r="AU14" s="365">
        <f t="shared" si="33"/>
        <v>90</v>
      </c>
      <c r="AV14" s="365">
        <f t="shared" si="34"/>
        <v>75</v>
      </c>
      <c r="AW14" s="365">
        <f t="shared" si="35"/>
        <v>75</v>
      </c>
      <c r="AX14" s="365">
        <f t="shared" si="36"/>
        <v>82</v>
      </c>
      <c r="AY14" s="365">
        <f t="shared" si="37"/>
        <v>75</v>
      </c>
      <c r="AZ14" s="365">
        <f t="shared" si="38"/>
        <v>85</v>
      </c>
      <c r="BA14" s="365">
        <f t="shared" si="39"/>
        <v>80</v>
      </c>
      <c r="BB14" s="365">
        <f t="shared" si="40"/>
        <v>80</v>
      </c>
      <c r="BC14" s="365">
        <f t="shared" si="41"/>
        <v>97</v>
      </c>
      <c r="BD14" s="365">
        <f t="shared" si="42"/>
        <v>90</v>
      </c>
      <c r="BE14" s="365">
        <f t="shared" si="43"/>
        <v>80</v>
      </c>
      <c r="BF14" s="365">
        <f t="shared" si="44"/>
        <v>94</v>
      </c>
      <c r="BG14" s="365">
        <f t="shared" si="45"/>
        <v>97</v>
      </c>
    </row>
    <row r="15" spans="1:59" ht="20.149999999999999" customHeight="1" x14ac:dyDescent="0.35">
      <c r="A15" s="38"/>
      <c r="B15" s="38"/>
      <c r="C15" s="38"/>
      <c r="F15" s="61">
        <v>7</v>
      </c>
      <c r="G15" s="62" t="str">
        <f>IF('set-dasis'!F11=0,"",'set-dasis'!F11)</f>
        <v>ASYAJJ QAIS AL-FAZAARY</v>
      </c>
      <c r="H15" s="376">
        <v>80</v>
      </c>
      <c r="I15" s="376">
        <v>100</v>
      </c>
      <c r="J15" s="376">
        <v>88</v>
      </c>
      <c r="K15" s="376">
        <v>100</v>
      </c>
      <c r="L15" s="376">
        <v>100</v>
      </c>
      <c r="M15" s="376">
        <v>62</v>
      </c>
      <c r="N15" s="376">
        <v>90</v>
      </c>
      <c r="O15" s="376">
        <v>85</v>
      </c>
      <c r="P15" s="376">
        <v>80</v>
      </c>
      <c r="Q15" s="376">
        <v>78</v>
      </c>
      <c r="R15" s="376">
        <v>80</v>
      </c>
      <c r="S15" s="376">
        <v>55</v>
      </c>
      <c r="T15" s="376">
        <v>87</v>
      </c>
      <c r="U15" s="376">
        <v>85</v>
      </c>
      <c r="V15" s="376">
        <v>80</v>
      </c>
      <c r="W15" s="376">
        <v>82</v>
      </c>
      <c r="X15" s="376">
        <v>87</v>
      </c>
      <c r="Y15" s="65">
        <f t="shared" si="13"/>
        <v>1419</v>
      </c>
      <c r="Z15" s="68">
        <f t="shared" si="14"/>
        <v>83.470588235294116</v>
      </c>
      <c r="AA15" s="63">
        <f t="shared" si="15"/>
        <v>88</v>
      </c>
      <c r="AB15" s="63">
        <f t="shared" si="16"/>
        <v>89</v>
      </c>
      <c r="AC15" s="63">
        <f t="shared" si="17"/>
        <v>80</v>
      </c>
      <c r="AD15" s="63">
        <f t="shared" si="18"/>
        <v>81</v>
      </c>
      <c r="AE15" s="63">
        <f t="shared" si="19"/>
        <v>55</v>
      </c>
      <c r="AF15" s="63">
        <f t="shared" si="20"/>
        <v>56</v>
      </c>
      <c r="AG15" s="63">
        <f t="shared" si="21"/>
        <v>87</v>
      </c>
      <c r="AH15" s="63">
        <f t="shared" si="22"/>
        <v>88</v>
      </c>
      <c r="AI15" s="63">
        <f t="shared" si="23"/>
        <v>85</v>
      </c>
      <c r="AJ15" s="63">
        <f t="shared" si="24"/>
        <v>86</v>
      </c>
      <c r="AK15" s="63">
        <f t="shared" si="25"/>
        <v>80</v>
      </c>
      <c r="AL15" s="63">
        <f t="shared" si="26"/>
        <v>81</v>
      </c>
      <c r="AM15" s="63">
        <f t="shared" si="27"/>
        <v>82</v>
      </c>
      <c r="AN15" s="63">
        <f t="shared" si="28"/>
        <v>83</v>
      </c>
      <c r="AQ15" s="365">
        <f t="shared" si="29"/>
        <v>80</v>
      </c>
      <c r="AR15" s="365">
        <f t="shared" si="30"/>
        <v>100</v>
      </c>
      <c r="AS15" s="365">
        <f t="shared" si="31"/>
        <v>88</v>
      </c>
      <c r="AT15" s="365">
        <f t="shared" si="32"/>
        <v>100</v>
      </c>
      <c r="AU15" s="365">
        <f t="shared" si="33"/>
        <v>100</v>
      </c>
      <c r="AV15" s="365">
        <f t="shared" si="34"/>
        <v>75</v>
      </c>
      <c r="AW15" s="365">
        <f t="shared" si="35"/>
        <v>90</v>
      </c>
      <c r="AX15" s="365">
        <f t="shared" si="36"/>
        <v>85</v>
      </c>
      <c r="AY15" s="365">
        <f t="shared" si="37"/>
        <v>80</v>
      </c>
      <c r="AZ15" s="365">
        <f t="shared" si="38"/>
        <v>78</v>
      </c>
      <c r="BA15" s="365">
        <f t="shared" si="39"/>
        <v>80</v>
      </c>
      <c r="BB15" s="365">
        <f t="shared" si="40"/>
        <v>80</v>
      </c>
      <c r="BC15" s="365">
        <f t="shared" si="41"/>
        <v>87</v>
      </c>
      <c r="BD15" s="365">
        <f t="shared" si="42"/>
        <v>85</v>
      </c>
      <c r="BE15" s="365">
        <f t="shared" si="43"/>
        <v>80</v>
      </c>
      <c r="BF15" s="365">
        <f t="shared" si="44"/>
        <v>82</v>
      </c>
      <c r="BG15" s="365">
        <f t="shared" si="45"/>
        <v>87</v>
      </c>
    </row>
    <row r="16" spans="1:59" ht="20.149999999999999" customHeight="1" x14ac:dyDescent="0.35">
      <c r="A16" s="38"/>
      <c r="B16" s="38"/>
      <c r="C16" s="38"/>
      <c r="F16" s="61">
        <v>8</v>
      </c>
      <c r="G16" s="62" t="str">
        <f>IF('set-dasis'!F12=0,"",'set-dasis'!F12)</f>
        <v>AZKA AZHAR RASYID</v>
      </c>
      <c r="H16" s="376">
        <v>76</v>
      </c>
      <c r="I16" s="376">
        <v>80</v>
      </c>
      <c r="J16" s="376">
        <v>90</v>
      </c>
      <c r="K16" s="376">
        <v>84</v>
      </c>
      <c r="L16" s="376">
        <v>95</v>
      </c>
      <c r="M16" s="376">
        <v>56</v>
      </c>
      <c r="N16" s="376">
        <v>75</v>
      </c>
      <c r="O16" s="376">
        <v>88</v>
      </c>
      <c r="P16" s="376">
        <v>71</v>
      </c>
      <c r="Q16" s="376">
        <v>78</v>
      </c>
      <c r="R16" s="376">
        <v>80</v>
      </c>
      <c r="S16" s="376">
        <v>75</v>
      </c>
      <c r="T16" s="376">
        <v>70</v>
      </c>
      <c r="U16" s="376">
        <v>90</v>
      </c>
      <c r="V16" s="376">
        <v>75</v>
      </c>
      <c r="W16" s="376">
        <v>61</v>
      </c>
      <c r="X16" s="376">
        <v>70</v>
      </c>
      <c r="Y16" s="65">
        <f t="shared" si="13"/>
        <v>1314</v>
      </c>
      <c r="Z16" s="68">
        <f t="shared" si="14"/>
        <v>77.294117647058826</v>
      </c>
      <c r="AA16" s="63">
        <f t="shared" si="15"/>
        <v>90</v>
      </c>
      <c r="AB16" s="63">
        <f t="shared" si="16"/>
        <v>91</v>
      </c>
      <c r="AC16" s="63">
        <f t="shared" si="17"/>
        <v>76</v>
      </c>
      <c r="AD16" s="63">
        <f t="shared" si="18"/>
        <v>77</v>
      </c>
      <c r="AE16" s="63">
        <f t="shared" si="19"/>
        <v>75</v>
      </c>
      <c r="AF16" s="63">
        <f t="shared" si="20"/>
        <v>76</v>
      </c>
      <c r="AG16" s="63">
        <f t="shared" si="21"/>
        <v>70</v>
      </c>
      <c r="AH16" s="63">
        <f t="shared" si="22"/>
        <v>71</v>
      </c>
      <c r="AI16" s="63">
        <f t="shared" si="23"/>
        <v>90</v>
      </c>
      <c r="AJ16" s="63">
        <f t="shared" si="24"/>
        <v>91</v>
      </c>
      <c r="AK16" s="63">
        <f t="shared" si="25"/>
        <v>75</v>
      </c>
      <c r="AL16" s="63">
        <f t="shared" si="26"/>
        <v>76</v>
      </c>
      <c r="AM16" s="63">
        <f t="shared" si="27"/>
        <v>61</v>
      </c>
      <c r="AN16" s="63">
        <f t="shared" si="28"/>
        <v>62</v>
      </c>
      <c r="AQ16" s="365">
        <f t="shared" si="29"/>
        <v>76</v>
      </c>
      <c r="AR16" s="365">
        <f t="shared" si="30"/>
        <v>80</v>
      </c>
      <c r="AS16" s="365">
        <f t="shared" si="31"/>
        <v>90</v>
      </c>
      <c r="AT16" s="365">
        <f t="shared" si="32"/>
        <v>84</v>
      </c>
      <c r="AU16" s="365">
        <f t="shared" si="33"/>
        <v>95</v>
      </c>
      <c r="AV16" s="365">
        <f t="shared" si="34"/>
        <v>75</v>
      </c>
      <c r="AW16" s="365">
        <f t="shared" si="35"/>
        <v>75</v>
      </c>
      <c r="AX16" s="365">
        <f t="shared" si="36"/>
        <v>88</v>
      </c>
      <c r="AY16" s="365">
        <f t="shared" si="37"/>
        <v>75</v>
      </c>
      <c r="AZ16" s="365">
        <f t="shared" si="38"/>
        <v>78</v>
      </c>
      <c r="BA16" s="365">
        <f t="shared" si="39"/>
        <v>80</v>
      </c>
      <c r="BB16" s="365">
        <f t="shared" si="40"/>
        <v>80</v>
      </c>
      <c r="BC16" s="365">
        <f t="shared" si="41"/>
        <v>80</v>
      </c>
      <c r="BD16" s="365">
        <f t="shared" si="42"/>
        <v>90</v>
      </c>
      <c r="BE16" s="365">
        <f t="shared" si="43"/>
        <v>80</v>
      </c>
      <c r="BF16" s="365">
        <f t="shared" si="44"/>
        <v>80</v>
      </c>
      <c r="BG16" s="365">
        <f t="shared" si="45"/>
        <v>80</v>
      </c>
    </row>
    <row r="17" spans="1:59" ht="20.149999999999999" customHeight="1" x14ac:dyDescent="0.35">
      <c r="A17" s="38"/>
      <c r="B17" s="38"/>
      <c r="C17" s="38"/>
      <c r="F17" s="61">
        <v>9</v>
      </c>
      <c r="G17" s="62" t="str">
        <f>IF('set-dasis'!F13=0,"",'set-dasis'!F13)</f>
        <v>BIYAN AKHTAR NAISYABURI</v>
      </c>
      <c r="H17" s="376">
        <v>67</v>
      </c>
      <c r="I17" s="376">
        <v>100</v>
      </c>
      <c r="J17" s="376">
        <v>76</v>
      </c>
      <c r="K17" s="376">
        <v>79</v>
      </c>
      <c r="L17" s="376">
        <v>65</v>
      </c>
      <c r="M17" s="376">
        <v>16</v>
      </c>
      <c r="N17" s="376">
        <v>75</v>
      </c>
      <c r="O17" s="376">
        <v>78</v>
      </c>
      <c r="P17" s="376">
        <v>54</v>
      </c>
      <c r="Q17" s="376">
        <v>80</v>
      </c>
      <c r="R17" s="376">
        <v>80</v>
      </c>
      <c r="S17" s="376">
        <v>25</v>
      </c>
      <c r="T17" s="376">
        <v>85</v>
      </c>
      <c r="U17" s="376">
        <v>65</v>
      </c>
      <c r="V17" s="376">
        <v>40</v>
      </c>
      <c r="W17" s="376">
        <v>83</v>
      </c>
      <c r="X17" s="376">
        <v>85</v>
      </c>
      <c r="Y17" s="65">
        <f t="shared" si="13"/>
        <v>1153</v>
      </c>
      <c r="Z17" s="68">
        <f t="shared" si="14"/>
        <v>67.82352941176471</v>
      </c>
      <c r="AA17" s="63">
        <f t="shared" si="15"/>
        <v>76</v>
      </c>
      <c r="AB17" s="63">
        <f t="shared" si="16"/>
        <v>77</v>
      </c>
      <c r="AC17" s="63">
        <f t="shared" si="17"/>
        <v>67</v>
      </c>
      <c r="AD17" s="63">
        <f t="shared" si="18"/>
        <v>68</v>
      </c>
      <c r="AE17" s="63">
        <f t="shared" si="19"/>
        <v>25</v>
      </c>
      <c r="AF17" s="63">
        <f t="shared" si="20"/>
        <v>26</v>
      </c>
      <c r="AG17" s="63">
        <f t="shared" si="21"/>
        <v>85</v>
      </c>
      <c r="AH17" s="63">
        <f t="shared" si="22"/>
        <v>86</v>
      </c>
      <c r="AI17" s="63">
        <f t="shared" si="23"/>
        <v>65</v>
      </c>
      <c r="AJ17" s="63">
        <f t="shared" si="24"/>
        <v>66</v>
      </c>
      <c r="AK17" s="63">
        <f t="shared" si="25"/>
        <v>40</v>
      </c>
      <c r="AL17" s="63">
        <f t="shared" si="26"/>
        <v>41</v>
      </c>
      <c r="AM17" s="63">
        <f t="shared" si="27"/>
        <v>83</v>
      </c>
      <c r="AN17" s="63">
        <f t="shared" si="28"/>
        <v>84</v>
      </c>
      <c r="AQ17" s="365">
        <f t="shared" si="29"/>
        <v>75</v>
      </c>
      <c r="AR17" s="365">
        <f t="shared" si="30"/>
        <v>100</v>
      </c>
      <c r="AS17" s="365">
        <f t="shared" si="31"/>
        <v>76</v>
      </c>
      <c r="AT17" s="365">
        <f t="shared" si="32"/>
        <v>79</v>
      </c>
      <c r="AU17" s="365">
        <f t="shared" si="33"/>
        <v>75</v>
      </c>
      <c r="AV17" s="365">
        <f t="shared" si="34"/>
        <v>75</v>
      </c>
      <c r="AW17" s="365">
        <f t="shared" si="35"/>
        <v>75</v>
      </c>
      <c r="AX17" s="365">
        <f t="shared" si="36"/>
        <v>78</v>
      </c>
      <c r="AY17" s="365">
        <f t="shared" si="37"/>
        <v>75</v>
      </c>
      <c r="AZ17" s="365">
        <f t="shared" si="38"/>
        <v>80</v>
      </c>
      <c r="BA17" s="365">
        <f t="shared" si="39"/>
        <v>80</v>
      </c>
      <c r="BB17" s="365">
        <f t="shared" si="40"/>
        <v>80</v>
      </c>
      <c r="BC17" s="365">
        <f t="shared" si="41"/>
        <v>85</v>
      </c>
      <c r="BD17" s="365">
        <f t="shared" si="42"/>
        <v>80</v>
      </c>
      <c r="BE17" s="365">
        <f t="shared" si="43"/>
        <v>80</v>
      </c>
      <c r="BF17" s="365">
        <f t="shared" si="44"/>
        <v>83</v>
      </c>
      <c r="BG17" s="365">
        <f t="shared" si="45"/>
        <v>85</v>
      </c>
    </row>
    <row r="18" spans="1:59" ht="20.149999999999999" customHeight="1" x14ac:dyDescent="0.35">
      <c r="A18" s="38"/>
      <c r="B18" s="38"/>
      <c r="C18" s="38"/>
      <c r="F18" s="61">
        <v>10</v>
      </c>
      <c r="G18" s="62" t="str">
        <f>IF('set-dasis'!F14=0,"",'set-dasis'!F14)</f>
        <v>CHAIRUL AZZAM RAMADHAN</v>
      </c>
      <c r="H18" s="376">
        <v>59</v>
      </c>
      <c r="I18" s="376">
        <v>85</v>
      </c>
      <c r="J18" s="376">
        <v>79</v>
      </c>
      <c r="K18" s="376">
        <v>70</v>
      </c>
      <c r="L18" s="376">
        <v>90</v>
      </c>
      <c r="M18" s="376">
        <v>68</v>
      </c>
      <c r="N18" s="377">
        <f>Q18</f>
        <v>65</v>
      </c>
      <c r="O18" s="376">
        <v>62</v>
      </c>
      <c r="P18" s="376">
        <v>57</v>
      </c>
      <c r="Q18" s="376">
        <v>65</v>
      </c>
      <c r="R18" s="376">
        <v>80</v>
      </c>
      <c r="S18" s="376">
        <v>35</v>
      </c>
      <c r="T18" s="376">
        <v>64</v>
      </c>
      <c r="U18" s="376">
        <v>50</v>
      </c>
      <c r="V18" s="376">
        <v>58</v>
      </c>
      <c r="W18" s="376">
        <v>77</v>
      </c>
      <c r="X18" s="376">
        <v>64</v>
      </c>
      <c r="Y18" s="65">
        <f t="shared" si="13"/>
        <v>1128</v>
      </c>
      <c r="Z18" s="68">
        <f t="shared" si="14"/>
        <v>66.352941176470594</v>
      </c>
      <c r="AA18" s="63">
        <f t="shared" si="15"/>
        <v>79</v>
      </c>
      <c r="AB18" s="63">
        <f t="shared" si="16"/>
        <v>80</v>
      </c>
      <c r="AC18" s="63">
        <f t="shared" si="17"/>
        <v>59</v>
      </c>
      <c r="AD18" s="63">
        <f t="shared" si="18"/>
        <v>60</v>
      </c>
      <c r="AE18" s="63">
        <f t="shared" si="19"/>
        <v>35</v>
      </c>
      <c r="AF18" s="63">
        <f t="shared" si="20"/>
        <v>36</v>
      </c>
      <c r="AG18" s="63">
        <f t="shared" si="21"/>
        <v>64</v>
      </c>
      <c r="AH18" s="63">
        <f t="shared" si="22"/>
        <v>65</v>
      </c>
      <c r="AI18" s="63">
        <f t="shared" si="23"/>
        <v>50</v>
      </c>
      <c r="AJ18" s="63">
        <f t="shared" si="24"/>
        <v>51</v>
      </c>
      <c r="AK18" s="63">
        <f t="shared" si="25"/>
        <v>58</v>
      </c>
      <c r="AL18" s="63">
        <f t="shared" si="26"/>
        <v>59</v>
      </c>
      <c r="AM18" s="63">
        <f t="shared" si="27"/>
        <v>77</v>
      </c>
      <c r="AN18" s="63">
        <f t="shared" si="28"/>
        <v>78</v>
      </c>
      <c r="AQ18" s="365">
        <f t="shared" si="29"/>
        <v>75</v>
      </c>
      <c r="AR18" s="365">
        <f t="shared" si="30"/>
        <v>85</v>
      </c>
      <c r="AS18" s="365">
        <f t="shared" si="31"/>
        <v>79</v>
      </c>
      <c r="AT18" s="365">
        <f t="shared" si="32"/>
        <v>75</v>
      </c>
      <c r="AU18" s="365">
        <f t="shared" si="33"/>
        <v>90</v>
      </c>
      <c r="AV18" s="365">
        <f t="shared" si="34"/>
        <v>75</v>
      </c>
      <c r="AW18" s="365">
        <f t="shared" si="35"/>
        <v>75</v>
      </c>
      <c r="AX18" s="365">
        <f t="shared" si="36"/>
        <v>75</v>
      </c>
      <c r="AY18" s="365">
        <f t="shared" si="37"/>
        <v>75</v>
      </c>
      <c r="AZ18" s="365">
        <f t="shared" si="38"/>
        <v>75</v>
      </c>
      <c r="BA18" s="365">
        <f t="shared" si="39"/>
        <v>80</v>
      </c>
      <c r="BB18" s="365">
        <f t="shared" si="40"/>
        <v>80</v>
      </c>
      <c r="BC18" s="365">
        <f t="shared" si="41"/>
        <v>80</v>
      </c>
      <c r="BD18" s="365">
        <f t="shared" si="42"/>
        <v>80</v>
      </c>
      <c r="BE18" s="365">
        <f t="shared" si="43"/>
        <v>80</v>
      </c>
      <c r="BF18" s="365">
        <f t="shared" si="44"/>
        <v>80</v>
      </c>
      <c r="BG18" s="365">
        <f t="shared" si="45"/>
        <v>80</v>
      </c>
    </row>
    <row r="19" spans="1:59" ht="20.149999999999999" customHeight="1" x14ac:dyDescent="0.35">
      <c r="A19" s="38"/>
      <c r="B19" s="38"/>
      <c r="C19" s="38"/>
      <c r="F19" s="61">
        <v>11</v>
      </c>
      <c r="G19" s="62" t="str">
        <f>IF('set-dasis'!F15=0,"",'set-dasis'!F15)</f>
        <v>DEVARA ABDILLAH GHANI</v>
      </c>
      <c r="H19" s="376">
        <v>79</v>
      </c>
      <c r="I19" s="376">
        <v>72</v>
      </c>
      <c r="J19" s="376">
        <v>60</v>
      </c>
      <c r="K19" s="376">
        <v>70</v>
      </c>
      <c r="L19" s="376">
        <v>65</v>
      </c>
      <c r="M19" s="376">
        <v>12</v>
      </c>
      <c r="N19" s="376">
        <v>75</v>
      </c>
      <c r="O19" s="376">
        <v>55</v>
      </c>
      <c r="P19" s="376">
        <v>40</v>
      </c>
      <c r="Q19" s="376">
        <v>68</v>
      </c>
      <c r="R19" s="376">
        <v>80</v>
      </c>
      <c r="S19" s="376">
        <v>35</v>
      </c>
      <c r="T19" s="376">
        <v>65</v>
      </c>
      <c r="U19" s="376">
        <v>45</v>
      </c>
      <c r="V19" s="376">
        <v>15</v>
      </c>
      <c r="W19" s="376">
        <v>70</v>
      </c>
      <c r="X19" s="376">
        <v>65</v>
      </c>
      <c r="Y19" s="65">
        <f t="shared" si="13"/>
        <v>971</v>
      </c>
      <c r="Z19" s="68">
        <f t="shared" si="14"/>
        <v>57.117647058823529</v>
      </c>
      <c r="AA19" s="63">
        <f t="shared" si="15"/>
        <v>60</v>
      </c>
      <c r="AB19" s="63">
        <f t="shared" si="16"/>
        <v>61</v>
      </c>
      <c r="AC19" s="63">
        <f t="shared" si="17"/>
        <v>79</v>
      </c>
      <c r="AD19" s="63">
        <f t="shared" si="18"/>
        <v>80</v>
      </c>
      <c r="AE19" s="63">
        <f t="shared" si="19"/>
        <v>35</v>
      </c>
      <c r="AF19" s="63">
        <f t="shared" si="20"/>
        <v>36</v>
      </c>
      <c r="AG19" s="63">
        <f t="shared" si="21"/>
        <v>65</v>
      </c>
      <c r="AH19" s="63">
        <f t="shared" si="22"/>
        <v>66</v>
      </c>
      <c r="AI19" s="63">
        <f t="shared" si="23"/>
        <v>45</v>
      </c>
      <c r="AJ19" s="63">
        <f t="shared" si="24"/>
        <v>46</v>
      </c>
      <c r="AK19" s="63">
        <f t="shared" si="25"/>
        <v>15</v>
      </c>
      <c r="AL19" s="63">
        <f t="shared" si="26"/>
        <v>16</v>
      </c>
      <c r="AM19" s="63">
        <f t="shared" si="27"/>
        <v>70</v>
      </c>
      <c r="AN19" s="63">
        <f t="shared" si="28"/>
        <v>71</v>
      </c>
      <c r="AQ19" s="365">
        <f t="shared" si="29"/>
        <v>79</v>
      </c>
      <c r="AR19" s="365">
        <f t="shared" si="30"/>
        <v>75</v>
      </c>
      <c r="AS19" s="365">
        <f t="shared" si="31"/>
        <v>75</v>
      </c>
      <c r="AT19" s="365">
        <f t="shared" si="32"/>
        <v>75</v>
      </c>
      <c r="AU19" s="365">
        <f t="shared" si="33"/>
        <v>75</v>
      </c>
      <c r="AV19" s="365">
        <f t="shared" si="34"/>
        <v>75</v>
      </c>
      <c r="AW19" s="365">
        <f t="shared" si="35"/>
        <v>75</v>
      </c>
      <c r="AX19" s="365">
        <f t="shared" si="36"/>
        <v>75</v>
      </c>
      <c r="AY19" s="365">
        <f t="shared" si="37"/>
        <v>75</v>
      </c>
      <c r="AZ19" s="365">
        <f t="shared" si="38"/>
        <v>75</v>
      </c>
      <c r="BA19" s="365">
        <f t="shared" si="39"/>
        <v>80</v>
      </c>
      <c r="BB19" s="365">
        <f t="shared" si="40"/>
        <v>80</v>
      </c>
      <c r="BC19" s="365">
        <f t="shared" si="41"/>
        <v>80</v>
      </c>
      <c r="BD19" s="365">
        <f t="shared" si="42"/>
        <v>80</v>
      </c>
      <c r="BE19" s="365">
        <f t="shared" si="43"/>
        <v>80</v>
      </c>
      <c r="BF19" s="365">
        <f t="shared" si="44"/>
        <v>80</v>
      </c>
      <c r="BG19" s="365">
        <f t="shared" si="45"/>
        <v>80</v>
      </c>
    </row>
    <row r="20" spans="1:59" ht="20.149999999999999" customHeight="1" x14ac:dyDescent="0.35">
      <c r="A20" s="38"/>
      <c r="B20" s="38"/>
      <c r="C20" s="38"/>
      <c r="F20" s="61">
        <v>12</v>
      </c>
      <c r="G20" s="62" t="str">
        <f>IF('set-dasis'!F16=0,"",'set-dasis'!F16)</f>
        <v>DYO GALIH PUTRAWAN J</v>
      </c>
      <c r="H20" s="376">
        <v>78</v>
      </c>
      <c r="I20" s="376">
        <v>100</v>
      </c>
      <c r="J20" s="376">
        <v>83</v>
      </c>
      <c r="K20" s="376">
        <v>70</v>
      </c>
      <c r="L20" s="376">
        <v>90</v>
      </c>
      <c r="M20" s="376">
        <v>70</v>
      </c>
      <c r="N20" s="376">
        <v>85</v>
      </c>
      <c r="O20" s="376">
        <v>35</v>
      </c>
      <c r="P20" s="376">
        <v>74</v>
      </c>
      <c r="Q20" s="376">
        <v>65</v>
      </c>
      <c r="R20" s="376">
        <v>80</v>
      </c>
      <c r="S20" s="376">
        <v>25</v>
      </c>
      <c r="T20" s="376">
        <v>80</v>
      </c>
      <c r="U20" s="376">
        <v>75</v>
      </c>
      <c r="V20" s="376">
        <v>20</v>
      </c>
      <c r="W20" s="376">
        <v>86</v>
      </c>
      <c r="X20" s="376">
        <v>80</v>
      </c>
      <c r="Y20" s="65">
        <f t="shared" si="13"/>
        <v>1196</v>
      </c>
      <c r="Z20" s="68">
        <f t="shared" si="14"/>
        <v>70.352941176470594</v>
      </c>
      <c r="AA20" s="63">
        <f t="shared" si="15"/>
        <v>83</v>
      </c>
      <c r="AB20" s="63">
        <f t="shared" si="16"/>
        <v>84</v>
      </c>
      <c r="AC20" s="63">
        <f t="shared" si="17"/>
        <v>78</v>
      </c>
      <c r="AD20" s="63">
        <f t="shared" si="18"/>
        <v>79</v>
      </c>
      <c r="AE20" s="63">
        <f t="shared" si="19"/>
        <v>25</v>
      </c>
      <c r="AF20" s="63">
        <f t="shared" si="20"/>
        <v>26</v>
      </c>
      <c r="AG20" s="63">
        <f t="shared" si="21"/>
        <v>80</v>
      </c>
      <c r="AH20" s="63">
        <f t="shared" si="22"/>
        <v>81</v>
      </c>
      <c r="AI20" s="63">
        <f t="shared" si="23"/>
        <v>75</v>
      </c>
      <c r="AJ20" s="63">
        <f t="shared" si="24"/>
        <v>76</v>
      </c>
      <c r="AK20" s="63">
        <f t="shared" si="25"/>
        <v>20</v>
      </c>
      <c r="AL20" s="63">
        <f t="shared" si="26"/>
        <v>21</v>
      </c>
      <c r="AM20" s="63">
        <f t="shared" si="27"/>
        <v>86</v>
      </c>
      <c r="AN20" s="63">
        <f t="shared" si="28"/>
        <v>87</v>
      </c>
      <c r="AQ20" s="365">
        <f t="shared" si="29"/>
        <v>78</v>
      </c>
      <c r="AR20" s="365">
        <f t="shared" si="30"/>
        <v>100</v>
      </c>
      <c r="AS20" s="365">
        <f t="shared" si="31"/>
        <v>83</v>
      </c>
      <c r="AT20" s="365">
        <f t="shared" si="32"/>
        <v>75</v>
      </c>
      <c r="AU20" s="365">
        <f t="shared" si="33"/>
        <v>90</v>
      </c>
      <c r="AV20" s="365">
        <f t="shared" si="34"/>
        <v>75</v>
      </c>
      <c r="AW20" s="365">
        <f t="shared" si="35"/>
        <v>85</v>
      </c>
      <c r="AX20" s="365">
        <f t="shared" si="36"/>
        <v>75</v>
      </c>
      <c r="AY20" s="365">
        <f t="shared" si="37"/>
        <v>75</v>
      </c>
      <c r="AZ20" s="365">
        <f t="shared" si="38"/>
        <v>75</v>
      </c>
      <c r="BA20" s="365">
        <f t="shared" si="39"/>
        <v>80</v>
      </c>
      <c r="BB20" s="365">
        <f t="shared" si="40"/>
        <v>80</v>
      </c>
      <c r="BC20" s="365">
        <f t="shared" si="41"/>
        <v>80</v>
      </c>
      <c r="BD20" s="365">
        <f t="shared" si="42"/>
        <v>80</v>
      </c>
      <c r="BE20" s="365">
        <f t="shared" si="43"/>
        <v>80</v>
      </c>
      <c r="BF20" s="365">
        <f t="shared" si="44"/>
        <v>86</v>
      </c>
      <c r="BG20" s="365">
        <f t="shared" si="45"/>
        <v>80</v>
      </c>
    </row>
    <row r="21" spans="1:59" ht="20.149999999999999" customHeight="1" x14ac:dyDescent="0.35">
      <c r="A21" s="38"/>
      <c r="B21" s="38"/>
      <c r="C21" s="38"/>
      <c r="F21" s="61">
        <v>13</v>
      </c>
      <c r="G21" s="62" t="str">
        <f>IF('set-dasis'!F17=0,"",'set-dasis'!F17)</f>
        <v>DZAKY ABDUL HAFIZ</v>
      </c>
      <c r="H21" s="376">
        <v>84</v>
      </c>
      <c r="I21" s="376">
        <v>70</v>
      </c>
      <c r="J21" s="376">
        <v>68</v>
      </c>
      <c r="K21" s="376">
        <v>77</v>
      </c>
      <c r="L21" s="376">
        <v>60</v>
      </c>
      <c r="M21" s="376">
        <v>14</v>
      </c>
      <c r="N21" s="377">
        <f>Q21</f>
        <v>70</v>
      </c>
      <c r="O21" s="376">
        <v>54</v>
      </c>
      <c r="P21" s="376">
        <v>46</v>
      </c>
      <c r="Q21" s="376">
        <v>70</v>
      </c>
      <c r="R21" s="376">
        <v>80</v>
      </c>
      <c r="S21" s="376">
        <v>25</v>
      </c>
      <c r="T21" s="376">
        <v>75</v>
      </c>
      <c r="U21" s="376">
        <v>40</v>
      </c>
      <c r="V21" s="376">
        <v>35</v>
      </c>
      <c r="W21" s="376">
        <v>55</v>
      </c>
      <c r="X21" s="376">
        <v>75</v>
      </c>
      <c r="Y21" s="65">
        <f t="shared" si="13"/>
        <v>998</v>
      </c>
      <c r="Z21" s="68">
        <f t="shared" si="14"/>
        <v>58.705882352941174</v>
      </c>
      <c r="AA21" s="63">
        <f t="shared" si="15"/>
        <v>68</v>
      </c>
      <c r="AB21" s="63">
        <f t="shared" si="16"/>
        <v>69</v>
      </c>
      <c r="AC21" s="63">
        <f t="shared" si="17"/>
        <v>84</v>
      </c>
      <c r="AD21" s="63">
        <f t="shared" si="18"/>
        <v>85</v>
      </c>
      <c r="AE21" s="63">
        <f t="shared" si="19"/>
        <v>25</v>
      </c>
      <c r="AF21" s="63">
        <f t="shared" si="20"/>
        <v>26</v>
      </c>
      <c r="AG21" s="63">
        <f t="shared" si="21"/>
        <v>75</v>
      </c>
      <c r="AH21" s="63">
        <f t="shared" si="22"/>
        <v>76</v>
      </c>
      <c r="AI21" s="63">
        <f t="shared" si="23"/>
        <v>40</v>
      </c>
      <c r="AJ21" s="63">
        <f t="shared" si="24"/>
        <v>41</v>
      </c>
      <c r="AK21" s="63">
        <f t="shared" si="25"/>
        <v>35</v>
      </c>
      <c r="AL21" s="63">
        <f t="shared" si="26"/>
        <v>36</v>
      </c>
      <c r="AM21" s="63">
        <f t="shared" si="27"/>
        <v>55</v>
      </c>
      <c r="AN21" s="63">
        <f t="shared" si="28"/>
        <v>56</v>
      </c>
      <c r="AQ21" s="365">
        <f t="shared" si="29"/>
        <v>84</v>
      </c>
      <c r="AR21" s="365">
        <f t="shared" si="30"/>
        <v>75</v>
      </c>
      <c r="AS21" s="365">
        <f t="shared" si="31"/>
        <v>75</v>
      </c>
      <c r="AT21" s="365">
        <f t="shared" si="32"/>
        <v>77</v>
      </c>
      <c r="AU21" s="365">
        <f t="shared" si="33"/>
        <v>75</v>
      </c>
      <c r="AV21" s="365">
        <f t="shared" si="34"/>
        <v>75</v>
      </c>
      <c r="AW21" s="365">
        <f t="shared" si="35"/>
        <v>75</v>
      </c>
      <c r="AX21" s="365">
        <f t="shared" si="36"/>
        <v>75</v>
      </c>
      <c r="AY21" s="365">
        <f t="shared" si="37"/>
        <v>75</v>
      </c>
      <c r="AZ21" s="365">
        <f t="shared" si="38"/>
        <v>75</v>
      </c>
      <c r="BA21" s="365">
        <f t="shared" si="39"/>
        <v>80</v>
      </c>
      <c r="BB21" s="365">
        <f t="shared" si="40"/>
        <v>80</v>
      </c>
      <c r="BC21" s="365">
        <f t="shared" si="41"/>
        <v>80</v>
      </c>
      <c r="BD21" s="365">
        <f t="shared" si="42"/>
        <v>80</v>
      </c>
      <c r="BE21" s="365">
        <f t="shared" si="43"/>
        <v>80</v>
      </c>
      <c r="BF21" s="365">
        <f t="shared" si="44"/>
        <v>80</v>
      </c>
      <c r="BG21" s="365">
        <f t="shared" si="45"/>
        <v>80</v>
      </c>
    </row>
    <row r="22" spans="1:59" ht="20.149999999999999" customHeight="1" x14ac:dyDescent="0.35">
      <c r="A22" s="38"/>
      <c r="B22" s="38"/>
      <c r="C22" s="38"/>
      <c r="F22" s="61">
        <v>14</v>
      </c>
      <c r="G22" s="62" t="str">
        <f>IF('set-dasis'!F18=0,"",'set-dasis'!F18)</f>
        <v>FADHIL MUHAMMAD ABID AL JABBAR</v>
      </c>
      <c r="H22" s="376">
        <v>81</v>
      </c>
      <c r="I22" s="376">
        <v>100</v>
      </c>
      <c r="J22" s="376">
        <v>90</v>
      </c>
      <c r="K22" s="376">
        <v>88</v>
      </c>
      <c r="L22" s="376">
        <v>95</v>
      </c>
      <c r="M22" s="376">
        <v>82</v>
      </c>
      <c r="N22" s="376">
        <v>100</v>
      </c>
      <c r="O22" s="376">
        <v>44</v>
      </c>
      <c r="P22" s="376">
        <v>75</v>
      </c>
      <c r="Q22" s="376">
        <v>90</v>
      </c>
      <c r="R22" s="376">
        <v>80</v>
      </c>
      <c r="S22" s="376">
        <v>55</v>
      </c>
      <c r="T22" s="376">
        <v>83</v>
      </c>
      <c r="U22" s="376">
        <v>75</v>
      </c>
      <c r="V22" s="376">
        <v>55</v>
      </c>
      <c r="W22" s="376">
        <v>77</v>
      </c>
      <c r="X22" s="376">
        <v>83</v>
      </c>
      <c r="Y22" s="65">
        <f t="shared" si="13"/>
        <v>1353</v>
      </c>
      <c r="Z22" s="68">
        <f t="shared" si="14"/>
        <v>79.588235294117652</v>
      </c>
      <c r="AA22" s="63">
        <f t="shared" si="15"/>
        <v>90</v>
      </c>
      <c r="AB22" s="63">
        <f t="shared" si="16"/>
        <v>91</v>
      </c>
      <c r="AC22" s="63">
        <f t="shared" si="17"/>
        <v>81</v>
      </c>
      <c r="AD22" s="63">
        <f t="shared" si="18"/>
        <v>82</v>
      </c>
      <c r="AE22" s="63">
        <f t="shared" si="19"/>
        <v>55</v>
      </c>
      <c r="AF22" s="63">
        <f t="shared" si="20"/>
        <v>56</v>
      </c>
      <c r="AG22" s="63">
        <f t="shared" si="21"/>
        <v>83</v>
      </c>
      <c r="AH22" s="63">
        <f t="shared" si="22"/>
        <v>84</v>
      </c>
      <c r="AI22" s="63">
        <f t="shared" si="23"/>
        <v>75</v>
      </c>
      <c r="AJ22" s="63">
        <f t="shared" si="24"/>
        <v>76</v>
      </c>
      <c r="AK22" s="63">
        <f t="shared" si="25"/>
        <v>55</v>
      </c>
      <c r="AL22" s="63">
        <f t="shared" si="26"/>
        <v>56</v>
      </c>
      <c r="AM22" s="63">
        <f t="shared" si="27"/>
        <v>77</v>
      </c>
      <c r="AN22" s="63">
        <f t="shared" si="28"/>
        <v>78</v>
      </c>
      <c r="AQ22" s="365">
        <f t="shared" si="29"/>
        <v>81</v>
      </c>
      <c r="AR22" s="365">
        <f t="shared" si="30"/>
        <v>100</v>
      </c>
      <c r="AS22" s="365">
        <f t="shared" si="31"/>
        <v>90</v>
      </c>
      <c r="AT22" s="365">
        <f t="shared" si="32"/>
        <v>88</v>
      </c>
      <c r="AU22" s="365">
        <f t="shared" si="33"/>
        <v>95</v>
      </c>
      <c r="AV22" s="365">
        <f t="shared" si="34"/>
        <v>82</v>
      </c>
      <c r="AW22" s="365">
        <f t="shared" si="35"/>
        <v>100</v>
      </c>
      <c r="AX22" s="365">
        <f t="shared" si="36"/>
        <v>75</v>
      </c>
      <c r="AY22" s="365">
        <f t="shared" si="37"/>
        <v>75</v>
      </c>
      <c r="AZ22" s="365">
        <f t="shared" si="38"/>
        <v>90</v>
      </c>
      <c r="BA22" s="365">
        <f t="shared" si="39"/>
        <v>80</v>
      </c>
      <c r="BB22" s="365">
        <f t="shared" si="40"/>
        <v>80</v>
      </c>
      <c r="BC22" s="365">
        <f t="shared" si="41"/>
        <v>83</v>
      </c>
      <c r="BD22" s="365">
        <f t="shared" si="42"/>
        <v>80</v>
      </c>
      <c r="BE22" s="365">
        <f t="shared" si="43"/>
        <v>80</v>
      </c>
      <c r="BF22" s="365">
        <f t="shared" si="44"/>
        <v>80</v>
      </c>
      <c r="BG22" s="365">
        <f t="shared" si="45"/>
        <v>83</v>
      </c>
    </row>
    <row r="23" spans="1:59" ht="20.149999999999999" customHeight="1" x14ac:dyDescent="0.35">
      <c r="A23" s="38"/>
      <c r="B23" s="38"/>
      <c r="C23" s="38"/>
      <c r="F23" s="61">
        <v>15</v>
      </c>
      <c r="G23" s="62" t="str">
        <f>IF('set-dasis'!F19=0,"",'set-dasis'!F19)</f>
        <v>FAISHAL SYARIF PUTRA AJI</v>
      </c>
      <c r="H23" s="376">
        <v>67</v>
      </c>
      <c r="I23" s="376">
        <v>100</v>
      </c>
      <c r="J23" s="376">
        <v>70</v>
      </c>
      <c r="K23" s="376">
        <v>70</v>
      </c>
      <c r="L23" s="376">
        <v>55</v>
      </c>
      <c r="M23" s="376">
        <v>16</v>
      </c>
      <c r="N23" s="376">
        <v>55</v>
      </c>
      <c r="O23" s="376">
        <v>30</v>
      </c>
      <c r="P23" s="376">
        <v>40</v>
      </c>
      <c r="Q23" s="376">
        <v>40</v>
      </c>
      <c r="R23" s="376">
        <v>80</v>
      </c>
      <c r="S23" s="376">
        <v>25</v>
      </c>
      <c r="T23" s="376">
        <v>80</v>
      </c>
      <c r="U23" s="376">
        <v>40</v>
      </c>
      <c r="V23" s="376">
        <v>40</v>
      </c>
      <c r="W23" s="376">
        <v>67</v>
      </c>
      <c r="X23" s="376">
        <v>80</v>
      </c>
      <c r="Y23" s="65">
        <f t="shared" si="13"/>
        <v>955</v>
      </c>
      <c r="Z23" s="68">
        <f t="shared" si="14"/>
        <v>56.176470588235297</v>
      </c>
      <c r="AA23" s="63">
        <f t="shared" si="15"/>
        <v>70</v>
      </c>
      <c r="AB23" s="63">
        <f t="shared" si="16"/>
        <v>71</v>
      </c>
      <c r="AC23" s="63">
        <f t="shared" si="17"/>
        <v>67</v>
      </c>
      <c r="AD23" s="63">
        <f t="shared" si="18"/>
        <v>68</v>
      </c>
      <c r="AE23" s="63">
        <f t="shared" si="19"/>
        <v>25</v>
      </c>
      <c r="AF23" s="63">
        <f t="shared" si="20"/>
        <v>26</v>
      </c>
      <c r="AG23" s="63">
        <f t="shared" si="21"/>
        <v>80</v>
      </c>
      <c r="AH23" s="63">
        <f t="shared" si="22"/>
        <v>81</v>
      </c>
      <c r="AI23" s="63">
        <f t="shared" si="23"/>
        <v>40</v>
      </c>
      <c r="AJ23" s="63">
        <f t="shared" si="24"/>
        <v>41</v>
      </c>
      <c r="AK23" s="63">
        <f t="shared" si="25"/>
        <v>40</v>
      </c>
      <c r="AL23" s="63">
        <f t="shared" si="26"/>
        <v>41</v>
      </c>
      <c r="AM23" s="63">
        <f t="shared" si="27"/>
        <v>67</v>
      </c>
      <c r="AN23" s="63">
        <f t="shared" si="28"/>
        <v>68</v>
      </c>
      <c r="AQ23" s="365">
        <f t="shared" si="29"/>
        <v>75</v>
      </c>
      <c r="AR23" s="365">
        <f t="shared" si="30"/>
        <v>100</v>
      </c>
      <c r="AS23" s="365">
        <f t="shared" si="31"/>
        <v>75</v>
      </c>
      <c r="AT23" s="365">
        <f t="shared" si="32"/>
        <v>75</v>
      </c>
      <c r="AU23" s="365">
        <f t="shared" si="33"/>
        <v>75</v>
      </c>
      <c r="AV23" s="365">
        <f t="shared" si="34"/>
        <v>75</v>
      </c>
      <c r="AW23" s="365">
        <f t="shared" si="35"/>
        <v>75</v>
      </c>
      <c r="AX23" s="365">
        <f t="shared" si="36"/>
        <v>75</v>
      </c>
      <c r="AY23" s="365">
        <f t="shared" si="37"/>
        <v>75</v>
      </c>
      <c r="AZ23" s="365">
        <f t="shared" si="38"/>
        <v>75</v>
      </c>
      <c r="BA23" s="365">
        <f t="shared" si="39"/>
        <v>80</v>
      </c>
      <c r="BB23" s="365">
        <f t="shared" si="40"/>
        <v>80</v>
      </c>
      <c r="BC23" s="365">
        <f t="shared" si="41"/>
        <v>80</v>
      </c>
      <c r="BD23" s="365">
        <f t="shared" si="42"/>
        <v>80</v>
      </c>
      <c r="BE23" s="365">
        <f t="shared" si="43"/>
        <v>80</v>
      </c>
      <c r="BF23" s="365">
        <f t="shared" si="44"/>
        <v>80</v>
      </c>
      <c r="BG23" s="365">
        <f t="shared" si="45"/>
        <v>80</v>
      </c>
    </row>
    <row r="24" spans="1:59" ht="20.149999999999999" customHeight="1" x14ac:dyDescent="0.35">
      <c r="A24" s="38"/>
      <c r="B24" s="38"/>
      <c r="C24" s="38"/>
      <c r="F24" s="61">
        <v>16</v>
      </c>
      <c r="G24" s="62" t="str">
        <f>IF('set-dasis'!F20=0,"",'set-dasis'!F20)</f>
        <v>FAQIHUDDIN RAHMAN</v>
      </c>
      <c r="H24" s="376">
        <v>77</v>
      </c>
      <c r="I24" s="376">
        <v>100</v>
      </c>
      <c r="J24" s="376">
        <v>77</v>
      </c>
      <c r="K24" s="376">
        <v>73</v>
      </c>
      <c r="L24" s="376">
        <v>70</v>
      </c>
      <c r="M24" s="376">
        <v>46</v>
      </c>
      <c r="N24" s="376">
        <v>85</v>
      </c>
      <c r="O24" s="376">
        <v>76</v>
      </c>
      <c r="P24" s="376">
        <v>62</v>
      </c>
      <c r="Q24" s="376">
        <v>70</v>
      </c>
      <c r="R24" s="376">
        <v>80</v>
      </c>
      <c r="S24" s="376">
        <v>55</v>
      </c>
      <c r="T24" s="376">
        <v>89</v>
      </c>
      <c r="U24" s="376">
        <v>70</v>
      </c>
      <c r="V24" s="376">
        <v>35</v>
      </c>
      <c r="W24" s="376">
        <v>96</v>
      </c>
      <c r="X24" s="376">
        <v>89</v>
      </c>
      <c r="Y24" s="65">
        <f t="shared" si="13"/>
        <v>1250</v>
      </c>
      <c r="Z24" s="68">
        <f t="shared" si="14"/>
        <v>73.529411764705884</v>
      </c>
      <c r="AA24" s="63">
        <f t="shared" si="15"/>
        <v>77</v>
      </c>
      <c r="AB24" s="63">
        <f t="shared" si="16"/>
        <v>78</v>
      </c>
      <c r="AC24" s="63">
        <f t="shared" si="17"/>
        <v>77</v>
      </c>
      <c r="AD24" s="63">
        <f t="shared" si="18"/>
        <v>78</v>
      </c>
      <c r="AE24" s="63">
        <f t="shared" si="19"/>
        <v>55</v>
      </c>
      <c r="AF24" s="63">
        <f t="shared" si="20"/>
        <v>56</v>
      </c>
      <c r="AG24" s="63">
        <f t="shared" si="21"/>
        <v>89</v>
      </c>
      <c r="AH24" s="63">
        <f t="shared" si="22"/>
        <v>90</v>
      </c>
      <c r="AI24" s="63">
        <f t="shared" si="23"/>
        <v>70</v>
      </c>
      <c r="AJ24" s="63">
        <f t="shared" si="24"/>
        <v>71</v>
      </c>
      <c r="AK24" s="63">
        <f t="shared" si="25"/>
        <v>35</v>
      </c>
      <c r="AL24" s="63">
        <f t="shared" si="26"/>
        <v>36</v>
      </c>
      <c r="AM24" s="63">
        <f t="shared" si="27"/>
        <v>96</v>
      </c>
      <c r="AN24" s="63">
        <f t="shared" si="28"/>
        <v>97</v>
      </c>
      <c r="AQ24" s="365">
        <f t="shared" si="29"/>
        <v>77</v>
      </c>
      <c r="AR24" s="365">
        <f t="shared" si="30"/>
        <v>100</v>
      </c>
      <c r="AS24" s="365">
        <f t="shared" si="31"/>
        <v>77</v>
      </c>
      <c r="AT24" s="365">
        <f t="shared" si="32"/>
        <v>75</v>
      </c>
      <c r="AU24" s="365">
        <f t="shared" si="33"/>
        <v>75</v>
      </c>
      <c r="AV24" s="365">
        <f t="shared" si="34"/>
        <v>75</v>
      </c>
      <c r="AW24" s="365">
        <f t="shared" si="35"/>
        <v>85</v>
      </c>
      <c r="AX24" s="365">
        <f t="shared" si="36"/>
        <v>76</v>
      </c>
      <c r="AY24" s="365">
        <f t="shared" si="37"/>
        <v>75</v>
      </c>
      <c r="AZ24" s="365">
        <f t="shared" si="38"/>
        <v>75</v>
      </c>
      <c r="BA24" s="365">
        <f t="shared" si="39"/>
        <v>80</v>
      </c>
      <c r="BB24" s="365">
        <f t="shared" si="40"/>
        <v>80</v>
      </c>
      <c r="BC24" s="365">
        <f t="shared" si="41"/>
        <v>89</v>
      </c>
      <c r="BD24" s="365">
        <f t="shared" si="42"/>
        <v>80</v>
      </c>
      <c r="BE24" s="365">
        <f t="shared" si="43"/>
        <v>80</v>
      </c>
      <c r="BF24" s="365">
        <f t="shared" si="44"/>
        <v>96</v>
      </c>
      <c r="BG24" s="365">
        <f t="shared" si="45"/>
        <v>89</v>
      </c>
    </row>
    <row r="25" spans="1:59" ht="20.149999999999999" customHeight="1" x14ac:dyDescent="0.35">
      <c r="F25" s="61">
        <v>17</v>
      </c>
      <c r="G25" s="62" t="str">
        <f>IF('set-dasis'!F21=0,"",'set-dasis'!F21)</f>
        <v>FARDAN ADITYA FAHRIZI</v>
      </c>
      <c r="H25" s="376">
        <v>66</v>
      </c>
      <c r="I25" s="376">
        <v>100</v>
      </c>
      <c r="J25" s="376">
        <v>72</v>
      </c>
      <c r="K25" s="376">
        <v>94</v>
      </c>
      <c r="L25" s="376">
        <v>95</v>
      </c>
      <c r="M25" s="376">
        <v>46</v>
      </c>
      <c r="N25" s="376">
        <v>85</v>
      </c>
      <c r="O25" s="376">
        <v>41</v>
      </c>
      <c r="P25" s="376">
        <v>82</v>
      </c>
      <c r="Q25" s="376">
        <v>70</v>
      </c>
      <c r="R25" s="376">
        <v>80</v>
      </c>
      <c r="S25" s="376">
        <v>40</v>
      </c>
      <c r="T25" s="376">
        <v>91</v>
      </c>
      <c r="U25" s="376">
        <v>100</v>
      </c>
      <c r="V25" s="376">
        <v>85</v>
      </c>
      <c r="W25" s="376">
        <v>81</v>
      </c>
      <c r="X25" s="376">
        <v>91</v>
      </c>
      <c r="Y25" s="65">
        <f t="shared" si="13"/>
        <v>1319</v>
      </c>
      <c r="Z25" s="68">
        <f t="shared" si="14"/>
        <v>77.588235294117652</v>
      </c>
      <c r="AA25" s="63">
        <f t="shared" si="15"/>
        <v>72</v>
      </c>
      <c r="AB25" s="63">
        <f t="shared" si="16"/>
        <v>73</v>
      </c>
      <c r="AC25" s="63">
        <f t="shared" si="17"/>
        <v>66</v>
      </c>
      <c r="AD25" s="63">
        <f t="shared" si="18"/>
        <v>67</v>
      </c>
      <c r="AE25" s="63">
        <f t="shared" si="19"/>
        <v>40</v>
      </c>
      <c r="AF25" s="63">
        <f t="shared" si="20"/>
        <v>41</v>
      </c>
      <c r="AG25" s="63">
        <f t="shared" si="21"/>
        <v>91</v>
      </c>
      <c r="AH25" s="63">
        <f t="shared" si="22"/>
        <v>92</v>
      </c>
      <c r="AI25" s="63">
        <f t="shared" si="23"/>
        <v>100</v>
      </c>
      <c r="AJ25" s="63">
        <f t="shared" si="24"/>
        <v>100</v>
      </c>
      <c r="AK25" s="63">
        <f t="shared" si="25"/>
        <v>85</v>
      </c>
      <c r="AL25" s="63">
        <f t="shared" si="26"/>
        <v>86</v>
      </c>
      <c r="AM25" s="63">
        <f t="shared" si="27"/>
        <v>81</v>
      </c>
      <c r="AN25" s="63">
        <f t="shared" si="28"/>
        <v>82</v>
      </c>
      <c r="AQ25" s="365">
        <f t="shared" si="29"/>
        <v>75</v>
      </c>
      <c r="AR25" s="365">
        <f t="shared" si="30"/>
        <v>100</v>
      </c>
      <c r="AS25" s="365">
        <f t="shared" si="31"/>
        <v>75</v>
      </c>
      <c r="AT25" s="365">
        <f t="shared" si="32"/>
        <v>94</v>
      </c>
      <c r="AU25" s="365">
        <f t="shared" si="33"/>
        <v>95</v>
      </c>
      <c r="AV25" s="365">
        <f t="shared" si="34"/>
        <v>75</v>
      </c>
      <c r="AW25" s="365">
        <f t="shared" si="35"/>
        <v>85</v>
      </c>
      <c r="AX25" s="365">
        <f t="shared" si="36"/>
        <v>75</v>
      </c>
      <c r="AY25" s="365">
        <f t="shared" si="37"/>
        <v>82</v>
      </c>
      <c r="AZ25" s="365">
        <f t="shared" si="38"/>
        <v>75</v>
      </c>
      <c r="BA25" s="365">
        <f t="shared" si="39"/>
        <v>80</v>
      </c>
      <c r="BB25" s="365">
        <f t="shared" si="40"/>
        <v>80</v>
      </c>
      <c r="BC25" s="365">
        <f t="shared" si="41"/>
        <v>91</v>
      </c>
      <c r="BD25" s="365">
        <f t="shared" si="42"/>
        <v>100</v>
      </c>
      <c r="BE25" s="365">
        <f t="shared" si="43"/>
        <v>85</v>
      </c>
      <c r="BF25" s="365">
        <f t="shared" si="44"/>
        <v>81</v>
      </c>
      <c r="BG25" s="365">
        <f t="shared" si="45"/>
        <v>91</v>
      </c>
    </row>
    <row r="26" spans="1:59" ht="20.149999999999999" customHeight="1" x14ac:dyDescent="0.35">
      <c r="F26" s="61">
        <v>18</v>
      </c>
      <c r="G26" s="62" t="str">
        <f>IF('set-dasis'!F22=0,"",'set-dasis'!F22)</f>
        <v>FARHAN ISMAIL</v>
      </c>
      <c r="H26" s="376">
        <v>83</v>
      </c>
      <c r="I26" s="376">
        <v>100</v>
      </c>
      <c r="J26" s="376">
        <v>99</v>
      </c>
      <c r="K26" s="376">
        <v>98</v>
      </c>
      <c r="L26" s="376">
        <v>90</v>
      </c>
      <c r="M26" s="376">
        <v>98</v>
      </c>
      <c r="N26" s="376">
        <v>70</v>
      </c>
      <c r="O26" s="376">
        <v>93</v>
      </c>
      <c r="P26" s="376">
        <v>95</v>
      </c>
      <c r="Q26" s="376">
        <v>100</v>
      </c>
      <c r="R26" s="376">
        <v>88</v>
      </c>
      <c r="S26" s="376">
        <v>60</v>
      </c>
      <c r="T26" s="376">
        <v>88</v>
      </c>
      <c r="U26" s="376">
        <v>95</v>
      </c>
      <c r="V26" s="376">
        <v>95</v>
      </c>
      <c r="W26" s="376">
        <v>97</v>
      </c>
      <c r="X26" s="376">
        <v>88</v>
      </c>
      <c r="Y26" s="65">
        <f t="shared" si="13"/>
        <v>1537</v>
      </c>
      <c r="Z26" s="68">
        <f t="shared" si="14"/>
        <v>90.411764705882348</v>
      </c>
      <c r="AA26" s="63">
        <f t="shared" si="15"/>
        <v>99</v>
      </c>
      <c r="AB26" s="63">
        <f t="shared" si="16"/>
        <v>100</v>
      </c>
      <c r="AC26" s="63">
        <f t="shared" si="17"/>
        <v>83</v>
      </c>
      <c r="AD26" s="63">
        <f t="shared" si="18"/>
        <v>84</v>
      </c>
      <c r="AE26" s="63">
        <f t="shared" si="19"/>
        <v>60</v>
      </c>
      <c r="AF26" s="63">
        <f t="shared" si="20"/>
        <v>61</v>
      </c>
      <c r="AG26" s="63">
        <f t="shared" si="21"/>
        <v>88</v>
      </c>
      <c r="AH26" s="63">
        <f t="shared" si="22"/>
        <v>89</v>
      </c>
      <c r="AI26" s="63">
        <f t="shared" si="23"/>
        <v>95</v>
      </c>
      <c r="AJ26" s="63">
        <f t="shared" si="24"/>
        <v>96</v>
      </c>
      <c r="AK26" s="63">
        <f t="shared" si="25"/>
        <v>95</v>
      </c>
      <c r="AL26" s="63">
        <f t="shared" si="26"/>
        <v>96</v>
      </c>
      <c r="AM26" s="63">
        <f t="shared" si="27"/>
        <v>97</v>
      </c>
      <c r="AN26" s="63">
        <f t="shared" si="28"/>
        <v>98</v>
      </c>
      <c r="AQ26" s="365">
        <f t="shared" si="29"/>
        <v>83</v>
      </c>
      <c r="AR26" s="365">
        <f t="shared" si="30"/>
        <v>100</v>
      </c>
      <c r="AS26" s="365">
        <f t="shared" si="31"/>
        <v>99</v>
      </c>
      <c r="AT26" s="365">
        <f t="shared" si="32"/>
        <v>98</v>
      </c>
      <c r="AU26" s="365">
        <f t="shared" si="33"/>
        <v>90</v>
      </c>
      <c r="AV26" s="365">
        <f t="shared" si="34"/>
        <v>98</v>
      </c>
      <c r="AW26" s="365">
        <f t="shared" si="35"/>
        <v>75</v>
      </c>
      <c r="AX26" s="365">
        <f t="shared" si="36"/>
        <v>93</v>
      </c>
      <c r="AY26" s="365">
        <f t="shared" si="37"/>
        <v>95</v>
      </c>
      <c r="AZ26" s="365">
        <f t="shared" si="38"/>
        <v>100</v>
      </c>
      <c r="BA26" s="365">
        <f t="shared" si="39"/>
        <v>88</v>
      </c>
      <c r="BB26" s="365">
        <f t="shared" si="40"/>
        <v>80</v>
      </c>
      <c r="BC26" s="365">
        <f t="shared" si="41"/>
        <v>88</v>
      </c>
      <c r="BD26" s="365">
        <f t="shared" si="42"/>
        <v>95</v>
      </c>
      <c r="BE26" s="365">
        <f t="shared" si="43"/>
        <v>95</v>
      </c>
      <c r="BF26" s="365">
        <f t="shared" si="44"/>
        <v>97</v>
      </c>
      <c r="BG26" s="365">
        <f t="shared" si="45"/>
        <v>88</v>
      </c>
    </row>
    <row r="27" spans="1:59" ht="20.149999999999999" customHeight="1" x14ac:dyDescent="0.35">
      <c r="F27" s="61">
        <v>19</v>
      </c>
      <c r="G27" s="62" t="str">
        <f>IF('set-dasis'!F23=0,"",'set-dasis'!F23)</f>
        <v>FATHLIH DHIFAN</v>
      </c>
      <c r="H27" s="376">
        <v>71</v>
      </c>
      <c r="I27" s="376">
        <v>100</v>
      </c>
      <c r="J27" s="376">
        <v>74</v>
      </c>
      <c r="K27" s="376">
        <v>70</v>
      </c>
      <c r="L27" s="376">
        <v>60</v>
      </c>
      <c r="M27" s="376">
        <v>8</v>
      </c>
      <c r="N27" s="376">
        <v>80</v>
      </c>
      <c r="O27" s="376">
        <v>59</v>
      </c>
      <c r="P27" s="376">
        <v>58</v>
      </c>
      <c r="Q27" s="376">
        <v>70</v>
      </c>
      <c r="R27" s="376">
        <v>80</v>
      </c>
      <c r="S27" s="376">
        <v>40</v>
      </c>
      <c r="T27" s="376">
        <v>83</v>
      </c>
      <c r="U27" s="376">
        <v>30</v>
      </c>
      <c r="V27" s="376">
        <v>40</v>
      </c>
      <c r="W27" s="376">
        <v>76</v>
      </c>
      <c r="X27" s="376">
        <v>83</v>
      </c>
      <c r="Y27" s="65">
        <f t="shared" si="13"/>
        <v>1082</v>
      </c>
      <c r="Z27" s="68">
        <f t="shared" si="14"/>
        <v>63.647058823529413</v>
      </c>
      <c r="AA27" s="63">
        <f t="shared" si="15"/>
        <v>74</v>
      </c>
      <c r="AB27" s="63">
        <f t="shared" si="16"/>
        <v>75</v>
      </c>
      <c r="AC27" s="63">
        <f t="shared" si="17"/>
        <v>71</v>
      </c>
      <c r="AD27" s="63">
        <f t="shared" si="18"/>
        <v>72</v>
      </c>
      <c r="AE27" s="63">
        <f t="shared" si="19"/>
        <v>40</v>
      </c>
      <c r="AF27" s="63">
        <f t="shared" si="20"/>
        <v>41</v>
      </c>
      <c r="AG27" s="63">
        <f t="shared" si="21"/>
        <v>83</v>
      </c>
      <c r="AH27" s="63">
        <f t="shared" si="22"/>
        <v>84</v>
      </c>
      <c r="AI27" s="63">
        <f t="shared" si="23"/>
        <v>30</v>
      </c>
      <c r="AJ27" s="63">
        <f t="shared" si="24"/>
        <v>31</v>
      </c>
      <c r="AK27" s="63">
        <f t="shared" si="25"/>
        <v>40</v>
      </c>
      <c r="AL27" s="63">
        <f t="shared" si="26"/>
        <v>41</v>
      </c>
      <c r="AM27" s="63">
        <f t="shared" si="27"/>
        <v>76</v>
      </c>
      <c r="AN27" s="63">
        <f t="shared" si="28"/>
        <v>77</v>
      </c>
      <c r="AQ27" s="365">
        <f t="shared" si="29"/>
        <v>75</v>
      </c>
      <c r="AR27" s="365">
        <f t="shared" si="30"/>
        <v>100</v>
      </c>
      <c r="AS27" s="365">
        <f t="shared" si="31"/>
        <v>75</v>
      </c>
      <c r="AT27" s="365">
        <f t="shared" si="32"/>
        <v>75</v>
      </c>
      <c r="AU27" s="365">
        <f t="shared" si="33"/>
        <v>75</v>
      </c>
      <c r="AV27" s="365">
        <f t="shared" si="34"/>
        <v>75</v>
      </c>
      <c r="AW27" s="365">
        <f t="shared" si="35"/>
        <v>80</v>
      </c>
      <c r="AX27" s="365">
        <f t="shared" si="36"/>
        <v>75</v>
      </c>
      <c r="AY27" s="365">
        <f t="shared" si="37"/>
        <v>75</v>
      </c>
      <c r="AZ27" s="365">
        <f t="shared" si="38"/>
        <v>75</v>
      </c>
      <c r="BA27" s="365">
        <f t="shared" si="39"/>
        <v>80</v>
      </c>
      <c r="BB27" s="365">
        <f t="shared" si="40"/>
        <v>80</v>
      </c>
      <c r="BC27" s="365">
        <f t="shared" si="41"/>
        <v>83</v>
      </c>
      <c r="BD27" s="365">
        <f t="shared" si="42"/>
        <v>80</v>
      </c>
      <c r="BE27" s="365">
        <f t="shared" si="43"/>
        <v>80</v>
      </c>
      <c r="BF27" s="365">
        <f t="shared" si="44"/>
        <v>80</v>
      </c>
      <c r="BG27" s="365">
        <f t="shared" si="45"/>
        <v>83</v>
      </c>
    </row>
    <row r="28" spans="1:59" ht="20.149999999999999" customHeight="1" x14ac:dyDescent="0.35">
      <c r="F28" s="61">
        <v>20</v>
      </c>
      <c r="G28" s="62" t="str">
        <f>IF('set-dasis'!F24=0,"",'set-dasis'!F24)</f>
        <v>FATIH KAUTSAR PUTRA TOTI</v>
      </c>
      <c r="H28" s="376">
        <v>84</v>
      </c>
      <c r="I28" s="376">
        <v>100</v>
      </c>
      <c r="J28" s="376">
        <v>94</v>
      </c>
      <c r="K28" s="376">
        <v>92</v>
      </c>
      <c r="L28" s="376">
        <v>100</v>
      </c>
      <c r="M28" s="376">
        <v>98</v>
      </c>
      <c r="N28" s="376">
        <v>100</v>
      </c>
      <c r="O28" s="376">
        <v>95</v>
      </c>
      <c r="P28" s="376">
        <v>86</v>
      </c>
      <c r="Q28" s="376">
        <v>90</v>
      </c>
      <c r="R28" s="376">
        <v>80</v>
      </c>
      <c r="S28" s="376">
        <v>50</v>
      </c>
      <c r="T28" s="376">
        <v>96</v>
      </c>
      <c r="U28" s="376">
        <v>100</v>
      </c>
      <c r="V28" s="376">
        <v>100</v>
      </c>
      <c r="W28" s="376">
        <v>91</v>
      </c>
      <c r="X28" s="376">
        <v>96</v>
      </c>
      <c r="Y28" s="65">
        <f t="shared" si="13"/>
        <v>1552</v>
      </c>
      <c r="Z28" s="68">
        <f t="shared" si="14"/>
        <v>91.294117647058826</v>
      </c>
      <c r="AA28" s="63">
        <f t="shared" si="15"/>
        <v>94</v>
      </c>
      <c r="AB28" s="63">
        <f t="shared" si="16"/>
        <v>95</v>
      </c>
      <c r="AC28" s="63">
        <f t="shared" si="17"/>
        <v>84</v>
      </c>
      <c r="AD28" s="63">
        <f t="shared" si="18"/>
        <v>85</v>
      </c>
      <c r="AE28" s="63">
        <f t="shared" si="19"/>
        <v>50</v>
      </c>
      <c r="AF28" s="63">
        <f t="shared" si="20"/>
        <v>51</v>
      </c>
      <c r="AG28" s="63">
        <f t="shared" si="21"/>
        <v>96</v>
      </c>
      <c r="AH28" s="63">
        <f t="shared" si="22"/>
        <v>97</v>
      </c>
      <c r="AI28" s="63">
        <f t="shared" si="23"/>
        <v>100</v>
      </c>
      <c r="AJ28" s="63">
        <f t="shared" si="24"/>
        <v>100</v>
      </c>
      <c r="AK28" s="63">
        <f t="shared" si="25"/>
        <v>100</v>
      </c>
      <c r="AL28" s="63">
        <f t="shared" si="26"/>
        <v>100</v>
      </c>
      <c r="AM28" s="63">
        <f t="shared" si="27"/>
        <v>91</v>
      </c>
      <c r="AN28" s="63">
        <f t="shared" si="28"/>
        <v>92</v>
      </c>
      <c r="AQ28" s="365">
        <f t="shared" si="29"/>
        <v>84</v>
      </c>
      <c r="AR28" s="365">
        <f t="shared" si="30"/>
        <v>100</v>
      </c>
      <c r="AS28" s="365">
        <f t="shared" si="31"/>
        <v>94</v>
      </c>
      <c r="AT28" s="365">
        <f t="shared" si="32"/>
        <v>92</v>
      </c>
      <c r="AU28" s="365">
        <f t="shared" si="33"/>
        <v>100</v>
      </c>
      <c r="AV28" s="365">
        <f t="shared" si="34"/>
        <v>98</v>
      </c>
      <c r="AW28" s="365">
        <f t="shared" si="35"/>
        <v>100</v>
      </c>
      <c r="AX28" s="365">
        <f t="shared" si="36"/>
        <v>95</v>
      </c>
      <c r="AY28" s="365">
        <f t="shared" si="37"/>
        <v>86</v>
      </c>
      <c r="AZ28" s="365">
        <f t="shared" si="38"/>
        <v>90</v>
      </c>
      <c r="BA28" s="365">
        <f t="shared" si="39"/>
        <v>80</v>
      </c>
      <c r="BB28" s="365">
        <f t="shared" si="40"/>
        <v>80</v>
      </c>
      <c r="BC28" s="365">
        <f t="shared" si="41"/>
        <v>96</v>
      </c>
      <c r="BD28" s="365">
        <f t="shared" si="42"/>
        <v>100</v>
      </c>
      <c r="BE28" s="365">
        <f t="shared" si="43"/>
        <v>100</v>
      </c>
      <c r="BF28" s="365">
        <f t="shared" si="44"/>
        <v>91</v>
      </c>
      <c r="BG28" s="365">
        <f t="shared" si="45"/>
        <v>96</v>
      </c>
    </row>
    <row r="29" spans="1:59" ht="20.149999999999999" customHeight="1" x14ac:dyDescent="0.35">
      <c r="F29" s="61">
        <v>21</v>
      </c>
      <c r="G29" s="62" t="str">
        <f>IF('set-dasis'!F25=0,"",'set-dasis'!F25)</f>
        <v>FAUZIE MAFTUH AHNAN CHANIAGO</v>
      </c>
      <c r="H29" s="376">
        <v>67</v>
      </c>
      <c r="I29" s="376">
        <v>100</v>
      </c>
      <c r="J29" s="376">
        <v>76</v>
      </c>
      <c r="K29" s="376">
        <v>70</v>
      </c>
      <c r="L29" s="376">
        <v>85</v>
      </c>
      <c r="M29" s="376">
        <v>58</v>
      </c>
      <c r="N29" s="376">
        <v>97</v>
      </c>
      <c r="O29" s="376">
        <v>89</v>
      </c>
      <c r="P29" s="376">
        <v>75</v>
      </c>
      <c r="Q29" s="376">
        <v>80</v>
      </c>
      <c r="R29" s="376">
        <v>80</v>
      </c>
      <c r="S29" s="376">
        <v>55</v>
      </c>
      <c r="T29" s="376">
        <v>86</v>
      </c>
      <c r="U29" s="376">
        <v>75</v>
      </c>
      <c r="V29" s="376">
        <v>65</v>
      </c>
      <c r="W29" s="376">
        <v>96</v>
      </c>
      <c r="X29" s="376">
        <v>86</v>
      </c>
      <c r="Y29" s="65">
        <f t="shared" si="13"/>
        <v>1340</v>
      </c>
      <c r="Z29" s="68">
        <f t="shared" si="14"/>
        <v>78.82352941176471</v>
      </c>
      <c r="AA29" s="63">
        <f t="shared" si="15"/>
        <v>76</v>
      </c>
      <c r="AB29" s="63">
        <f t="shared" si="16"/>
        <v>77</v>
      </c>
      <c r="AC29" s="63">
        <f t="shared" si="17"/>
        <v>67</v>
      </c>
      <c r="AD29" s="63">
        <f t="shared" si="18"/>
        <v>68</v>
      </c>
      <c r="AE29" s="63">
        <f t="shared" si="19"/>
        <v>55</v>
      </c>
      <c r="AF29" s="63">
        <f t="shared" si="20"/>
        <v>56</v>
      </c>
      <c r="AG29" s="63">
        <f t="shared" si="21"/>
        <v>86</v>
      </c>
      <c r="AH29" s="63">
        <f t="shared" si="22"/>
        <v>87</v>
      </c>
      <c r="AI29" s="63">
        <f t="shared" si="23"/>
        <v>75</v>
      </c>
      <c r="AJ29" s="63">
        <f t="shared" si="24"/>
        <v>76</v>
      </c>
      <c r="AK29" s="63">
        <f t="shared" si="25"/>
        <v>65</v>
      </c>
      <c r="AL29" s="63">
        <f t="shared" si="26"/>
        <v>66</v>
      </c>
      <c r="AM29" s="63">
        <f t="shared" si="27"/>
        <v>96</v>
      </c>
      <c r="AN29" s="63">
        <f t="shared" si="28"/>
        <v>97</v>
      </c>
      <c r="AQ29" s="365">
        <f t="shared" si="29"/>
        <v>75</v>
      </c>
      <c r="AR29" s="365">
        <f t="shared" si="30"/>
        <v>100</v>
      </c>
      <c r="AS29" s="365">
        <f t="shared" si="31"/>
        <v>76</v>
      </c>
      <c r="AT29" s="365">
        <f t="shared" si="32"/>
        <v>75</v>
      </c>
      <c r="AU29" s="365">
        <f t="shared" si="33"/>
        <v>85</v>
      </c>
      <c r="AV29" s="365">
        <f t="shared" si="34"/>
        <v>75</v>
      </c>
      <c r="AW29" s="365">
        <f t="shared" si="35"/>
        <v>97</v>
      </c>
      <c r="AX29" s="365">
        <f t="shared" si="36"/>
        <v>89</v>
      </c>
      <c r="AY29" s="365">
        <f t="shared" si="37"/>
        <v>75</v>
      </c>
      <c r="AZ29" s="365">
        <f t="shared" si="38"/>
        <v>80</v>
      </c>
      <c r="BA29" s="365">
        <f t="shared" si="39"/>
        <v>80</v>
      </c>
      <c r="BB29" s="365">
        <f t="shared" si="40"/>
        <v>80</v>
      </c>
      <c r="BC29" s="365">
        <f t="shared" si="41"/>
        <v>86</v>
      </c>
      <c r="BD29" s="365">
        <f t="shared" si="42"/>
        <v>80</v>
      </c>
      <c r="BE29" s="365">
        <f t="shared" si="43"/>
        <v>80</v>
      </c>
      <c r="BF29" s="365">
        <f t="shared" si="44"/>
        <v>96</v>
      </c>
      <c r="BG29" s="365">
        <f t="shared" si="45"/>
        <v>86</v>
      </c>
    </row>
    <row r="30" spans="1:59" ht="20.149999999999999" customHeight="1" x14ac:dyDescent="0.35">
      <c r="F30" s="61">
        <v>22</v>
      </c>
      <c r="G30" s="62" t="str">
        <f>IF('set-dasis'!F26=0,"",'set-dasis'!F26)</f>
        <v>FERY FADLY</v>
      </c>
      <c r="H30" s="376">
        <v>81</v>
      </c>
      <c r="I30" s="376">
        <v>100</v>
      </c>
      <c r="J30" s="376">
        <v>59</v>
      </c>
      <c r="K30" s="376">
        <v>70</v>
      </c>
      <c r="L30" s="376">
        <v>100</v>
      </c>
      <c r="M30" s="376">
        <v>16</v>
      </c>
      <c r="N30" s="376">
        <v>80</v>
      </c>
      <c r="O30" s="376">
        <v>33</v>
      </c>
      <c r="P30" s="376">
        <v>58</v>
      </c>
      <c r="Q30" s="376">
        <v>65</v>
      </c>
      <c r="R30" s="376">
        <v>80</v>
      </c>
      <c r="S30" s="376">
        <v>50</v>
      </c>
      <c r="T30" s="376">
        <v>89</v>
      </c>
      <c r="U30" s="376">
        <v>90</v>
      </c>
      <c r="V30" s="376">
        <v>25</v>
      </c>
      <c r="W30" s="376">
        <v>75</v>
      </c>
      <c r="X30" s="376">
        <v>89</v>
      </c>
      <c r="Y30" s="65">
        <f t="shared" si="13"/>
        <v>1160</v>
      </c>
      <c r="Z30" s="68">
        <f t="shared" si="14"/>
        <v>68.235294117647058</v>
      </c>
      <c r="AA30" s="63">
        <f t="shared" si="15"/>
        <v>59</v>
      </c>
      <c r="AB30" s="63">
        <f t="shared" si="16"/>
        <v>60</v>
      </c>
      <c r="AC30" s="63">
        <f t="shared" si="17"/>
        <v>81</v>
      </c>
      <c r="AD30" s="63">
        <f t="shared" si="18"/>
        <v>82</v>
      </c>
      <c r="AE30" s="63">
        <f t="shared" si="19"/>
        <v>50</v>
      </c>
      <c r="AF30" s="63">
        <f t="shared" si="20"/>
        <v>51</v>
      </c>
      <c r="AG30" s="63">
        <f t="shared" si="21"/>
        <v>89</v>
      </c>
      <c r="AH30" s="63">
        <f t="shared" si="22"/>
        <v>90</v>
      </c>
      <c r="AI30" s="63">
        <f t="shared" si="23"/>
        <v>90</v>
      </c>
      <c r="AJ30" s="63">
        <f t="shared" si="24"/>
        <v>91</v>
      </c>
      <c r="AK30" s="63">
        <f t="shared" si="25"/>
        <v>25</v>
      </c>
      <c r="AL30" s="63">
        <f t="shared" si="26"/>
        <v>26</v>
      </c>
      <c r="AM30" s="63">
        <f t="shared" si="27"/>
        <v>75</v>
      </c>
      <c r="AN30" s="63">
        <f t="shared" si="28"/>
        <v>76</v>
      </c>
      <c r="AQ30" s="365">
        <f t="shared" si="29"/>
        <v>81</v>
      </c>
      <c r="AR30" s="365">
        <f t="shared" si="30"/>
        <v>100</v>
      </c>
      <c r="AS30" s="365">
        <f t="shared" si="31"/>
        <v>75</v>
      </c>
      <c r="AT30" s="365">
        <f t="shared" si="32"/>
        <v>75</v>
      </c>
      <c r="AU30" s="365">
        <f t="shared" si="33"/>
        <v>100</v>
      </c>
      <c r="AV30" s="365">
        <f t="shared" si="34"/>
        <v>75</v>
      </c>
      <c r="AW30" s="365">
        <f t="shared" si="35"/>
        <v>80</v>
      </c>
      <c r="AX30" s="365">
        <f t="shared" si="36"/>
        <v>75</v>
      </c>
      <c r="AY30" s="365">
        <f t="shared" si="37"/>
        <v>75</v>
      </c>
      <c r="AZ30" s="365">
        <f t="shared" si="38"/>
        <v>75</v>
      </c>
      <c r="BA30" s="365">
        <f t="shared" si="39"/>
        <v>80</v>
      </c>
      <c r="BB30" s="365">
        <f t="shared" si="40"/>
        <v>80</v>
      </c>
      <c r="BC30" s="365">
        <f t="shared" si="41"/>
        <v>89</v>
      </c>
      <c r="BD30" s="365">
        <f t="shared" si="42"/>
        <v>90</v>
      </c>
      <c r="BE30" s="365">
        <f t="shared" si="43"/>
        <v>80</v>
      </c>
      <c r="BF30" s="365">
        <f t="shared" si="44"/>
        <v>80</v>
      </c>
      <c r="BG30" s="365">
        <f t="shared" si="45"/>
        <v>89</v>
      </c>
    </row>
    <row r="31" spans="1:59" ht="20.149999999999999" customHeight="1" x14ac:dyDescent="0.35">
      <c r="F31" s="61">
        <v>23</v>
      </c>
      <c r="G31" s="62" t="str">
        <f>IF('set-dasis'!F27=0,"",'set-dasis'!F27)</f>
        <v>GHOLIB AHMAD HARITSAH</v>
      </c>
      <c r="H31" s="376">
        <v>77</v>
      </c>
      <c r="I31" s="376">
        <v>100</v>
      </c>
      <c r="J31" s="376">
        <v>80</v>
      </c>
      <c r="K31" s="376">
        <v>89</v>
      </c>
      <c r="L31" s="376">
        <v>80</v>
      </c>
      <c r="M31" s="376">
        <v>76</v>
      </c>
      <c r="N31" s="376">
        <v>77</v>
      </c>
      <c r="O31" s="376">
        <v>83</v>
      </c>
      <c r="P31" s="376">
        <v>57</v>
      </c>
      <c r="Q31" s="376">
        <v>90</v>
      </c>
      <c r="R31" s="376">
        <v>80</v>
      </c>
      <c r="S31" s="376">
        <v>55</v>
      </c>
      <c r="T31" s="376">
        <v>90</v>
      </c>
      <c r="U31" s="376">
        <v>90</v>
      </c>
      <c r="V31" s="376">
        <v>55</v>
      </c>
      <c r="W31" s="376">
        <v>62</v>
      </c>
      <c r="X31" s="376">
        <v>90</v>
      </c>
      <c r="Y31" s="65">
        <f t="shared" si="13"/>
        <v>1331</v>
      </c>
      <c r="Z31" s="68">
        <f t="shared" si="14"/>
        <v>78.294117647058826</v>
      </c>
      <c r="AA31" s="63">
        <f t="shared" si="15"/>
        <v>80</v>
      </c>
      <c r="AB31" s="63">
        <f t="shared" si="16"/>
        <v>81</v>
      </c>
      <c r="AC31" s="63">
        <f t="shared" si="17"/>
        <v>77</v>
      </c>
      <c r="AD31" s="63">
        <f t="shared" si="18"/>
        <v>78</v>
      </c>
      <c r="AE31" s="63">
        <f t="shared" si="19"/>
        <v>55</v>
      </c>
      <c r="AF31" s="63">
        <f t="shared" si="20"/>
        <v>56</v>
      </c>
      <c r="AG31" s="63">
        <f t="shared" si="21"/>
        <v>90</v>
      </c>
      <c r="AH31" s="63">
        <f t="shared" si="22"/>
        <v>91</v>
      </c>
      <c r="AI31" s="63">
        <f t="shared" si="23"/>
        <v>90</v>
      </c>
      <c r="AJ31" s="63">
        <f t="shared" si="24"/>
        <v>91</v>
      </c>
      <c r="AK31" s="63">
        <f t="shared" si="25"/>
        <v>55</v>
      </c>
      <c r="AL31" s="63">
        <f t="shared" si="26"/>
        <v>56</v>
      </c>
      <c r="AM31" s="63">
        <f t="shared" si="27"/>
        <v>62</v>
      </c>
      <c r="AN31" s="63">
        <f t="shared" si="28"/>
        <v>63</v>
      </c>
      <c r="AQ31" s="365">
        <f t="shared" si="29"/>
        <v>77</v>
      </c>
      <c r="AR31" s="365">
        <f t="shared" si="30"/>
        <v>100</v>
      </c>
      <c r="AS31" s="365">
        <f t="shared" si="31"/>
        <v>80</v>
      </c>
      <c r="AT31" s="365">
        <f t="shared" si="32"/>
        <v>89</v>
      </c>
      <c r="AU31" s="365">
        <f t="shared" si="33"/>
        <v>80</v>
      </c>
      <c r="AV31" s="365">
        <f t="shared" si="34"/>
        <v>76</v>
      </c>
      <c r="AW31" s="365">
        <f t="shared" si="35"/>
        <v>77</v>
      </c>
      <c r="AX31" s="365">
        <f t="shared" si="36"/>
        <v>83</v>
      </c>
      <c r="AY31" s="365">
        <f t="shared" si="37"/>
        <v>75</v>
      </c>
      <c r="AZ31" s="365">
        <f t="shared" si="38"/>
        <v>90</v>
      </c>
      <c r="BA31" s="365">
        <f t="shared" si="39"/>
        <v>80</v>
      </c>
      <c r="BB31" s="365">
        <f t="shared" si="40"/>
        <v>80</v>
      </c>
      <c r="BC31" s="365">
        <f t="shared" si="41"/>
        <v>90</v>
      </c>
      <c r="BD31" s="365">
        <f t="shared" si="42"/>
        <v>90</v>
      </c>
      <c r="BE31" s="365">
        <f t="shared" si="43"/>
        <v>80</v>
      </c>
      <c r="BF31" s="365">
        <f t="shared" si="44"/>
        <v>80</v>
      </c>
      <c r="BG31" s="365">
        <f t="shared" si="45"/>
        <v>90</v>
      </c>
    </row>
    <row r="32" spans="1:59" ht="20.149999999999999" customHeight="1" x14ac:dyDescent="0.35">
      <c r="F32" s="61">
        <v>24</v>
      </c>
      <c r="G32" s="62" t="str">
        <f>IF('set-dasis'!F28=0,"",'set-dasis'!F28)</f>
        <v>HAFIDZ RAFI RABBANI</v>
      </c>
      <c r="H32" s="376">
        <v>78</v>
      </c>
      <c r="I32" s="376">
        <v>100</v>
      </c>
      <c r="J32" s="376">
        <v>89</v>
      </c>
      <c r="K32" s="376">
        <v>75</v>
      </c>
      <c r="L32" s="376">
        <v>95</v>
      </c>
      <c r="M32" s="376">
        <v>66</v>
      </c>
      <c r="N32" s="376">
        <v>70</v>
      </c>
      <c r="O32" s="376">
        <v>90</v>
      </c>
      <c r="P32" s="376">
        <v>76</v>
      </c>
      <c r="Q32" s="376">
        <v>75</v>
      </c>
      <c r="R32" s="376">
        <v>80</v>
      </c>
      <c r="S32" s="376">
        <v>30</v>
      </c>
      <c r="T32" s="376">
        <v>87</v>
      </c>
      <c r="U32" s="376">
        <v>95</v>
      </c>
      <c r="V32" s="376">
        <v>90</v>
      </c>
      <c r="W32" s="376">
        <v>79</v>
      </c>
      <c r="X32" s="376">
        <v>87</v>
      </c>
      <c r="Y32" s="65">
        <f t="shared" si="13"/>
        <v>1362</v>
      </c>
      <c r="Z32" s="68">
        <f t="shared" si="14"/>
        <v>80.117647058823536</v>
      </c>
      <c r="AA32" s="63">
        <f t="shared" si="15"/>
        <v>89</v>
      </c>
      <c r="AB32" s="63">
        <f t="shared" si="16"/>
        <v>90</v>
      </c>
      <c r="AC32" s="63">
        <f t="shared" si="17"/>
        <v>78</v>
      </c>
      <c r="AD32" s="63">
        <f t="shared" si="18"/>
        <v>79</v>
      </c>
      <c r="AE32" s="63">
        <f t="shared" si="19"/>
        <v>30</v>
      </c>
      <c r="AF32" s="63">
        <f t="shared" si="20"/>
        <v>31</v>
      </c>
      <c r="AG32" s="63">
        <f t="shared" si="21"/>
        <v>87</v>
      </c>
      <c r="AH32" s="63">
        <f t="shared" si="22"/>
        <v>88</v>
      </c>
      <c r="AI32" s="63">
        <f t="shared" si="23"/>
        <v>95</v>
      </c>
      <c r="AJ32" s="63">
        <f t="shared" si="24"/>
        <v>96</v>
      </c>
      <c r="AK32" s="63">
        <f t="shared" si="25"/>
        <v>90</v>
      </c>
      <c r="AL32" s="63">
        <f t="shared" si="26"/>
        <v>91</v>
      </c>
      <c r="AM32" s="63">
        <f t="shared" si="27"/>
        <v>79</v>
      </c>
      <c r="AN32" s="63">
        <f t="shared" si="28"/>
        <v>80</v>
      </c>
      <c r="AQ32" s="365">
        <f t="shared" si="29"/>
        <v>78</v>
      </c>
      <c r="AR32" s="365">
        <f t="shared" si="30"/>
        <v>100</v>
      </c>
      <c r="AS32" s="365">
        <f t="shared" si="31"/>
        <v>89</v>
      </c>
      <c r="AT32" s="365">
        <f t="shared" si="32"/>
        <v>75</v>
      </c>
      <c r="AU32" s="365">
        <f t="shared" si="33"/>
        <v>95</v>
      </c>
      <c r="AV32" s="365">
        <f t="shared" si="34"/>
        <v>75</v>
      </c>
      <c r="AW32" s="365">
        <f t="shared" si="35"/>
        <v>75</v>
      </c>
      <c r="AX32" s="365">
        <f t="shared" si="36"/>
        <v>90</v>
      </c>
      <c r="AY32" s="365">
        <f t="shared" si="37"/>
        <v>76</v>
      </c>
      <c r="AZ32" s="365">
        <f t="shared" si="38"/>
        <v>75</v>
      </c>
      <c r="BA32" s="365">
        <f t="shared" si="39"/>
        <v>80</v>
      </c>
      <c r="BB32" s="365">
        <f t="shared" si="40"/>
        <v>80</v>
      </c>
      <c r="BC32" s="365">
        <f t="shared" si="41"/>
        <v>87</v>
      </c>
      <c r="BD32" s="365">
        <f t="shared" si="42"/>
        <v>95</v>
      </c>
      <c r="BE32" s="365">
        <f t="shared" si="43"/>
        <v>90</v>
      </c>
      <c r="BF32" s="365">
        <f t="shared" si="44"/>
        <v>80</v>
      </c>
      <c r="BG32" s="365">
        <f t="shared" si="45"/>
        <v>87</v>
      </c>
    </row>
    <row r="33" spans="6:59" ht="20.149999999999999" customHeight="1" x14ac:dyDescent="0.35">
      <c r="F33" s="61">
        <v>25</v>
      </c>
      <c r="G33" s="62" t="str">
        <f>IF('set-dasis'!F29=0,"",'set-dasis'!F29)</f>
        <v>HAFIZ IHSAN MAHENDRA BARLI</v>
      </c>
      <c r="H33" s="376">
        <v>56</v>
      </c>
      <c r="I33" s="376"/>
      <c r="J33" s="376"/>
      <c r="K33" s="376">
        <v>70</v>
      </c>
      <c r="L33" s="376"/>
      <c r="M33" s="376"/>
      <c r="N33" s="376"/>
      <c r="O33" s="376"/>
      <c r="P33" s="376"/>
      <c r="Q33" s="376"/>
      <c r="R33" s="376">
        <v>80</v>
      </c>
      <c r="S33" s="376"/>
      <c r="T33" s="376"/>
      <c r="U33" s="376"/>
      <c r="V33" s="376"/>
      <c r="W33" s="376"/>
      <c r="X33" s="376"/>
      <c r="Y33" s="65">
        <f t="shared" si="13"/>
        <v>206</v>
      </c>
      <c r="Z33" s="68">
        <f t="shared" si="14"/>
        <v>68.666666666666671</v>
      </c>
      <c r="AA33" s="63" t="str">
        <f t="shared" si="15"/>
        <v/>
      </c>
      <c r="AB33" s="63" t="str">
        <f t="shared" si="16"/>
        <v/>
      </c>
      <c r="AC33" s="63">
        <f t="shared" si="17"/>
        <v>56</v>
      </c>
      <c r="AD33" s="63">
        <f t="shared" si="18"/>
        <v>57</v>
      </c>
      <c r="AE33" s="63" t="str">
        <f t="shared" si="19"/>
        <v/>
      </c>
      <c r="AF33" s="63" t="str">
        <f t="shared" si="20"/>
        <v/>
      </c>
      <c r="AG33" s="63" t="str">
        <f t="shared" si="21"/>
        <v/>
      </c>
      <c r="AH33" s="63" t="str">
        <f t="shared" si="22"/>
        <v/>
      </c>
      <c r="AI33" s="63" t="str">
        <f t="shared" si="23"/>
        <v/>
      </c>
      <c r="AJ33" s="63" t="str">
        <f t="shared" si="24"/>
        <v/>
      </c>
      <c r="AK33" s="63" t="str">
        <f t="shared" si="25"/>
        <v/>
      </c>
      <c r="AL33" s="63" t="str">
        <f t="shared" si="26"/>
        <v/>
      </c>
      <c r="AM33" s="63" t="str">
        <f t="shared" si="27"/>
        <v/>
      </c>
      <c r="AN33" s="63" t="str">
        <f t="shared" si="28"/>
        <v/>
      </c>
      <c r="AQ33" s="365">
        <f t="shared" si="29"/>
        <v>75</v>
      </c>
      <c r="AR33" s="365" t="str">
        <f t="shared" si="30"/>
        <v/>
      </c>
      <c r="AS33" s="365" t="str">
        <f t="shared" si="31"/>
        <v/>
      </c>
      <c r="AT33" s="365">
        <f t="shared" si="32"/>
        <v>75</v>
      </c>
      <c r="AU33" s="365" t="str">
        <f t="shared" si="33"/>
        <v/>
      </c>
      <c r="AV33" s="365" t="str">
        <f t="shared" si="34"/>
        <v/>
      </c>
      <c r="AW33" s="365" t="str">
        <f t="shared" si="35"/>
        <v/>
      </c>
      <c r="AX33" s="365" t="str">
        <f t="shared" si="36"/>
        <v/>
      </c>
      <c r="AY33" s="365" t="str">
        <f t="shared" si="37"/>
        <v/>
      </c>
      <c r="AZ33" s="365" t="str">
        <f t="shared" si="38"/>
        <v/>
      </c>
      <c r="BA33" s="365">
        <f t="shared" si="39"/>
        <v>80</v>
      </c>
      <c r="BB33" s="365" t="str">
        <f t="shared" si="40"/>
        <v/>
      </c>
      <c r="BC33" s="365" t="str">
        <f t="shared" si="41"/>
        <v/>
      </c>
      <c r="BD33" s="365" t="str">
        <f t="shared" si="42"/>
        <v/>
      </c>
      <c r="BE33" s="365" t="str">
        <f t="shared" si="43"/>
        <v/>
      </c>
      <c r="BF33" s="365" t="str">
        <f t="shared" si="44"/>
        <v/>
      </c>
      <c r="BG33" s="365" t="str">
        <f t="shared" si="45"/>
        <v/>
      </c>
    </row>
    <row r="34" spans="6:59" ht="20.149999999999999" customHeight="1" x14ac:dyDescent="0.35">
      <c r="F34" s="61">
        <v>26</v>
      </c>
      <c r="G34" s="62" t="str">
        <f>IF('set-dasis'!F30=0,"",'set-dasis'!F30)</f>
        <v>HAITSU YASYA AL FIRDAUS</v>
      </c>
      <c r="H34" s="376">
        <v>64</v>
      </c>
      <c r="I34" s="376">
        <v>90</v>
      </c>
      <c r="J34" s="376">
        <v>72</v>
      </c>
      <c r="K34" s="376">
        <v>70</v>
      </c>
      <c r="L34" s="376">
        <v>60</v>
      </c>
      <c r="M34" s="376">
        <v>20</v>
      </c>
      <c r="N34" s="376">
        <v>55</v>
      </c>
      <c r="O34" s="376">
        <v>55</v>
      </c>
      <c r="P34" s="376">
        <v>58</v>
      </c>
      <c r="Q34" s="376">
        <v>90</v>
      </c>
      <c r="R34" s="376">
        <v>80</v>
      </c>
      <c r="S34" s="376">
        <v>50</v>
      </c>
      <c r="T34" s="376">
        <v>88</v>
      </c>
      <c r="U34" s="376">
        <v>85</v>
      </c>
      <c r="V34" s="376">
        <v>45</v>
      </c>
      <c r="W34" s="376">
        <v>72</v>
      </c>
      <c r="X34" s="376">
        <v>88</v>
      </c>
      <c r="Y34" s="65">
        <f t="shared" si="13"/>
        <v>1142</v>
      </c>
      <c r="Z34" s="68">
        <f t="shared" si="14"/>
        <v>67.17647058823529</v>
      </c>
      <c r="AA34" s="63">
        <f t="shared" si="15"/>
        <v>72</v>
      </c>
      <c r="AB34" s="63">
        <f t="shared" si="16"/>
        <v>73</v>
      </c>
      <c r="AC34" s="63">
        <f t="shared" si="17"/>
        <v>64</v>
      </c>
      <c r="AD34" s="63">
        <f t="shared" si="18"/>
        <v>65</v>
      </c>
      <c r="AE34" s="63">
        <f t="shared" si="19"/>
        <v>50</v>
      </c>
      <c r="AF34" s="63">
        <f t="shared" si="20"/>
        <v>51</v>
      </c>
      <c r="AG34" s="63">
        <f t="shared" si="21"/>
        <v>88</v>
      </c>
      <c r="AH34" s="63">
        <f t="shared" si="22"/>
        <v>89</v>
      </c>
      <c r="AI34" s="63">
        <f t="shared" si="23"/>
        <v>85</v>
      </c>
      <c r="AJ34" s="63">
        <f t="shared" si="24"/>
        <v>86</v>
      </c>
      <c r="AK34" s="63">
        <f t="shared" si="25"/>
        <v>45</v>
      </c>
      <c r="AL34" s="63">
        <f t="shared" si="26"/>
        <v>46</v>
      </c>
      <c r="AM34" s="63">
        <f t="shared" si="27"/>
        <v>72</v>
      </c>
      <c r="AN34" s="63">
        <f t="shared" si="28"/>
        <v>73</v>
      </c>
      <c r="AQ34" s="365">
        <f t="shared" si="29"/>
        <v>75</v>
      </c>
      <c r="AR34" s="365">
        <f t="shared" si="30"/>
        <v>90</v>
      </c>
      <c r="AS34" s="365">
        <f t="shared" si="31"/>
        <v>75</v>
      </c>
      <c r="AT34" s="365">
        <f t="shared" si="32"/>
        <v>75</v>
      </c>
      <c r="AU34" s="365">
        <f t="shared" si="33"/>
        <v>75</v>
      </c>
      <c r="AV34" s="365">
        <f t="shared" si="34"/>
        <v>75</v>
      </c>
      <c r="AW34" s="365">
        <f t="shared" si="35"/>
        <v>75</v>
      </c>
      <c r="AX34" s="365">
        <f t="shared" si="36"/>
        <v>75</v>
      </c>
      <c r="AY34" s="365">
        <f t="shared" si="37"/>
        <v>75</v>
      </c>
      <c r="AZ34" s="365">
        <f t="shared" si="38"/>
        <v>90</v>
      </c>
      <c r="BA34" s="365">
        <f t="shared" si="39"/>
        <v>80</v>
      </c>
      <c r="BB34" s="365">
        <f t="shared" si="40"/>
        <v>80</v>
      </c>
      <c r="BC34" s="365">
        <f t="shared" si="41"/>
        <v>88</v>
      </c>
      <c r="BD34" s="365">
        <f t="shared" si="42"/>
        <v>85</v>
      </c>
      <c r="BE34" s="365">
        <f t="shared" si="43"/>
        <v>80</v>
      </c>
      <c r="BF34" s="365">
        <f t="shared" si="44"/>
        <v>80</v>
      </c>
      <c r="BG34" s="365">
        <f t="shared" si="45"/>
        <v>88</v>
      </c>
    </row>
    <row r="35" spans="6:59" ht="20.149999999999999" customHeight="1" x14ac:dyDescent="0.35">
      <c r="F35" s="61">
        <v>27</v>
      </c>
      <c r="G35" s="62" t="str">
        <f>IF('set-dasis'!F31=0,"",'set-dasis'!F31)</f>
        <v>IBRAHIM MAJID</v>
      </c>
      <c r="H35" s="376">
        <v>78</v>
      </c>
      <c r="I35" s="376">
        <v>100</v>
      </c>
      <c r="J35" s="376">
        <v>91</v>
      </c>
      <c r="K35" s="376">
        <v>89</v>
      </c>
      <c r="L35" s="376">
        <v>95</v>
      </c>
      <c r="M35" s="376">
        <v>92</v>
      </c>
      <c r="N35" s="376">
        <v>97</v>
      </c>
      <c r="O35" s="376">
        <v>79</v>
      </c>
      <c r="P35" s="376">
        <v>82</v>
      </c>
      <c r="Q35" s="376">
        <v>92</v>
      </c>
      <c r="R35" s="376">
        <v>80</v>
      </c>
      <c r="S35" s="376">
        <v>80</v>
      </c>
      <c r="T35" s="376">
        <v>85</v>
      </c>
      <c r="U35" s="376">
        <v>90</v>
      </c>
      <c r="V35" s="376">
        <v>100</v>
      </c>
      <c r="W35" s="376">
        <v>88</v>
      </c>
      <c r="X35" s="376">
        <v>85</v>
      </c>
      <c r="Y35" s="65">
        <f t="shared" si="13"/>
        <v>1503</v>
      </c>
      <c r="Z35" s="68">
        <f t="shared" si="14"/>
        <v>88.411764705882348</v>
      </c>
      <c r="AA35" s="63">
        <f t="shared" si="15"/>
        <v>91</v>
      </c>
      <c r="AB35" s="63">
        <f t="shared" si="16"/>
        <v>92</v>
      </c>
      <c r="AC35" s="63">
        <f t="shared" si="17"/>
        <v>78</v>
      </c>
      <c r="AD35" s="63">
        <f t="shared" si="18"/>
        <v>79</v>
      </c>
      <c r="AE35" s="63">
        <f t="shared" si="19"/>
        <v>80</v>
      </c>
      <c r="AF35" s="63">
        <f t="shared" si="20"/>
        <v>81</v>
      </c>
      <c r="AG35" s="63">
        <f t="shared" si="21"/>
        <v>85</v>
      </c>
      <c r="AH35" s="63">
        <f t="shared" si="22"/>
        <v>86</v>
      </c>
      <c r="AI35" s="63">
        <f t="shared" si="23"/>
        <v>90</v>
      </c>
      <c r="AJ35" s="63">
        <f t="shared" si="24"/>
        <v>91</v>
      </c>
      <c r="AK35" s="63">
        <f t="shared" si="25"/>
        <v>100</v>
      </c>
      <c r="AL35" s="63">
        <f t="shared" si="26"/>
        <v>100</v>
      </c>
      <c r="AM35" s="63">
        <f t="shared" si="27"/>
        <v>88</v>
      </c>
      <c r="AN35" s="63">
        <f t="shared" si="28"/>
        <v>89</v>
      </c>
      <c r="AQ35" s="365">
        <f t="shared" si="29"/>
        <v>78</v>
      </c>
      <c r="AR35" s="365">
        <f t="shared" si="30"/>
        <v>100</v>
      </c>
      <c r="AS35" s="365">
        <f t="shared" si="31"/>
        <v>91</v>
      </c>
      <c r="AT35" s="365">
        <f t="shared" si="32"/>
        <v>89</v>
      </c>
      <c r="AU35" s="365">
        <f t="shared" si="33"/>
        <v>95</v>
      </c>
      <c r="AV35" s="365">
        <f t="shared" si="34"/>
        <v>92</v>
      </c>
      <c r="AW35" s="365">
        <f t="shared" si="35"/>
        <v>97</v>
      </c>
      <c r="AX35" s="365">
        <f t="shared" si="36"/>
        <v>79</v>
      </c>
      <c r="AY35" s="365">
        <f t="shared" si="37"/>
        <v>82</v>
      </c>
      <c r="AZ35" s="365">
        <f t="shared" si="38"/>
        <v>92</v>
      </c>
      <c r="BA35" s="365">
        <f t="shared" si="39"/>
        <v>80</v>
      </c>
      <c r="BB35" s="365">
        <f t="shared" si="40"/>
        <v>80</v>
      </c>
      <c r="BC35" s="365">
        <f t="shared" si="41"/>
        <v>85</v>
      </c>
      <c r="BD35" s="365">
        <f t="shared" si="42"/>
        <v>90</v>
      </c>
      <c r="BE35" s="365">
        <f t="shared" si="43"/>
        <v>100</v>
      </c>
      <c r="BF35" s="365">
        <f t="shared" si="44"/>
        <v>88</v>
      </c>
      <c r="BG35" s="365">
        <f t="shared" si="45"/>
        <v>85</v>
      </c>
    </row>
    <row r="36" spans="6:59" ht="20.149999999999999" customHeight="1" x14ac:dyDescent="0.35">
      <c r="F36" s="61">
        <v>28</v>
      </c>
      <c r="G36" s="62" t="str">
        <f>IF('set-dasis'!F32=0,"",'set-dasis'!F32)</f>
        <v>IBRAHIM ZAKI MAULANA</v>
      </c>
      <c r="H36" s="376">
        <v>81</v>
      </c>
      <c r="I36" s="376">
        <v>100</v>
      </c>
      <c r="J36" s="376">
        <v>96</v>
      </c>
      <c r="K36" s="376">
        <v>98</v>
      </c>
      <c r="L36" s="376">
        <v>100</v>
      </c>
      <c r="M36" s="376">
        <v>92</v>
      </c>
      <c r="N36" s="376">
        <v>100</v>
      </c>
      <c r="O36" s="376">
        <v>80</v>
      </c>
      <c r="P36" s="376">
        <v>92</v>
      </c>
      <c r="Q36" s="376">
        <v>90</v>
      </c>
      <c r="R36" s="376">
        <v>85</v>
      </c>
      <c r="S36" s="376">
        <v>65</v>
      </c>
      <c r="T36" s="376">
        <v>90</v>
      </c>
      <c r="U36" s="376">
        <v>85</v>
      </c>
      <c r="V36" s="376">
        <v>70</v>
      </c>
      <c r="W36" s="376">
        <v>50</v>
      </c>
      <c r="X36" s="376">
        <v>90</v>
      </c>
      <c r="Y36" s="65">
        <f t="shared" si="13"/>
        <v>1464</v>
      </c>
      <c r="Z36" s="68">
        <f t="shared" si="14"/>
        <v>86.117647058823536</v>
      </c>
      <c r="AA36" s="63">
        <f t="shared" si="15"/>
        <v>96</v>
      </c>
      <c r="AB36" s="63">
        <f t="shared" si="16"/>
        <v>97</v>
      </c>
      <c r="AC36" s="63">
        <f t="shared" si="17"/>
        <v>81</v>
      </c>
      <c r="AD36" s="63">
        <f t="shared" si="18"/>
        <v>82</v>
      </c>
      <c r="AE36" s="63">
        <f t="shared" si="19"/>
        <v>65</v>
      </c>
      <c r="AF36" s="63">
        <f t="shared" si="20"/>
        <v>66</v>
      </c>
      <c r="AG36" s="63">
        <f t="shared" si="21"/>
        <v>90</v>
      </c>
      <c r="AH36" s="63">
        <f t="shared" si="22"/>
        <v>91</v>
      </c>
      <c r="AI36" s="63">
        <f t="shared" si="23"/>
        <v>85</v>
      </c>
      <c r="AJ36" s="63">
        <f t="shared" si="24"/>
        <v>86</v>
      </c>
      <c r="AK36" s="63">
        <f t="shared" si="25"/>
        <v>70</v>
      </c>
      <c r="AL36" s="63">
        <f t="shared" si="26"/>
        <v>71</v>
      </c>
      <c r="AM36" s="63">
        <f t="shared" si="27"/>
        <v>50</v>
      </c>
      <c r="AN36" s="63">
        <f t="shared" si="28"/>
        <v>51</v>
      </c>
      <c r="AQ36" s="365">
        <f t="shared" si="29"/>
        <v>81</v>
      </c>
      <c r="AR36" s="365">
        <f t="shared" si="30"/>
        <v>100</v>
      </c>
      <c r="AS36" s="365">
        <f t="shared" si="31"/>
        <v>96</v>
      </c>
      <c r="AT36" s="365">
        <f t="shared" si="32"/>
        <v>98</v>
      </c>
      <c r="AU36" s="365">
        <f t="shared" si="33"/>
        <v>100</v>
      </c>
      <c r="AV36" s="365">
        <f t="shared" si="34"/>
        <v>92</v>
      </c>
      <c r="AW36" s="365">
        <f t="shared" si="35"/>
        <v>100</v>
      </c>
      <c r="AX36" s="365">
        <f t="shared" si="36"/>
        <v>80</v>
      </c>
      <c r="AY36" s="365">
        <f t="shared" si="37"/>
        <v>92</v>
      </c>
      <c r="AZ36" s="365">
        <f t="shared" si="38"/>
        <v>90</v>
      </c>
      <c r="BA36" s="365">
        <f t="shared" si="39"/>
        <v>85</v>
      </c>
      <c r="BB36" s="365">
        <f t="shared" si="40"/>
        <v>80</v>
      </c>
      <c r="BC36" s="365">
        <f t="shared" si="41"/>
        <v>90</v>
      </c>
      <c r="BD36" s="365">
        <f t="shared" si="42"/>
        <v>85</v>
      </c>
      <c r="BE36" s="365">
        <f t="shared" si="43"/>
        <v>80</v>
      </c>
      <c r="BF36" s="365">
        <f t="shared" si="44"/>
        <v>80</v>
      </c>
      <c r="BG36" s="365">
        <f t="shared" si="45"/>
        <v>90</v>
      </c>
    </row>
    <row r="37" spans="6:59" ht="20.149999999999999" customHeight="1" x14ac:dyDescent="0.35">
      <c r="F37" s="61">
        <v>29</v>
      </c>
      <c r="G37" s="62" t="str">
        <f>IF('set-dasis'!F33=0,"",'set-dasis'!F33)</f>
        <v>KENZIE ABHINAYA AL-HAFIZH</v>
      </c>
      <c r="H37" s="376">
        <v>75</v>
      </c>
      <c r="I37" s="376">
        <v>100</v>
      </c>
      <c r="J37" s="376">
        <v>83</v>
      </c>
      <c r="K37" s="376">
        <v>81</v>
      </c>
      <c r="L37" s="376">
        <v>60</v>
      </c>
      <c r="M37" s="376">
        <v>26</v>
      </c>
      <c r="N37" s="376">
        <v>90</v>
      </c>
      <c r="O37" s="376">
        <v>75</v>
      </c>
      <c r="P37" s="376">
        <v>82</v>
      </c>
      <c r="Q37" s="376">
        <v>82</v>
      </c>
      <c r="R37" s="376">
        <v>80</v>
      </c>
      <c r="S37" s="376">
        <v>55</v>
      </c>
      <c r="T37" s="376">
        <v>88</v>
      </c>
      <c r="U37" s="376">
        <v>80</v>
      </c>
      <c r="V37" s="376">
        <v>50</v>
      </c>
      <c r="W37" s="376">
        <v>69</v>
      </c>
      <c r="X37" s="376">
        <v>88</v>
      </c>
      <c r="Y37" s="65">
        <f t="shared" si="13"/>
        <v>1264</v>
      </c>
      <c r="Z37" s="68">
        <f t="shared" si="14"/>
        <v>74.352941176470594</v>
      </c>
      <c r="AA37" s="63">
        <f t="shared" si="15"/>
        <v>83</v>
      </c>
      <c r="AB37" s="63">
        <f t="shared" si="16"/>
        <v>84</v>
      </c>
      <c r="AC37" s="63">
        <f t="shared" si="17"/>
        <v>75</v>
      </c>
      <c r="AD37" s="63">
        <f t="shared" si="18"/>
        <v>76</v>
      </c>
      <c r="AE37" s="63">
        <f t="shared" si="19"/>
        <v>55</v>
      </c>
      <c r="AF37" s="63">
        <f t="shared" si="20"/>
        <v>56</v>
      </c>
      <c r="AG37" s="63">
        <f t="shared" si="21"/>
        <v>88</v>
      </c>
      <c r="AH37" s="63">
        <f t="shared" si="22"/>
        <v>89</v>
      </c>
      <c r="AI37" s="63">
        <f t="shared" si="23"/>
        <v>80</v>
      </c>
      <c r="AJ37" s="63">
        <f t="shared" si="24"/>
        <v>81</v>
      </c>
      <c r="AK37" s="63">
        <f t="shared" si="25"/>
        <v>50</v>
      </c>
      <c r="AL37" s="63">
        <f t="shared" si="26"/>
        <v>51</v>
      </c>
      <c r="AM37" s="63">
        <f t="shared" si="27"/>
        <v>69</v>
      </c>
      <c r="AN37" s="63">
        <f t="shared" si="28"/>
        <v>70</v>
      </c>
      <c r="AQ37" s="365">
        <f t="shared" si="29"/>
        <v>75</v>
      </c>
      <c r="AR37" s="365">
        <f t="shared" si="30"/>
        <v>100</v>
      </c>
      <c r="AS37" s="365">
        <f t="shared" si="31"/>
        <v>83</v>
      </c>
      <c r="AT37" s="365">
        <f t="shared" si="32"/>
        <v>81</v>
      </c>
      <c r="AU37" s="365">
        <f t="shared" si="33"/>
        <v>75</v>
      </c>
      <c r="AV37" s="365">
        <f t="shared" si="34"/>
        <v>75</v>
      </c>
      <c r="AW37" s="365">
        <f t="shared" si="35"/>
        <v>90</v>
      </c>
      <c r="AX37" s="365">
        <f t="shared" si="36"/>
        <v>75</v>
      </c>
      <c r="AY37" s="365">
        <f t="shared" si="37"/>
        <v>82</v>
      </c>
      <c r="AZ37" s="365">
        <f t="shared" si="38"/>
        <v>82</v>
      </c>
      <c r="BA37" s="365">
        <f t="shared" si="39"/>
        <v>80</v>
      </c>
      <c r="BB37" s="365">
        <f t="shared" si="40"/>
        <v>80</v>
      </c>
      <c r="BC37" s="365">
        <f t="shared" si="41"/>
        <v>88</v>
      </c>
      <c r="BD37" s="365">
        <f t="shared" si="42"/>
        <v>80</v>
      </c>
      <c r="BE37" s="365">
        <f t="shared" si="43"/>
        <v>80</v>
      </c>
      <c r="BF37" s="365">
        <f t="shared" si="44"/>
        <v>80</v>
      </c>
      <c r="BG37" s="365">
        <f t="shared" si="45"/>
        <v>88</v>
      </c>
    </row>
    <row r="38" spans="6:59" ht="20.149999999999999" customHeight="1" x14ac:dyDescent="0.35">
      <c r="F38" s="61">
        <v>30</v>
      </c>
      <c r="G38" s="62" t="str">
        <f>IF('set-dasis'!F34=0,"",'set-dasis'!F34)</f>
        <v>KHADAFI AGISTA MUSYAFA</v>
      </c>
      <c r="H38" s="376">
        <v>80</v>
      </c>
      <c r="I38" s="376">
        <v>100</v>
      </c>
      <c r="J38" s="376">
        <v>82</v>
      </c>
      <c r="K38" s="376">
        <v>91</v>
      </c>
      <c r="L38" s="376">
        <v>100</v>
      </c>
      <c r="M38" s="376">
        <v>84</v>
      </c>
      <c r="N38" s="376">
        <v>85</v>
      </c>
      <c r="O38" s="376">
        <v>48</v>
      </c>
      <c r="P38" s="376">
        <v>82</v>
      </c>
      <c r="Q38" s="376">
        <v>90</v>
      </c>
      <c r="R38" s="376">
        <v>80</v>
      </c>
      <c r="S38" s="376">
        <v>25</v>
      </c>
      <c r="T38" s="376">
        <v>85</v>
      </c>
      <c r="U38" s="376">
        <v>90</v>
      </c>
      <c r="V38" s="376">
        <v>50</v>
      </c>
      <c r="W38" s="376">
        <v>68</v>
      </c>
      <c r="X38" s="376">
        <v>85</v>
      </c>
      <c r="Y38" s="65">
        <f t="shared" si="13"/>
        <v>1325</v>
      </c>
      <c r="Z38" s="68">
        <f t="shared" si="14"/>
        <v>77.941176470588232</v>
      </c>
      <c r="AA38" s="63">
        <f t="shared" si="15"/>
        <v>82</v>
      </c>
      <c r="AB38" s="63">
        <f t="shared" si="16"/>
        <v>83</v>
      </c>
      <c r="AC38" s="63">
        <f t="shared" si="17"/>
        <v>80</v>
      </c>
      <c r="AD38" s="63">
        <f t="shared" si="18"/>
        <v>81</v>
      </c>
      <c r="AE38" s="63">
        <f t="shared" si="19"/>
        <v>25</v>
      </c>
      <c r="AF38" s="63">
        <f t="shared" si="20"/>
        <v>26</v>
      </c>
      <c r="AG38" s="63">
        <f t="shared" si="21"/>
        <v>85</v>
      </c>
      <c r="AH38" s="63">
        <f t="shared" si="22"/>
        <v>86</v>
      </c>
      <c r="AI38" s="63">
        <f t="shared" si="23"/>
        <v>90</v>
      </c>
      <c r="AJ38" s="63">
        <f t="shared" si="24"/>
        <v>91</v>
      </c>
      <c r="AK38" s="63">
        <f t="shared" si="25"/>
        <v>50</v>
      </c>
      <c r="AL38" s="63">
        <f t="shared" si="26"/>
        <v>51</v>
      </c>
      <c r="AM38" s="63">
        <f t="shared" si="27"/>
        <v>68</v>
      </c>
      <c r="AN38" s="63">
        <f t="shared" si="28"/>
        <v>69</v>
      </c>
      <c r="AQ38" s="365">
        <f t="shared" si="29"/>
        <v>80</v>
      </c>
      <c r="AR38" s="365">
        <f t="shared" si="30"/>
        <v>100</v>
      </c>
      <c r="AS38" s="365">
        <f t="shared" si="31"/>
        <v>82</v>
      </c>
      <c r="AT38" s="365">
        <f t="shared" si="32"/>
        <v>91</v>
      </c>
      <c r="AU38" s="365">
        <f t="shared" si="33"/>
        <v>100</v>
      </c>
      <c r="AV38" s="365">
        <f t="shared" si="34"/>
        <v>84</v>
      </c>
      <c r="AW38" s="365">
        <f t="shared" si="35"/>
        <v>85</v>
      </c>
      <c r="AX38" s="365">
        <f t="shared" si="36"/>
        <v>75</v>
      </c>
      <c r="AY38" s="365">
        <f t="shared" si="37"/>
        <v>82</v>
      </c>
      <c r="AZ38" s="365">
        <f t="shared" si="38"/>
        <v>90</v>
      </c>
      <c r="BA38" s="365">
        <f t="shared" si="39"/>
        <v>80</v>
      </c>
      <c r="BB38" s="365">
        <f t="shared" si="40"/>
        <v>80</v>
      </c>
      <c r="BC38" s="365">
        <f t="shared" si="41"/>
        <v>85</v>
      </c>
      <c r="BD38" s="365">
        <f t="shared" si="42"/>
        <v>90</v>
      </c>
      <c r="BE38" s="365">
        <f t="shared" si="43"/>
        <v>80</v>
      </c>
      <c r="BF38" s="365">
        <f t="shared" si="44"/>
        <v>80</v>
      </c>
      <c r="BG38" s="365">
        <f t="shared" si="45"/>
        <v>85</v>
      </c>
    </row>
    <row r="39" spans="6:59" ht="20.149999999999999" customHeight="1" x14ac:dyDescent="0.35">
      <c r="F39" s="61">
        <v>31</v>
      </c>
      <c r="G39" s="62" t="str">
        <f>IF('set-dasis'!F35=0,"",'set-dasis'!F35)</f>
        <v>KHOIRUL AZZAM</v>
      </c>
      <c r="H39" s="376">
        <v>67</v>
      </c>
      <c r="I39" s="376">
        <v>70</v>
      </c>
      <c r="J39" s="376">
        <v>79</v>
      </c>
      <c r="K39" s="376">
        <v>79</v>
      </c>
      <c r="L39" s="376">
        <v>85</v>
      </c>
      <c r="M39" s="376">
        <v>62</v>
      </c>
      <c r="N39" s="376">
        <v>90</v>
      </c>
      <c r="O39" s="376">
        <v>60</v>
      </c>
      <c r="P39" s="376">
        <v>57</v>
      </c>
      <c r="Q39" s="376">
        <v>55</v>
      </c>
      <c r="R39" s="376">
        <v>80</v>
      </c>
      <c r="S39" s="376">
        <v>45</v>
      </c>
      <c r="T39" s="376">
        <v>84</v>
      </c>
      <c r="U39" s="376">
        <v>75</v>
      </c>
      <c r="V39" s="376">
        <v>40</v>
      </c>
      <c r="W39" s="376">
        <v>64</v>
      </c>
      <c r="X39" s="376">
        <v>84</v>
      </c>
      <c r="Y39" s="65">
        <f t="shared" si="13"/>
        <v>1176</v>
      </c>
      <c r="Z39" s="68">
        <f t="shared" si="14"/>
        <v>69.17647058823529</v>
      </c>
      <c r="AA39" s="63">
        <f t="shared" si="15"/>
        <v>79</v>
      </c>
      <c r="AB39" s="63">
        <f t="shared" si="16"/>
        <v>80</v>
      </c>
      <c r="AC39" s="63">
        <f t="shared" si="17"/>
        <v>67</v>
      </c>
      <c r="AD39" s="63">
        <f t="shared" si="18"/>
        <v>68</v>
      </c>
      <c r="AE39" s="63">
        <f t="shared" si="19"/>
        <v>45</v>
      </c>
      <c r="AF39" s="63">
        <f t="shared" si="20"/>
        <v>46</v>
      </c>
      <c r="AG39" s="63">
        <f t="shared" si="21"/>
        <v>84</v>
      </c>
      <c r="AH39" s="63">
        <f t="shared" si="22"/>
        <v>85</v>
      </c>
      <c r="AI39" s="63">
        <f t="shared" si="23"/>
        <v>75</v>
      </c>
      <c r="AJ39" s="63">
        <f t="shared" si="24"/>
        <v>76</v>
      </c>
      <c r="AK39" s="63">
        <f t="shared" si="25"/>
        <v>40</v>
      </c>
      <c r="AL39" s="63">
        <f t="shared" si="26"/>
        <v>41</v>
      </c>
      <c r="AM39" s="63">
        <f t="shared" si="27"/>
        <v>64</v>
      </c>
      <c r="AN39" s="63">
        <f t="shared" si="28"/>
        <v>65</v>
      </c>
      <c r="AQ39" s="365">
        <f t="shared" si="29"/>
        <v>75</v>
      </c>
      <c r="AR39" s="365">
        <f t="shared" si="30"/>
        <v>75</v>
      </c>
      <c r="AS39" s="365">
        <f t="shared" si="31"/>
        <v>79</v>
      </c>
      <c r="AT39" s="365">
        <f t="shared" si="32"/>
        <v>79</v>
      </c>
      <c r="AU39" s="365">
        <f t="shared" si="33"/>
        <v>85</v>
      </c>
      <c r="AV39" s="365">
        <f t="shared" si="34"/>
        <v>75</v>
      </c>
      <c r="AW39" s="365">
        <f t="shared" si="35"/>
        <v>90</v>
      </c>
      <c r="AX39" s="365">
        <f t="shared" si="36"/>
        <v>75</v>
      </c>
      <c r="AY39" s="365">
        <f t="shared" si="37"/>
        <v>75</v>
      </c>
      <c r="AZ39" s="365">
        <f t="shared" si="38"/>
        <v>75</v>
      </c>
      <c r="BA39" s="365">
        <f t="shared" si="39"/>
        <v>80</v>
      </c>
      <c r="BB39" s="365">
        <f t="shared" si="40"/>
        <v>80</v>
      </c>
      <c r="BC39" s="365">
        <f t="shared" si="41"/>
        <v>84</v>
      </c>
      <c r="BD39" s="365">
        <f t="shared" si="42"/>
        <v>80</v>
      </c>
      <c r="BE39" s="365">
        <f t="shared" si="43"/>
        <v>80</v>
      </c>
      <c r="BF39" s="365">
        <f t="shared" si="44"/>
        <v>80</v>
      </c>
      <c r="BG39" s="365">
        <f t="shared" si="45"/>
        <v>84</v>
      </c>
    </row>
    <row r="40" spans="6:59" ht="20.149999999999999" customHeight="1" x14ac:dyDescent="0.35">
      <c r="F40" s="61">
        <v>32</v>
      </c>
      <c r="G40" s="62" t="str">
        <f>IF('set-dasis'!F36=0,"",'set-dasis'!F36)</f>
        <v>LUQMAN ATHAILLAH ARTUNDAYA</v>
      </c>
      <c r="H40" s="376">
        <v>61</v>
      </c>
      <c r="I40" s="376">
        <v>90</v>
      </c>
      <c r="J40" s="376">
        <v>78</v>
      </c>
      <c r="K40" s="376">
        <v>70</v>
      </c>
      <c r="L40" s="376">
        <v>70</v>
      </c>
      <c r="M40" s="376">
        <v>32</v>
      </c>
      <c r="N40" s="376">
        <v>85</v>
      </c>
      <c r="O40" s="376">
        <v>70</v>
      </c>
      <c r="P40" s="376">
        <v>75</v>
      </c>
      <c r="Q40" s="376">
        <v>80</v>
      </c>
      <c r="R40" s="376">
        <v>80</v>
      </c>
      <c r="S40" s="376">
        <v>40</v>
      </c>
      <c r="T40" s="376">
        <v>85</v>
      </c>
      <c r="U40" s="376">
        <v>45</v>
      </c>
      <c r="V40" s="376">
        <v>80</v>
      </c>
      <c r="W40" s="376">
        <v>61</v>
      </c>
      <c r="X40" s="376">
        <v>85</v>
      </c>
      <c r="Y40" s="65">
        <f t="shared" si="13"/>
        <v>1187</v>
      </c>
      <c r="Z40" s="68">
        <f t="shared" si="14"/>
        <v>69.82352941176471</v>
      </c>
      <c r="AA40" s="63">
        <f t="shared" si="15"/>
        <v>78</v>
      </c>
      <c r="AB40" s="63">
        <f t="shared" si="16"/>
        <v>79</v>
      </c>
      <c r="AC40" s="63">
        <f t="shared" si="17"/>
        <v>61</v>
      </c>
      <c r="AD40" s="63">
        <f t="shared" si="18"/>
        <v>62</v>
      </c>
      <c r="AE40" s="63">
        <f t="shared" si="19"/>
        <v>40</v>
      </c>
      <c r="AF40" s="63">
        <f t="shared" si="20"/>
        <v>41</v>
      </c>
      <c r="AG40" s="63">
        <f t="shared" si="21"/>
        <v>85</v>
      </c>
      <c r="AH40" s="63">
        <f t="shared" si="22"/>
        <v>86</v>
      </c>
      <c r="AI40" s="63">
        <f t="shared" si="23"/>
        <v>45</v>
      </c>
      <c r="AJ40" s="63">
        <f t="shared" si="24"/>
        <v>46</v>
      </c>
      <c r="AK40" s="63">
        <f t="shared" si="25"/>
        <v>80</v>
      </c>
      <c r="AL40" s="63">
        <f t="shared" si="26"/>
        <v>81</v>
      </c>
      <c r="AM40" s="63">
        <f t="shared" si="27"/>
        <v>61</v>
      </c>
      <c r="AN40" s="63">
        <f t="shared" si="28"/>
        <v>62</v>
      </c>
      <c r="AQ40" s="365">
        <f t="shared" si="29"/>
        <v>75</v>
      </c>
      <c r="AR40" s="365">
        <f t="shared" si="30"/>
        <v>90</v>
      </c>
      <c r="AS40" s="365">
        <f t="shared" si="31"/>
        <v>78</v>
      </c>
      <c r="AT40" s="365">
        <f t="shared" si="32"/>
        <v>75</v>
      </c>
      <c r="AU40" s="365">
        <f t="shared" si="33"/>
        <v>75</v>
      </c>
      <c r="AV40" s="365">
        <f t="shared" si="34"/>
        <v>75</v>
      </c>
      <c r="AW40" s="365">
        <f t="shared" si="35"/>
        <v>85</v>
      </c>
      <c r="AX40" s="365">
        <f t="shared" si="36"/>
        <v>75</v>
      </c>
      <c r="AY40" s="365">
        <f t="shared" si="37"/>
        <v>75</v>
      </c>
      <c r="AZ40" s="365">
        <f t="shared" si="38"/>
        <v>80</v>
      </c>
      <c r="BA40" s="365">
        <f t="shared" si="39"/>
        <v>80</v>
      </c>
      <c r="BB40" s="365">
        <f t="shared" si="40"/>
        <v>80</v>
      </c>
      <c r="BC40" s="365">
        <f t="shared" si="41"/>
        <v>85</v>
      </c>
      <c r="BD40" s="365">
        <f t="shared" si="42"/>
        <v>80</v>
      </c>
      <c r="BE40" s="365">
        <f t="shared" si="43"/>
        <v>80</v>
      </c>
      <c r="BF40" s="365">
        <f t="shared" si="44"/>
        <v>80</v>
      </c>
      <c r="BG40" s="365">
        <f t="shared" si="45"/>
        <v>85</v>
      </c>
    </row>
    <row r="41" spans="6:59" ht="20.149999999999999" customHeight="1" x14ac:dyDescent="0.35">
      <c r="F41" s="61">
        <v>33</v>
      </c>
      <c r="G41" s="62" t="str">
        <f>IF('set-dasis'!F37=0,"",'set-dasis'!F37)</f>
        <v>M. ARHAB FAIZ AZZAM</v>
      </c>
      <c r="H41" s="376">
        <v>74</v>
      </c>
      <c r="I41" s="376">
        <v>70</v>
      </c>
      <c r="J41" s="376">
        <v>58</v>
      </c>
      <c r="K41" s="376">
        <v>70</v>
      </c>
      <c r="L41" s="376">
        <v>40</v>
      </c>
      <c r="M41" s="376">
        <v>82</v>
      </c>
      <c r="N41" s="377">
        <f>Q41</f>
        <v>78</v>
      </c>
      <c r="O41" s="376">
        <v>55</v>
      </c>
      <c r="P41" s="376">
        <v>45</v>
      </c>
      <c r="Q41" s="376">
        <v>78</v>
      </c>
      <c r="R41" s="376">
        <v>80</v>
      </c>
      <c r="S41" s="376">
        <v>30</v>
      </c>
      <c r="T41" s="376">
        <v>95</v>
      </c>
      <c r="U41" s="376">
        <v>55</v>
      </c>
      <c r="V41" s="376">
        <v>15</v>
      </c>
      <c r="W41" s="376"/>
      <c r="X41" s="376">
        <v>95</v>
      </c>
      <c r="Y41" s="65">
        <f t="shared" si="13"/>
        <v>1020</v>
      </c>
      <c r="Z41" s="68">
        <f t="shared" si="14"/>
        <v>63.75</v>
      </c>
      <c r="AA41" s="63">
        <f t="shared" si="15"/>
        <v>58</v>
      </c>
      <c r="AB41" s="63">
        <f t="shared" si="16"/>
        <v>59</v>
      </c>
      <c r="AC41" s="63">
        <f t="shared" si="17"/>
        <v>74</v>
      </c>
      <c r="AD41" s="63">
        <f t="shared" si="18"/>
        <v>75</v>
      </c>
      <c r="AE41" s="63">
        <f t="shared" si="19"/>
        <v>30</v>
      </c>
      <c r="AF41" s="63">
        <f t="shared" si="20"/>
        <v>31</v>
      </c>
      <c r="AG41" s="63">
        <f t="shared" si="21"/>
        <v>95</v>
      </c>
      <c r="AH41" s="63">
        <f t="shared" si="22"/>
        <v>96</v>
      </c>
      <c r="AI41" s="63">
        <f t="shared" si="23"/>
        <v>55</v>
      </c>
      <c r="AJ41" s="63">
        <f t="shared" si="24"/>
        <v>56</v>
      </c>
      <c r="AK41" s="63">
        <f t="shared" si="25"/>
        <v>15</v>
      </c>
      <c r="AL41" s="63">
        <f t="shared" si="26"/>
        <v>16</v>
      </c>
      <c r="AM41" s="63" t="str">
        <f t="shared" si="27"/>
        <v/>
      </c>
      <c r="AN41" s="63" t="str">
        <f t="shared" si="28"/>
        <v/>
      </c>
      <c r="AQ41" s="365">
        <f t="shared" si="29"/>
        <v>75</v>
      </c>
      <c r="AR41" s="365">
        <f t="shared" si="30"/>
        <v>75</v>
      </c>
      <c r="AS41" s="365">
        <f t="shared" si="31"/>
        <v>75</v>
      </c>
      <c r="AT41" s="365">
        <f t="shared" si="32"/>
        <v>75</v>
      </c>
      <c r="AU41" s="365">
        <f t="shared" si="33"/>
        <v>75</v>
      </c>
      <c r="AV41" s="365">
        <f t="shared" si="34"/>
        <v>82</v>
      </c>
      <c r="AW41" s="365">
        <f t="shared" si="35"/>
        <v>78</v>
      </c>
      <c r="AX41" s="365">
        <f t="shared" si="36"/>
        <v>75</v>
      </c>
      <c r="AY41" s="365">
        <f t="shared" si="37"/>
        <v>75</v>
      </c>
      <c r="AZ41" s="365">
        <f t="shared" si="38"/>
        <v>78</v>
      </c>
      <c r="BA41" s="365">
        <f t="shared" si="39"/>
        <v>80</v>
      </c>
      <c r="BB41" s="365">
        <f t="shared" si="40"/>
        <v>80</v>
      </c>
      <c r="BC41" s="365">
        <f t="shared" si="41"/>
        <v>95</v>
      </c>
      <c r="BD41" s="365">
        <f t="shared" si="42"/>
        <v>80</v>
      </c>
      <c r="BE41" s="365">
        <f t="shared" si="43"/>
        <v>80</v>
      </c>
      <c r="BF41" s="365" t="str">
        <f t="shared" si="44"/>
        <v/>
      </c>
      <c r="BG41" s="365">
        <f t="shared" si="45"/>
        <v>95</v>
      </c>
    </row>
    <row r="42" spans="6:59" ht="20.149999999999999" customHeight="1" x14ac:dyDescent="0.35">
      <c r="F42" s="61">
        <v>34</v>
      </c>
      <c r="G42" s="62" t="str">
        <f>IF('set-dasis'!F38=0,"",'set-dasis'!F38)</f>
        <v>M. NABHAN DZAKWAN</v>
      </c>
      <c r="H42" s="376">
        <v>73</v>
      </c>
      <c r="I42" s="376">
        <v>100</v>
      </c>
      <c r="J42" s="376">
        <v>79</v>
      </c>
      <c r="K42" s="376">
        <v>81</v>
      </c>
      <c r="L42" s="376">
        <v>100</v>
      </c>
      <c r="M42" s="376">
        <v>72</v>
      </c>
      <c r="N42" s="376">
        <v>80</v>
      </c>
      <c r="O42" s="376">
        <v>75</v>
      </c>
      <c r="P42" s="376">
        <v>71</v>
      </c>
      <c r="Q42" s="376">
        <v>40</v>
      </c>
      <c r="R42" s="376">
        <v>80</v>
      </c>
      <c r="S42" s="376">
        <v>55</v>
      </c>
      <c r="T42" s="376">
        <v>87</v>
      </c>
      <c r="U42" s="376">
        <v>95</v>
      </c>
      <c r="V42" s="376">
        <v>70</v>
      </c>
      <c r="W42" s="376">
        <v>86</v>
      </c>
      <c r="X42" s="376">
        <v>87</v>
      </c>
      <c r="Y42" s="65">
        <f t="shared" si="13"/>
        <v>1331</v>
      </c>
      <c r="Z42" s="68">
        <f t="shared" si="14"/>
        <v>78.294117647058826</v>
      </c>
      <c r="AA42" s="63">
        <f t="shared" si="15"/>
        <v>79</v>
      </c>
      <c r="AB42" s="63">
        <f t="shared" si="16"/>
        <v>80</v>
      </c>
      <c r="AC42" s="63">
        <f t="shared" si="17"/>
        <v>73</v>
      </c>
      <c r="AD42" s="63">
        <f t="shared" si="18"/>
        <v>74</v>
      </c>
      <c r="AE42" s="63">
        <f t="shared" si="19"/>
        <v>55</v>
      </c>
      <c r="AF42" s="63">
        <f t="shared" si="20"/>
        <v>56</v>
      </c>
      <c r="AG42" s="63">
        <f t="shared" si="21"/>
        <v>87</v>
      </c>
      <c r="AH42" s="63">
        <f t="shared" si="22"/>
        <v>88</v>
      </c>
      <c r="AI42" s="63">
        <f t="shared" si="23"/>
        <v>95</v>
      </c>
      <c r="AJ42" s="63">
        <f t="shared" si="24"/>
        <v>96</v>
      </c>
      <c r="AK42" s="63">
        <f t="shared" si="25"/>
        <v>70</v>
      </c>
      <c r="AL42" s="63">
        <f t="shared" si="26"/>
        <v>71</v>
      </c>
      <c r="AM42" s="63">
        <f t="shared" si="27"/>
        <v>86</v>
      </c>
      <c r="AN42" s="63">
        <f t="shared" si="28"/>
        <v>87</v>
      </c>
      <c r="AQ42" s="365">
        <f t="shared" si="29"/>
        <v>75</v>
      </c>
      <c r="AR42" s="365">
        <f t="shared" si="30"/>
        <v>100</v>
      </c>
      <c r="AS42" s="365">
        <f t="shared" si="31"/>
        <v>79</v>
      </c>
      <c r="AT42" s="365">
        <f t="shared" si="32"/>
        <v>81</v>
      </c>
      <c r="AU42" s="365">
        <f t="shared" si="33"/>
        <v>100</v>
      </c>
      <c r="AV42" s="365">
        <f t="shared" si="34"/>
        <v>75</v>
      </c>
      <c r="AW42" s="365">
        <f t="shared" si="35"/>
        <v>80</v>
      </c>
      <c r="AX42" s="365">
        <f t="shared" si="36"/>
        <v>75</v>
      </c>
      <c r="AY42" s="365">
        <f t="shared" si="37"/>
        <v>75</v>
      </c>
      <c r="AZ42" s="365">
        <f t="shared" si="38"/>
        <v>75</v>
      </c>
      <c r="BA42" s="365">
        <f t="shared" si="39"/>
        <v>80</v>
      </c>
      <c r="BB42" s="365">
        <f t="shared" si="40"/>
        <v>80</v>
      </c>
      <c r="BC42" s="365">
        <f t="shared" si="41"/>
        <v>87</v>
      </c>
      <c r="BD42" s="365">
        <f t="shared" si="42"/>
        <v>95</v>
      </c>
      <c r="BE42" s="365">
        <f t="shared" si="43"/>
        <v>80</v>
      </c>
      <c r="BF42" s="365">
        <f t="shared" si="44"/>
        <v>86</v>
      </c>
      <c r="BG42" s="365">
        <f t="shared" si="45"/>
        <v>87</v>
      </c>
    </row>
    <row r="43" spans="6:59" ht="20.149999999999999" customHeight="1" x14ac:dyDescent="0.35">
      <c r="F43" s="61">
        <v>35</v>
      </c>
      <c r="G43" s="62" t="str">
        <f>IF('set-dasis'!F39=0,"",'set-dasis'!F39)</f>
        <v>MOH. DANENDRA RAJWA ABITAH</v>
      </c>
      <c r="H43" s="376">
        <v>72</v>
      </c>
      <c r="I43" s="376">
        <v>100</v>
      </c>
      <c r="J43" s="376">
        <v>71</v>
      </c>
      <c r="K43" s="376">
        <v>82</v>
      </c>
      <c r="L43" s="376">
        <v>55</v>
      </c>
      <c r="M43" s="376">
        <v>34</v>
      </c>
      <c r="N43" s="376">
        <v>80</v>
      </c>
      <c r="O43" s="376">
        <v>79</v>
      </c>
      <c r="P43" s="376">
        <v>62</v>
      </c>
      <c r="Q43" s="376">
        <v>78</v>
      </c>
      <c r="R43" s="376">
        <v>80</v>
      </c>
      <c r="S43" s="376">
        <v>40</v>
      </c>
      <c r="T43" s="376">
        <v>90</v>
      </c>
      <c r="U43" s="376">
        <v>65</v>
      </c>
      <c r="V43" s="376">
        <v>65</v>
      </c>
      <c r="W43" s="376">
        <v>94</v>
      </c>
      <c r="X43" s="376">
        <v>90</v>
      </c>
      <c r="Y43" s="65">
        <f t="shared" si="13"/>
        <v>1237</v>
      </c>
      <c r="Z43" s="68">
        <f t="shared" si="14"/>
        <v>72.764705882352942</v>
      </c>
      <c r="AA43" s="63">
        <f t="shared" si="15"/>
        <v>71</v>
      </c>
      <c r="AB43" s="63">
        <f t="shared" si="16"/>
        <v>72</v>
      </c>
      <c r="AC43" s="63">
        <f t="shared" si="17"/>
        <v>72</v>
      </c>
      <c r="AD43" s="63">
        <f t="shared" si="18"/>
        <v>73</v>
      </c>
      <c r="AE43" s="63">
        <f t="shared" si="19"/>
        <v>40</v>
      </c>
      <c r="AF43" s="63">
        <f t="shared" si="20"/>
        <v>41</v>
      </c>
      <c r="AG43" s="63">
        <f t="shared" si="21"/>
        <v>90</v>
      </c>
      <c r="AH43" s="63">
        <f t="shared" si="22"/>
        <v>91</v>
      </c>
      <c r="AI43" s="63">
        <f t="shared" si="23"/>
        <v>65</v>
      </c>
      <c r="AJ43" s="63">
        <f t="shared" si="24"/>
        <v>66</v>
      </c>
      <c r="AK43" s="63">
        <f t="shared" si="25"/>
        <v>65</v>
      </c>
      <c r="AL43" s="63">
        <f t="shared" si="26"/>
        <v>66</v>
      </c>
      <c r="AM43" s="63">
        <f t="shared" si="27"/>
        <v>94</v>
      </c>
      <c r="AN43" s="63">
        <f t="shared" si="28"/>
        <v>95</v>
      </c>
      <c r="AQ43" s="365">
        <f t="shared" si="29"/>
        <v>75</v>
      </c>
      <c r="AR43" s="365">
        <f t="shared" si="30"/>
        <v>100</v>
      </c>
      <c r="AS43" s="365">
        <f t="shared" si="31"/>
        <v>75</v>
      </c>
      <c r="AT43" s="365">
        <f t="shared" si="32"/>
        <v>82</v>
      </c>
      <c r="AU43" s="365">
        <f t="shared" si="33"/>
        <v>75</v>
      </c>
      <c r="AV43" s="365">
        <f t="shared" si="34"/>
        <v>75</v>
      </c>
      <c r="AW43" s="365">
        <f t="shared" si="35"/>
        <v>80</v>
      </c>
      <c r="AX43" s="365">
        <f t="shared" si="36"/>
        <v>79</v>
      </c>
      <c r="AY43" s="365">
        <f t="shared" si="37"/>
        <v>75</v>
      </c>
      <c r="AZ43" s="365">
        <f t="shared" si="38"/>
        <v>78</v>
      </c>
      <c r="BA43" s="365">
        <f t="shared" si="39"/>
        <v>80</v>
      </c>
      <c r="BB43" s="365">
        <f t="shared" si="40"/>
        <v>80</v>
      </c>
      <c r="BC43" s="365">
        <f t="shared" si="41"/>
        <v>90</v>
      </c>
      <c r="BD43" s="365">
        <f t="shared" si="42"/>
        <v>80</v>
      </c>
      <c r="BE43" s="365">
        <f t="shared" si="43"/>
        <v>80</v>
      </c>
      <c r="BF43" s="365">
        <f t="shared" si="44"/>
        <v>94</v>
      </c>
      <c r="BG43" s="365">
        <f t="shared" si="45"/>
        <v>90</v>
      </c>
    </row>
    <row r="44" spans="6:59" ht="20.149999999999999" customHeight="1" x14ac:dyDescent="0.35">
      <c r="F44" s="61">
        <v>36</v>
      </c>
      <c r="G44" s="62" t="str">
        <f>IF('set-dasis'!F40=0,"",'set-dasis'!F40)</f>
        <v>MUH. ZAKI DZUMAYIL</v>
      </c>
      <c r="H44" s="376">
        <v>52</v>
      </c>
      <c r="I44" s="376">
        <v>100</v>
      </c>
      <c r="J44" s="376">
        <v>90</v>
      </c>
      <c r="K44" s="376">
        <v>75</v>
      </c>
      <c r="L44" s="376">
        <v>85</v>
      </c>
      <c r="M44" s="376">
        <v>12</v>
      </c>
      <c r="N44" s="376">
        <v>100</v>
      </c>
      <c r="O44" s="376">
        <v>88</v>
      </c>
      <c r="P44" s="376">
        <v>55</v>
      </c>
      <c r="Q44" s="376">
        <v>75</v>
      </c>
      <c r="R44" s="376">
        <v>80</v>
      </c>
      <c r="S44" s="376">
        <v>55</v>
      </c>
      <c r="T44" s="376">
        <v>87</v>
      </c>
      <c r="U44" s="376">
        <v>80</v>
      </c>
      <c r="V44" s="376">
        <v>65</v>
      </c>
      <c r="W44" s="376">
        <v>61</v>
      </c>
      <c r="X44" s="376">
        <v>87</v>
      </c>
      <c r="Y44" s="65">
        <f t="shared" si="13"/>
        <v>1247</v>
      </c>
      <c r="Z44" s="68">
        <f t="shared" si="14"/>
        <v>73.352941176470594</v>
      </c>
      <c r="AA44" s="63">
        <f t="shared" si="15"/>
        <v>90</v>
      </c>
      <c r="AB44" s="63">
        <f t="shared" si="16"/>
        <v>91</v>
      </c>
      <c r="AC44" s="63">
        <f t="shared" si="17"/>
        <v>52</v>
      </c>
      <c r="AD44" s="63">
        <f t="shared" si="18"/>
        <v>53</v>
      </c>
      <c r="AE44" s="63">
        <f t="shared" si="19"/>
        <v>55</v>
      </c>
      <c r="AF44" s="63">
        <f t="shared" si="20"/>
        <v>56</v>
      </c>
      <c r="AG44" s="63">
        <f t="shared" si="21"/>
        <v>87</v>
      </c>
      <c r="AH44" s="63">
        <f t="shared" si="22"/>
        <v>88</v>
      </c>
      <c r="AI44" s="63">
        <f t="shared" si="23"/>
        <v>80</v>
      </c>
      <c r="AJ44" s="63">
        <f t="shared" si="24"/>
        <v>81</v>
      </c>
      <c r="AK44" s="63">
        <f t="shared" si="25"/>
        <v>65</v>
      </c>
      <c r="AL44" s="63">
        <f t="shared" si="26"/>
        <v>66</v>
      </c>
      <c r="AM44" s="63">
        <f t="shared" si="27"/>
        <v>61</v>
      </c>
      <c r="AN44" s="63">
        <f t="shared" si="28"/>
        <v>62</v>
      </c>
      <c r="AQ44" s="365">
        <f t="shared" si="29"/>
        <v>75</v>
      </c>
      <c r="AR44" s="365">
        <f t="shared" si="30"/>
        <v>100</v>
      </c>
      <c r="AS44" s="365">
        <f t="shared" si="31"/>
        <v>90</v>
      </c>
      <c r="AT44" s="365">
        <f t="shared" si="32"/>
        <v>75</v>
      </c>
      <c r="AU44" s="365">
        <f t="shared" si="33"/>
        <v>85</v>
      </c>
      <c r="AV44" s="365">
        <f t="shared" si="34"/>
        <v>75</v>
      </c>
      <c r="AW44" s="365">
        <f t="shared" si="35"/>
        <v>100</v>
      </c>
      <c r="AX44" s="365">
        <f t="shared" si="36"/>
        <v>88</v>
      </c>
      <c r="AY44" s="365">
        <f t="shared" si="37"/>
        <v>75</v>
      </c>
      <c r="AZ44" s="365">
        <f t="shared" si="38"/>
        <v>75</v>
      </c>
      <c r="BA44" s="365">
        <f t="shared" si="39"/>
        <v>80</v>
      </c>
      <c r="BB44" s="365">
        <f t="shared" si="40"/>
        <v>80</v>
      </c>
      <c r="BC44" s="365">
        <f t="shared" si="41"/>
        <v>87</v>
      </c>
      <c r="BD44" s="365">
        <f t="shared" si="42"/>
        <v>80</v>
      </c>
      <c r="BE44" s="365">
        <f t="shared" si="43"/>
        <v>80</v>
      </c>
      <c r="BF44" s="365">
        <f t="shared" si="44"/>
        <v>80</v>
      </c>
      <c r="BG44" s="365">
        <f t="shared" si="45"/>
        <v>87</v>
      </c>
    </row>
    <row r="45" spans="6:59" ht="20.149999999999999" customHeight="1" x14ac:dyDescent="0.35">
      <c r="F45" s="61">
        <v>37</v>
      </c>
      <c r="G45" s="62" t="str">
        <f>IF('set-dasis'!F41=0,"",'set-dasis'!F41)</f>
        <v>MUHAMAD RIZQI AKBAR</v>
      </c>
      <c r="H45" s="376">
        <v>81</v>
      </c>
      <c r="I45" s="376">
        <v>100</v>
      </c>
      <c r="J45" s="376">
        <v>97</v>
      </c>
      <c r="K45" s="376">
        <v>98</v>
      </c>
      <c r="L45" s="376">
        <v>100</v>
      </c>
      <c r="M45" s="376">
        <v>100</v>
      </c>
      <c r="N45" s="376">
        <v>87</v>
      </c>
      <c r="O45" s="376">
        <v>89</v>
      </c>
      <c r="P45" s="376">
        <v>92</v>
      </c>
      <c r="Q45" s="376">
        <v>90</v>
      </c>
      <c r="R45" s="376">
        <v>85</v>
      </c>
      <c r="S45" s="376">
        <v>50</v>
      </c>
      <c r="T45" s="376">
        <v>97</v>
      </c>
      <c r="U45" s="376">
        <v>95</v>
      </c>
      <c r="V45" s="376">
        <v>95</v>
      </c>
      <c r="W45" s="376">
        <v>93</v>
      </c>
      <c r="X45" s="376">
        <v>97</v>
      </c>
      <c r="Y45" s="65">
        <f>SUM(H45:X45)</f>
        <v>1546</v>
      </c>
      <c r="Z45" s="68">
        <f>IFERROR(AVERAGE(H45:X45),"")</f>
        <v>90.941176470588232</v>
      </c>
      <c r="AA45" s="63">
        <f t="shared" si="15"/>
        <v>97</v>
      </c>
      <c r="AB45" s="63">
        <f>IF(AA45="","",IF(AA45=100,100,AA45+1))</f>
        <v>98</v>
      </c>
      <c r="AC45" s="63">
        <f t="shared" si="17"/>
        <v>81</v>
      </c>
      <c r="AD45" s="63">
        <f>IF(AC45="","",IF(AC45=100,100,AC45+1))</f>
        <v>82</v>
      </c>
      <c r="AE45" s="63">
        <f t="shared" si="19"/>
        <v>50</v>
      </c>
      <c r="AF45" s="63">
        <f>IF(AE45="","",IF(AE45=100,100,AE45+1))</f>
        <v>51</v>
      </c>
      <c r="AG45" s="63">
        <f t="shared" si="21"/>
        <v>97</v>
      </c>
      <c r="AH45" s="63">
        <f>IF(AG45="","",IF(AG45=100,100,AG45+1))</f>
        <v>98</v>
      </c>
      <c r="AI45" s="63">
        <f t="shared" si="23"/>
        <v>95</v>
      </c>
      <c r="AJ45" s="63">
        <f>IF(AI45="","",IF(AI45=100,100,AI45+1))</f>
        <v>96</v>
      </c>
      <c r="AK45" s="63">
        <f t="shared" si="25"/>
        <v>95</v>
      </c>
      <c r="AL45" s="63">
        <f>IF(AK45="","",IF(AK45=100,100,AK45+1))</f>
        <v>96</v>
      </c>
      <c r="AM45" s="63">
        <f t="shared" si="27"/>
        <v>93</v>
      </c>
      <c r="AN45" s="63">
        <f>IF(AM45="","",IF(AM45=100,100,AM45+1))</f>
        <v>94</v>
      </c>
      <c r="AQ45" s="365">
        <f t="shared" si="29"/>
        <v>81</v>
      </c>
      <c r="AR45" s="365">
        <f t="shared" si="30"/>
        <v>100</v>
      </c>
      <c r="AS45" s="365">
        <f t="shared" si="31"/>
        <v>97</v>
      </c>
      <c r="AT45" s="365">
        <f t="shared" si="32"/>
        <v>98</v>
      </c>
      <c r="AU45" s="365">
        <f t="shared" si="33"/>
        <v>100</v>
      </c>
      <c r="AV45" s="365">
        <f t="shared" si="34"/>
        <v>100</v>
      </c>
      <c r="AW45" s="365">
        <f t="shared" si="35"/>
        <v>87</v>
      </c>
      <c r="AX45" s="365">
        <f t="shared" si="36"/>
        <v>89</v>
      </c>
      <c r="AY45" s="365">
        <f t="shared" si="37"/>
        <v>92</v>
      </c>
      <c r="AZ45" s="365">
        <f t="shared" si="38"/>
        <v>90</v>
      </c>
      <c r="BA45" s="365">
        <f t="shared" si="39"/>
        <v>85</v>
      </c>
      <c r="BB45" s="365">
        <f t="shared" si="40"/>
        <v>80</v>
      </c>
      <c r="BC45" s="365">
        <f t="shared" si="41"/>
        <v>97</v>
      </c>
      <c r="BD45" s="365">
        <f t="shared" si="42"/>
        <v>95</v>
      </c>
      <c r="BE45" s="365">
        <f t="shared" si="43"/>
        <v>95</v>
      </c>
      <c r="BF45" s="365">
        <f t="shared" si="44"/>
        <v>93</v>
      </c>
      <c r="BG45" s="365">
        <f t="shared" si="45"/>
        <v>97</v>
      </c>
    </row>
    <row r="46" spans="6:59" ht="20.149999999999999" customHeight="1" x14ac:dyDescent="0.35">
      <c r="F46" s="61">
        <v>38</v>
      </c>
      <c r="G46" s="62" t="str">
        <f>IF('set-dasis'!F42=0,"",'set-dasis'!F42)</f>
        <v>MUHAMAD TEGAR BIMANTORO</v>
      </c>
      <c r="H46" s="376">
        <v>87</v>
      </c>
      <c r="I46" s="376">
        <v>100</v>
      </c>
      <c r="J46" s="376">
        <v>83</v>
      </c>
      <c r="K46" s="376">
        <v>89</v>
      </c>
      <c r="L46" s="376">
        <v>90</v>
      </c>
      <c r="M46" s="376">
        <v>46</v>
      </c>
      <c r="N46" s="376">
        <v>100</v>
      </c>
      <c r="O46" s="376">
        <v>78</v>
      </c>
      <c r="P46" s="376">
        <v>78</v>
      </c>
      <c r="Q46" s="376">
        <v>70</v>
      </c>
      <c r="R46" s="376">
        <v>80</v>
      </c>
      <c r="S46" s="376">
        <v>30</v>
      </c>
      <c r="T46" s="376">
        <v>87</v>
      </c>
      <c r="U46" s="376">
        <v>80</v>
      </c>
      <c r="V46" s="376">
        <v>65</v>
      </c>
      <c r="W46" s="376">
        <v>86</v>
      </c>
      <c r="X46" s="376">
        <v>87</v>
      </c>
      <c r="Y46" s="65">
        <f t="shared" ref="Y46:Y58" si="46">SUM(H46:X46)</f>
        <v>1336</v>
      </c>
      <c r="Z46" s="68">
        <f t="shared" ref="Z46:Z58" si="47">IFERROR(AVERAGE(H46:X46),"")</f>
        <v>78.588235294117652</v>
      </c>
      <c r="AA46" s="63">
        <f t="shared" ref="AA46:AA58" si="48">IF(J46=0,"",J46)</f>
        <v>83</v>
      </c>
      <c r="AB46" s="63">
        <f t="shared" si="16"/>
        <v>84</v>
      </c>
      <c r="AC46" s="63">
        <f t="shared" ref="AC46:AC58" si="49">IF(H46="","",H46)</f>
        <v>87</v>
      </c>
      <c r="AD46" s="63">
        <f t="shared" si="18"/>
        <v>88</v>
      </c>
      <c r="AE46" s="63">
        <f t="shared" ref="AE46:AE58" si="50">IF(S46="","",S46)</f>
        <v>30</v>
      </c>
      <c r="AF46" s="63">
        <f t="shared" si="20"/>
        <v>31</v>
      </c>
      <c r="AG46" s="63">
        <f t="shared" ref="AG46:AG58" si="51">IF(T46="","",T46)</f>
        <v>87</v>
      </c>
      <c r="AH46" s="63">
        <f t="shared" si="22"/>
        <v>88</v>
      </c>
      <c r="AI46" s="63">
        <f t="shared" ref="AI46:AI58" si="52">IF(U46="","",U46)</f>
        <v>80</v>
      </c>
      <c r="AJ46" s="63">
        <f t="shared" si="24"/>
        <v>81</v>
      </c>
      <c r="AK46" s="63">
        <f t="shared" ref="AK46:AK58" si="53">IF(V46="","",V46)</f>
        <v>65</v>
      </c>
      <c r="AL46" s="63">
        <f t="shared" si="26"/>
        <v>66</v>
      </c>
      <c r="AM46" s="63">
        <f t="shared" ref="AM46:AM58" si="54">IF(W46="","",W46)</f>
        <v>86</v>
      </c>
      <c r="AN46" s="63">
        <f t="shared" si="28"/>
        <v>87</v>
      </c>
      <c r="AQ46" s="365">
        <f t="shared" si="29"/>
        <v>87</v>
      </c>
      <c r="AR46" s="365">
        <f t="shared" si="30"/>
        <v>100</v>
      </c>
      <c r="AS46" s="365">
        <f t="shared" si="31"/>
        <v>83</v>
      </c>
      <c r="AT46" s="365">
        <f t="shared" si="32"/>
        <v>89</v>
      </c>
      <c r="AU46" s="365">
        <f t="shared" si="33"/>
        <v>90</v>
      </c>
      <c r="AV46" s="365">
        <f t="shared" si="34"/>
        <v>75</v>
      </c>
      <c r="AW46" s="365">
        <f t="shared" si="35"/>
        <v>100</v>
      </c>
      <c r="AX46" s="365">
        <f t="shared" si="36"/>
        <v>78</v>
      </c>
      <c r="AY46" s="365">
        <f t="shared" si="37"/>
        <v>78</v>
      </c>
      <c r="AZ46" s="365">
        <f t="shared" si="38"/>
        <v>75</v>
      </c>
      <c r="BA46" s="365">
        <f t="shared" si="39"/>
        <v>80</v>
      </c>
      <c r="BB46" s="365">
        <f t="shared" si="40"/>
        <v>80</v>
      </c>
      <c r="BC46" s="365">
        <f t="shared" si="41"/>
        <v>87</v>
      </c>
      <c r="BD46" s="365">
        <f t="shared" si="42"/>
        <v>80</v>
      </c>
      <c r="BE46" s="365">
        <f t="shared" si="43"/>
        <v>80</v>
      </c>
      <c r="BF46" s="365">
        <f t="shared" si="44"/>
        <v>86</v>
      </c>
      <c r="BG46" s="365">
        <f t="shared" si="45"/>
        <v>87</v>
      </c>
    </row>
    <row r="47" spans="6:59" ht="20.149999999999999" customHeight="1" x14ac:dyDescent="0.35">
      <c r="F47" s="61">
        <v>39</v>
      </c>
      <c r="G47" s="62" t="str">
        <f>IF('set-dasis'!F43=0,"",'set-dasis'!F43)</f>
        <v>MUHAMMAD DENNIS</v>
      </c>
      <c r="H47" s="376">
        <v>71</v>
      </c>
      <c r="I47" s="376">
        <v>70</v>
      </c>
      <c r="J47" s="376">
        <v>51</v>
      </c>
      <c r="K47" s="376">
        <v>70</v>
      </c>
      <c r="L47" s="376">
        <v>65</v>
      </c>
      <c r="M47" s="376">
        <v>12</v>
      </c>
      <c r="N47" s="376">
        <v>40</v>
      </c>
      <c r="O47" s="376">
        <v>40</v>
      </c>
      <c r="P47" s="376">
        <v>47</v>
      </c>
      <c r="Q47" s="376">
        <v>70</v>
      </c>
      <c r="R47" s="376">
        <v>80</v>
      </c>
      <c r="S47" s="376">
        <v>35</v>
      </c>
      <c r="T47" s="376">
        <v>70</v>
      </c>
      <c r="U47" s="376">
        <v>45</v>
      </c>
      <c r="V47" s="376">
        <v>20</v>
      </c>
      <c r="W47" s="376">
        <v>90</v>
      </c>
      <c r="X47" s="376">
        <v>70</v>
      </c>
      <c r="Y47" s="65">
        <f t="shared" si="46"/>
        <v>946</v>
      </c>
      <c r="Z47" s="68">
        <f t="shared" si="47"/>
        <v>55.647058823529413</v>
      </c>
      <c r="AA47" s="63">
        <f t="shared" si="48"/>
        <v>51</v>
      </c>
      <c r="AB47" s="63">
        <f t="shared" si="16"/>
        <v>52</v>
      </c>
      <c r="AC47" s="63">
        <f t="shared" si="49"/>
        <v>71</v>
      </c>
      <c r="AD47" s="63">
        <f t="shared" si="18"/>
        <v>72</v>
      </c>
      <c r="AE47" s="63">
        <f t="shared" si="50"/>
        <v>35</v>
      </c>
      <c r="AF47" s="63">
        <f t="shared" si="20"/>
        <v>36</v>
      </c>
      <c r="AG47" s="63">
        <f t="shared" si="51"/>
        <v>70</v>
      </c>
      <c r="AH47" s="63">
        <f t="shared" si="22"/>
        <v>71</v>
      </c>
      <c r="AI47" s="63">
        <f t="shared" si="52"/>
        <v>45</v>
      </c>
      <c r="AJ47" s="63">
        <f t="shared" si="24"/>
        <v>46</v>
      </c>
      <c r="AK47" s="63">
        <f t="shared" si="53"/>
        <v>20</v>
      </c>
      <c r="AL47" s="63">
        <f t="shared" si="26"/>
        <v>21</v>
      </c>
      <c r="AM47" s="63">
        <f t="shared" si="54"/>
        <v>90</v>
      </c>
      <c r="AN47" s="63">
        <f t="shared" si="28"/>
        <v>91</v>
      </c>
      <c r="AQ47" s="365">
        <f t="shared" si="29"/>
        <v>75</v>
      </c>
      <c r="AR47" s="365">
        <f t="shared" si="30"/>
        <v>75</v>
      </c>
      <c r="AS47" s="365">
        <f t="shared" si="31"/>
        <v>75</v>
      </c>
      <c r="AT47" s="365">
        <f t="shared" si="32"/>
        <v>75</v>
      </c>
      <c r="AU47" s="365">
        <f t="shared" si="33"/>
        <v>75</v>
      </c>
      <c r="AV47" s="365">
        <f t="shared" si="34"/>
        <v>75</v>
      </c>
      <c r="AW47" s="365">
        <f t="shared" si="35"/>
        <v>75</v>
      </c>
      <c r="AX47" s="365">
        <f t="shared" si="36"/>
        <v>75</v>
      </c>
      <c r="AY47" s="365">
        <f t="shared" si="37"/>
        <v>75</v>
      </c>
      <c r="AZ47" s="365">
        <f t="shared" si="38"/>
        <v>75</v>
      </c>
      <c r="BA47" s="365">
        <f t="shared" si="39"/>
        <v>80</v>
      </c>
      <c r="BB47" s="365">
        <f t="shared" si="40"/>
        <v>80</v>
      </c>
      <c r="BC47" s="365">
        <f t="shared" si="41"/>
        <v>80</v>
      </c>
      <c r="BD47" s="365">
        <f t="shared" si="42"/>
        <v>80</v>
      </c>
      <c r="BE47" s="365">
        <f t="shared" si="43"/>
        <v>80</v>
      </c>
      <c r="BF47" s="365">
        <f t="shared" si="44"/>
        <v>90</v>
      </c>
      <c r="BG47" s="365">
        <f t="shared" si="45"/>
        <v>80</v>
      </c>
    </row>
    <row r="48" spans="6:59" ht="20.149999999999999" customHeight="1" x14ac:dyDescent="0.35">
      <c r="F48" s="61">
        <v>40</v>
      </c>
      <c r="G48" s="62" t="str">
        <f>IF('set-dasis'!F44=0,"",'set-dasis'!F44)</f>
        <v>MUHAMMAD ISA</v>
      </c>
      <c r="H48" s="376">
        <v>71</v>
      </c>
      <c r="I48" s="376">
        <v>70</v>
      </c>
      <c r="J48" s="376">
        <v>30</v>
      </c>
      <c r="K48" s="376">
        <v>70</v>
      </c>
      <c r="L48" s="376"/>
      <c r="M48" s="376"/>
      <c r="N48" s="376"/>
      <c r="O48" s="376"/>
      <c r="P48" s="376">
        <v>40</v>
      </c>
      <c r="Q48" s="376"/>
      <c r="R48" s="376">
        <v>80</v>
      </c>
      <c r="S48" s="376"/>
      <c r="T48" s="376"/>
      <c r="U48" s="376"/>
      <c r="V48" s="376"/>
      <c r="W48" s="376"/>
      <c r="X48" s="376"/>
      <c r="Y48" s="65">
        <f t="shared" si="46"/>
        <v>361</v>
      </c>
      <c r="Z48" s="68">
        <f t="shared" si="47"/>
        <v>60.166666666666664</v>
      </c>
      <c r="AA48" s="63">
        <f t="shared" si="48"/>
        <v>30</v>
      </c>
      <c r="AB48" s="63">
        <f t="shared" si="16"/>
        <v>31</v>
      </c>
      <c r="AC48" s="63">
        <f t="shared" si="49"/>
        <v>71</v>
      </c>
      <c r="AD48" s="63">
        <f t="shared" si="18"/>
        <v>72</v>
      </c>
      <c r="AE48" s="63" t="str">
        <f t="shared" si="50"/>
        <v/>
      </c>
      <c r="AF48" s="63" t="str">
        <f t="shared" si="20"/>
        <v/>
      </c>
      <c r="AG48" s="63" t="str">
        <f t="shared" si="51"/>
        <v/>
      </c>
      <c r="AH48" s="63" t="str">
        <f t="shared" si="22"/>
        <v/>
      </c>
      <c r="AI48" s="63" t="str">
        <f t="shared" si="52"/>
        <v/>
      </c>
      <c r="AJ48" s="63" t="str">
        <f t="shared" si="24"/>
        <v/>
      </c>
      <c r="AK48" s="63" t="str">
        <f t="shared" si="53"/>
        <v/>
      </c>
      <c r="AL48" s="63" t="str">
        <f t="shared" si="26"/>
        <v/>
      </c>
      <c r="AM48" s="63" t="str">
        <f t="shared" si="54"/>
        <v/>
      </c>
      <c r="AN48" s="63" t="str">
        <f t="shared" si="28"/>
        <v/>
      </c>
      <c r="AQ48" s="365">
        <f t="shared" si="29"/>
        <v>75</v>
      </c>
      <c r="AR48" s="365">
        <f t="shared" si="30"/>
        <v>75</v>
      </c>
      <c r="AS48" s="365">
        <f t="shared" si="31"/>
        <v>75</v>
      </c>
      <c r="AT48" s="365">
        <f t="shared" si="32"/>
        <v>75</v>
      </c>
      <c r="AU48" s="365" t="str">
        <f t="shared" si="33"/>
        <v/>
      </c>
      <c r="AV48" s="365" t="str">
        <f t="shared" si="34"/>
        <v/>
      </c>
      <c r="AW48" s="365" t="str">
        <f t="shared" si="35"/>
        <v/>
      </c>
      <c r="AX48" s="365" t="str">
        <f t="shared" si="36"/>
        <v/>
      </c>
      <c r="AY48" s="365">
        <f t="shared" si="37"/>
        <v>75</v>
      </c>
      <c r="AZ48" s="365" t="str">
        <f t="shared" si="38"/>
        <v/>
      </c>
      <c r="BA48" s="365">
        <f t="shared" si="39"/>
        <v>80</v>
      </c>
      <c r="BB48" s="365" t="str">
        <f t="shared" si="40"/>
        <v/>
      </c>
      <c r="BC48" s="365" t="str">
        <f t="shared" si="41"/>
        <v/>
      </c>
      <c r="BD48" s="365" t="str">
        <f t="shared" si="42"/>
        <v/>
      </c>
      <c r="BE48" s="365" t="str">
        <f t="shared" si="43"/>
        <v/>
      </c>
      <c r="BF48" s="365" t="str">
        <f t="shared" si="44"/>
        <v/>
      </c>
      <c r="BG48" s="365" t="str">
        <f t="shared" si="45"/>
        <v/>
      </c>
    </row>
    <row r="49" spans="6:59" ht="20.149999999999999" customHeight="1" x14ac:dyDescent="0.35">
      <c r="F49" s="61">
        <v>41</v>
      </c>
      <c r="G49" s="62" t="str">
        <f>IF('set-dasis'!F45=0,"",'set-dasis'!F45)</f>
        <v>MUHAMMAD NAZRIEL AR-RIJAL</v>
      </c>
      <c r="H49" s="376">
        <v>75</v>
      </c>
      <c r="I49" s="376">
        <v>70</v>
      </c>
      <c r="J49" s="376">
        <v>52</v>
      </c>
      <c r="K49" s="376">
        <v>74</v>
      </c>
      <c r="L49" s="376">
        <v>75</v>
      </c>
      <c r="M49" s="376">
        <v>10</v>
      </c>
      <c r="N49" s="376">
        <v>65</v>
      </c>
      <c r="O49" s="376">
        <v>78</v>
      </c>
      <c r="P49" s="376">
        <v>52</v>
      </c>
      <c r="Q49" s="376">
        <v>70</v>
      </c>
      <c r="R49" s="376">
        <v>80</v>
      </c>
      <c r="S49" s="376">
        <v>35</v>
      </c>
      <c r="T49" s="376">
        <v>69</v>
      </c>
      <c r="U49" s="376">
        <v>70</v>
      </c>
      <c r="V49" s="376">
        <v>35</v>
      </c>
      <c r="W49" s="376">
        <v>85</v>
      </c>
      <c r="X49" s="376">
        <v>69</v>
      </c>
      <c r="Y49" s="65">
        <f t="shared" si="46"/>
        <v>1064</v>
      </c>
      <c r="Z49" s="68">
        <f t="shared" si="47"/>
        <v>62.588235294117645</v>
      </c>
      <c r="AA49" s="63">
        <f t="shared" si="48"/>
        <v>52</v>
      </c>
      <c r="AB49" s="63">
        <f t="shared" si="16"/>
        <v>53</v>
      </c>
      <c r="AC49" s="63">
        <f t="shared" si="49"/>
        <v>75</v>
      </c>
      <c r="AD49" s="63">
        <f t="shared" si="18"/>
        <v>76</v>
      </c>
      <c r="AE49" s="63">
        <f t="shared" si="50"/>
        <v>35</v>
      </c>
      <c r="AF49" s="63">
        <f t="shared" si="20"/>
        <v>36</v>
      </c>
      <c r="AG49" s="63">
        <f t="shared" si="51"/>
        <v>69</v>
      </c>
      <c r="AH49" s="63">
        <f t="shared" si="22"/>
        <v>70</v>
      </c>
      <c r="AI49" s="63">
        <f t="shared" si="52"/>
        <v>70</v>
      </c>
      <c r="AJ49" s="63">
        <f t="shared" si="24"/>
        <v>71</v>
      </c>
      <c r="AK49" s="63">
        <f t="shared" si="53"/>
        <v>35</v>
      </c>
      <c r="AL49" s="63">
        <f t="shared" si="26"/>
        <v>36</v>
      </c>
      <c r="AM49" s="63">
        <f t="shared" si="54"/>
        <v>85</v>
      </c>
      <c r="AN49" s="63">
        <f t="shared" si="28"/>
        <v>86</v>
      </c>
      <c r="AQ49" s="365">
        <f t="shared" si="29"/>
        <v>75</v>
      </c>
      <c r="AR49" s="365">
        <f t="shared" si="30"/>
        <v>75</v>
      </c>
      <c r="AS49" s="365">
        <f t="shared" si="31"/>
        <v>75</v>
      </c>
      <c r="AT49" s="365">
        <f t="shared" si="32"/>
        <v>75</v>
      </c>
      <c r="AU49" s="365">
        <f t="shared" si="33"/>
        <v>75</v>
      </c>
      <c r="AV49" s="365">
        <f t="shared" si="34"/>
        <v>75</v>
      </c>
      <c r="AW49" s="365">
        <f t="shared" si="35"/>
        <v>75</v>
      </c>
      <c r="AX49" s="365">
        <f t="shared" si="36"/>
        <v>78</v>
      </c>
      <c r="AY49" s="365">
        <f t="shared" si="37"/>
        <v>75</v>
      </c>
      <c r="AZ49" s="365">
        <f t="shared" si="38"/>
        <v>75</v>
      </c>
      <c r="BA49" s="365">
        <f t="shared" si="39"/>
        <v>80</v>
      </c>
      <c r="BB49" s="365">
        <f t="shared" si="40"/>
        <v>80</v>
      </c>
      <c r="BC49" s="365">
        <f t="shared" si="41"/>
        <v>80</v>
      </c>
      <c r="BD49" s="365">
        <f t="shared" si="42"/>
        <v>80</v>
      </c>
      <c r="BE49" s="365">
        <f t="shared" si="43"/>
        <v>80</v>
      </c>
      <c r="BF49" s="365">
        <f t="shared" si="44"/>
        <v>85</v>
      </c>
      <c r="BG49" s="365">
        <f t="shared" si="45"/>
        <v>80</v>
      </c>
    </row>
    <row r="50" spans="6:59" ht="20.149999999999999" customHeight="1" x14ac:dyDescent="0.35">
      <c r="F50" s="61">
        <v>42</v>
      </c>
      <c r="G50" s="62" t="str">
        <f>IF('set-dasis'!F46=0,"",'set-dasis'!F46)</f>
        <v>MUHAMMAD SEPTIAN RAMADHANI</v>
      </c>
      <c r="H50" s="376">
        <v>83</v>
      </c>
      <c r="I50" s="376">
        <v>100</v>
      </c>
      <c r="J50" s="376">
        <v>84</v>
      </c>
      <c r="K50" s="376">
        <v>98</v>
      </c>
      <c r="L50" s="376">
        <v>100</v>
      </c>
      <c r="M50" s="376">
        <v>56</v>
      </c>
      <c r="N50" s="376">
        <v>85</v>
      </c>
      <c r="O50" s="376">
        <v>90</v>
      </c>
      <c r="P50" s="376">
        <v>77</v>
      </c>
      <c r="Q50" s="376">
        <v>65</v>
      </c>
      <c r="R50" s="376">
        <v>80</v>
      </c>
      <c r="S50" s="376">
        <v>40</v>
      </c>
      <c r="T50" s="376">
        <v>90</v>
      </c>
      <c r="U50" s="376">
        <v>85</v>
      </c>
      <c r="V50" s="376">
        <v>70</v>
      </c>
      <c r="W50" s="376">
        <v>94</v>
      </c>
      <c r="X50" s="376">
        <v>90</v>
      </c>
      <c r="Y50" s="65">
        <f t="shared" si="46"/>
        <v>1387</v>
      </c>
      <c r="Z50" s="68">
        <f t="shared" si="47"/>
        <v>81.588235294117652</v>
      </c>
      <c r="AA50" s="63">
        <f t="shared" si="48"/>
        <v>84</v>
      </c>
      <c r="AB50" s="63">
        <f t="shared" si="16"/>
        <v>85</v>
      </c>
      <c r="AC50" s="63">
        <f t="shared" si="49"/>
        <v>83</v>
      </c>
      <c r="AD50" s="63">
        <f t="shared" si="18"/>
        <v>84</v>
      </c>
      <c r="AE50" s="63">
        <f t="shared" si="50"/>
        <v>40</v>
      </c>
      <c r="AF50" s="63">
        <f t="shared" si="20"/>
        <v>41</v>
      </c>
      <c r="AG50" s="63">
        <f t="shared" si="51"/>
        <v>90</v>
      </c>
      <c r="AH50" s="63">
        <f t="shared" si="22"/>
        <v>91</v>
      </c>
      <c r="AI50" s="63">
        <f t="shared" si="52"/>
        <v>85</v>
      </c>
      <c r="AJ50" s="63">
        <f t="shared" si="24"/>
        <v>86</v>
      </c>
      <c r="AK50" s="63">
        <f t="shared" si="53"/>
        <v>70</v>
      </c>
      <c r="AL50" s="63">
        <f t="shared" si="26"/>
        <v>71</v>
      </c>
      <c r="AM50" s="63">
        <f t="shared" si="54"/>
        <v>94</v>
      </c>
      <c r="AN50" s="63">
        <f t="shared" si="28"/>
        <v>95</v>
      </c>
      <c r="AQ50" s="365">
        <f t="shared" si="29"/>
        <v>83</v>
      </c>
      <c r="AR50" s="365">
        <f t="shared" si="30"/>
        <v>100</v>
      </c>
      <c r="AS50" s="365">
        <f t="shared" si="31"/>
        <v>84</v>
      </c>
      <c r="AT50" s="365">
        <f t="shared" si="32"/>
        <v>98</v>
      </c>
      <c r="AU50" s="365">
        <f t="shared" si="33"/>
        <v>100</v>
      </c>
      <c r="AV50" s="365">
        <f t="shared" si="34"/>
        <v>75</v>
      </c>
      <c r="AW50" s="365">
        <f t="shared" si="35"/>
        <v>85</v>
      </c>
      <c r="AX50" s="365">
        <f t="shared" si="36"/>
        <v>90</v>
      </c>
      <c r="AY50" s="365">
        <f t="shared" si="37"/>
        <v>77</v>
      </c>
      <c r="AZ50" s="365">
        <f t="shared" si="38"/>
        <v>75</v>
      </c>
      <c r="BA50" s="365">
        <f t="shared" si="39"/>
        <v>80</v>
      </c>
      <c r="BB50" s="365">
        <f t="shared" si="40"/>
        <v>80</v>
      </c>
      <c r="BC50" s="365">
        <f t="shared" si="41"/>
        <v>90</v>
      </c>
      <c r="BD50" s="365">
        <f t="shared" si="42"/>
        <v>85</v>
      </c>
      <c r="BE50" s="365">
        <f t="shared" si="43"/>
        <v>80</v>
      </c>
      <c r="BF50" s="365">
        <f t="shared" si="44"/>
        <v>94</v>
      </c>
      <c r="BG50" s="365">
        <f t="shared" si="45"/>
        <v>90</v>
      </c>
    </row>
    <row r="51" spans="6:59" ht="20.149999999999999" customHeight="1" x14ac:dyDescent="0.35">
      <c r="F51" s="61">
        <v>43</v>
      </c>
      <c r="G51" s="62" t="str">
        <f>IF('set-dasis'!F47=0,"",'set-dasis'!F47)</f>
        <v>RAYKHAN DWI FARDHANI</v>
      </c>
      <c r="H51" s="376">
        <v>74</v>
      </c>
      <c r="I51" s="376">
        <v>100</v>
      </c>
      <c r="J51" s="376">
        <v>49</v>
      </c>
      <c r="K51" s="376">
        <v>70</v>
      </c>
      <c r="L51" s="376">
        <v>80</v>
      </c>
      <c r="M51" s="376">
        <v>22</v>
      </c>
      <c r="N51" s="376">
        <v>67</v>
      </c>
      <c r="O51" s="376">
        <v>62</v>
      </c>
      <c r="P51" s="376">
        <v>64</v>
      </c>
      <c r="Q51" s="376">
        <v>63</v>
      </c>
      <c r="R51" s="376">
        <v>80</v>
      </c>
      <c r="S51" s="376">
        <v>50</v>
      </c>
      <c r="T51" s="376">
        <v>85</v>
      </c>
      <c r="U51" s="376">
        <v>50</v>
      </c>
      <c r="V51" s="376">
        <v>40</v>
      </c>
      <c r="W51" s="376">
        <v>65</v>
      </c>
      <c r="X51" s="376">
        <v>85</v>
      </c>
      <c r="Y51" s="65">
        <f t="shared" si="46"/>
        <v>1106</v>
      </c>
      <c r="Z51" s="68">
        <f t="shared" si="47"/>
        <v>65.058823529411768</v>
      </c>
      <c r="AA51" s="63">
        <f t="shared" si="48"/>
        <v>49</v>
      </c>
      <c r="AB51" s="63">
        <f t="shared" si="16"/>
        <v>50</v>
      </c>
      <c r="AC51" s="63">
        <f t="shared" si="49"/>
        <v>74</v>
      </c>
      <c r="AD51" s="63">
        <f t="shared" si="18"/>
        <v>75</v>
      </c>
      <c r="AE51" s="63">
        <f t="shared" si="50"/>
        <v>50</v>
      </c>
      <c r="AF51" s="63">
        <f t="shared" si="20"/>
        <v>51</v>
      </c>
      <c r="AG51" s="63">
        <f t="shared" si="51"/>
        <v>85</v>
      </c>
      <c r="AH51" s="63">
        <f t="shared" si="22"/>
        <v>86</v>
      </c>
      <c r="AI51" s="63">
        <f t="shared" si="52"/>
        <v>50</v>
      </c>
      <c r="AJ51" s="63">
        <f t="shared" si="24"/>
        <v>51</v>
      </c>
      <c r="AK51" s="63">
        <f t="shared" si="53"/>
        <v>40</v>
      </c>
      <c r="AL51" s="63">
        <f t="shared" si="26"/>
        <v>41</v>
      </c>
      <c r="AM51" s="63">
        <f t="shared" si="54"/>
        <v>65</v>
      </c>
      <c r="AN51" s="63">
        <f t="shared" si="28"/>
        <v>66</v>
      </c>
      <c r="AQ51" s="365">
        <f t="shared" si="29"/>
        <v>75</v>
      </c>
      <c r="AR51" s="365">
        <f t="shared" si="30"/>
        <v>100</v>
      </c>
      <c r="AS51" s="365">
        <f t="shared" si="31"/>
        <v>75</v>
      </c>
      <c r="AT51" s="365">
        <f t="shared" si="32"/>
        <v>75</v>
      </c>
      <c r="AU51" s="365">
        <f t="shared" si="33"/>
        <v>80</v>
      </c>
      <c r="AV51" s="365">
        <f t="shared" si="34"/>
        <v>75</v>
      </c>
      <c r="AW51" s="365">
        <f t="shared" si="35"/>
        <v>75</v>
      </c>
      <c r="AX51" s="365">
        <f t="shared" si="36"/>
        <v>75</v>
      </c>
      <c r="AY51" s="365">
        <f t="shared" si="37"/>
        <v>75</v>
      </c>
      <c r="AZ51" s="365">
        <f t="shared" si="38"/>
        <v>75</v>
      </c>
      <c r="BA51" s="365">
        <f t="shared" si="39"/>
        <v>80</v>
      </c>
      <c r="BB51" s="365">
        <f t="shared" si="40"/>
        <v>80</v>
      </c>
      <c r="BC51" s="365">
        <f t="shared" si="41"/>
        <v>85</v>
      </c>
      <c r="BD51" s="365">
        <f t="shared" si="42"/>
        <v>80</v>
      </c>
      <c r="BE51" s="365">
        <f t="shared" si="43"/>
        <v>80</v>
      </c>
      <c r="BF51" s="365">
        <f t="shared" si="44"/>
        <v>80</v>
      </c>
      <c r="BG51" s="365">
        <f t="shared" si="45"/>
        <v>85</v>
      </c>
    </row>
    <row r="52" spans="6:59" ht="20.149999999999999" customHeight="1" x14ac:dyDescent="0.35">
      <c r="F52" s="61">
        <v>44</v>
      </c>
      <c r="G52" s="62" t="str">
        <f>IF('set-dasis'!F48=0,"",'set-dasis'!F48)</f>
        <v>ROZAN</v>
      </c>
      <c r="H52" s="376">
        <v>76</v>
      </c>
      <c r="I52" s="376">
        <v>100</v>
      </c>
      <c r="J52" s="376">
        <v>79</v>
      </c>
      <c r="K52" s="376">
        <v>100</v>
      </c>
      <c r="L52" s="376">
        <v>90</v>
      </c>
      <c r="M52" s="376">
        <v>60</v>
      </c>
      <c r="N52" s="376">
        <v>95</v>
      </c>
      <c r="O52" s="376">
        <v>83</v>
      </c>
      <c r="P52" s="376">
        <v>88</v>
      </c>
      <c r="Q52" s="376">
        <v>80</v>
      </c>
      <c r="R52" s="376">
        <v>80</v>
      </c>
      <c r="S52" s="376">
        <v>60</v>
      </c>
      <c r="T52" s="376">
        <v>90</v>
      </c>
      <c r="U52" s="376">
        <v>95</v>
      </c>
      <c r="V52" s="376">
        <v>100</v>
      </c>
      <c r="W52" s="376">
        <v>60</v>
      </c>
      <c r="X52" s="376">
        <v>90</v>
      </c>
      <c r="Y52" s="65">
        <f t="shared" si="46"/>
        <v>1426</v>
      </c>
      <c r="Z52" s="68">
        <f t="shared" si="47"/>
        <v>83.882352941176464</v>
      </c>
      <c r="AA52" s="63">
        <f t="shared" si="48"/>
        <v>79</v>
      </c>
      <c r="AB52" s="63">
        <f t="shared" si="16"/>
        <v>80</v>
      </c>
      <c r="AC52" s="63">
        <f t="shared" si="49"/>
        <v>76</v>
      </c>
      <c r="AD52" s="63">
        <f t="shared" si="18"/>
        <v>77</v>
      </c>
      <c r="AE52" s="63">
        <f t="shared" si="50"/>
        <v>60</v>
      </c>
      <c r="AF52" s="63">
        <f t="shared" si="20"/>
        <v>61</v>
      </c>
      <c r="AG52" s="63">
        <f t="shared" si="51"/>
        <v>90</v>
      </c>
      <c r="AH52" s="63">
        <f t="shared" si="22"/>
        <v>91</v>
      </c>
      <c r="AI52" s="63">
        <f t="shared" si="52"/>
        <v>95</v>
      </c>
      <c r="AJ52" s="63">
        <f t="shared" si="24"/>
        <v>96</v>
      </c>
      <c r="AK52" s="63">
        <f t="shared" si="53"/>
        <v>100</v>
      </c>
      <c r="AL52" s="63">
        <f t="shared" si="26"/>
        <v>100</v>
      </c>
      <c r="AM52" s="63">
        <f t="shared" si="54"/>
        <v>60</v>
      </c>
      <c r="AN52" s="63">
        <f t="shared" si="28"/>
        <v>61</v>
      </c>
      <c r="AQ52" s="365">
        <f t="shared" si="29"/>
        <v>76</v>
      </c>
      <c r="AR52" s="365">
        <f t="shared" si="30"/>
        <v>100</v>
      </c>
      <c r="AS52" s="365">
        <f t="shared" si="31"/>
        <v>79</v>
      </c>
      <c r="AT52" s="365">
        <f t="shared" si="32"/>
        <v>100</v>
      </c>
      <c r="AU52" s="365">
        <f t="shared" si="33"/>
        <v>90</v>
      </c>
      <c r="AV52" s="365">
        <f t="shared" si="34"/>
        <v>75</v>
      </c>
      <c r="AW52" s="365">
        <f t="shared" si="35"/>
        <v>95</v>
      </c>
      <c r="AX52" s="365">
        <f t="shared" si="36"/>
        <v>83</v>
      </c>
      <c r="AY52" s="365">
        <f t="shared" si="37"/>
        <v>88</v>
      </c>
      <c r="AZ52" s="365">
        <f t="shared" si="38"/>
        <v>80</v>
      </c>
      <c r="BA52" s="365">
        <f t="shared" si="39"/>
        <v>80</v>
      </c>
      <c r="BB52" s="365">
        <f t="shared" si="40"/>
        <v>80</v>
      </c>
      <c r="BC52" s="365">
        <f t="shared" si="41"/>
        <v>90</v>
      </c>
      <c r="BD52" s="365">
        <f t="shared" si="42"/>
        <v>95</v>
      </c>
      <c r="BE52" s="365">
        <f t="shared" si="43"/>
        <v>100</v>
      </c>
      <c r="BF52" s="365">
        <f t="shared" si="44"/>
        <v>80</v>
      </c>
      <c r="BG52" s="365">
        <f t="shared" si="45"/>
        <v>90</v>
      </c>
    </row>
    <row r="53" spans="6:59" ht="20.149999999999999" customHeight="1" x14ac:dyDescent="0.35">
      <c r="F53" s="61">
        <v>45</v>
      </c>
      <c r="G53" s="62" t="str">
        <f>IF('set-dasis'!F49=0,"",'set-dasis'!F49)</f>
        <v>UMAIR ABDURROZZAQ</v>
      </c>
      <c r="H53" s="376">
        <v>80</v>
      </c>
      <c r="I53" s="376">
        <v>100</v>
      </c>
      <c r="J53" s="376">
        <v>85</v>
      </c>
      <c r="K53" s="376">
        <v>84</v>
      </c>
      <c r="L53" s="376">
        <v>75</v>
      </c>
      <c r="M53" s="376">
        <v>66</v>
      </c>
      <c r="N53" s="376">
        <v>75</v>
      </c>
      <c r="O53" s="376">
        <v>83</v>
      </c>
      <c r="P53" s="376">
        <v>80</v>
      </c>
      <c r="Q53" s="376">
        <v>75</v>
      </c>
      <c r="R53" s="376">
        <v>80</v>
      </c>
      <c r="S53" s="376">
        <v>45</v>
      </c>
      <c r="T53" s="376">
        <v>83</v>
      </c>
      <c r="U53" s="376">
        <v>70</v>
      </c>
      <c r="V53" s="376">
        <v>60</v>
      </c>
      <c r="W53" s="376">
        <v>87</v>
      </c>
      <c r="X53" s="376">
        <v>83</v>
      </c>
      <c r="Y53" s="65">
        <f t="shared" si="46"/>
        <v>1311</v>
      </c>
      <c r="Z53" s="68">
        <f t="shared" si="47"/>
        <v>77.117647058823536</v>
      </c>
      <c r="AA53" s="63">
        <f t="shared" si="48"/>
        <v>85</v>
      </c>
      <c r="AB53" s="63">
        <f t="shared" si="16"/>
        <v>86</v>
      </c>
      <c r="AC53" s="63">
        <f t="shared" si="49"/>
        <v>80</v>
      </c>
      <c r="AD53" s="63">
        <f t="shared" si="18"/>
        <v>81</v>
      </c>
      <c r="AE53" s="63">
        <f t="shared" si="50"/>
        <v>45</v>
      </c>
      <c r="AF53" s="63">
        <f t="shared" si="20"/>
        <v>46</v>
      </c>
      <c r="AG53" s="63">
        <f t="shared" si="51"/>
        <v>83</v>
      </c>
      <c r="AH53" s="63">
        <f t="shared" si="22"/>
        <v>84</v>
      </c>
      <c r="AI53" s="63">
        <f t="shared" si="52"/>
        <v>70</v>
      </c>
      <c r="AJ53" s="63">
        <f t="shared" si="24"/>
        <v>71</v>
      </c>
      <c r="AK53" s="63">
        <f t="shared" si="53"/>
        <v>60</v>
      </c>
      <c r="AL53" s="63">
        <f t="shared" si="26"/>
        <v>61</v>
      </c>
      <c r="AM53" s="63">
        <f t="shared" si="54"/>
        <v>87</v>
      </c>
      <c r="AN53" s="63">
        <f t="shared" si="28"/>
        <v>88</v>
      </c>
      <c r="AQ53" s="365">
        <f t="shared" si="29"/>
        <v>80</v>
      </c>
      <c r="AR53" s="365">
        <f t="shared" si="30"/>
        <v>100</v>
      </c>
      <c r="AS53" s="365">
        <f t="shared" si="31"/>
        <v>85</v>
      </c>
      <c r="AT53" s="365">
        <f t="shared" si="32"/>
        <v>84</v>
      </c>
      <c r="AU53" s="365">
        <f t="shared" si="33"/>
        <v>75</v>
      </c>
      <c r="AV53" s="365">
        <f t="shared" si="34"/>
        <v>75</v>
      </c>
      <c r="AW53" s="365">
        <f t="shared" si="35"/>
        <v>75</v>
      </c>
      <c r="AX53" s="365">
        <f t="shared" si="36"/>
        <v>83</v>
      </c>
      <c r="AY53" s="365">
        <f t="shared" si="37"/>
        <v>80</v>
      </c>
      <c r="AZ53" s="365">
        <f t="shared" si="38"/>
        <v>75</v>
      </c>
      <c r="BA53" s="365">
        <f t="shared" si="39"/>
        <v>80</v>
      </c>
      <c r="BB53" s="365">
        <f t="shared" si="40"/>
        <v>80</v>
      </c>
      <c r="BC53" s="365">
        <f t="shared" si="41"/>
        <v>83</v>
      </c>
      <c r="BD53" s="365">
        <f t="shared" si="42"/>
        <v>80</v>
      </c>
      <c r="BE53" s="365">
        <f t="shared" si="43"/>
        <v>80</v>
      </c>
      <c r="BF53" s="365">
        <f t="shared" si="44"/>
        <v>87</v>
      </c>
      <c r="BG53" s="365">
        <f t="shared" si="45"/>
        <v>83</v>
      </c>
    </row>
    <row r="54" spans="6:59" ht="20.149999999999999" customHeight="1" x14ac:dyDescent="0.35">
      <c r="F54" s="61">
        <v>46</v>
      </c>
      <c r="G54" s="62" t="str">
        <f>IF('set-dasis'!F50=0,"",'set-dasis'!F50)</f>
        <v>YAHYA BIN ABU MUHAMMAD</v>
      </c>
      <c r="H54" s="376">
        <v>81</v>
      </c>
      <c r="I54" s="376">
        <v>95</v>
      </c>
      <c r="J54" s="376">
        <v>76</v>
      </c>
      <c r="K54" s="376">
        <v>95</v>
      </c>
      <c r="L54" s="376">
        <v>90</v>
      </c>
      <c r="M54" s="376">
        <v>78</v>
      </c>
      <c r="N54" s="376">
        <v>60</v>
      </c>
      <c r="O54" s="376">
        <v>74</v>
      </c>
      <c r="P54" s="376">
        <v>72</v>
      </c>
      <c r="Q54" s="376">
        <v>88</v>
      </c>
      <c r="R54" s="376">
        <v>80</v>
      </c>
      <c r="S54" s="376">
        <v>75</v>
      </c>
      <c r="T54" s="376">
        <v>98</v>
      </c>
      <c r="U54" s="376">
        <v>80</v>
      </c>
      <c r="V54" s="376">
        <v>70</v>
      </c>
      <c r="W54" s="376">
        <v>89</v>
      </c>
      <c r="X54" s="376">
        <v>98</v>
      </c>
      <c r="Y54" s="65">
        <f t="shared" si="46"/>
        <v>1399</v>
      </c>
      <c r="Z54" s="68">
        <f t="shared" si="47"/>
        <v>82.294117647058826</v>
      </c>
      <c r="AA54" s="63">
        <f t="shared" si="48"/>
        <v>76</v>
      </c>
      <c r="AB54" s="63">
        <f t="shared" si="16"/>
        <v>77</v>
      </c>
      <c r="AC54" s="63">
        <f t="shared" si="49"/>
        <v>81</v>
      </c>
      <c r="AD54" s="63">
        <f t="shared" si="18"/>
        <v>82</v>
      </c>
      <c r="AE54" s="63">
        <f t="shared" si="50"/>
        <v>75</v>
      </c>
      <c r="AF54" s="63">
        <f t="shared" si="20"/>
        <v>76</v>
      </c>
      <c r="AG54" s="63">
        <f t="shared" si="51"/>
        <v>98</v>
      </c>
      <c r="AH54" s="63">
        <f t="shared" si="22"/>
        <v>99</v>
      </c>
      <c r="AI54" s="63">
        <f t="shared" si="52"/>
        <v>80</v>
      </c>
      <c r="AJ54" s="63">
        <f t="shared" si="24"/>
        <v>81</v>
      </c>
      <c r="AK54" s="63">
        <f t="shared" si="53"/>
        <v>70</v>
      </c>
      <c r="AL54" s="63">
        <f t="shared" si="26"/>
        <v>71</v>
      </c>
      <c r="AM54" s="63">
        <f t="shared" si="54"/>
        <v>89</v>
      </c>
      <c r="AN54" s="63">
        <f t="shared" si="28"/>
        <v>90</v>
      </c>
      <c r="AQ54" s="365">
        <f t="shared" si="29"/>
        <v>81</v>
      </c>
      <c r="AR54" s="365">
        <f t="shared" si="30"/>
        <v>95</v>
      </c>
      <c r="AS54" s="365">
        <f t="shared" si="31"/>
        <v>76</v>
      </c>
      <c r="AT54" s="365">
        <f t="shared" si="32"/>
        <v>95</v>
      </c>
      <c r="AU54" s="365">
        <f t="shared" si="33"/>
        <v>90</v>
      </c>
      <c r="AV54" s="365">
        <f t="shared" si="34"/>
        <v>78</v>
      </c>
      <c r="AW54" s="365">
        <f t="shared" si="35"/>
        <v>75</v>
      </c>
      <c r="AX54" s="365">
        <f t="shared" si="36"/>
        <v>75</v>
      </c>
      <c r="AY54" s="365">
        <f t="shared" si="37"/>
        <v>75</v>
      </c>
      <c r="AZ54" s="365">
        <f t="shared" si="38"/>
        <v>88</v>
      </c>
      <c r="BA54" s="365">
        <f t="shared" si="39"/>
        <v>80</v>
      </c>
      <c r="BB54" s="365">
        <f t="shared" si="40"/>
        <v>80</v>
      </c>
      <c r="BC54" s="365">
        <f t="shared" si="41"/>
        <v>98</v>
      </c>
      <c r="BD54" s="365">
        <f t="shared" si="42"/>
        <v>80</v>
      </c>
      <c r="BE54" s="365">
        <f t="shared" si="43"/>
        <v>80</v>
      </c>
      <c r="BF54" s="365">
        <f t="shared" si="44"/>
        <v>89</v>
      </c>
      <c r="BG54" s="365">
        <f t="shared" si="45"/>
        <v>98</v>
      </c>
    </row>
    <row r="55" spans="6:59" ht="20.149999999999999" customHeight="1" x14ac:dyDescent="0.35">
      <c r="F55" s="61">
        <v>47</v>
      </c>
      <c r="G55" s="62" t="str">
        <f>IF('set-dasis'!F51=0,"",'set-dasis'!F51)</f>
        <v/>
      </c>
      <c r="H55" s="376"/>
      <c r="I55" s="376"/>
      <c r="J55" s="376"/>
      <c r="K55" s="376"/>
      <c r="L55" s="376"/>
      <c r="M55" s="376"/>
      <c r="N55" s="376"/>
      <c r="O55" s="376"/>
      <c r="P55" s="376"/>
      <c r="Q55" s="376"/>
      <c r="R55" s="376"/>
      <c r="S55" s="376"/>
      <c r="T55" s="376"/>
      <c r="U55" s="376"/>
      <c r="V55" s="376"/>
      <c r="W55" s="376"/>
      <c r="X55" s="376"/>
      <c r="Y55" s="65">
        <f t="shared" si="46"/>
        <v>0</v>
      </c>
      <c r="Z55" s="68" t="str">
        <f t="shared" si="47"/>
        <v/>
      </c>
      <c r="AA55" s="63" t="str">
        <f t="shared" si="48"/>
        <v/>
      </c>
      <c r="AB55" s="63" t="str">
        <f t="shared" si="16"/>
        <v/>
      </c>
      <c r="AC55" s="63" t="str">
        <f t="shared" si="49"/>
        <v/>
      </c>
      <c r="AD55" s="63" t="str">
        <f t="shared" si="18"/>
        <v/>
      </c>
      <c r="AE55" s="63" t="str">
        <f t="shared" si="50"/>
        <v/>
      </c>
      <c r="AF55" s="63" t="str">
        <f t="shared" si="20"/>
        <v/>
      </c>
      <c r="AG55" s="63" t="str">
        <f t="shared" si="51"/>
        <v/>
      </c>
      <c r="AH55" s="63" t="str">
        <f t="shared" si="22"/>
        <v/>
      </c>
      <c r="AI55" s="63" t="str">
        <f t="shared" si="52"/>
        <v/>
      </c>
      <c r="AJ55" s="63" t="str">
        <f t="shared" si="24"/>
        <v/>
      </c>
      <c r="AK55" s="63" t="str">
        <f t="shared" si="53"/>
        <v/>
      </c>
      <c r="AL55" s="63" t="str">
        <f t="shared" si="26"/>
        <v/>
      </c>
      <c r="AM55" s="63" t="str">
        <f t="shared" si="54"/>
        <v/>
      </c>
      <c r="AN55" s="63" t="str">
        <f t="shared" si="28"/>
        <v/>
      </c>
      <c r="AQ55" s="365" t="str">
        <f t="shared" si="29"/>
        <v/>
      </c>
      <c r="AR55" s="365" t="str">
        <f t="shared" si="30"/>
        <v/>
      </c>
      <c r="AS55" s="365" t="str">
        <f t="shared" si="31"/>
        <v/>
      </c>
      <c r="AT55" s="365" t="str">
        <f t="shared" si="32"/>
        <v/>
      </c>
      <c r="AU55" s="365" t="str">
        <f t="shared" si="33"/>
        <v/>
      </c>
      <c r="AV55" s="365" t="str">
        <f t="shared" si="34"/>
        <v/>
      </c>
      <c r="AW55" s="365" t="str">
        <f t="shared" si="35"/>
        <v/>
      </c>
      <c r="AX55" s="365" t="str">
        <f t="shared" si="36"/>
        <v/>
      </c>
      <c r="AY55" s="365" t="str">
        <f t="shared" si="37"/>
        <v/>
      </c>
      <c r="AZ55" s="365" t="str">
        <f t="shared" si="38"/>
        <v/>
      </c>
      <c r="BA55" s="365" t="str">
        <f t="shared" si="39"/>
        <v/>
      </c>
      <c r="BB55" s="365" t="str">
        <f t="shared" si="40"/>
        <v/>
      </c>
      <c r="BC55" s="365" t="str">
        <f t="shared" si="41"/>
        <v/>
      </c>
      <c r="BD55" s="365" t="str">
        <f t="shared" si="42"/>
        <v/>
      </c>
      <c r="BE55" s="365" t="str">
        <f t="shared" si="43"/>
        <v/>
      </c>
      <c r="BF55" s="365" t="str">
        <f t="shared" si="44"/>
        <v/>
      </c>
      <c r="BG55" s="365" t="str">
        <f t="shared" si="45"/>
        <v/>
      </c>
    </row>
    <row r="56" spans="6:59" ht="20.149999999999999" customHeight="1" x14ac:dyDescent="0.35">
      <c r="F56" s="61">
        <v>48</v>
      </c>
      <c r="G56" s="62" t="str">
        <f>IF('set-dasis'!F52=0,"",'set-dasis'!F52)</f>
        <v/>
      </c>
      <c r="H56" s="376"/>
      <c r="I56" s="376"/>
      <c r="J56" s="376"/>
      <c r="K56" s="376"/>
      <c r="L56" s="376"/>
      <c r="M56" s="376"/>
      <c r="N56" s="376"/>
      <c r="O56" s="376"/>
      <c r="P56" s="376"/>
      <c r="Q56" s="376"/>
      <c r="R56" s="376"/>
      <c r="S56" s="376"/>
      <c r="T56" s="376"/>
      <c r="U56" s="376"/>
      <c r="V56" s="376"/>
      <c r="W56" s="376"/>
      <c r="X56" s="376"/>
      <c r="Y56" s="65">
        <f t="shared" si="46"/>
        <v>0</v>
      </c>
      <c r="Z56" s="68" t="str">
        <f t="shared" si="47"/>
        <v/>
      </c>
      <c r="AA56" s="63" t="str">
        <f t="shared" si="48"/>
        <v/>
      </c>
      <c r="AB56" s="63" t="str">
        <f t="shared" si="16"/>
        <v/>
      </c>
      <c r="AC56" s="63" t="str">
        <f t="shared" si="49"/>
        <v/>
      </c>
      <c r="AD56" s="63" t="str">
        <f t="shared" si="18"/>
        <v/>
      </c>
      <c r="AE56" s="63" t="str">
        <f t="shared" si="50"/>
        <v/>
      </c>
      <c r="AF56" s="63" t="str">
        <f t="shared" si="20"/>
        <v/>
      </c>
      <c r="AG56" s="63" t="str">
        <f t="shared" si="51"/>
        <v/>
      </c>
      <c r="AH56" s="63" t="str">
        <f t="shared" si="22"/>
        <v/>
      </c>
      <c r="AI56" s="63" t="str">
        <f t="shared" si="52"/>
        <v/>
      </c>
      <c r="AJ56" s="63" t="str">
        <f t="shared" si="24"/>
        <v/>
      </c>
      <c r="AK56" s="63" t="str">
        <f t="shared" si="53"/>
        <v/>
      </c>
      <c r="AL56" s="63" t="str">
        <f t="shared" si="26"/>
        <v/>
      </c>
      <c r="AM56" s="63" t="str">
        <f t="shared" si="54"/>
        <v/>
      </c>
      <c r="AN56" s="63" t="str">
        <f t="shared" si="28"/>
        <v/>
      </c>
      <c r="AQ56" s="365" t="str">
        <f t="shared" si="29"/>
        <v/>
      </c>
      <c r="AR56" s="365" t="str">
        <f t="shared" si="30"/>
        <v/>
      </c>
      <c r="AS56" s="365" t="str">
        <f t="shared" si="31"/>
        <v/>
      </c>
      <c r="AT56" s="365" t="str">
        <f t="shared" si="32"/>
        <v/>
      </c>
      <c r="AU56" s="365" t="str">
        <f t="shared" si="33"/>
        <v/>
      </c>
      <c r="AV56" s="365" t="str">
        <f t="shared" si="34"/>
        <v/>
      </c>
      <c r="AW56" s="365" t="str">
        <f t="shared" si="35"/>
        <v/>
      </c>
      <c r="AX56" s="365" t="str">
        <f t="shared" si="36"/>
        <v/>
      </c>
      <c r="AY56" s="365" t="str">
        <f t="shared" si="37"/>
        <v/>
      </c>
      <c r="AZ56" s="365" t="str">
        <f t="shared" si="38"/>
        <v/>
      </c>
      <c r="BA56" s="365" t="str">
        <f t="shared" si="39"/>
        <v/>
      </c>
      <c r="BB56" s="365" t="str">
        <f t="shared" si="40"/>
        <v/>
      </c>
      <c r="BC56" s="365" t="str">
        <f t="shared" si="41"/>
        <v/>
      </c>
      <c r="BD56" s="365" t="str">
        <f t="shared" si="42"/>
        <v/>
      </c>
      <c r="BE56" s="365" t="str">
        <f t="shared" si="43"/>
        <v/>
      </c>
      <c r="BF56" s="365" t="str">
        <f t="shared" si="44"/>
        <v/>
      </c>
      <c r="BG56" s="365" t="str">
        <f t="shared" si="45"/>
        <v/>
      </c>
    </row>
    <row r="57" spans="6:59" ht="20.149999999999999" customHeight="1" x14ac:dyDescent="0.35">
      <c r="F57" s="61">
        <v>49</v>
      </c>
      <c r="G57" s="62" t="str">
        <f>IF('set-dasis'!F53=0,"",'set-dasis'!F53)</f>
        <v/>
      </c>
      <c r="H57" s="376"/>
      <c r="I57" s="376"/>
      <c r="J57" s="376"/>
      <c r="K57" s="376"/>
      <c r="L57" s="376"/>
      <c r="M57" s="376"/>
      <c r="N57" s="376"/>
      <c r="O57" s="376"/>
      <c r="P57" s="376"/>
      <c r="Q57" s="376"/>
      <c r="R57" s="376"/>
      <c r="S57" s="376"/>
      <c r="T57" s="376"/>
      <c r="U57" s="376"/>
      <c r="V57" s="376"/>
      <c r="W57" s="376"/>
      <c r="X57" s="376"/>
      <c r="Y57" s="65">
        <f t="shared" si="46"/>
        <v>0</v>
      </c>
      <c r="Z57" s="68" t="str">
        <f t="shared" si="47"/>
        <v/>
      </c>
      <c r="AA57" s="63" t="str">
        <f t="shared" si="48"/>
        <v/>
      </c>
      <c r="AB57" s="63" t="str">
        <f t="shared" si="16"/>
        <v/>
      </c>
      <c r="AC57" s="63" t="str">
        <f t="shared" si="49"/>
        <v/>
      </c>
      <c r="AD57" s="63" t="str">
        <f t="shared" si="18"/>
        <v/>
      </c>
      <c r="AE57" s="63" t="str">
        <f t="shared" si="50"/>
        <v/>
      </c>
      <c r="AF57" s="63" t="str">
        <f t="shared" si="20"/>
        <v/>
      </c>
      <c r="AG57" s="63" t="str">
        <f t="shared" si="51"/>
        <v/>
      </c>
      <c r="AH57" s="63" t="str">
        <f t="shared" si="22"/>
        <v/>
      </c>
      <c r="AI57" s="63" t="str">
        <f t="shared" si="52"/>
        <v/>
      </c>
      <c r="AJ57" s="63" t="str">
        <f t="shared" si="24"/>
        <v/>
      </c>
      <c r="AK57" s="63" t="str">
        <f t="shared" si="53"/>
        <v/>
      </c>
      <c r="AL57" s="63" t="str">
        <f t="shared" si="26"/>
        <v/>
      </c>
      <c r="AM57" s="63" t="str">
        <f t="shared" si="54"/>
        <v/>
      </c>
      <c r="AN57" s="63" t="str">
        <f t="shared" si="28"/>
        <v/>
      </c>
      <c r="AQ57" s="365" t="str">
        <f t="shared" si="29"/>
        <v/>
      </c>
      <c r="AR57" s="365" t="str">
        <f t="shared" si="30"/>
        <v/>
      </c>
      <c r="AS57" s="365" t="str">
        <f t="shared" si="31"/>
        <v/>
      </c>
      <c r="AT57" s="365" t="str">
        <f t="shared" si="32"/>
        <v/>
      </c>
      <c r="AU57" s="365" t="str">
        <f t="shared" si="33"/>
        <v/>
      </c>
      <c r="AV57" s="365" t="str">
        <f t="shared" si="34"/>
        <v/>
      </c>
      <c r="AW57" s="365" t="str">
        <f t="shared" si="35"/>
        <v/>
      </c>
      <c r="AX57" s="365" t="str">
        <f t="shared" si="36"/>
        <v/>
      </c>
      <c r="AY57" s="365" t="str">
        <f t="shared" si="37"/>
        <v/>
      </c>
      <c r="AZ57" s="365" t="str">
        <f t="shared" si="38"/>
        <v/>
      </c>
      <c r="BA57" s="365" t="str">
        <f t="shared" si="39"/>
        <v/>
      </c>
      <c r="BB57" s="365" t="str">
        <f t="shared" si="40"/>
        <v/>
      </c>
      <c r="BC57" s="365" t="str">
        <f t="shared" si="41"/>
        <v/>
      </c>
      <c r="BD57" s="365" t="str">
        <f t="shared" si="42"/>
        <v/>
      </c>
      <c r="BE57" s="365" t="str">
        <f t="shared" si="43"/>
        <v/>
      </c>
      <c r="BF57" s="365" t="str">
        <f t="shared" si="44"/>
        <v/>
      </c>
      <c r="BG57" s="365" t="str">
        <f t="shared" si="45"/>
        <v/>
      </c>
    </row>
    <row r="58" spans="6:59" ht="20.149999999999999" customHeight="1" x14ac:dyDescent="0.35">
      <c r="F58" s="61">
        <v>50</v>
      </c>
      <c r="G58" s="62" t="str">
        <f>IF('set-dasis'!F54=0,"",'set-dasis'!F54)</f>
        <v/>
      </c>
      <c r="H58" s="376"/>
      <c r="I58" s="376"/>
      <c r="J58" s="376"/>
      <c r="K58" s="376"/>
      <c r="L58" s="376"/>
      <c r="M58" s="376"/>
      <c r="N58" s="376"/>
      <c r="O58" s="376"/>
      <c r="P58" s="376"/>
      <c r="Q58" s="376"/>
      <c r="R58" s="376"/>
      <c r="S58" s="376"/>
      <c r="T58" s="376"/>
      <c r="U58" s="376"/>
      <c r="V58" s="376"/>
      <c r="W58" s="376"/>
      <c r="X58" s="376"/>
      <c r="Y58" s="65">
        <f t="shared" si="46"/>
        <v>0</v>
      </c>
      <c r="Z58" s="68" t="str">
        <f t="shared" si="47"/>
        <v/>
      </c>
      <c r="AA58" s="63" t="str">
        <f t="shared" si="48"/>
        <v/>
      </c>
      <c r="AB58" s="63" t="str">
        <f t="shared" si="16"/>
        <v/>
      </c>
      <c r="AC58" s="63" t="str">
        <f t="shared" si="49"/>
        <v/>
      </c>
      <c r="AD58" s="63" t="str">
        <f t="shared" si="18"/>
        <v/>
      </c>
      <c r="AE58" s="63" t="str">
        <f t="shared" si="50"/>
        <v/>
      </c>
      <c r="AF58" s="63" t="str">
        <f t="shared" si="20"/>
        <v/>
      </c>
      <c r="AG58" s="63" t="str">
        <f t="shared" si="51"/>
        <v/>
      </c>
      <c r="AH58" s="63" t="str">
        <f t="shared" si="22"/>
        <v/>
      </c>
      <c r="AI58" s="63" t="str">
        <f t="shared" si="52"/>
        <v/>
      </c>
      <c r="AJ58" s="63" t="str">
        <f t="shared" si="24"/>
        <v/>
      </c>
      <c r="AK58" s="63" t="str">
        <f t="shared" si="53"/>
        <v/>
      </c>
      <c r="AL58" s="63" t="str">
        <f t="shared" si="26"/>
        <v/>
      </c>
      <c r="AM58" s="63" t="str">
        <f t="shared" si="54"/>
        <v/>
      </c>
      <c r="AN58" s="63" t="str">
        <f t="shared" si="28"/>
        <v/>
      </c>
      <c r="AQ58" s="365" t="str">
        <f t="shared" si="29"/>
        <v/>
      </c>
      <c r="AR58" s="365" t="str">
        <f t="shared" si="30"/>
        <v/>
      </c>
      <c r="AS58" s="365" t="str">
        <f t="shared" si="31"/>
        <v/>
      </c>
      <c r="AT58" s="365" t="str">
        <f t="shared" si="32"/>
        <v/>
      </c>
      <c r="AU58" s="365" t="str">
        <f t="shared" si="33"/>
        <v/>
      </c>
      <c r="AV58" s="365" t="str">
        <f t="shared" si="34"/>
        <v/>
      </c>
      <c r="AW58" s="365" t="str">
        <f t="shared" si="35"/>
        <v/>
      </c>
      <c r="AX58" s="365" t="str">
        <f t="shared" si="36"/>
        <v/>
      </c>
      <c r="AY58" s="365" t="str">
        <f t="shared" si="37"/>
        <v/>
      </c>
      <c r="AZ58" s="365" t="str">
        <f t="shared" si="38"/>
        <v/>
      </c>
      <c r="BA58" s="365" t="str">
        <f t="shared" si="39"/>
        <v/>
      </c>
      <c r="BB58" s="365" t="str">
        <f t="shared" si="40"/>
        <v/>
      </c>
      <c r="BC58" s="365" t="str">
        <f t="shared" si="41"/>
        <v/>
      </c>
      <c r="BD58" s="365" t="str">
        <f t="shared" si="42"/>
        <v/>
      </c>
      <c r="BE58" s="365" t="str">
        <f t="shared" si="43"/>
        <v/>
      </c>
      <c r="BF58" s="365" t="str">
        <f t="shared" si="44"/>
        <v/>
      </c>
      <c r="BG58" s="365" t="str">
        <f t="shared" si="45"/>
        <v/>
      </c>
    </row>
    <row r="59" spans="6:59" ht="20.149999999999999" customHeight="1" x14ac:dyDescent="0.35">
      <c r="F59" s="452" t="s">
        <v>164</v>
      </c>
      <c r="G59" s="453"/>
      <c r="H59" s="170">
        <f t="shared" ref="H59:X59" si="55">AVERAGE(H9:H58)</f>
        <v>74.847826086956516</v>
      </c>
      <c r="I59" s="170">
        <f t="shared" si="55"/>
        <v>93.822222222222223</v>
      </c>
      <c r="J59" s="170">
        <f t="shared" si="55"/>
        <v>77.844444444444449</v>
      </c>
      <c r="K59" s="170">
        <f t="shared" si="55"/>
        <v>81.543478260869563</v>
      </c>
      <c r="L59" s="170">
        <f t="shared" si="55"/>
        <v>82.954545454545453</v>
      </c>
      <c r="M59" s="170">
        <f t="shared" si="55"/>
        <v>53.81818181818182</v>
      </c>
      <c r="N59" s="170">
        <f t="shared" si="55"/>
        <v>81.36363636363636</v>
      </c>
      <c r="O59" s="170">
        <f t="shared" si="55"/>
        <v>70.61363636363636</v>
      </c>
      <c r="P59" s="170">
        <f t="shared" si="55"/>
        <v>68.022222222222226</v>
      </c>
      <c r="Q59" s="170">
        <f t="shared" si="55"/>
        <v>76.25</v>
      </c>
      <c r="R59" s="170">
        <f t="shared" si="55"/>
        <v>80.5</v>
      </c>
      <c r="S59" s="170">
        <f t="shared" si="55"/>
        <v>46.25</v>
      </c>
      <c r="T59" s="170">
        <f t="shared" si="55"/>
        <v>85.63636363636364</v>
      </c>
      <c r="U59" s="170">
        <f t="shared" si="55"/>
        <v>75.568181818181813</v>
      </c>
      <c r="V59" s="170">
        <f t="shared" si="55"/>
        <v>61.204545454545453</v>
      </c>
      <c r="W59" s="170">
        <f t="shared" si="55"/>
        <v>79.162790697674424</v>
      </c>
      <c r="X59" s="170">
        <f t="shared" si="55"/>
        <v>85.63636363636364</v>
      </c>
      <c r="Y59" s="300"/>
      <c r="Z59" s="300"/>
      <c r="AA59" s="300"/>
      <c r="AB59" s="300"/>
      <c r="AC59" s="300"/>
      <c r="AD59" s="300"/>
      <c r="AE59" s="300"/>
      <c r="AF59" s="300"/>
      <c r="AG59" s="300"/>
      <c r="AH59" s="300"/>
      <c r="AI59" s="300"/>
      <c r="AJ59" s="300"/>
      <c r="AK59" s="300"/>
      <c r="AL59" s="300"/>
      <c r="AM59" s="300"/>
      <c r="AN59" s="300"/>
      <c r="AQ59" s="170">
        <f t="shared" ref="AQ59:BG59" si="56">AVERAGE(AQ9:AQ58)</f>
        <v>77.978260869565219</v>
      </c>
      <c r="AR59" s="170">
        <f t="shared" si="56"/>
        <v>94.555555555555557</v>
      </c>
      <c r="AS59" s="170">
        <f t="shared" si="56"/>
        <v>82.066666666666663</v>
      </c>
      <c r="AT59" s="170">
        <f t="shared" si="56"/>
        <v>83.326086956521735</v>
      </c>
      <c r="AU59" s="170">
        <f t="shared" si="56"/>
        <v>86.931818181818187</v>
      </c>
      <c r="AV59" s="170">
        <f t="shared" si="56"/>
        <v>78.954545454545453</v>
      </c>
      <c r="AW59" s="170">
        <f t="shared" si="56"/>
        <v>84.38636363636364</v>
      </c>
      <c r="AX59" s="170">
        <f t="shared" si="56"/>
        <v>80</v>
      </c>
      <c r="AY59" s="170">
        <f t="shared" si="56"/>
        <v>78.044444444444451</v>
      </c>
      <c r="AZ59" s="170">
        <f t="shared" si="56"/>
        <v>80.545454545454547</v>
      </c>
      <c r="BA59" s="170">
        <f t="shared" si="56"/>
        <v>80.5</v>
      </c>
      <c r="BB59" s="170">
        <f t="shared" si="56"/>
        <v>80</v>
      </c>
      <c r="BC59" s="170">
        <f t="shared" si="56"/>
        <v>87.159090909090907</v>
      </c>
      <c r="BD59" s="170">
        <f t="shared" si="56"/>
        <v>85.11363636363636</v>
      </c>
      <c r="BE59" s="170">
        <f t="shared" si="56"/>
        <v>83.068181818181813</v>
      </c>
      <c r="BF59" s="170">
        <f t="shared" si="56"/>
        <v>85</v>
      </c>
      <c r="BG59" s="170">
        <f t="shared" si="56"/>
        <v>87.159090909090907</v>
      </c>
    </row>
  </sheetData>
  <mergeCells count="72">
    <mergeCell ref="F59:G59"/>
    <mergeCell ref="Z2:Z7"/>
    <mergeCell ref="F1:G1"/>
    <mergeCell ref="U2:U3"/>
    <mergeCell ref="V2:V3"/>
    <mergeCell ref="W2:W3"/>
    <mergeCell ref="F5:F7"/>
    <mergeCell ref="G5:G7"/>
    <mergeCell ref="P2:P3"/>
    <mergeCell ref="Q2:Q3"/>
    <mergeCell ref="S2:S3"/>
    <mergeCell ref="T2:T3"/>
    <mergeCell ref="J2:J3"/>
    <mergeCell ref="F2:G3"/>
    <mergeCell ref="F4:G4"/>
    <mergeCell ref="H2:H3"/>
    <mergeCell ref="AI4:AJ4"/>
    <mergeCell ref="AK4:AL4"/>
    <mergeCell ref="AM4:AN4"/>
    <mergeCell ref="AI2:AJ2"/>
    <mergeCell ref="AK2:AL2"/>
    <mergeCell ref="AM2:AN2"/>
    <mergeCell ref="AI3:AJ3"/>
    <mergeCell ref="AK3:AL3"/>
    <mergeCell ref="AM3:AN3"/>
    <mergeCell ref="AM6:AN6"/>
    <mergeCell ref="AA5:AN5"/>
    <mergeCell ref="AC6:AD6"/>
    <mergeCell ref="AI6:AJ6"/>
    <mergeCell ref="AK6:AL6"/>
    <mergeCell ref="AE6:AF6"/>
    <mergeCell ref="AA6:AB6"/>
    <mergeCell ref="AG4:AH4"/>
    <mergeCell ref="AG6:AH6"/>
    <mergeCell ref="AC2:AD2"/>
    <mergeCell ref="AC3:AD3"/>
    <mergeCell ref="AC4:AD4"/>
    <mergeCell ref="AE2:AF2"/>
    <mergeCell ref="AE3:AF3"/>
    <mergeCell ref="AE4:AF4"/>
    <mergeCell ref="AG2:AH2"/>
    <mergeCell ref="AG3:AH3"/>
    <mergeCell ref="K2:K3"/>
    <mergeCell ref="M2:M3"/>
    <mergeCell ref="X2:X3"/>
    <mergeCell ref="H5:X7"/>
    <mergeCell ref="AA2:AB2"/>
    <mergeCell ref="AA4:AB4"/>
    <mergeCell ref="Y2:Y7"/>
    <mergeCell ref="AA3:AB3"/>
    <mergeCell ref="N2:N3"/>
    <mergeCell ref="O2:O3"/>
    <mergeCell ref="I2:I3"/>
    <mergeCell ref="L2:L3"/>
    <mergeCell ref="R2:R3"/>
    <mergeCell ref="AQ1:AQ8"/>
    <mergeCell ref="AR1:AR8"/>
    <mergeCell ref="AS1:AS8"/>
    <mergeCell ref="AT1:AT8"/>
    <mergeCell ref="AU1:AU8"/>
    <mergeCell ref="AV1:AV8"/>
    <mergeCell ref="AW1:AW8"/>
    <mergeCell ref="AX1:AX8"/>
    <mergeCell ref="AY1:AY8"/>
    <mergeCell ref="AZ1:AZ8"/>
    <mergeCell ref="BF1:BF8"/>
    <mergeCell ref="BG1:BG8"/>
    <mergeCell ref="BA1:BA8"/>
    <mergeCell ref="BB1:BB8"/>
    <mergeCell ref="BC1:BC8"/>
    <mergeCell ref="BD1:BD8"/>
    <mergeCell ref="BE1:BE8"/>
  </mergeCells>
  <conditionalFormatting sqref="H9:X58">
    <cfRule type="containsBlanks" dxfId="2" priority="1">
      <formula>LEN(TRIM(H9))=0</formula>
    </cfRule>
    <cfRule type="cellIs" dxfId="1" priority="2" operator="lessThan">
      <formula>70</formula>
    </cfRule>
    <cfRule type="containsBlanks" dxfId="0" priority="3">
      <formula>LEN(TRIM(H9))=0</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dimension ref="A2:AA184"/>
  <sheetViews>
    <sheetView showGridLines="0" zoomScale="95" zoomScaleNormal="95" workbookViewId="0">
      <selection activeCell="S63" sqref="S63:W63"/>
    </sheetView>
  </sheetViews>
  <sheetFormatPr defaultRowHeight="14.5" x14ac:dyDescent="0.35"/>
  <cols>
    <col min="4" max="4" width="4.1796875" customWidth="1"/>
    <col min="5" max="5" width="5.81640625" customWidth="1"/>
    <col min="6" max="6" width="2.7265625" style="34" customWidth="1"/>
    <col min="7" max="7" width="1.1796875" style="34" customWidth="1"/>
    <col min="8" max="8" width="6.26953125" style="34" customWidth="1"/>
    <col min="9" max="9" width="1.7265625" style="34" customWidth="1"/>
    <col min="10" max="10" width="3.81640625" style="34" customWidth="1"/>
    <col min="11" max="11" width="2" style="34" customWidth="1"/>
    <col min="12" max="12" width="6.26953125" style="34" customWidth="1"/>
    <col min="13" max="13" width="2.54296875" style="34" customWidth="1"/>
    <col min="14" max="14" width="6.1796875" style="34" customWidth="1"/>
    <col min="15" max="15" width="7.26953125" style="149" customWidth="1"/>
    <col min="16" max="16" width="8.1796875" style="34" customWidth="1"/>
    <col min="17" max="17" width="8.26953125" style="34" customWidth="1"/>
    <col min="18" max="18" width="7.54296875" style="34" customWidth="1"/>
    <col min="19" max="19" width="8.81640625" style="34" customWidth="1"/>
    <col min="20" max="20" width="6.81640625" style="34" customWidth="1"/>
    <col min="21" max="21" width="1.26953125" style="34" customWidth="1"/>
    <col min="22" max="22" width="6.26953125" style="34" customWidth="1"/>
    <col min="23" max="23" width="9.26953125" style="34" customWidth="1"/>
    <col min="27" max="27" width="11.54296875" bestFit="1" customWidth="1"/>
  </cols>
  <sheetData>
    <row r="2" spans="1:27" ht="15" customHeight="1" x14ac:dyDescent="0.35">
      <c r="F2" s="473" t="s">
        <v>149</v>
      </c>
      <c r="G2" s="474"/>
      <c r="H2" s="474"/>
      <c r="I2" s="474"/>
      <c r="J2" s="474"/>
      <c r="K2" s="474"/>
      <c r="L2" s="474"/>
      <c r="M2" s="475"/>
      <c r="N2" s="479">
        <v>1</v>
      </c>
      <c r="O2" s="480" t="s">
        <v>136</v>
      </c>
      <c r="P2" s="480"/>
      <c r="Q2" s="481">
        <v>1</v>
      </c>
    </row>
    <row r="3" spans="1:27" ht="15" customHeight="1" x14ac:dyDescent="0.35">
      <c r="F3" s="476"/>
      <c r="G3" s="477"/>
      <c r="H3" s="477"/>
      <c r="I3" s="477"/>
      <c r="J3" s="477"/>
      <c r="K3" s="477"/>
      <c r="L3" s="477"/>
      <c r="M3" s="478"/>
      <c r="N3" s="479"/>
      <c r="O3" s="480"/>
      <c r="P3" s="480"/>
      <c r="Q3" s="481"/>
    </row>
    <row r="4" spans="1:27" ht="15" customHeight="1" x14ac:dyDescent="0.35">
      <c r="F4" s="53"/>
      <c r="G4" s="53"/>
      <c r="H4" s="53"/>
      <c r="I4" s="53"/>
      <c r="J4" s="53"/>
      <c r="K4" s="53"/>
      <c r="L4" s="53"/>
      <c r="M4" s="53"/>
      <c r="N4" s="53"/>
      <c r="O4" s="480" t="s">
        <v>137</v>
      </c>
      <c r="P4" s="480"/>
      <c r="Q4" s="481">
        <v>2</v>
      </c>
    </row>
    <row r="5" spans="1:27" ht="15" customHeight="1" x14ac:dyDescent="0.35">
      <c r="F5" s="53"/>
      <c r="G5" s="53"/>
      <c r="H5" s="53"/>
      <c r="I5" s="53"/>
      <c r="J5" s="53"/>
      <c r="K5" s="53"/>
      <c r="L5" s="53"/>
      <c r="M5" s="53"/>
      <c r="N5" s="53"/>
      <c r="O5" s="480"/>
      <c r="P5" s="480"/>
      <c r="Q5" s="481"/>
    </row>
    <row r="7" spans="1:27" ht="18" customHeight="1" x14ac:dyDescent="0.35">
      <c r="A7" s="38"/>
      <c r="B7" s="38"/>
      <c r="C7" s="38"/>
    </row>
    <row r="8" spans="1:27" ht="18" customHeight="1" x14ac:dyDescent="0.35">
      <c r="A8" s="38"/>
      <c r="B8" s="38"/>
      <c r="C8" s="38"/>
    </row>
    <row r="9" spans="1:27" s="34" customFormat="1" ht="22.5" customHeight="1" x14ac:dyDescent="0.35">
      <c r="A9" s="27"/>
      <c r="B9" s="27"/>
      <c r="C9" s="27"/>
      <c r="F9" s="484"/>
      <c r="G9" s="484"/>
      <c r="H9" s="484"/>
      <c r="I9" s="484"/>
      <c r="J9" s="484"/>
      <c r="K9" s="484"/>
      <c r="L9" s="484"/>
      <c r="M9" s="484"/>
      <c r="N9" s="484"/>
      <c r="O9" s="484"/>
      <c r="P9" s="484"/>
      <c r="Q9" s="484"/>
      <c r="R9" s="484"/>
      <c r="S9" s="484"/>
      <c r="T9" s="484"/>
      <c r="U9" s="484"/>
      <c r="V9" s="484"/>
      <c r="W9" s="484"/>
    </row>
    <row r="10" spans="1:27" s="34" customFormat="1" ht="22.5" customHeight="1" x14ac:dyDescent="0.35">
      <c r="A10" s="27"/>
      <c r="B10" s="27"/>
      <c r="C10" s="27"/>
      <c r="F10" s="484"/>
      <c r="G10" s="484"/>
      <c r="H10" s="484"/>
      <c r="I10" s="484"/>
      <c r="J10" s="484"/>
      <c r="K10" s="484"/>
      <c r="L10" s="484"/>
      <c r="M10" s="484"/>
      <c r="N10" s="484"/>
      <c r="O10" s="484"/>
      <c r="P10" s="484"/>
      <c r="Q10" s="484"/>
      <c r="R10" s="484"/>
      <c r="S10" s="484"/>
      <c r="T10" s="484"/>
      <c r="U10" s="484"/>
      <c r="V10" s="484"/>
      <c r="W10" s="484"/>
    </row>
    <row r="11" spans="1:27" s="34" customFormat="1" ht="14.25" customHeight="1" x14ac:dyDescent="0.35">
      <c r="A11" s="27"/>
      <c r="B11" s="27"/>
      <c r="C11" s="27"/>
      <c r="F11" s="156"/>
      <c r="G11" s="156"/>
      <c r="H11" s="156"/>
      <c r="I11" s="156"/>
      <c r="J11" s="156"/>
      <c r="K11" s="156"/>
      <c r="L11" s="156"/>
      <c r="M11" s="156"/>
      <c r="N11" s="156"/>
      <c r="O11" s="156"/>
      <c r="P11" s="156"/>
      <c r="Q11" s="156"/>
      <c r="R11" s="156"/>
      <c r="S11" s="156"/>
      <c r="T11" s="156"/>
      <c r="U11" s="156"/>
      <c r="V11" s="156"/>
      <c r="W11" s="156"/>
    </row>
    <row r="12" spans="1:27" ht="10" customHeight="1" x14ac:dyDescent="0.35">
      <c r="A12" s="38"/>
      <c r="B12" s="38"/>
      <c r="C12" s="38"/>
    </row>
    <row r="13" spans="1:27" ht="15" customHeight="1" x14ac:dyDescent="0.35">
      <c r="A13" s="38"/>
      <c r="B13" s="38"/>
      <c r="C13" s="38"/>
      <c r="F13" s="485" t="s">
        <v>258</v>
      </c>
      <c r="G13" s="485"/>
      <c r="H13" s="485"/>
      <c r="I13" s="485"/>
      <c r="J13" s="485"/>
      <c r="K13" s="485"/>
      <c r="L13" s="485"/>
      <c r="M13" s="485"/>
      <c r="N13" s="485"/>
      <c r="O13" s="485"/>
      <c r="P13" s="485"/>
      <c r="Q13" s="485"/>
      <c r="R13" s="485"/>
      <c r="S13" s="485"/>
      <c r="T13" s="485"/>
      <c r="U13" s="485"/>
      <c r="V13" s="485"/>
      <c r="W13" s="485"/>
    </row>
    <row r="14" spans="1:27" ht="15" customHeight="1" x14ac:dyDescent="0.35">
      <c r="A14" s="38"/>
      <c r="B14" s="38"/>
      <c r="C14" s="38"/>
      <c r="F14" s="485" t="s">
        <v>259</v>
      </c>
      <c r="G14" s="485"/>
      <c r="H14" s="485"/>
      <c r="I14" s="485"/>
      <c r="J14" s="485"/>
      <c r="K14" s="485"/>
      <c r="L14" s="485"/>
      <c r="M14" s="485"/>
      <c r="N14" s="485"/>
      <c r="O14" s="485"/>
      <c r="P14" s="485"/>
      <c r="Q14" s="485"/>
      <c r="R14" s="485"/>
      <c r="S14" s="485"/>
      <c r="T14" s="485"/>
      <c r="U14" s="485"/>
      <c r="V14" s="485"/>
      <c r="W14" s="485"/>
    </row>
    <row r="15" spans="1:27" ht="10" customHeight="1" x14ac:dyDescent="0.35">
      <c r="A15" s="38"/>
      <c r="B15" s="38"/>
      <c r="C15" s="38"/>
      <c r="F15" s="157"/>
      <c r="G15" s="157"/>
      <c r="H15" s="157"/>
      <c r="I15" s="157"/>
      <c r="J15" s="157"/>
      <c r="K15" s="157"/>
      <c r="L15" s="157"/>
      <c r="M15" s="157"/>
      <c r="N15" s="157"/>
      <c r="O15" s="157"/>
      <c r="P15" s="157"/>
      <c r="Q15" s="157"/>
      <c r="R15" s="157"/>
      <c r="S15" s="157"/>
      <c r="T15" s="157"/>
      <c r="U15" s="157"/>
      <c r="V15" s="157"/>
      <c r="W15" s="157"/>
    </row>
    <row r="16" spans="1:27" ht="14.15" customHeight="1" x14ac:dyDescent="0.35">
      <c r="A16" s="38"/>
      <c r="B16" s="38"/>
      <c r="C16" s="38"/>
      <c r="F16" s="138" t="s">
        <v>260</v>
      </c>
      <c r="G16" s="157"/>
      <c r="H16" s="157"/>
      <c r="I16" s="157"/>
      <c r="J16" s="157"/>
      <c r="K16" s="140" t="s">
        <v>1</v>
      </c>
      <c r="L16" s="486" t="str">
        <f>VLOOKUP(patokans1,datasantri,2,FALSE)</f>
        <v>ABDILLAH MUCHSIN AL ANSYORI</v>
      </c>
      <c r="M16" s="486"/>
      <c r="N16" s="486"/>
      <c r="O16" s="486"/>
      <c r="P16" s="486"/>
      <c r="Q16" s="157"/>
      <c r="S16" s="138" t="s">
        <v>30</v>
      </c>
      <c r="U16" s="138" t="s">
        <v>1</v>
      </c>
      <c r="V16" s="141" t="str">
        <f>kelas</f>
        <v>VII (Tujuh)</v>
      </c>
      <c r="W16" s="157"/>
      <c r="Z16" t="s">
        <v>2386</v>
      </c>
      <c r="AA16" t="str">
        <f>VLOOKUP(patokans1,datasantri,4,FALSE)</f>
        <v>0259</v>
      </c>
    </row>
    <row r="17" spans="1:27" ht="14.15" customHeight="1" x14ac:dyDescent="0.35">
      <c r="A17" s="38"/>
      <c r="B17" s="38"/>
      <c r="C17" s="38"/>
      <c r="F17" s="138" t="s">
        <v>261</v>
      </c>
      <c r="G17" s="157"/>
      <c r="H17" s="157"/>
      <c r="I17" s="157"/>
      <c r="J17" s="157"/>
      <c r="K17" s="140" t="s">
        <v>1</v>
      </c>
      <c r="L17" s="487" t="str">
        <f>VLOOKUP(patokans1,datasantri,5,FALSE)</f>
        <v>11.2022.0259</v>
      </c>
      <c r="M17" s="487"/>
      <c r="N17" s="487"/>
      <c r="O17" s="487"/>
      <c r="P17" s="139"/>
      <c r="Q17" s="157"/>
      <c r="S17" s="138" t="s">
        <v>262</v>
      </c>
      <c r="U17" s="138" t="s">
        <v>1</v>
      </c>
      <c r="V17" s="141" t="str">
        <f>gasal</f>
        <v>Gasal</v>
      </c>
      <c r="W17" s="157"/>
      <c r="Z17" t="s">
        <v>2387</v>
      </c>
      <c r="AA17" t="str">
        <f>VLOOKUP(patokans1,datasantri,6,FALSE)</f>
        <v>2084756211</v>
      </c>
    </row>
    <row r="18" spans="1:27" ht="14.15" customHeight="1" x14ac:dyDescent="0.35">
      <c r="A18" s="38"/>
      <c r="B18" s="38"/>
      <c r="C18" s="38"/>
      <c r="F18" s="138" t="s">
        <v>263</v>
      </c>
      <c r="G18" s="157"/>
      <c r="H18" s="157"/>
      <c r="I18" s="157"/>
      <c r="J18" s="157"/>
      <c r="K18" s="140" t="s">
        <v>1</v>
      </c>
      <c r="L18" s="138" t="s">
        <v>264</v>
      </c>
      <c r="M18" s="138"/>
      <c r="N18" s="138"/>
      <c r="O18" s="163"/>
      <c r="P18" s="139"/>
      <c r="Q18" s="157"/>
      <c r="S18" s="138" t="s">
        <v>7</v>
      </c>
      <c r="U18" s="138" t="s">
        <v>1</v>
      </c>
      <c r="V18" s="141" t="str">
        <f>tahunajaran</f>
        <v>2022/2023</v>
      </c>
      <c r="W18" s="157"/>
    </row>
    <row r="19" spans="1:27" ht="14.15" customHeight="1" x14ac:dyDescent="0.35">
      <c r="A19" s="38"/>
      <c r="B19" s="38"/>
      <c r="C19" s="38"/>
      <c r="F19" s="138" t="s">
        <v>265</v>
      </c>
      <c r="G19" s="157"/>
      <c r="H19" s="157"/>
      <c r="I19" s="157"/>
      <c r="J19" s="157"/>
      <c r="K19" s="140" t="s">
        <v>1</v>
      </c>
      <c r="L19" s="142" t="s">
        <v>266</v>
      </c>
      <c r="M19" s="142"/>
      <c r="N19" s="142"/>
      <c r="O19" s="163"/>
      <c r="P19" s="142"/>
      <c r="Q19" s="142"/>
      <c r="R19" s="142"/>
      <c r="S19" s="142"/>
      <c r="T19" s="142"/>
      <c r="U19" s="142"/>
      <c r="V19" s="142"/>
      <c r="W19" s="142"/>
    </row>
    <row r="20" spans="1:27" ht="20.25" customHeight="1" x14ac:dyDescent="0.35">
      <c r="A20" s="38"/>
      <c r="B20" s="38"/>
      <c r="C20" s="38"/>
      <c r="F20" s="482" t="s">
        <v>39</v>
      </c>
      <c r="G20" s="482"/>
      <c r="H20" s="482" t="s">
        <v>150</v>
      </c>
      <c r="I20" s="482"/>
      <c r="J20" s="482"/>
      <c r="K20" s="482"/>
      <c r="L20" s="482"/>
      <c r="M20" s="482"/>
      <c r="N20" s="482" t="s">
        <v>72</v>
      </c>
      <c r="O20" s="482" t="s">
        <v>268</v>
      </c>
      <c r="P20" s="482"/>
      <c r="Q20" s="482"/>
      <c r="R20" s="482"/>
      <c r="S20" s="482"/>
      <c r="T20" s="482"/>
      <c r="U20" s="482"/>
      <c r="V20" s="482"/>
      <c r="W20" s="482"/>
    </row>
    <row r="21" spans="1:27" ht="28.5" customHeight="1" x14ac:dyDescent="0.35">
      <c r="A21" s="38"/>
      <c r="B21" s="38"/>
      <c r="C21" s="38"/>
      <c r="F21" s="482"/>
      <c r="G21" s="482"/>
      <c r="H21" s="482"/>
      <c r="I21" s="482"/>
      <c r="J21" s="482"/>
      <c r="K21" s="482"/>
      <c r="L21" s="482"/>
      <c r="M21" s="482"/>
      <c r="N21" s="482"/>
      <c r="O21" s="158" t="s">
        <v>269</v>
      </c>
      <c r="P21" s="483" t="s">
        <v>270</v>
      </c>
      <c r="Q21" s="483"/>
      <c r="R21" s="483"/>
      <c r="S21" s="483"/>
      <c r="T21" s="483"/>
      <c r="U21" s="483"/>
      <c r="V21" s="483" t="s">
        <v>271</v>
      </c>
      <c r="W21" s="483"/>
    </row>
    <row r="22" spans="1:27" ht="14.15" customHeight="1" x14ac:dyDescent="0.35">
      <c r="A22" s="38"/>
      <c r="B22" s="38"/>
      <c r="C22" s="38"/>
      <c r="F22" s="492" t="s">
        <v>272</v>
      </c>
      <c r="G22" s="492"/>
      <c r="H22" s="493" t="s">
        <v>273</v>
      </c>
      <c r="I22" s="493"/>
      <c r="J22" s="493"/>
      <c r="K22" s="493"/>
      <c r="L22" s="493"/>
      <c r="M22" s="493"/>
      <c r="N22" s="493"/>
      <c r="O22" s="493"/>
      <c r="P22" s="493"/>
      <c r="Q22" s="493"/>
      <c r="R22" s="493"/>
      <c r="S22" s="493"/>
      <c r="T22" s="493"/>
      <c r="U22" s="493"/>
      <c r="V22" s="493"/>
      <c r="W22" s="493"/>
    </row>
    <row r="23" spans="1:27" ht="14.15" customHeight="1" x14ac:dyDescent="0.35">
      <c r="A23" s="38"/>
      <c r="B23" s="38"/>
      <c r="C23" s="38"/>
      <c r="F23" s="488">
        <v>1</v>
      </c>
      <c r="G23" s="488"/>
      <c r="H23" s="489" t="str">
        <f>'set-kkm'!F7</f>
        <v>Akhlaq</v>
      </c>
      <c r="I23" s="489"/>
      <c r="J23" s="489"/>
      <c r="K23" s="489"/>
      <c r="L23" s="489"/>
      <c r="M23" s="489"/>
      <c r="N23" s="159">
        <f>'nilpel-s1'!H4</f>
        <v>70</v>
      </c>
      <c r="O23" s="161">
        <f>VLOOKUP(patokans1,nilpels1,3,FALSE)</f>
        <v>81</v>
      </c>
      <c r="P23" s="490" t="str">
        <f t="shared" ref="P23:P30" si="0">VLOOKUP(O23,terbilang,2)</f>
        <v xml:space="preserve">Delapan puluh satu  </v>
      </c>
      <c r="Q23" s="490"/>
      <c r="R23" s="490"/>
      <c r="S23" s="490"/>
      <c r="T23" s="490"/>
      <c r="U23" s="490"/>
      <c r="V23" s="491">
        <f>'nilpel-s1'!H59</f>
        <v>74.847826086956516</v>
      </c>
      <c r="W23" s="491"/>
    </row>
    <row r="24" spans="1:27" ht="14.15" customHeight="1" x14ac:dyDescent="0.35">
      <c r="A24" s="38"/>
      <c r="B24" s="38"/>
      <c r="C24" s="38"/>
      <c r="F24" s="488">
        <v>2</v>
      </c>
      <c r="G24" s="488"/>
      <c r="H24" s="489" t="str">
        <f>'set-kkm'!F8</f>
        <v>Aqidah dan Manhaj</v>
      </c>
      <c r="I24" s="489"/>
      <c r="J24" s="489"/>
      <c r="K24" s="489"/>
      <c r="L24" s="489"/>
      <c r="M24" s="489"/>
      <c r="N24" s="159">
        <f>'nilpel-s1'!J4</f>
        <v>70</v>
      </c>
      <c r="O24" s="161">
        <f>VLOOKUP(patokans1,nilpels1,4,FALSE)</f>
        <v>100</v>
      </c>
      <c r="P24" s="490" t="str">
        <f t="shared" si="0"/>
        <v xml:space="preserve">Seratus  </v>
      </c>
      <c r="Q24" s="490"/>
      <c r="R24" s="490"/>
      <c r="S24" s="490"/>
      <c r="T24" s="490"/>
      <c r="U24" s="490"/>
      <c r="V24" s="491">
        <f>'nilpel-s1'!J59</f>
        <v>77.844444444444449</v>
      </c>
      <c r="W24" s="491"/>
    </row>
    <row r="25" spans="1:27" ht="14.15" customHeight="1" x14ac:dyDescent="0.35">
      <c r="A25" s="38"/>
      <c r="B25" s="38"/>
      <c r="C25" s="38"/>
      <c r="F25" s="488">
        <v>3</v>
      </c>
      <c r="G25" s="488"/>
      <c r="H25" s="489" t="str">
        <f>'set-kkm'!F9</f>
        <v>Fiqih</v>
      </c>
      <c r="I25" s="489"/>
      <c r="J25" s="489"/>
      <c r="K25" s="489"/>
      <c r="L25" s="489"/>
      <c r="M25" s="489"/>
      <c r="N25" s="159">
        <f>'nilpel-s1'!K4</f>
        <v>70</v>
      </c>
      <c r="O25" s="161">
        <f>VLOOKUP(patokans1,nilpels1,5,FALSE)</f>
        <v>77</v>
      </c>
      <c r="P25" s="490" t="str">
        <f t="shared" si="0"/>
        <v xml:space="preserve">Tujuh puluh tujuh  </v>
      </c>
      <c r="Q25" s="490"/>
      <c r="R25" s="490"/>
      <c r="S25" s="490"/>
      <c r="T25" s="490"/>
      <c r="U25" s="490"/>
      <c r="V25" s="491">
        <f>'nilpel-s1'!K59</f>
        <v>81.543478260869563</v>
      </c>
      <c r="W25" s="491"/>
    </row>
    <row r="26" spans="1:27" ht="14.15" customHeight="1" x14ac:dyDescent="0.35">
      <c r="A26" s="38"/>
      <c r="B26" s="38"/>
      <c r="C26" s="38"/>
      <c r="F26" s="494">
        <v>4</v>
      </c>
      <c r="G26" s="495"/>
      <c r="H26" s="496" t="str">
        <f>'set-kkm'!F12</f>
        <v>Hadits</v>
      </c>
      <c r="I26" s="497"/>
      <c r="J26" s="497"/>
      <c r="K26" s="497"/>
      <c r="L26" s="497"/>
      <c r="M26" s="498"/>
      <c r="N26" s="159">
        <f>'nilpel-s1'!M4</f>
        <v>70</v>
      </c>
      <c r="O26" s="161">
        <f>VLOOKUP(patokans1,nilpels1,6,FALSE)</f>
        <v>71</v>
      </c>
      <c r="P26" s="490" t="str">
        <f t="shared" si="0"/>
        <v xml:space="preserve">Tujuh puluh satu  </v>
      </c>
      <c r="Q26" s="490"/>
      <c r="R26" s="490"/>
      <c r="S26" s="490"/>
      <c r="T26" s="490"/>
      <c r="U26" s="490"/>
      <c r="V26" s="491">
        <f>'nilpel-s1'!M59</f>
        <v>53.81818181818182</v>
      </c>
      <c r="W26" s="491"/>
    </row>
    <row r="27" spans="1:27" ht="14.15" customHeight="1" x14ac:dyDescent="0.35">
      <c r="A27" s="38"/>
      <c r="B27" s="38"/>
      <c r="C27" s="38"/>
      <c r="F27" s="494">
        <v>5</v>
      </c>
      <c r="G27" s="495"/>
      <c r="H27" s="496" t="str">
        <f>'set-kkm'!F13</f>
        <v>Tajwid</v>
      </c>
      <c r="I27" s="497"/>
      <c r="J27" s="497"/>
      <c r="K27" s="497"/>
      <c r="L27" s="497"/>
      <c r="M27" s="498"/>
      <c r="N27" s="159">
        <f>'nilpel-s1'!N4</f>
        <v>70</v>
      </c>
      <c r="O27" s="161">
        <f>VLOOKUP(patokans1,nilpels1,7,FALSE)</f>
        <v>80</v>
      </c>
      <c r="P27" s="490" t="str">
        <f t="shared" si="0"/>
        <v xml:space="preserve">Delapan puluh  </v>
      </c>
      <c r="Q27" s="490"/>
      <c r="R27" s="490"/>
      <c r="S27" s="490"/>
      <c r="T27" s="490"/>
      <c r="U27" s="490"/>
      <c r="V27" s="491">
        <f>'nilpel-s1'!N59</f>
        <v>81.36363636363636</v>
      </c>
      <c r="W27" s="491"/>
    </row>
    <row r="28" spans="1:27" ht="14.15" customHeight="1" x14ac:dyDescent="0.35">
      <c r="A28" s="38"/>
      <c r="B28" s="38"/>
      <c r="C28" s="38"/>
      <c r="F28" s="494">
        <v>6</v>
      </c>
      <c r="G28" s="495"/>
      <c r="H28" s="496" t="str">
        <f>'set-kkm'!F14</f>
        <v>Tafsir</v>
      </c>
      <c r="I28" s="497"/>
      <c r="J28" s="497"/>
      <c r="K28" s="497"/>
      <c r="L28" s="497"/>
      <c r="M28" s="498"/>
      <c r="N28" s="159">
        <f>'nilpel-s1'!O4</f>
        <v>70</v>
      </c>
      <c r="O28" s="161">
        <f>VLOOKUP(patokans1,nilpels1,8,FALSE)</f>
        <v>60</v>
      </c>
      <c r="P28" s="490" t="str">
        <f t="shared" si="0"/>
        <v xml:space="preserve">Enam puluh  </v>
      </c>
      <c r="Q28" s="490"/>
      <c r="R28" s="490"/>
      <c r="S28" s="490"/>
      <c r="T28" s="490"/>
      <c r="U28" s="490"/>
      <c r="V28" s="491">
        <f>'nilpel-s1'!O59</f>
        <v>70.61363636363636</v>
      </c>
      <c r="W28" s="491"/>
    </row>
    <row r="29" spans="1:27" ht="14.15" customHeight="1" x14ac:dyDescent="0.35">
      <c r="A29" s="38"/>
      <c r="B29" s="38"/>
      <c r="C29" s="38"/>
      <c r="F29" s="494">
        <v>7</v>
      </c>
      <c r="G29" s="495"/>
      <c r="H29" s="496" t="str">
        <f>'set-kkm'!F10</f>
        <v>Bahasa Arab</v>
      </c>
      <c r="I29" s="497"/>
      <c r="J29" s="497"/>
      <c r="K29" s="497"/>
      <c r="L29" s="497"/>
      <c r="M29" s="498"/>
      <c r="N29" s="159">
        <f>'nilpel-s1'!P4</f>
        <v>70</v>
      </c>
      <c r="O29" s="161">
        <f>VLOOKUP(patokans1,nilpels1,9,FALSE)</f>
        <v>95</v>
      </c>
      <c r="P29" s="490" t="str">
        <f t="shared" si="0"/>
        <v xml:space="preserve">Sembilan puluh lima  </v>
      </c>
      <c r="Q29" s="490"/>
      <c r="R29" s="490"/>
      <c r="S29" s="490"/>
      <c r="T29" s="490"/>
      <c r="U29" s="490"/>
      <c r="V29" s="491">
        <f>'nilpel-s1'!P59</f>
        <v>68.022222222222226</v>
      </c>
      <c r="W29" s="491"/>
    </row>
    <row r="30" spans="1:27" ht="14.15" customHeight="1" x14ac:dyDescent="0.35">
      <c r="A30" s="38"/>
      <c r="B30" s="38"/>
      <c r="C30" s="38"/>
      <c r="F30" s="494">
        <v>8</v>
      </c>
      <c r="G30" s="495"/>
      <c r="H30" s="496" t="str">
        <f>'set-kkm'!F11</f>
        <v>Nahwu dan Shorof</v>
      </c>
      <c r="I30" s="497"/>
      <c r="J30" s="497"/>
      <c r="K30" s="497"/>
      <c r="L30" s="497"/>
      <c r="M30" s="498"/>
      <c r="N30" s="159">
        <f>'nilpel-s1'!Q4</f>
        <v>70</v>
      </c>
      <c r="O30" s="161">
        <f>VLOOKUP(patokans1,nilpels1,10,FALSE)</f>
        <v>76</v>
      </c>
      <c r="P30" s="490" t="str">
        <f t="shared" si="0"/>
        <v xml:space="preserve">Tujuh puluh enam  </v>
      </c>
      <c r="Q30" s="490"/>
      <c r="R30" s="490"/>
      <c r="S30" s="490"/>
      <c r="T30" s="490"/>
      <c r="U30" s="490"/>
      <c r="V30" s="491">
        <f>'nilpel-s1'!Q59</f>
        <v>76.25</v>
      </c>
      <c r="W30" s="491"/>
    </row>
    <row r="31" spans="1:27" ht="14.15" customHeight="1" x14ac:dyDescent="0.35">
      <c r="A31" s="38"/>
      <c r="B31" s="38"/>
      <c r="C31" s="38"/>
      <c r="F31" s="492" t="s">
        <v>279</v>
      </c>
      <c r="G31" s="492"/>
      <c r="H31" s="493" t="s">
        <v>278</v>
      </c>
      <c r="I31" s="493"/>
      <c r="J31" s="493"/>
      <c r="K31" s="493"/>
      <c r="L31" s="493"/>
      <c r="M31" s="493"/>
      <c r="N31" s="493"/>
      <c r="O31" s="493"/>
      <c r="P31" s="493"/>
      <c r="Q31" s="493"/>
      <c r="R31" s="493"/>
      <c r="S31" s="493"/>
      <c r="T31" s="493"/>
      <c r="U31" s="493"/>
      <c r="V31" s="493"/>
      <c r="W31" s="493"/>
    </row>
    <row r="32" spans="1:27" ht="14.15" customHeight="1" x14ac:dyDescent="0.35">
      <c r="F32" s="494">
        <v>9</v>
      </c>
      <c r="G32" s="495"/>
      <c r="H32" s="496" t="str">
        <f>'set-kkm'!F18</f>
        <v>Bahasa Indonesia</v>
      </c>
      <c r="I32" s="497"/>
      <c r="J32" s="497"/>
      <c r="K32" s="497"/>
      <c r="L32" s="497"/>
      <c r="M32" s="498"/>
      <c r="N32" s="159">
        <f>'nilpel-s1'!S4</f>
        <v>70</v>
      </c>
      <c r="O32" s="161">
        <f>VLOOKUP(patokans1,nilpels1,11,FALSE)</f>
        <v>64</v>
      </c>
      <c r="P32" s="490" t="str">
        <f t="shared" ref="P32:P38" si="1">VLOOKUP(O32,terbilang,2)</f>
        <v xml:space="preserve">Enam puluh empat  </v>
      </c>
      <c r="Q32" s="490"/>
      <c r="R32" s="490"/>
      <c r="S32" s="490"/>
      <c r="T32" s="490"/>
      <c r="U32" s="490"/>
      <c r="V32" s="491">
        <f>'nilpel-s1'!S59</f>
        <v>46.25</v>
      </c>
      <c r="W32" s="491"/>
    </row>
    <row r="33" spans="6:23" ht="14.15" customHeight="1" x14ac:dyDescent="0.35">
      <c r="F33" s="494">
        <v>10</v>
      </c>
      <c r="G33" s="495"/>
      <c r="H33" s="496" t="str">
        <f>'set-kkm'!F19</f>
        <v>Bahasa Inggris</v>
      </c>
      <c r="I33" s="497"/>
      <c r="J33" s="497"/>
      <c r="K33" s="497"/>
      <c r="L33" s="497"/>
      <c r="M33" s="498"/>
      <c r="N33" s="159">
        <f>'nilpel-s1'!T4</f>
        <v>70</v>
      </c>
      <c r="O33" s="161">
        <f>VLOOKUP(patokans1,nilpels1,12,FALSE)</f>
        <v>75</v>
      </c>
      <c r="P33" s="490" t="str">
        <f t="shared" si="1"/>
        <v xml:space="preserve">Tujuh puluh lima  </v>
      </c>
      <c r="Q33" s="490"/>
      <c r="R33" s="490"/>
      <c r="S33" s="490"/>
      <c r="T33" s="490"/>
      <c r="U33" s="490"/>
      <c r="V33" s="491">
        <f>'nilpel-s1'!T59</f>
        <v>85.63636363636364</v>
      </c>
      <c r="W33" s="491"/>
    </row>
    <row r="34" spans="6:23" ht="14.15" customHeight="1" x14ac:dyDescent="0.35">
      <c r="F34" s="488">
        <v>11</v>
      </c>
      <c r="G34" s="488"/>
      <c r="H34" s="489" t="str">
        <f>'set-kkm'!F20</f>
        <v>Matematika</v>
      </c>
      <c r="I34" s="489"/>
      <c r="J34" s="489"/>
      <c r="K34" s="489"/>
      <c r="L34" s="489"/>
      <c r="M34" s="489"/>
      <c r="N34" s="159">
        <f>'nilpel-s1'!U4</f>
        <v>70</v>
      </c>
      <c r="O34" s="161">
        <f>VLOOKUP(patokans1,nilpels1,13,FALSE)</f>
        <v>80</v>
      </c>
      <c r="P34" s="490" t="str">
        <f t="shared" si="1"/>
        <v xml:space="preserve">Delapan puluh  </v>
      </c>
      <c r="Q34" s="490"/>
      <c r="R34" s="490"/>
      <c r="S34" s="490"/>
      <c r="T34" s="490"/>
      <c r="U34" s="490"/>
      <c r="V34" s="491">
        <f>'nilpel-s1'!U59</f>
        <v>75.568181818181813</v>
      </c>
      <c r="W34" s="491"/>
    </row>
    <row r="35" spans="6:23" ht="14.15" customHeight="1" x14ac:dyDescent="0.35">
      <c r="F35" s="488">
        <v>12</v>
      </c>
      <c r="G35" s="488"/>
      <c r="H35" s="489" t="str">
        <f>'set-kkm'!F21</f>
        <v>Ilmu Pengetahuan Alam</v>
      </c>
      <c r="I35" s="489"/>
      <c r="J35" s="489"/>
      <c r="K35" s="489"/>
      <c r="L35" s="489"/>
      <c r="M35" s="489"/>
      <c r="N35" s="159">
        <f>'nilpel-s1'!V4</f>
        <v>70</v>
      </c>
      <c r="O35" s="161">
        <f>VLOOKUP(patokans1,nilpels1,14,FALSE)</f>
        <v>45</v>
      </c>
      <c r="P35" s="490" t="str">
        <f t="shared" si="1"/>
        <v xml:space="preserve">Empat puluh lima  </v>
      </c>
      <c r="Q35" s="490"/>
      <c r="R35" s="490"/>
      <c r="S35" s="490"/>
      <c r="T35" s="490"/>
      <c r="U35" s="490"/>
      <c r="V35" s="491">
        <f>'nilpel-s1'!V59</f>
        <v>61.204545454545453</v>
      </c>
      <c r="W35" s="491"/>
    </row>
    <row r="36" spans="6:23" ht="14.15" customHeight="1" x14ac:dyDescent="0.35">
      <c r="F36" s="488">
        <v>13</v>
      </c>
      <c r="G36" s="488"/>
      <c r="H36" s="489" t="str">
        <f>'set-kkm'!F22</f>
        <v>Ilmu Pengetahuan Sosial</v>
      </c>
      <c r="I36" s="489"/>
      <c r="J36" s="489"/>
      <c r="K36" s="489"/>
      <c r="L36" s="489"/>
      <c r="M36" s="489"/>
      <c r="N36" s="159">
        <f>'nilpel-s1'!W4</f>
        <v>70</v>
      </c>
      <c r="O36" s="161">
        <f>VLOOKUP(patokans1,nilpels1,15,FALSE)</f>
        <v>95</v>
      </c>
      <c r="P36" s="490" t="str">
        <f t="shared" si="1"/>
        <v xml:space="preserve">Sembilan puluh lima  </v>
      </c>
      <c r="Q36" s="490"/>
      <c r="R36" s="490"/>
      <c r="S36" s="490"/>
      <c r="T36" s="490"/>
      <c r="U36" s="490"/>
      <c r="V36" s="491">
        <f>'nilpel-s1'!W59</f>
        <v>79.162790697674424</v>
      </c>
      <c r="W36" s="491"/>
    </row>
    <row r="37" spans="6:23" ht="14.15" customHeight="1" x14ac:dyDescent="0.35">
      <c r="F37" s="488" t="s">
        <v>151</v>
      </c>
      <c r="G37" s="488"/>
      <c r="H37" s="488"/>
      <c r="I37" s="488"/>
      <c r="J37" s="488"/>
      <c r="K37" s="488"/>
      <c r="L37" s="488"/>
      <c r="M37" s="488"/>
      <c r="N37" s="488"/>
      <c r="O37" s="161">
        <f>VLOOKUP(patokans1,nilpels1,16,FALSE)</f>
        <v>80</v>
      </c>
      <c r="P37" s="499" t="str">
        <f t="shared" si="1"/>
        <v xml:space="preserve">Delapan puluh  </v>
      </c>
      <c r="Q37" s="500"/>
      <c r="R37" s="500"/>
      <c r="S37" s="500"/>
      <c r="T37" s="500"/>
      <c r="U37" s="500"/>
      <c r="V37" s="500"/>
      <c r="W37" s="501"/>
    </row>
    <row r="38" spans="6:23" ht="14.15" customHeight="1" x14ac:dyDescent="0.35">
      <c r="F38" s="488" t="s">
        <v>152</v>
      </c>
      <c r="G38" s="488"/>
      <c r="H38" s="488"/>
      <c r="I38" s="488"/>
      <c r="J38" s="488"/>
      <c r="K38" s="488"/>
      <c r="L38" s="488"/>
      <c r="M38" s="488"/>
      <c r="N38" s="488"/>
      <c r="O38" s="171">
        <f>VLOOKUP(patokans1,nilpels1,17,FALSE)</f>
        <v>65</v>
      </c>
      <c r="P38" s="499" t="str">
        <f t="shared" si="1"/>
        <v xml:space="preserve">Enam puluh lima  </v>
      </c>
      <c r="Q38" s="500"/>
      <c r="R38" s="500"/>
      <c r="S38" s="500"/>
      <c r="T38" s="500"/>
      <c r="U38" s="500"/>
      <c r="V38" s="500"/>
      <c r="W38" s="501"/>
    </row>
    <row r="39" spans="6:23" ht="14.15" customHeight="1" x14ac:dyDescent="0.35">
      <c r="F39" s="492" t="s">
        <v>281</v>
      </c>
      <c r="G39" s="492"/>
      <c r="H39" s="493" t="s">
        <v>2385</v>
      </c>
      <c r="I39" s="493"/>
      <c r="J39" s="493"/>
      <c r="K39" s="493"/>
      <c r="L39" s="493"/>
      <c r="M39" s="493"/>
      <c r="N39" s="493"/>
      <c r="O39" s="493"/>
      <c r="P39" s="493"/>
      <c r="Q39" s="493"/>
      <c r="R39" s="493"/>
      <c r="S39" s="493"/>
      <c r="T39" s="493"/>
      <c r="U39" s="493"/>
      <c r="V39" s="493"/>
      <c r="W39" s="493"/>
    </row>
    <row r="40" spans="6:23" ht="14.15" customHeight="1" x14ac:dyDescent="0.35">
      <c r="F40" s="504" t="s">
        <v>274</v>
      </c>
      <c r="G40" s="504"/>
      <c r="H40" s="504"/>
      <c r="I40" s="504"/>
      <c r="J40" s="504"/>
      <c r="K40" s="504"/>
      <c r="L40" s="504"/>
      <c r="M40" s="504"/>
      <c r="N40" s="504" t="s">
        <v>280</v>
      </c>
      <c r="O40" s="504"/>
      <c r="P40" s="504"/>
      <c r="Q40" s="504" t="s">
        <v>154</v>
      </c>
      <c r="R40" s="504"/>
      <c r="S40" s="504"/>
      <c r="T40" s="504"/>
      <c r="U40" s="504"/>
      <c r="V40" s="504"/>
      <c r="W40" s="162" t="s">
        <v>160</v>
      </c>
    </row>
    <row r="41" spans="6:23" ht="14.15" customHeight="1" x14ac:dyDescent="0.35">
      <c r="F41" s="502" t="s">
        <v>275</v>
      </c>
      <c r="G41" s="502"/>
      <c r="H41" s="502"/>
      <c r="I41" s="502"/>
      <c r="J41" s="502"/>
      <c r="K41" s="502"/>
      <c r="L41" s="502"/>
      <c r="M41" s="502"/>
      <c r="N41" s="503" t="str">
        <f>VLOOKUP(patokans1,nilwks1,6,FALSE)</f>
        <v>B</v>
      </c>
      <c r="O41" s="503"/>
      <c r="P41" s="503"/>
      <c r="Q41" s="503" t="s">
        <v>158</v>
      </c>
      <c r="R41" s="503"/>
      <c r="S41" s="503"/>
      <c r="T41" s="503"/>
      <c r="U41" s="503"/>
      <c r="V41" s="503"/>
      <c r="W41" s="160">
        <f>VLOOKUP(patokans1,nilwks1,3,FALSE)</f>
        <v>17</v>
      </c>
    </row>
    <row r="42" spans="6:23" ht="14.15" customHeight="1" x14ac:dyDescent="0.35">
      <c r="F42" s="502" t="s">
        <v>156</v>
      </c>
      <c r="G42" s="502"/>
      <c r="H42" s="502"/>
      <c r="I42" s="502"/>
      <c r="J42" s="502"/>
      <c r="K42" s="502"/>
      <c r="L42" s="502"/>
      <c r="M42" s="502"/>
      <c r="N42" s="503" t="str">
        <f>VLOOKUP(patokans1,nilwks1,7,FALSE)</f>
        <v>B</v>
      </c>
      <c r="O42" s="503"/>
      <c r="P42" s="503"/>
      <c r="Q42" s="503" t="s">
        <v>157</v>
      </c>
      <c r="R42" s="503"/>
      <c r="S42" s="503"/>
      <c r="T42" s="503"/>
      <c r="U42" s="503"/>
      <c r="V42" s="503"/>
      <c r="W42" s="160">
        <f>VLOOKUP(patokans1,nilwks1,4,FALSE)</f>
        <v>0</v>
      </c>
    </row>
    <row r="43" spans="6:23" ht="14.15" customHeight="1" x14ac:dyDescent="0.35">
      <c r="F43" s="502" t="s">
        <v>276</v>
      </c>
      <c r="G43" s="502"/>
      <c r="H43" s="502"/>
      <c r="I43" s="502"/>
      <c r="J43" s="502"/>
      <c r="K43" s="502"/>
      <c r="L43" s="502"/>
      <c r="M43" s="502"/>
      <c r="N43" s="503" t="str">
        <f>VLOOKUP(patokans1,nilwks1,8,FALSE)</f>
        <v>B</v>
      </c>
      <c r="O43" s="503"/>
      <c r="P43" s="503"/>
      <c r="Q43" s="503" t="s">
        <v>277</v>
      </c>
      <c r="R43" s="503"/>
      <c r="S43" s="503"/>
      <c r="T43" s="503"/>
      <c r="U43" s="503"/>
      <c r="V43" s="503"/>
      <c r="W43" s="160">
        <f>VLOOKUP(patokans1,nilwks1,5,FALSE)</f>
        <v>0</v>
      </c>
    </row>
    <row r="44" spans="6:23" ht="14.15" customHeight="1" x14ac:dyDescent="0.35">
      <c r="F44" s="492" t="s">
        <v>282</v>
      </c>
      <c r="G44" s="492"/>
      <c r="H44" s="493" t="s">
        <v>155</v>
      </c>
      <c r="I44" s="493"/>
      <c r="J44" s="493"/>
      <c r="K44" s="493"/>
      <c r="L44" s="493"/>
      <c r="M44" s="493"/>
      <c r="N44" s="493"/>
      <c r="O44" s="493"/>
      <c r="P44" s="493"/>
      <c r="Q44" s="493"/>
      <c r="R44" s="493"/>
      <c r="S44" s="493"/>
      <c r="T44" s="493"/>
      <c r="U44" s="493"/>
      <c r="V44" s="493"/>
      <c r="W44" s="493"/>
    </row>
    <row r="45" spans="6:23" ht="14.15" customHeight="1" x14ac:dyDescent="0.35">
      <c r="F45" s="504" t="s">
        <v>285</v>
      </c>
      <c r="G45" s="504"/>
      <c r="H45" s="504"/>
      <c r="I45" s="504"/>
      <c r="J45" s="504"/>
      <c r="K45" s="504"/>
      <c r="L45" s="504"/>
      <c r="M45" s="504"/>
      <c r="N45" s="504" t="s">
        <v>280</v>
      </c>
      <c r="O45" s="504"/>
      <c r="P45" s="504"/>
      <c r="Q45" s="504" t="s">
        <v>287</v>
      </c>
      <c r="R45" s="504"/>
      <c r="S45" s="504"/>
      <c r="T45" s="504"/>
      <c r="U45" s="504"/>
      <c r="V45" s="504"/>
      <c r="W45" s="504"/>
    </row>
    <row r="46" spans="6:23" ht="14.15" customHeight="1" x14ac:dyDescent="0.35">
      <c r="F46" s="508" t="s">
        <v>286</v>
      </c>
      <c r="G46" s="508"/>
      <c r="H46" s="508"/>
      <c r="I46" s="508"/>
      <c r="J46" s="508"/>
      <c r="K46" s="508"/>
      <c r="L46" s="508"/>
      <c r="M46" s="508"/>
      <c r="N46" s="503" t="str">
        <f>VLOOKUP(patokans1,nilwks1,33,FALSE)</f>
        <v>B</v>
      </c>
      <c r="O46" s="503"/>
      <c r="P46" s="503"/>
      <c r="Q46" s="509" t="s">
        <v>293</v>
      </c>
      <c r="R46" s="509"/>
      <c r="S46" s="509"/>
      <c r="T46" s="510">
        <f>VLOOKUP(patokans1,nilwks1,35,FALSE)</f>
        <v>10</v>
      </c>
      <c r="U46" s="510"/>
      <c r="V46" s="510"/>
      <c r="W46" s="512" t="s">
        <v>2384</v>
      </c>
    </row>
    <row r="47" spans="6:23" ht="14.15" customHeight="1" x14ac:dyDescent="0.35">
      <c r="F47" s="508" t="s">
        <v>246</v>
      </c>
      <c r="G47" s="508"/>
      <c r="H47" s="508"/>
      <c r="I47" s="508"/>
      <c r="J47" s="508"/>
      <c r="K47" s="508"/>
      <c r="L47" s="508"/>
      <c r="M47" s="508"/>
      <c r="N47" s="503" t="str">
        <f>VLOOKUP(patokans1,nilwks1,34,FALSE)</f>
        <v>B</v>
      </c>
      <c r="O47" s="503"/>
      <c r="P47" s="503"/>
      <c r="Q47" s="509"/>
      <c r="R47" s="509"/>
      <c r="S47" s="509"/>
      <c r="T47" s="510"/>
      <c r="U47" s="510"/>
      <c r="V47" s="510"/>
      <c r="W47" s="512"/>
    </row>
    <row r="48" spans="6:23" ht="14.15" customHeight="1" x14ac:dyDescent="0.35">
      <c r="F48" s="504" t="s">
        <v>283</v>
      </c>
      <c r="G48" s="504"/>
      <c r="H48" s="504"/>
      <c r="I48" s="504"/>
      <c r="J48" s="504"/>
      <c r="K48" s="504"/>
      <c r="L48" s="504"/>
      <c r="M48" s="504"/>
      <c r="N48" s="504"/>
      <c r="O48" s="504"/>
      <c r="P48" s="504"/>
      <c r="Q48" s="509" t="s">
        <v>294</v>
      </c>
      <c r="R48" s="509"/>
      <c r="S48" s="509"/>
      <c r="T48" s="510">
        <f>VLOOKUP(patokans1,nilwks1,36,FALSE)</f>
        <v>10</v>
      </c>
      <c r="U48" s="510"/>
      <c r="V48" s="510"/>
      <c r="W48" s="512"/>
    </row>
    <row r="49" spans="6:23" ht="14.15" customHeight="1" x14ac:dyDescent="0.35">
      <c r="F49" s="505" t="s">
        <v>69</v>
      </c>
      <c r="G49" s="505"/>
      <c r="H49" s="505" t="s">
        <v>284</v>
      </c>
      <c r="I49" s="505"/>
      <c r="J49" s="505"/>
      <c r="K49" s="505"/>
      <c r="L49" s="505"/>
      <c r="M49" s="505"/>
      <c r="N49" s="505"/>
      <c r="O49" s="504" t="s">
        <v>280</v>
      </c>
      <c r="P49" s="504"/>
      <c r="Q49" s="509"/>
      <c r="R49" s="509"/>
      <c r="S49" s="509"/>
      <c r="T49" s="510"/>
      <c r="U49" s="510"/>
      <c r="V49" s="510"/>
      <c r="W49" s="512"/>
    </row>
    <row r="50" spans="6:23" ht="14.15" customHeight="1" x14ac:dyDescent="0.35">
      <c r="F50" s="505">
        <v>1</v>
      </c>
      <c r="G50" s="505"/>
      <c r="H50" s="506" t="str">
        <f>VLOOKUP(patokans1,nilwks1,24,FALSE)</f>
        <v>Taekwondo</v>
      </c>
      <c r="I50" s="506"/>
      <c r="J50" s="506"/>
      <c r="K50" s="506"/>
      <c r="L50" s="506"/>
      <c r="M50" s="506"/>
      <c r="N50" s="506"/>
      <c r="O50" s="507" t="str">
        <f>VLOOKUP(patokans1,nilwks1,25,FALSE)</f>
        <v>B</v>
      </c>
      <c r="P50" s="507"/>
      <c r="Q50" s="509" t="s">
        <v>296</v>
      </c>
      <c r="R50" s="509"/>
      <c r="S50" s="509"/>
      <c r="T50" s="510">
        <f>VLOOKUP(patokans1,nilwks1,37,FALSE)</f>
        <v>0</v>
      </c>
      <c r="U50" s="510"/>
      <c r="V50" s="510"/>
      <c r="W50" s="511" t="str">
        <f>VLOOKUP(patokans1,nilwks1,38,FALSE)</f>
        <v>B</v>
      </c>
    </row>
    <row r="51" spans="6:23" ht="14.15" customHeight="1" x14ac:dyDescent="0.35">
      <c r="F51" s="505">
        <v>2</v>
      </c>
      <c r="G51" s="505"/>
      <c r="H51" s="506">
        <f>VLOOKUP(patokans1,nilwks1,27,FALSE)</f>
        <v>0</v>
      </c>
      <c r="I51" s="506"/>
      <c r="J51" s="506"/>
      <c r="K51" s="506"/>
      <c r="L51" s="506"/>
      <c r="M51" s="506"/>
      <c r="N51" s="506"/>
      <c r="O51" s="507">
        <f>VLOOKUP(patokans1,nilwks1,28,FALSE)</f>
        <v>0</v>
      </c>
      <c r="P51" s="507"/>
      <c r="Q51" s="509"/>
      <c r="R51" s="509"/>
      <c r="S51" s="509"/>
      <c r="T51" s="510"/>
      <c r="U51" s="510"/>
      <c r="V51" s="510"/>
      <c r="W51" s="511"/>
    </row>
    <row r="52" spans="6:23" ht="14.15" customHeight="1" x14ac:dyDescent="0.35">
      <c r="F52" s="505">
        <v>3</v>
      </c>
      <c r="G52" s="505"/>
      <c r="H52" s="506">
        <f>VLOOKUP(patokans1,nilwks1,30,FALSE)</f>
        <v>0</v>
      </c>
      <c r="I52" s="506"/>
      <c r="J52" s="506"/>
      <c r="K52" s="506"/>
      <c r="L52" s="506"/>
      <c r="M52" s="506"/>
      <c r="N52" s="506"/>
      <c r="O52" s="507">
        <f>VLOOKUP(patokans1,nilwks1,31,FALSE)</f>
        <v>0</v>
      </c>
      <c r="P52" s="507"/>
      <c r="Q52" s="509"/>
      <c r="R52" s="509"/>
      <c r="S52" s="509"/>
      <c r="T52" s="510"/>
      <c r="U52" s="510"/>
      <c r="V52" s="510"/>
      <c r="W52" s="511"/>
    </row>
    <row r="53" spans="6:23" ht="14.15" customHeight="1" x14ac:dyDescent="0.35">
      <c r="F53" s="492" t="s">
        <v>291</v>
      </c>
      <c r="G53" s="492"/>
      <c r="H53" s="493" t="s">
        <v>292</v>
      </c>
      <c r="I53" s="493"/>
      <c r="J53" s="493"/>
      <c r="K53" s="493"/>
      <c r="L53" s="493"/>
      <c r="M53" s="493"/>
      <c r="N53" s="493"/>
      <c r="O53" s="493"/>
      <c r="P53" s="493"/>
      <c r="Q53" s="493"/>
      <c r="R53" s="493"/>
      <c r="S53" s="493"/>
      <c r="T53" s="493"/>
      <c r="U53" s="493"/>
      <c r="V53" s="493"/>
      <c r="W53" s="493"/>
    </row>
    <row r="54" spans="6:23" ht="14.15" customHeight="1" x14ac:dyDescent="0.35">
      <c r="F54" s="511" t="s">
        <v>288</v>
      </c>
      <c r="G54" s="511"/>
      <c r="H54" s="511"/>
      <c r="I54" s="511"/>
      <c r="J54" s="511"/>
      <c r="K54" s="511"/>
      <c r="L54" s="511"/>
      <c r="M54" s="511"/>
      <c r="N54" s="511"/>
      <c r="O54" s="511"/>
      <c r="P54" s="511"/>
      <c r="Q54" s="511" t="s">
        <v>289</v>
      </c>
      <c r="R54" s="511"/>
      <c r="S54" s="511"/>
      <c r="T54" s="511"/>
      <c r="U54" s="511"/>
      <c r="V54" s="511"/>
      <c r="W54" s="511"/>
    </row>
    <row r="55" spans="6:23" ht="14.15" customHeight="1" x14ac:dyDescent="0.35">
      <c r="F55" s="511"/>
      <c r="G55" s="511"/>
      <c r="H55" s="511"/>
      <c r="I55" s="511"/>
      <c r="J55" s="511"/>
      <c r="K55" s="511"/>
      <c r="L55" s="511"/>
      <c r="M55" s="511"/>
      <c r="N55" s="511"/>
      <c r="O55" s="511"/>
      <c r="P55" s="511"/>
      <c r="Q55" s="515" t="s">
        <v>290</v>
      </c>
      <c r="R55" s="515"/>
      <c r="S55" s="515"/>
      <c r="T55" s="515"/>
      <c r="U55" s="515"/>
      <c r="V55" s="515"/>
      <c r="W55" s="515"/>
    </row>
    <row r="56" spans="6:23" ht="14.15" customHeight="1" x14ac:dyDescent="0.35">
      <c r="F56" s="511"/>
      <c r="G56" s="511"/>
      <c r="H56" s="511"/>
      <c r="I56" s="511"/>
      <c r="J56" s="511"/>
      <c r="K56" s="511"/>
      <c r="L56" s="511"/>
      <c r="M56" s="511"/>
      <c r="N56" s="511"/>
      <c r="O56" s="511"/>
      <c r="P56" s="511"/>
      <c r="Q56" s="515"/>
      <c r="R56" s="515"/>
      <c r="S56" s="515"/>
      <c r="T56" s="515"/>
      <c r="U56" s="515"/>
      <c r="V56" s="515"/>
      <c r="W56" s="515"/>
    </row>
    <row r="57" spans="6:23" ht="14.15" customHeight="1" x14ac:dyDescent="0.35">
      <c r="F57" s="511"/>
      <c r="G57" s="511"/>
      <c r="H57" s="511"/>
      <c r="I57" s="511"/>
      <c r="J57" s="511"/>
      <c r="K57" s="511"/>
      <c r="L57" s="511"/>
      <c r="M57" s="511"/>
      <c r="N57" s="511"/>
      <c r="O57" s="511"/>
      <c r="P57" s="511"/>
      <c r="Q57" s="515"/>
      <c r="R57" s="515"/>
      <c r="S57" s="515"/>
      <c r="T57" s="515"/>
      <c r="U57" s="515"/>
      <c r="V57" s="515"/>
      <c r="W57" s="515"/>
    </row>
    <row r="58" spans="6:23" ht="14.15" customHeight="1" x14ac:dyDescent="0.35">
      <c r="F58" s="513" t="s">
        <v>162</v>
      </c>
      <c r="G58" s="513"/>
      <c r="H58" s="513"/>
      <c r="I58" s="513"/>
      <c r="J58" s="513"/>
      <c r="K58" s="513"/>
      <c r="L58" s="513"/>
      <c r="M58" s="513"/>
      <c r="N58" s="513"/>
      <c r="O58" s="513"/>
      <c r="P58" s="513"/>
      <c r="Q58" s="513"/>
      <c r="R58" s="513"/>
      <c r="S58" s="513" t="str">
        <f>'set-dakol'!M23</f>
        <v>Brebes, 12 Desember 2022</v>
      </c>
      <c r="T58" s="513"/>
      <c r="U58" s="513"/>
      <c r="V58" s="513"/>
      <c r="W58" s="513"/>
    </row>
    <row r="59" spans="6:23" ht="14.15" customHeight="1" x14ac:dyDescent="0.35">
      <c r="F59" s="513" t="s">
        <v>107</v>
      </c>
      <c r="G59" s="513"/>
      <c r="H59" s="513"/>
      <c r="I59" s="513"/>
      <c r="J59" s="513"/>
      <c r="K59" s="513"/>
      <c r="L59" s="513"/>
      <c r="M59" s="513"/>
      <c r="N59" s="513"/>
      <c r="O59" s="513" t="s">
        <v>161</v>
      </c>
      <c r="P59" s="513"/>
      <c r="Q59" s="513"/>
      <c r="R59" s="513"/>
      <c r="S59" s="513" t="s">
        <v>295</v>
      </c>
      <c r="T59" s="513"/>
      <c r="U59" s="513"/>
      <c r="V59" s="513"/>
      <c r="W59" s="513"/>
    </row>
    <row r="60" spans="6:23" ht="14.15" customHeight="1" x14ac:dyDescent="0.35">
      <c r="F60" s="155"/>
      <c r="G60" s="155"/>
      <c r="H60" s="155"/>
      <c r="I60" s="155"/>
      <c r="J60" s="155"/>
      <c r="K60" s="155"/>
      <c r="L60" s="155"/>
      <c r="M60" s="155"/>
      <c r="N60" s="155"/>
      <c r="O60" s="155"/>
      <c r="P60" s="155"/>
      <c r="Q60" s="155"/>
      <c r="R60" s="155"/>
      <c r="S60" s="155"/>
      <c r="T60" s="155"/>
      <c r="U60" s="155"/>
      <c r="V60" s="155"/>
      <c r="W60" s="155"/>
    </row>
    <row r="61" spans="6:23" ht="14.15" customHeight="1" x14ac:dyDescent="0.35">
      <c r="F61" s="143"/>
      <c r="G61" s="143"/>
      <c r="H61" s="143"/>
      <c r="I61" s="143"/>
      <c r="J61" s="143"/>
      <c r="K61" s="143"/>
      <c r="L61" s="143"/>
      <c r="M61" s="143"/>
      <c r="N61" s="143"/>
      <c r="O61" s="155"/>
      <c r="P61" s="143"/>
      <c r="Q61" s="143"/>
      <c r="R61" s="143"/>
      <c r="S61" s="143"/>
      <c r="T61" s="143"/>
      <c r="U61" s="143"/>
      <c r="V61" s="143"/>
      <c r="W61" s="143"/>
    </row>
    <row r="62" spans="6:23" ht="14.15" customHeight="1" x14ac:dyDescent="0.35">
      <c r="F62" s="143"/>
      <c r="G62" s="143"/>
      <c r="H62" s="143"/>
      <c r="I62" s="143"/>
      <c r="J62" s="143"/>
      <c r="K62" s="143"/>
      <c r="L62" s="143"/>
      <c r="M62" s="143"/>
      <c r="N62" s="143"/>
      <c r="O62" s="155"/>
      <c r="P62" s="143"/>
      <c r="Q62" s="143"/>
      <c r="R62" s="143"/>
      <c r="S62" s="143"/>
      <c r="T62" s="143"/>
      <c r="U62" s="143"/>
      <c r="V62" s="143"/>
      <c r="W62" s="143"/>
    </row>
    <row r="63" spans="6:23" ht="14.15" customHeight="1" x14ac:dyDescent="0.35">
      <c r="F63" s="514" t="s">
        <v>163</v>
      </c>
      <c r="G63" s="514"/>
      <c r="H63" s="514"/>
      <c r="I63" s="514"/>
      <c r="J63" s="514"/>
      <c r="K63" s="514"/>
      <c r="L63" s="514"/>
      <c r="M63" s="514"/>
      <c r="N63" s="514"/>
      <c r="O63" s="513" t="str">
        <f>'set-dakol'!H21</f>
        <v>Mustain Billah, S.Si</v>
      </c>
      <c r="P63" s="513"/>
      <c r="Q63" s="513"/>
      <c r="R63" s="513"/>
      <c r="S63" s="513" t="str">
        <f>'set-dakol'!H11</f>
        <v>Ir. Abdul Aziz Ahmad, M.M.</v>
      </c>
      <c r="T63" s="513"/>
      <c r="U63" s="513"/>
      <c r="V63" s="513"/>
      <c r="W63" s="513"/>
    </row>
    <row r="64" spans="6:23" ht="15.5" x14ac:dyDescent="0.35">
      <c r="F64" s="81" t="s">
        <v>120</v>
      </c>
      <c r="G64" s="81"/>
      <c r="H64" s="81"/>
      <c r="I64" s="81"/>
      <c r="J64" s="82"/>
      <c r="K64" s="80"/>
      <c r="L64" s="80"/>
      <c r="M64" s="80" t="s">
        <v>1</v>
      </c>
      <c r="N64" s="532" t="str">
        <f>'set-dakol'!H3</f>
        <v>PKBM GENERASI BANGSA</v>
      </c>
      <c r="O64" s="532"/>
      <c r="P64" s="532"/>
      <c r="Q64" s="532"/>
      <c r="R64" s="532"/>
      <c r="S64" s="533" t="s">
        <v>191</v>
      </c>
      <c r="T64" s="533"/>
      <c r="U64" s="533"/>
      <c r="V64" s="533"/>
      <c r="W64" s="533"/>
    </row>
    <row r="65" spans="6:23" x14ac:dyDescent="0.35">
      <c r="F65" s="534" t="s">
        <v>192</v>
      </c>
      <c r="G65" s="534"/>
      <c r="H65" s="534"/>
      <c r="I65" s="534"/>
      <c r="J65" s="534"/>
      <c r="K65" s="534"/>
      <c r="L65" s="150"/>
      <c r="M65" s="535" t="s">
        <v>1</v>
      </c>
      <c r="N65" s="536" t="str">
        <f>'set-dakol'!H5</f>
        <v>Jl. Terusan Islamic Center - Sigempol KM 03 , Limbangan Wetan Brebes Jawa Tengah</v>
      </c>
      <c r="O65" s="536"/>
      <c r="P65" s="536"/>
      <c r="Q65" s="536"/>
      <c r="R65" s="536"/>
      <c r="S65" s="79" t="s">
        <v>223</v>
      </c>
      <c r="T65" s="79"/>
      <c r="U65" s="80" t="s">
        <v>1</v>
      </c>
      <c r="V65" s="537" t="str">
        <f>'set-kkm'!N4</f>
        <v>3/VII</v>
      </c>
      <c r="W65" s="537"/>
    </row>
    <row r="66" spans="6:23" x14ac:dyDescent="0.35">
      <c r="F66" s="534"/>
      <c r="G66" s="534"/>
      <c r="H66" s="534"/>
      <c r="I66" s="534"/>
      <c r="J66" s="534"/>
      <c r="K66" s="534"/>
      <c r="L66" s="150"/>
      <c r="M66" s="535"/>
      <c r="N66" s="536"/>
      <c r="O66" s="536"/>
      <c r="P66" s="536"/>
      <c r="Q66" s="536"/>
      <c r="R66" s="536"/>
      <c r="S66" s="79" t="s">
        <v>193</v>
      </c>
      <c r="T66" s="79"/>
      <c r="U66" s="80" t="s">
        <v>1</v>
      </c>
      <c r="V66" s="537" t="str">
        <f>'set-kkm'!N5</f>
        <v>3.1</v>
      </c>
      <c r="W66" s="537"/>
    </row>
    <row r="67" spans="6:23" x14ac:dyDescent="0.35">
      <c r="F67" s="534"/>
      <c r="G67" s="534"/>
      <c r="H67" s="534"/>
      <c r="I67" s="534"/>
      <c r="J67" s="534"/>
      <c r="K67" s="534"/>
      <c r="L67" s="150"/>
      <c r="M67" s="535"/>
      <c r="N67" s="536"/>
      <c r="O67" s="536"/>
      <c r="P67" s="536"/>
      <c r="Q67" s="536"/>
      <c r="R67" s="536"/>
      <c r="S67" s="79" t="s">
        <v>7</v>
      </c>
      <c r="T67" s="79"/>
      <c r="U67" s="80" t="s">
        <v>1</v>
      </c>
      <c r="V67" s="537" t="str">
        <f>'set-dakol'!H10</f>
        <v>2022/2023</v>
      </c>
      <c r="W67" s="537"/>
    </row>
    <row r="68" spans="6:23" ht="15.5" x14ac:dyDescent="0.35">
      <c r="F68" s="81" t="s">
        <v>139</v>
      </c>
      <c r="G68" s="81"/>
      <c r="H68" s="81"/>
      <c r="I68" s="81"/>
      <c r="J68" s="82"/>
      <c r="K68" s="83"/>
      <c r="L68" s="83"/>
      <c r="M68" s="80" t="s">
        <v>1</v>
      </c>
      <c r="N68" s="86" t="str">
        <f>L16</f>
        <v>ABDILLAH MUCHSIN AL ANSYORI</v>
      </c>
      <c r="O68" s="164"/>
      <c r="P68" s="78"/>
      <c r="Q68" s="78"/>
      <c r="R68" s="85"/>
      <c r="S68" s="95"/>
      <c r="T68" s="95"/>
      <c r="U68" s="95"/>
      <c r="V68" s="95"/>
      <c r="W68" s="95"/>
    </row>
    <row r="69" spans="6:23" x14ac:dyDescent="0.35">
      <c r="F69" s="81" t="s">
        <v>194</v>
      </c>
      <c r="G69" s="81"/>
      <c r="H69" s="81"/>
      <c r="I69" s="81"/>
      <c r="J69" s="82"/>
      <c r="K69" s="80"/>
      <c r="L69" s="80"/>
      <c r="M69" s="80" t="s">
        <v>1</v>
      </c>
      <c r="N69" s="85" t="str">
        <f>CONCATENATE(AA16&amp;"/"&amp;AA17)</f>
        <v>0259/2084756211</v>
      </c>
      <c r="O69" s="164"/>
      <c r="P69" s="78"/>
      <c r="Q69" s="78"/>
      <c r="R69" s="85"/>
      <c r="S69" s="85"/>
      <c r="T69" s="85"/>
      <c r="U69" s="85"/>
      <c r="V69" s="85"/>
      <c r="W69" s="85"/>
    </row>
    <row r="70" spans="6:23" x14ac:dyDescent="0.35">
      <c r="S70" s="44"/>
      <c r="T70" s="44"/>
      <c r="U70" s="44"/>
      <c r="V70" s="44"/>
      <c r="W70" s="44"/>
    </row>
    <row r="71" spans="6:23" ht="18" customHeight="1" x14ac:dyDescent="0.35">
      <c r="F71" s="516" t="s">
        <v>199</v>
      </c>
      <c r="G71" s="516"/>
      <c r="H71" s="516"/>
      <c r="I71" s="516"/>
      <c r="J71" s="516"/>
      <c r="K71" s="516"/>
      <c r="L71" s="516"/>
      <c r="M71" s="516"/>
      <c r="N71" s="516"/>
      <c r="O71" s="516"/>
      <c r="P71" s="516"/>
      <c r="Q71" s="516"/>
      <c r="R71" s="516"/>
      <c r="S71" s="516"/>
      <c r="T71" s="516"/>
      <c r="U71" s="516"/>
      <c r="V71" s="516"/>
      <c r="W71" s="516"/>
    </row>
    <row r="72" spans="6:23" ht="18" customHeight="1" x14ac:dyDescent="0.35">
      <c r="F72" s="84" t="s">
        <v>200</v>
      </c>
      <c r="G72" s="84"/>
      <c r="H72" s="84"/>
    </row>
    <row r="73" spans="6:23" ht="18" customHeight="1" x14ac:dyDescent="0.35">
      <c r="F73" s="517" t="s">
        <v>201</v>
      </c>
      <c r="G73" s="517"/>
      <c r="H73" s="517"/>
      <c r="I73" s="517"/>
      <c r="J73" s="517"/>
      <c r="K73" s="517"/>
      <c r="L73" s="153"/>
    </row>
    <row r="74" spans="6:23" ht="18" customHeight="1" x14ac:dyDescent="0.35">
      <c r="F74" s="518" t="s">
        <v>174</v>
      </c>
      <c r="G74" s="518"/>
      <c r="H74" s="518"/>
      <c r="I74" s="518"/>
      <c r="J74" s="518"/>
      <c r="K74" s="518"/>
      <c r="L74" s="519" t="s">
        <v>170</v>
      </c>
      <c r="M74" s="520"/>
      <c r="N74" s="520"/>
      <c r="O74" s="520"/>
      <c r="P74" s="520"/>
      <c r="Q74" s="520"/>
      <c r="R74" s="520"/>
      <c r="S74" s="520"/>
      <c r="T74" s="520"/>
      <c r="U74" s="520"/>
      <c r="V74" s="520"/>
      <c r="W74" s="521"/>
    </row>
    <row r="75" spans="6:23" ht="18" customHeight="1" x14ac:dyDescent="0.35">
      <c r="F75" s="522" t="str">
        <f>VLOOKUP(N2,nilwks1,8,FALSE)</f>
        <v>B</v>
      </c>
      <c r="G75" s="522"/>
      <c r="H75" s="522"/>
      <c r="I75" s="522"/>
      <c r="J75" s="522"/>
      <c r="K75" s="522"/>
      <c r="L75" s="523"/>
      <c r="M75" s="524"/>
      <c r="N75" s="524"/>
      <c r="O75" s="524"/>
      <c r="P75" s="524"/>
      <c r="Q75" s="524"/>
      <c r="R75" s="524"/>
      <c r="S75" s="524"/>
      <c r="T75" s="524"/>
      <c r="U75" s="524"/>
      <c r="V75" s="524"/>
      <c r="W75" s="525"/>
    </row>
    <row r="76" spans="6:23" ht="18" customHeight="1" x14ac:dyDescent="0.35">
      <c r="F76" s="522"/>
      <c r="G76" s="522"/>
      <c r="H76" s="522"/>
      <c r="I76" s="522"/>
      <c r="J76" s="522"/>
      <c r="K76" s="522"/>
      <c r="L76" s="526"/>
      <c r="M76" s="527"/>
      <c r="N76" s="527"/>
      <c r="O76" s="527"/>
      <c r="P76" s="527"/>
      <c r="Q76" s="527"/>
      <c r="R76" s="527"/>
      <c r="S76" s="527"/>
      <c r="T76" s="527"/>
      <c r="U76" s="527"/>
      <c r="V76" s="527"/>
      <c r="W76" s="528"/>
    </row>
    <row r="77" spans="6:23" ht="28.5" customHeight="1" x14ac:dyDescent="0.35">
      <c r="F77" s="522"/>
      <c r="G77" s="522"/>
      <c r="H77" s="522"/>
      <c r="I77" s="522"/>
      <c r="J77" s="522"/>
      <c r="K77" s="522"/>
      <c r="L77" s="526"/>
      <c r="M77" s="527"/>
      <c r="N77" s="527"/>
      <c r="O77" s="527"/>
      <c r="P77" s="527"/>
      <c r="Q77" s="527"/>
      <c r="R77" s="527"/>
      <c r="S77" s="527"/>
      <c r="T77" s="527"/>
      <c r="U77" s="527"/>
      <c r="V77" s="527"/>
      <c r="W77" s="528"/>
    </row>
    <row r="78" spans="6:23" ht="28.5" customHeight="1" x14ac:dyDescent="0.35">
      <c r="F78" s="522"/>
      <c r="G78" s="522"/>
      <c r="H78" s="522"/>
      <c r="I78" s="522"/>
      <c r="J78" s="522"/>
      <c r="K78" s="522"/>
      <c r="L78" s="526"/>
      <c r="M78" s="527"/>
      <c r="N78" s="527"/>
      <c r="O78" s="527"/>
      <c r="P78" s="527"/>
      <c r="Q78" s="527"/>
      <c r="R78" s="527"/>
      <c r="S78" s="527"/>
      <c r="T78" s="527"/>
      <c r="U78" s="527"/>
      <c r="V78" s="527"/>
      <c r="W78" s="528"/>
    </row>
    <row r="79" spans="6:23" ht="28.5" customHeight="1" x14ac:dyDescent="0.35">
      <c r="F79" s="522"/>
      <c r="G79" s="522"/>
      <c r="H79" s="522"/>
      <c r="I79" s="522"/>
      <c r="J79" s="522"/>
      <c r="K79" s="522"/>
      <c r="L79" s="526"/>
      <c r="M79" s="527"/>
      <c r="N79" s="527"/>
      <c r="O79" s="527"/>
      <c r="P79" s="527"/>
      <c r="Q79" s="527"/>
      <c r="R79" s="527"/>
      <c r="S79" s="527"/>
      <c r="T79" s="527"/>
      <c r="U79" s="527"/>
      <c r="V79" s="527"/>
      <c r="W79" s="528"/>
    </row>
    <row r="80" spans="6:23" ht="28.5" customHeight="1" x14ac:dyDescent="0.35">
      <c r="F80" s="522"/>
      <c r="G80" s="522"/>
      <c r="H80" s="522"/>
      <c r="I80" s="522"/>
      <c r="J80" s="522"/>
      <c r="K80" s="522"/>
      <c r="L80" s="529"/>
      <c r="M80" s="530"/>
      <c r="N80" s="530"/>
      <c r="O80" s="530"/>
      <c r="P80" s="530"/>
      <c r="Q80" s="530"/>
      <c r="R80" s="530"/>
      <c r="S80" s="530"/>
      <c r="T80" s="530"/>
      <c r="U80" s="530"/>
      <c r="V80" s="530"/>
      <c r="W80" s="531"/>
    </row>
    <row r="81" spans="6:23" x14ac:dyDescent="0.35">
      <c r="F81" s="517" t="s">
        <v>202</v>
      </c>
      <c r="G81" s="517"/>
      <c r="H81" s="517"/>
      <c r="I81" s="517"/>
      <c r="J81" s="517"/>
      <c r="K81" s="517"/>
      <c r="L81" s="153"/>
    </row>
    <row r="82" spans="6:23" ht="15" customHeight="1" x14ac:dyDescent="0.35">
      <c r="F82" s="518" t="s">
        <v>174</v>
      </c>
      <c r="G82" s="518"/>
      <c r="H82" s="518"/>
      <c r="I82" s="518"/>
      <c r="J82" s="518"/>
      <c r="K82" s="518"/>
      <c r="L82" s="519" t="s">
        <v>170</v>
      </c>
      <c r="M82" s="520"/>
      <c r="N82" s="520"/>
      <c r="O82" s="520"/>
      <c r="P82" s="520"/>
      <c r="Q82" s="520"/>
      <c r="R82" s="520"/>
      <c r="S82" s="520"/>
      <c r="T82" s="520"/>
      <c r="U82" s="520"/>
      <c r="V82" s="520"/>
      <c r="W82" s="521"/>
    </row>
    <row r="83" spans="6:23" ht="15" customHeight="1" x14ac:dyDescent="0.35">
      <c r="F83" s="522" t="str">
        <f>VLOOKUP(N2,nilwks1,12,FALSE)</f>
        <v>SANGAT BAIK</v>
      </c>
      <c r="G83" s="522"/>
      <c r="H83" s="522"/>
      <c r="I83" s="522"/>
      <c r="J83" s="522"/>
      <c r="K83" s="522"/>
      <c r="L83" s="523"/>
      <c r="M83" s="524"/>
      <c r="N83" s="524"/>
      <c r="O83" s="524"/>
      <c r="P83" s="524"/>
      <c r="Q83" s="524"/>
      <c r="R83" s="524"/>
      <c r="S83" s="524"/>
      <c r="T83" s="524"/>
      <c r="U83" s="524"/>
      <c r="V83" s="524"/>
      <c r="W83" s="525"/>
    </row>
    <row r="84" spans="6:23" ht="15" customHeight="1" x14ac:dyDescent="0.35">
      <c r="F84" s="522"/>
      <c r="G84" s="522"/>
      <c r="H84" s="522"/>
      <c r="I84" s="522"/>
      <c r="J84" s="522"/>
      <c r="K84" s="522"/>
      <c r="L84" s="526"/>
      <c r="M84" s="527"/>
      <c r="N84" s="527"/>
      <c r="O84" s="527"/>
      <c r="P84" s="527"/>
      <c r="Q84" s="527"/>
      <c r="R84" s="527"/>
      <c r="S84" s="527"/>
      <c r="T84" s="527"/>
      <c r="U84" s="527"/>
      <c r="V84" s="527"/>
      <c r="W84" s="528"/>
    </row>
    <row r="85" spans="6:23" ht="15" customHeight="1" x14ac:dyDescent="0.35">
      <c r="F85" s="522"/>
      <c r="G85" s="522"/>
      <c r="H85" s="522"/>
      <c r="I85" s="522"/>
      <c r="J85" s="522"/>
      <c r="K85" s="522"/>
      <c r="L85" s="526"/>
      <c r="M85" s="527"/>
      <c r="N85" s="527"/>
      <c r="O85" s="527"/>
      <c r="P85" s="527"/>
      <c r="Q85" s="527"/>
      <c r="R85" s="527"/>
      <c r="S85" s="527"/>
      <c r="T85" s="527"/>
      <c r="U85" s="527"/>
      <c r="V85" s="527"/>
      <c r="W85" s="528"/>
    </row>
    <row r="86" spans="6:23" ht="15" customHeight="1" x14ac:dyDescent="0.35">
      <c r="F86" s="522"/>
      <c r="G86" s="522"/>
      <c r="H86" s="522"/>
      <c r="I86" s="522"/>
      <c r="J86" s="522"/>
      <c r="K86" s="522"/>
      <c r="L86" s="526"/>
      <c r="M86" s="527"/>
      <c r="N86" s="527"/>
      <c r="O86" s="527"/>
      <c r="P86" s="527"/>
      <c r="Q86" s="527"/>
      <c r="R86" s="527"/>
      <c r="S86" s="527"/>
      <c r="T86" s="527"/>
      <c r="U86" s="527"/>
      <c r="V86" s="527"/>
      <c r="W86" s="528"/>
    </row>
    <row r="87" spans="6:23" ht="15" customHeight="1" x14ac:dyDescent="0.35">
      <c r="F87" s="522"/>
      <c r="G87" s="522"/>
      <c r="H87" s="522"/>
      <c r="I87" s="522"/>
      <c r="J87" s="522"/>
      <c r="K87" s="522"/>
      <c r="L87" s="526"/>
      <c r="M87" s="527"/>
      <c r="N87" s="527"/>
      <c r="O87" s="527"/>
      <c r="P87" s="527"/>
      <c r="Q87" s="527"/>
      <c r="R87" s="527"/>
      <c r="S87" s="527"/>
      <c r="T87" s="527"/>
      <c r="U87" s="527"/>
      <c r="V87" s="527"/>
      <c r="W87" s="528"/>
    </row>
    <row r="88" spans="6:23" ht="28.5" customHeight="1" x14ac:dyDescent="0.35">
      <c r="F88" s="522"/>
      <c r="G88" s="522"/>
      <c r="H88" s="522"/>
      <c r="I88" s="522"/>
      <c r="J88" s="522"/>
      <c r="K88" s="522"/>
      <c r="L88" s="529"/>
      <c r="M88" s="530"/>
      <c r="N88" s="530"/>
      <c r="O88" s="530"/>
      <c r="P88" s="530"/>
      <c r="Q88" s="530"/>
      <c r="R88" s="530"/>
      <c r="S88" s="530"/>
      <c r="T88" s="530"/>
      <c r="U88" s="530"/>
      <c r="V88" s="530"/>
      <c r="W88" s="531"/>
    </row>
    <row r="90" spans="6:23" x14ac:dyDescent="0.35">
      <c r="F90" s="84" t="s">
        <v>203</v>
      </c>
    </row>
    <row r="91" spans="6:23" ht="20.149999999999999" customHeight="1" x14ac:dyDescent="0.35">
      <c r="F91" s="518" t="s">
        <v>69</v>
      </c>
      <c r="G91" s="518"/>
      <c r="H91" s="518" t="s">
        <v>70</v>
      </c>
      <c r="I91" s="518"/>
      <c r="J91" s="518"/>
      <c r="K91" s="518"/>
      <c r="L91" s="518"/>
      <c r="M91" s="518"/>
      <c r="N91" s="518"/>
      <c r="O91" s="518" t="s">
        <v>71</v>
      </c>
      <c r="P91" s="518" t="s">
        <v>72</v>
      </c>
      <c r="Q91" s="518" t="s">
        <v>173</v>
      </c>
      <c r="R91" s="518"/>
      <c r="S91" s="518"/>
      <c r="T91" s="518" t="s">
        <v>174</v>
      </c>
      <c r="U91" s="518"/>
      <c r="V91" s="518"/>
      <c r="W91" s="518"/>
    </row>
    <row r="92" spans="6:23" ht="20.149999999999999" customHeight="1" x14ac:dyDescent="0.35">
      <c r="F92" s="518"/>
      <c r="G92" s="518"/>
      <c r="H92" s="518"/>
      <c r="I92" s="518"/>
      <c r="J92" s="518"/>
      <c r="K92" s="518"/>
      <c r="L92" s="518"/>
      <c r="M92" s="518"/>
      <c r="N92" s="518"/>
      <c r="O92" s="518"/>
      <c r="P92" s="518"/>
      <c r="Q92" s="154" t="s">
        <v>142</v>
      </c>
      <c r="R92" s="154" t="s">
        <v>143</v>
      </c>
      <c r="S92" s="154" t="s">
        <v>144</v>
      </c>
      <c r="T92" s="154" t="s">
        <v>142</v>
      </c>
      <c r="U92" s="541" t="s">
        <v>143</v>
      </c>
      <c r="V92" s="541"/>
      <c r="W92" s="172" t="s">
        <v>143</v>
      </c>
    </row>
    <row r="93" spans="6:23" ht="20.149999999999999" customHeight="1" x14ac:dyDescent="0.35">
      <c r="F93" s="542" t="s">
        <v>73</v>
      </c>
      <c r="G93" s="542"/>
      <c r="H93" s="542"/>
      <c r="I93" s="542"/>
      <c r="J93" s="542"/>
      <c r="K93" s="542"/>
      <c r="L93" s="542"/>
      <c r="M93" s="542"/>
      <c r="N93" s="542"/>
      <c r="O93" s="542"/>
      <c r="P93" s="542"/>
      <c r="Q93" s="542"/>
      <c r="R93" s="542"/>
      <c r="S93" s="542"/>
      <c r="T93" s="542"/>
      <c r="U93" s="542"/>
      <c r="V93" s="542"/>
      <c r="W93" s="542"/>
    </row>
    <row r="94" spans="6:23" ht="20.149999999999999" customHeight="1" x14ac:dyDescent="0.35">
      <c r="F94" s="538">
        <v>1</v>
      </c>
      <c r="G94" s="538"/>
      <c r="H94" s="540" t="str">
        <f>'set-kkm'!K8</f>
        <v>Pendidikan Agama</v>
      </c>
      <c r="I94" s="540"/>
      <c r="J94" s="540"/>
      <c r="K94" s="540"/>
      <c r="L94" s="540"/>
      <c r="M94" s="540"/>
      <c r="N94" s="540"/>
      <c r="O94" s="54">
        <f>'set-kkm'!M8</f>
        <v>2</v>
      </c>
      <c r="P94" s="54">
        <f>'set-kkm'!N8</f>
        <v>70</v>
      </c>
      <c r="Q94" s="54">
        <f>VLOOKUP(N2,nilpels1,20,FALSE)</f>
        <v>1329</v>
      </c>
      <c r="R94" s="54">
        <f>Q94</f>
        <v>1329</v>
      </c>
      <c r="S94" s="54">
        <f>R94</f>
        <v>1329</v>
      </c>
      <c r="T94" s="54" t="str">
        <f t="shared" ref="T94:T100" si="2">IF(Q94=0,"",IF(Q94&gt;=80.1,"SB",IF(Q94&gt;=65.81,"B",IF(Q94&gt;=50.66,"C",IF(Q94&gt;=0.51,"D",)))))</f>
        <v>SB</v>
      </c>
      <c r="U94" s="538" t="str">
        <f t="shared" ref="U94:U100" si="3">T94</f>
        <v>SB</v>
      </c>
      <c r="V94" s="538"/>
      <c r="W94" s="53"/>
    </row>
    <row r="95" spans="6:23" ht="31.5" customHeight="1" x14ac:dyDescent="0.35">
      <c r="F95" s="538">
        <v>2</v>
      </c>
      <c r="G95" s="538"/>
      <c r="H95" s="539" t="str">
        <f>'set-kkm'!K9</f>
        <v>Pendidikan Pancasila dan Kewarganegaraan (PPKN)</v>
      </c>
      <c r="I95" s="539"/>
      <c r="J95" s="539"/>
      <c r="K95" s="539"/>
      <c r="L95" s="539"/>
      <c r="M95" s="539"/>
      <c r="N95" s="539"/>
      <c r="O95" s="54">
        <f>'set-kkm'!M9</f>
        <v>2</v>
      </c>
      <c r="P95" s="54">
        <f>'set-kkm'!N9</f>
        <v>70</v>
      </c>
      <c r="Q95" s="54">
        <f>VLOOKUP(N2,nilpels1,22,FALSE)</f>
        <v>77</v>
      </c>
      <c r="R95" s="54">
        <f t="shared" ref="R95:S100" si="4">Q95</f>
        <v>77</v>
      </c>
      <c r="S95" s="54">
        <f t="shared" si="4"/>
        <v>77</v>
      </c>
      <c r="T95" s="54" t="str">
        <f t="shared" si="2"/>
        <v>B</v>
      </c>
      <c r="U95" s="538" t="str">
        <f t="shared" si="3"/>
        <v>B</v>
      </c>
      <c r="V95" s="538"/>
      <c r="W95" s="53"/>
    </row>
    <row r="96" spans="6:23" ht="20.149999999999999" customHeight="1" x14ac:dyDescent="0.35">
      <c r="F96" s="538">
        <v>3</v>
      </c>
      <c r="G96" s="538"/>
      <c r="H96" s="540" t="str">
        <f>'set-kkm'!K10</f>
        <v>Bahasa Indonesia</v>
      </c>
      <c r="I96" s="540"/>
      <c r="J96" s="540"/>
      <c r="K96" s="540"/>
      <c r="L96" s="540"/>
      <c r="M96" s="540"/>
      <c r="N96" s="540"/>
      <c r="O96" s="54">
        <f>'set-kkm'!M10</f>
        <v>1</v>
      </c>
      <c r="P96" s="54">
        <f>'set-kkm'!N10</f>
        <v>70</v>
      </c>
      <c r="Q96" s="54">
        <f>VLOOKUP(N2,nilpels1,24,FALSE)</f>
        <v>81</v>
      </c>
      <c r="R96" s="54">
        <f t="shared" si="4"/>
        <v>81</v>
      </c>
      <c r="S96" s="54">
        <f t="shared" si="4"/>
        <v>81</v>
      </c>
      <c r="T96" s="54" t="str">
        <f t="shared" si="2"/>
        <v>SB</v>
      </c>
      <c r="U96" s="538" t="str">
        <f t="shared" si="3"/>
        <v>SB</v>
      </c>
      <c r="V96" s="538"/>
      <c r="W96" s="53"/>
    </row>
    <row r="97" spans="6:23" ht="20.149999999999999" customHeight="1" x14ac:dyDescent="0.35">
      <c r="F97" s="538">
        <v>4</v>
      </c>
      <c r="G97" s="538"/>
      <c r="H97" s="540" t="str">
        <f>'set-kkm'!K11</f>
        <v>Bahasa Inggris</v>
      </c>
      <c r="I97" s="540"/>
      <c r="J97" s="540"/>
      <c r="K97" s="540"/>
      <c r="L97" s="540"/>
      <c r="M97" s="540"/>
      <c r="N97" s="540"/>
      <c r="O97" s="54">
        <f>'set-kkm'!M11</f>
        <v>1</v>
      </c>
      <c r="P97" s="54">
        <f>'set-kkm'!N11</f>
        <v>70</v>
      </c>
      <c r="Q97" s="54">
        <f>VLOOKUP(N2,nilpels1,26,FALSE)</f>
        <v>45</v>
      </c>
      <c r="R97" s="54">
        <f t="shared" si="4"/>
        <v>45</v>
      </c>
      <c r="S97" s="54">
        <f t="shared" si="4"/>
        <v>45</v>
      </c>
      <c r="T97" s="54" t="str">
        <f t="shared" si="2"/>
        <v>D</v>
      </c>
      <c r="U97" s="538" t="str">
        <f t="shared" si="3"/>
        <v>D</v>
      </c>
      <c r="V97" s="538"/>
      <c r="W97" s="53"/>
    </row>
    <row r="98" spans="6:23" ht="20.149999999999999" customHeight="1" x14ac:dyDescent="0.35">
      <c r="F98" s="538">
        <v>5</v>
      </c>
      <c r="G98" s="538"/>
      <c r="H98" s="540" t="str">
        <f>'set-kkm'!K12</f>
        <v>Matematika</v>
      </c>
      <c r="I98" s="540"/>
      <c r="J98" s="540"/>
      <c r="K98" s="540"/>
      <c r="L98" s="540"/>
      <c r="M98" s="540"/>
      <c r="N98" s="540"/>
      <c r="O98" s="54">
        <f>'set-kkm'!M12</f>
        <v>1</v>
      </c>
      <c r="P98" s="54">
        <f>'set-kkm'!N12</f>
        <v>70</v>
      </c>
      <c r="Q98" s="54">
        <f>VLOOKUP(N2,nilpels1,28,FALSE)</f>
        <v>95</v>
      </c>
      <c r="R98" s="54">
        <f t="shared" si="4"/>
        <v>95</v>
      </c>
      <c r="S98" s="54">
        <f t="shared" si="4"/>
        <v>95</v>
      </c>
      <c r="T98" s="54" t="str">
        <f t="shared" si="2"/>
        <v>SB</v>
      </c>
      <c r="U98" s="538" t="str">
        <f t="shared" si="3"/>
        <v>SB</v>
      </c>
      <c r="V98" s="538"/>
      <c r="W98" s="53"/>
    </row>
    <row r="99" spans="6:23" ht="20.149999999999999" customHeight="1" x14ac:dyDescent="0.35">
      <c r="F99" s="538">
        <v>6</v>
      </c>
      <c r="G99" s="538"/>
      <c r="H99" s="540" t="str">
        <f>'set-kkm'!K13</f>
        <v>Ilmu Pengetahuan Alam</v>
      </c>
      <c r="I99" s="540"/>
      <c r="J99" s="540"/>
      <c r="K99" s="540"/>
      <c r="L99" s="540"/>
      <c r="M99" s="540"/>
      <c r="N99" s="540"/>
      <c r="O99" s="54">
        <f>'set-kkm'!M13</f>
        <v>1</v>
      </c>
      <c r="P99" s="54">
        <f>'set-kkm'!N13</f>
        <v>70</v>
      </c>
      <c r="Q99" s="54">
        <f>VLOOKUP(N2,nilpels1,30,FALSE)</f>
        <v>80</v>
      </c>
      <c r="R99" s="54">
        <f t="shared" si="4"/>
        <v>80</v>
      </c>
      <c r="S99" s="54">
        <f t="shared" si="4"/>
        <v>80</v>
      </c>
      <c r="T99" s="54" t="str">
        <f t="shared" si="2"/>
        <v>B</v>
      </c>
      <c r="U99" s="538" t="str">
        <f t="shared" si="3"/>
        <v>B</v>
      </c>
      <c r="V99" s="538"/>
      <c r="W99" s="53"/>
    </row>
    <row r="100" spans="6:23" ht="20.149999999999999" customHeight="1" x14ac:dyDescent="0.35">
      <c r="F100" s="538">
        <v>7</v>
      </c>
      <c r="G100" s="538"/>
      <c r="H100" s="540" t="str">
        <f>'set-kkm'!K14</f>
        <v>Ilmu Pengetahuan Sosial</v>
      </c>
      <c r="I100" s="540"/>
      <c r="J100" s="540"/>
      <c r="K100" s="540"/>
      <c r="L100" s="540"/>
      <c r="M100" s="540"/>
      <c r="N100" s="540"/>
      <c r="O100" s="54">
        <f>'set-kkm'!M14</f>
        <v>1</v>
      </c>
      <c r="P100" s="54">
        <f>'set-kkm'!N14</f>
        <v>70</v>
      </c>
      <c r="Q100" s="54">
        <f>VLOOKUP(N2,nilpels1,32,FALSE)</f>
        <v>65</v>
      </c>
      <c r="R100" s="54">
        <f t="shared" si="4"/>
        <v>65</v>
      </c>
      <c r="S100" s="54">
        <f t="shared" si="4"/>
        <v>65</v>
      </c>
      <c r="T100" s="54" t="str">
        <f t="shared" si="2"/>
        <v>C</v>
      </c>
      <c r="U100" s="538" t="str">
        <f t="shared" si="3"/>
        <v>C</v>
      </c>
      <c r="V100" s="538"/>
      <c r="W100" s="53"/>
    </row>
    <row r="101" spans="6:23" ht="20.149999999999999" customHeight="1" x14ac:dyDescent="0.35">
      <c r="F101" s="543" t="s">
        <v>204</v>
      </c>
      <c r="G101" s="543"/>
      <c r="H101" s="543"/>
      <c r="I101" s="543"/>
      <c r="J101" s="543"/>
      <c r="K101" s="543"/>
      <c r="L101" s="543"/>
      <c r="M101" s="543"/>
      <c r="N101" s="543"/>
      <c r="O101" s="543"/>
      <c r="P101" s="543"/>
      <c r="Q101" s="543"/>
      <c r="R101" s="543"/>
      <c r="S101" s="543"/>
      <c r="T101" s="543"/>
      <c r="U101" s="543"/>
      <c r="V101" s="543"/>
      <c r="W101" s="543"/>
    </row>
    <row r="102" spans="6:23" ht="20.149999999999999" customHeight="1" x14ac:dyDescent="0.35">
      <c r="F102" s="538">
        <v>8</v>
      </c>
      <c r="G102" s="538"/>
      <c r="H102" s="540" t="s">
        <v>205</v>
      </c>
      <c r="I102" s="540"/>
      <c r="J102" s="540"/>
      <c r="K102" s="540"/>
      <c r="L102" s="540"/>
      <c r="M102" s="540"/>
      <c r="N102" s="540"/>
      <c r="O102" s="540"/>
      <c r="P102" s="540"/>
      <c r="Q102" s="540"/>
      <c r="R102" s="540"/>
      <c r="S102" s="540"/>
      <c r="T102" s="540"/>
      <c r="U102" s="540"/>
      <c r="V102" s="540"/>
      <c r="W102" s="540"/>
    </row>
    <row r="103" spans="6:23" ht="20.149999999999999" customHeight="1" x14ac:dyDescent="0.35">
      <c r="F103" s="538"/>
      <c r="G103" s="538"/>
      <c r="H103" s="540" t="str">
        <f>'set-kkm'!K17</f>
        <v>Tahfizh Al-Qur'an</v>
      </c>
      <c r="I103" s="540"/>
      <c r="J103" s="540"/>
      <c r="K103" s="540"/>
      <c r="L103" s="540"/>
      <c r="M103" s="540"/>
      <c r="N103" s="540"/>
      <c r="O103" s="54">
        <f>'set-kkm'!M17</f>
        <v>2</v>
      </c>
      <c r="P103" s="54">
        <f>'set-kkm'!N17</f>
        <v>70</v>
      </c>
      <c r="Q103" s="538">
        <f>VLOOKUP(N2,nilpels1,5,FALSE)</f>
        <v>77</v>
      </c>
      <c r="R103" s="538"/>
      <c r="S103" s="538"/>
      <c r="T103" s="54"/>
      <c r="U103" s="538" t="str">
        <f>IF(Q103=0,"",IF(Q103&gt;=80.1,"SB",IF(Q103&gt;=65.81,"B",IF(Q103&gt;=50.66,"C",IF(Q103&gt;=0.51,"D",)))))</f>
        <v>B</v>
      </c>
      <c r="V103" s="538"/>
      <c r="W103" s="538"/>
    </row>
    <row r="104" spans="6:23" ht="20.149999999999999" customHeight="1" x14ac:dyDescent="0.35">
      <c r="F104" s="538"/>
      <c r="G104" s="538"/>
      <c r="H104" s="540" t="str">
        <f>'set-kkm'!K18</f>
        <v>Keasramaan</v>
      </c>
      <c r="I104" s="540"/>
      <c r="J104" s="540"/>
      <c r="K104" s="540"/>
      <c r="L104" s="540"/>
      <c r="M104" s="540"/>
      <c r="N104" s="540"/>
      <c r="O104" s="54">
        <f>'set-kkm'!M18</f>
        <v>1</v>
      </c>
      <c r="P104" s="54">
        <f>'set-kkm'!N18</f>
        <v>70</v>
      </c>
      <c r="Q104" s="538">
        <f>VLOOKUP(N2,nilpels1,8,FALSE)</f>
        <v>60</v>
      </c>
      <c r="R104" s="538"/>
      <c r="S104" s="538"/>
      <c r="T104" s="54"/>
      <c r="U104" s="538" t="str">
        <f>IF(Q104=0,"",IF(Q104&gt;=80.1,"SB",IF(Q104&gt;=65.81,"B",IF(Q104&gt;=50.66,"C",IF(Q104&gt;=0.51,"D",)))))</f>
        <v>C</v>
      </c>
      <c r="V104" s="538"/>
      <c r="W104" s="538"/>
    </row>
    <row r="105" spans="6:23" ht="20.149999999999999" customHeight="1" x14ac:dyDescent="0.35">
      <c r="F105" s="538">
        <v>9</v>
      </c>
      <c r="G105" s="538"/>
      <c r="H105" s="540" t="s">
        <v>206</v>
      </c>
      <c r="I105" s="540"/>
      <c r="J105" s="540"/>
      <c r="K105" s="540"/>
      <c r="L105" s="540"/>
      <c r="M105" s="540"/>
      <c r="N105" s="540"/>
      <c r="O105" s="540"/>
      <c r="P105" s="540"/>
      <c r="Q105" s="540"/>
      <c r="R105" s="540"/>
      <c r="S105" s="540"/>
      <c r="T105" s="540"/>
      <c r="U105" s="540"/>
      <c r="V105" s="540"/>
      <c r="W105" s="540"/>
    </row>
    <row r="106" spans="6:23" ht="20.149999999999999" customHeight="1" x14ac:dyDescent="0.35">
      <c r="F106" s="538"/>
      <c r="G106" s="538"/>
      <c r="H106" s="540" t="str">
        <f>'set-kkm'!K20</f>
        <v>a. Keterampilan Wajib</v>
      </c>
      <c r="I106" s="540"/>
      <c r="J106" s="540"/>
      <c r="K106" s="540"/>
      <c r="L106" s="540"/>
      <c r="M106" s="540"/>
      <c r="N106" s="540"/>
      <c r="O106" s="54">
        <f>'set-kkm'!M20</f>
        <v>2</v>
      </c>
      <c r="P106" s="54">
        <f>'set-kkm'!N20</f>
        <v>70</v>
      </c>
      <c r="Q106" s="538">
        <f>VLOOKUP(N2,nilpels1,3,FALSE)</f>
        <v>81</v>
      </c>
      <c r="R106" s="538"/>
      <c r="S106" s="538"/>
      <c r="T106" s="54"/>
      <c r="U106" s="538" t="str">
        <f>IF(Q106=0,"",IF(Q106&gt;=80.1,"SB",IF(Q106&gt;=65.81,"B",IF(Q106&gt;=50.66,"C",IF(Q106&gt;=0.51,"D",)))))</f>
        <v>SB</v>
      </c>
      <c r="V106" s="538"/>
      <c r="W106" s="538"/>
    </row>
    <row r="107" spans="6:23" ht="20.149999999999999" customHeight="1" x14ac:dyDescent="0.35">
      <c r="F107" s="538"/>
      <c r="G107" s="538"/>
      <c r="H107" s="540" t="str">
        <f>'set-kkm'!K21</f>
        <v>b. Keterampilan Pilihan :</v>
      </c>
      <c r="I107" s="540"/>
      <c r="J107" s="540"/>
      <c r="K107" s="540"/>
      <c r="L107" s="540"/>
      <c r="M107" s="540"/>
      <c r="N107" s="540"/>
      <c r="O107" s="540"/>
      <c r="P107" s="540"/>
      <c r="Q107" s="540"/>
      <c r="R107" s="540"/>
      <c r="S107" s="540"/>
      <c r="T107" s="540"/>
      <c r="U107" s="540"/>
      <c r="V107" s="540"/>
      <c r="W107" s="540"/>
    </row>
    <row r="108" spans="6:23" ht="20.149999999999999" customHeight="1" x14ac:dyDescent="0.35">
      <c r="F108" s="538"/>
      <c r="G108" s="538"/>
      <c r="H108" s="540" t="str">
        <f>'set-kkm'!K22</f>
        <v xml:space="preserve">    1) Public Speaking</v>
      </c>
      <c r="I108" s="540"/>
      <c r="J108" s="540"/>
      <c r="K108" s="540"/>
      <c r="L108" s="540"/>
      <c r="M108" s="540"/>
      <c r="N108" s="540"/>
      <c r="O108" s="54">
        <f>'set-kkm'!M22</f>
        <v>1</v>
      </c>
      <c r="P108" s="54">
        <f>'set-kkm'!N22</f>
        <v>70</v>
      </c>
      <c r="Q108" s="538">
        <f>VLOOKUP(N2,nilpels1,4,FALSE)</f>
        <v>100</v>
      </c>
      <c r="R108" s="538"/>
      <c r="S108" s="538"/>
      <c r="T108" s="54"/>
      <c r="U108" s="538" t="str">
        <f t="shared" ref="U108" si="5">IF(Q108=0,"",IF(Q108&gt;=80.1,"SB",IF(Q108&gt;=65.81,"B",IF(Q108&gt;=50.66,"C",IF(Q108&gt;=0.51,"D",)))))</f>
        <v>SB</v>
      </c>
      <c r="V108" s="538"/>
      <c r="W108" s="538"/>
    </row>
    <row r="109" spans="6:23" ht="20.149999999999999" customHeight="1" x14ac:dyDescent="0.35">
      <c r="F109" s="538"/>
      <c r="G109" s="538"/>
      <c r="H109" s="540" t="str">
        <f>'set-kkm'!K23</f>
        <v xml:space="preserve">    2) Olahraga</v>
      </c>
      <c r="I109" s="540"/>
      <c r="J109" s="540"/>
      <c r="K109" s="540"/>
      <c r="L109" s="540"/>
      <c r="M109" s="540"/>
      <c r="N109" s="540"/>
      <c r="O109" s="54">
        <f>'set-kkm'!M23</f>
        <v>1</v>
      </c>
      <c r="P109" s="54">
        <f>'set-kkm'!N23</f>
        <v>70</v>
      </c>
      <c r="Q109" s="538">
        <f>VLOOKUP(N2,nilpels1,14,FALSE)</f>
        <v>45</v>
      </c>
      <c r="R109" s="538"/>
      <c r="S109" s="538"/>
      <c r="T109" s="54"/>
      <c r="U109" s="538" t="str">
        <f>IF(Q109=0,"",IF(Q109&gt;=80.1,"SB",IF(Q109&gt;=65.81,"B",IF(Q109&gt;=50.66,"C",IF(Q109&gt;=0.51,"D",)))))</f>
        <v>D</v>
      </c>
      <c r="V109" s="538"/>
      <c r="W109" s="538"/>
    </row>
    <row r="110" spans="6:23" ht="24" customHeight="1" x14ac:dyDescent="0.35">
      <c r="F110" s="87" t="s">
        <v>120</v>
      </c>
      <c r="G110" s="87"/>
      <c r="H110" s="87"/>
      <c r="I110" s="87"/>
      <c r="J110" s="88"/>
      <c r="K110" s="89"/>
      <c r="L110" s="89"/>
      <c r="M110" s="89" t="s">
        <v>1</v>
      </c>
      <c r="N110" s="532" t="str">
        <f>N64</f>
        <v>PKBM GENERASI BANGSA</v>
      </c>
      <c r="O110" s="532"/>
      <c r="P110" s="532"/>
      <c r="Q110" s="532"/>
      <c r="R110" s="532"/>
      <c r="S110" s="94" t="s">
        <v>191</v>
      </c>
      <c r="T110" s="94"/>
      <c r="U110" s="94"/>
      <c r="V110" s="94"/>
      <c r="W110" s="94"/>
    </row>
    <row r="111" spans="6:23" ht="24" customHeight="1" x14ac:dyDescent="0.35">
      <c r="F111" s="534" t="s">
        <v>192</v>
      </c>
      <c r="G111" s="534"/>
      <c r="H111" s="534"/>
      <c r="I111" s="534"/>
      <c r="J111" s="534"/>
      <c r="K111" s="534"/>
      <c r="L111" s="150"/>
      <c r="M111" s="544" t="s">
        <v>1</v>
      </c>
      <c r="N111" s="536" t="str">
        <f>N65</f>
        <v>Jl. Terusan Islamic Center - Sigempol KM 03 , Limbangan Wetan Brebes Jawa Tengah</v>
      </c>
      <c r="O111" s="536"/>
      <c r="P111" s="536"/>
      <c r="Q111" s="536"/>
      <c r="R111" s="536"/>
      <c r="S111" s="89" t="s">
        <v>223</v>
      </c>
      <c r="T111" s="89"/>
      <c r="U111" s="89"/>
      <c r="V111" s="89" t="s">
        <v>1</v>
      </c>
      <c r="W111" s="151" t="str">
        <f>V65</f>
        <v>3/VII</v>
      </c>
    </row>
    <row r="112" spans="6:23" ht="24" customHeight="1" x14ac:dyDescent="0.35">
      <c r="F112" s="534"/>
      <c r="G112" s="534"/>
      <c r="H112" s="534"/>
      <c r="I112" s="534"/>
      <c r="J112" s="534"/>
      <c r="K112" s="534"/>
      <c r="L112" s="150"/>
      <c r="M112" s="544"/>
      <c r="N112" s="536"/>
      <c r="O112" s="536"/>
      <c r="P112" s="536"/>
      <c r="Q112" s="536"/>
      <c r="R112" s="536"/>
      <c r="S112" s="89" t="s">
        <v>193</v>
      </c>
      <c r="T112" s="89"/>
      <c r="U112" s="89"/>
      <c r="V112" s="89" t="s">
        <v>1</v>
      </c>
      <c r="W112" s="151" t="str">
        <f>V66</f>
        <v>3.1</v>
      </c>
    </row>
    <row r="113" spans="6:23" ht="24" customHeight="1" x14ac:dyDescent="0.35">
      <c r="F113" s="534"/>
      <c r="G113" s="534"/>
      <c r="H113" s="534"/>
      <c r="I113" s="534"/>
      <c r="J113" s="534"/>
      <c r="K113" s="534"/>
      <c r="L113" s="150"/>
      <c r="M113" s="544"/>
      <c r="N113" s="536"/>
      <c r="O113" s="536"/>
      <c r="P113" s="536"/>
      <c r="Q113" s="536"/>
      <c r="R113" s="536"/>
      <c r="S113" s="89" t="s">
        <v>7</v>
      </c>
      <c r="T113" s="89"/>
      <c r="U113" s="89"/>
      <c r="V113" s="89" t="s">
        <v>1</v>
      </c>
      <c r="W113" s="151" t="str">
        <f>V67</f>
        <v>2022/2023</v>
      </c>
    </row>
    <row r="114" spans="6:23" ht="24" customHeight="1" x14ac:dyDescent="0.35">
      <c r="F114" s="87" t="s">
        <v>139</v>
      </c>
      <c r="G114" s="87"/>
      <c r="H114" s="87"/>
      <c r="I114" s="87"/>
      <c r="J114" s="88"/>
      <c r="K114" s="90"/>
      <c r="L114" s="90"/>
      <c r="M114" s="89" t="s">
        <v>1</v>
      </c>
      <c r="N114" s="86" t="str">
        <f>N68</f>
        <v>ABDILLAH MUCHSIN AL ANSYORI</v>
      </c>
      <c r="O114" s="165"/>
      <c r="P114" s="91"/>
      <c r="Q114" s="91"/>
      <c r="R114" s="85"/>
      <c r="S114" s="95"/>
      <c r="T114" s="95"/>
      <c r="U114" s="95"/>
      <c r="V114" s="95"/>
      <c r="W114" s="95"/>
    </row>
    <row r="115" spans="6:23" ht="24" customHeight="1" x14ac:dyDescent="0.35">
      <c r="F115" s="87" t="s">
        <v>194</v>
      </c>
      <c r="G115" s="87"/>
      <c r="H115" s="87"/>
      <c r="I115" s="87"/>
      <c r="J115" s="88"/>
      <c r="K115" s="89"/>
      <c r="L115" s="89"/>
      <c r="M115" s="89" t="s">
        <v>1</v>
      </c>
      <c r="N115" s="85" t="str">
        <f>N69</f>
        <v>0259/2084756211</v>
      </c>
      <c r="O115" s="165"/>
      <c r="P115" s="91"/>
      <c r="Q115" s="91"/>
      <c r="R115" s="85"/>
      <c r="S115" s="85"/>
      <c r="T115" s="85"/>
      <c r="U115" s="85"/>
      <c r="V115" s="85"/>
      <c r="W115" s="85"/>
    </row>
    <row r="116" spans="6:23" ht="24" customHeight="1" x14ac:dyDescent="0.35">
      <c r="S116" s="44"/>
      <c r="T116" s="44"/>
      <c r="U116" s="44"/>
      <c r="V116" s="44"/>
      <c r="W116" s="44"/>
    </row>
    <row r="117" spans="6:23" x14ac:dyDescent="0.35">
      <c r="F117" s="516" t="s">
        <v>199</v>
      </c>
      <c r="G117" s="516"/>
      <c r="H117" s="516"/>
      <c r="I117" s="516"/>
      <c r="J117" s="516"/>
      <c r="K117" s="516"/>
      <c r="L117" s="516"/>
      <c r="M117" s="516"/>
      <c r="N117" s="516"/>
      <c r="O117" s="516"/>
      <c r="P117" s="516"/>
      <c r="Q117" s="516"/>
      <c r="R117" s="516"/>
      <c r="S117" s="516"/>
      <c r="T117" s="516"/>
      <c r="U117" s="516"/>
      <c r="V117" s="516"/>
      <c r="W117" s="516"/>
    </row>
    <row r="118" spans="6:23" s="34" customFormat="1" ht="18" customHeight="1" x14ac:dyDescent="0.35">
      <c r="O118" s="149"/>
    </row>
    <row r="119" spans="6:23" s="34" customFormat="1" ht="18" customHeight="1" x14ac:dyDescent="0.35">
      <c r="F119" s="84" t="s">
        <v>212</v>
      </c>
      <c r="O119" s="149"/>
    </row>
    <row r="120" spans="6:23" s="34" customFormat="1" ht="18" customHeight="1" x14ac:dyDescent="0.35">
      <c r="F120" s="518" t="s">
        <v>69</v>
      </c>
      <c r="G120" s="518"/>
      <c r="H120" s="518" t="s">
        <v>70</v>
      </c>
      <c r="I120" s="518"/>
      <c r="J120" s="518"/>
      <c r="K120" s="518"/>
      <c r="L120" s="518"/>
      <c r="M120" s="518"/>
      <c r="N120" s="518"/>
      <c r="O120" s="518" t="s">
        <v>71</v>
      </c>
      <c r="P120" s="518" t="s">
        <v>72</v>
      </c>
      <c r="Q120" s="518" t="s">
        <v>173</v>
      </c>
      <c r="R120" s="518"/>
      <c r="S120" s="518"/>
      <c r="T120" s="518" t="s">
        <v>174</v>
      </c>
      <c r="U120" s="518"/>
      <c r="V120" s="518"/>
      <c r="W120" s="518"/>
    </row>
    <row r="121" spans="6:23" s="34" customFormat="1" ht="18" customHeight="1" x14ac:dyDescent="0.35">
      <c r="F121" s="518"/>
      <c r="G121" s="518"/>
      <c r="H121" s="518"/>
      <c r="I121" s="518"/>
      <c r="J121" s="518"/>
      <c r="K121" s="518"/>
      <c r="L121" s="518"/>
      <c r="M121" s="518"/>
      <c r="N121" s="518"/>
      <c r="O121" s="518"/>
      <c r="P121" s="518"/>
      <c r="Q121" s="152" t="s">
        <v>142</v>
      </c>
      <c r="R121" s="152" t="s">
        <v>143</v>
      </c>
      <c r="S121" s="152" t="s">
        <v>144</v>
      </c>
      <c r="T121" s="154" t="s">
        <v>142</v>
      </c>
      <c r="U121" s="541" t="s">
        <v>143</v>
      </c>
      <c r="V121" s="541"/>
      <c r="W121" s="172" t="s">
        <v>143</v>
      </c>
    </row>
    <row r="122" spans="6:23" s="34" customFormat="1" ht="24.75" customHeight="1" x14ac:dyDescent="0.35">
      <c r="F122" s="542" t="s">
        <v>73</v>
      </c>
      <c r="G122" s="542"/>
      <c r="H122" s="542"/>
      <c r="I122" s="542"/>
      <c r="J122" s="542"/>
      <c r="K122" s="542"/>
      <c r="L122" s="542"/>
      <c r="M122" s="542"/>
      <c r="N122" s="542"/>
      <c r="O122" s="542"/>
      <c r="P122" s="542"/>
      <c r="Q122" s="542"/>
      <c r="R122" s="542"/>
      <c r="S122" s="542"/>
      <c r="T122" s="542"/>
      <c r="U122" s="542"/>
      <c r="V122" s="542"/>
      <c r="W122" s="542"/>
    </row>
    <row r="123" spans="6:23" s="34" customFormat="1" ht="18" customHeight="1" x14ac:dyDescent="0.35">
      <c r="F123" s="538">
        <v>1</v>
      </c>
      <c r="G123" s="538"/>
      <c r="H123" s="540" t="str">
        <f t="shared" ref="H123:H129" si="6">H94</f>
        <v>Pendidikan Agama</v>
      </c>
      <c r="I123" s="540"/>
      <c r="J123" s="540"/>
      <c r="K123" s="540"/>
      <c r="L123" s="540"/>
      <c r="M123" s="540"/>
      <c r="N123" s="540"/>
      <c r="O123" s="54">
        <f t="shared" ref="O123:P129" si="7">O94</f>
        <v>2</v>
      </c>
      <c r="P123" s="54">
        <f t="shared" si="7"/>
        <v>70</v>
      </c>
      <c r="Q123" s="54">
        <f>VLOOKUP(N2,nilpels1,21,FALSE)</f>
        <v>78.17647058823529</v>
      </c>
      <c r="R123" s="54">
        <f>Q123</f>
        <v>78.17647058823529</v>
      </c>
      <c r="S123" s="54">
        <f>R123</f>
        <v>78.17647058823529</v>
      </c>
      <c r="T123" s="54" t="str">
        <f t="shared" ref="T123:T129" si="8">IF(Q123=0,"",IF(Q123&gt;=80.1,"SB",IF(Q123&gt;=65.81,"B",IF(Q123&gt;=50.66,"C",IF(Q123&gt;=0.51,"D",)))))</f>
        <v>B</v>
      </c>
      <c r="U123" s="538" t="str">
        <f t="shared" ref="U123:U129" si="9">T123</f>
        <v>B</v>
      </c>
      <c r="V123" s="538"/>
      <c r="W123" s="53"/>
    </row>
    <row r="124" spans="6:23" x14ac:dyDescent="0.35">
      <c r="F124" s="538">
        <v>2</v>
      </c>
      <c r="G124" s="538"/>
      <c r="H124" s="539" t="str">
        <f t="shared" si="6"/>
        <v>Pendidikan Pancasila dan Kewarganegaraan (PPKN)</v>
      </c>
      <c r="I124" s="539"/>
      <c r="J124" s="539"/>
      <c r="K124" s="539"/>
      <c r="L124" s="539"/>
      <c r="M124" s="539"/>
      <c r="N124" s="539"/>
      <c r="O124" s="54">
        <f t="shared" si="7"/>
        <v>2</v>
      </c>
      <c r="P124" s="54">
        <f t="shared" si="7"/>
        <v>70</v>
      </c>
      <c r="Q124" s="54">
        <f>VLOOKUP(N2,nilpels1,23,FALSE)</f>
        <v>78</v>
      </c>
      <c r="R124" s="54">
        <f t="shared" ref="R124:S129" si="10">Q124</f>
        <v>78</v>
      </c>
      <c r="S124" s="54">
        <f t="shared" si="10"/>
        <v>78</v>
      </c>
      <c r="T124" s="54" t="str">
        <f t="shared" si="8"/>
        <v>B</v>
      </c>
      <c r="U124" s="538" t="str">
        <f t="shared" si="9"/>
        <v>B</v>
      </c>
      <c r="V124" s="538"/>
      <c r="W124" s="53"/>
    </row>
    <row r="125" spans="6:23" x14ac:dyDescent="0.35">
      <c r="F125" s="538">
        <v>3</v>
      </c>
      <c r="G125" s="538"/>
      <c r="H125" s="540" t="str">
        <f t="shared" si="6"/>
        <v>Bahasa Indonesia</v>
      </c>
      <c r="I125" s="540"/>
      <c r="J125" s="540"/>
      <c r="K125" s="540"/>
      <c r="L125" s="540"/>
      <c r="M125" s="540"/>
      <c r="N125" s="540"/>
      <c r="O125" s="54">
        <f t="shared" si="7"/>
        <v>1</v>
      </c>
      <c r="P125" s="54">
        <f t="shared" si="7"/>
        <v>70</v>
      </c>
      <c r="Q125" s="54">
        <f>VLOOKUP(N2,nilpels1,25,FALSE)</f>
        <v>82</v>
      </c>
      <c r="R125" s="54">
        <f t="shared" si="10"/>
        <v>82</v>
      </c>
      <c r="S125" s="54">
        <f t="shared" si="10"/>
        <v>82</v>
      </c>
      <c r="T125" s="54" t="str">
        <f t="shared" si="8"/>
        <v>SB</v>
      </c>
      <c r="U125" s="538" t="str">
        <f t="shared" si="9"/>
        <v>SB</v>
      </c>
      <c r="V125" s="538"/>
      <c r="W125" s="53"/>
    </row>
    <row r="126" spans="6:23" x14ac:dyDescent="0.35">
      <c r="F126" s="538">
        <v>4</v>
      </c>
      <c r="G126" s="538"/>
      <c r="H126" s="540" t="str">
        <f t="shared" si="6"/>
        <v>Bahasa Inggris</v>
      </c>
      <c r="I126" s="540"/>
      <c r="J126" s="540"/>
      <c r="K126" s="540"/>
      <c r="L126" s="540"/>
      <c r="M126" s="540"/>
      <c r="N126" s="540"/>
      <c r="O126" s="54">
        <f t="shared" si="7"/>
        <v>1</v>
      </c>
      <c r="P126" s="54">
        <f t="shared" si="7"/>
        <v>70</v>
      </c>
      <c r="Q126" s="54">
        <f>VLOOKUP(N2,nilpels1,27,FALSE)</f>
        <v>46</v>
      </c>
      <c r="R126" s="54">
        <f t="shared" si="10"/>
        <v>46</v>
      </c>
      <c r="S126" s="54">
        <f t="shared" si="10"/>
        <v>46</v>
      </c>
      <c r="T126" s="54" t="str">
        <f t="shared" si="8"/>
        <v>D</v>
      </c>
      <c r="U126" s="538" t="str">
        <f t="shared" si="9"/>
        <v>D</v>
      </c>
      <c r="V126" s="538"/>
      <c r="W126" s="53"/>
    </row>
    <row r="127" spans="6:23" x14ac:dyDescent="0.35">
      <c r="F127" s="538">
        <v>5</v>
      </c>
      <c r="G127" s="538"/>
      <c r="H127" s="540" t="str">
        <f t="shared" si="6"/>
        <v>Matematika</v>
      </c>
      <c r="I127" s="540"/>
      <c r="J127" s="540"/>
      <c r="K127" s="540"/>
      <c r="L127" s="540"/>
      <c r="M127" s="540"/>
      <c r="N127" s="540"/>
      <c r="O127" s="54">
        <f t="shared" si="7"/>
        <v>1</v>
      </c>
      <c r="P127" s="54">
        <f t="shared" si="7"/>
        <v>70</v>
      </c>
      <c r="Q127" s="54">
        <f>VLOOKUP(N2,nilpels1,29,FALSE)</f>
        <v>96</v>
      </c>
      <c r="R127" s="54">
        <f t="shared" si="10"/>
        <v>96</v>
      </c>
      <c r="S127" s="54">
        <f t="shared" si="10"/>
        <v>96</v>
      </c>
      <c r="T127" s="54" t="str">
        <f t="shared" si="8"/>
        <v>SB</v>
      </c>
      <c r="U127" s="538" t="str">
        <f t="shared" si="9"/>
        <v>SB</v>
      </c>
      <c r="V127" s="538"/>
      <c r="W127" s="53"/>
    </row>
    <row r="128" spans="6:23" ht="20.149999999999999" customHeight="1" x14ac:dyDescent="0.35">
      <c r="F128" s="538">
        <v>6</v>
      </c>
      <c r="G128" s="538"/>
      <c r="H128" s="540" t="str">
        <f t="shared" si="6"/>
        <v>Ilmu Pengetahuan Alam</v>
      </c>
      <c r="I128" s="540"/>
      <c r="J128" s="540"/>
      <c r="K128" s="540"/>
      <c r="L128" s="540"/>
      <c r="M128" s="540"/>
      <c r="N128" s="540"/>
      <c r="O128" s="54">
        <f t="shared" si="7"/>
        <v>1</v>
      </c>
      <c r="P128" s="54">
        <f t="shared" si="7"/>
        <v>70</v>
      </c>
      <c r="Q128" s="54">
        <f>VLOOKUP(N2,nilpels1,31,FALSE)</f>
        <v>81</v>
      </c>
      <c r="R128" s="54">
        <f t="shared" si="10"/>
        <v>81</v>
      </c>
      <c r="S128" s="54">
        <f t="shared" si="10"/>
        <v>81</v>
      </c>
      <c r="T128" s="54" t="str">
        <f t="shared" si="8"/>
        <v>SB</v>
      </c>
      <c r="U128" s="538" t="str">
        <f t="shared" si="9"/>
        <v>SB</v>
      </c>
      <c r="V128" s="538"/>
      <c r="W128" s="53"/>
    </row>
    <row r="129" spans="6:23" ht="23.25" customHeight="1" x14ac:dyDescent="0.35">
      <c r="F129" s="538">
        <v>7</v>
      </c>
      <c r="G129" s="538"/>
      <c r="H129" s="540" t="str">
        <f t="shared" si="6"/>
        <v>Ilmu Pengetahuan Sosial</v>
      </c>
      <c r="I129" s="540"/>
      <c r="J129" s="540"/>
      <c r="K129" s="540"/>
      <c r="L129" s="540"/>
      <c r="M129" s="540"/>
      <c r="N129" s="540"/>
      <c r="O129" s="54">
        <f t="shared" si="7"/>
        <v>1</v>
      </c>
      <c r="P129" s="54">
        <f t="shared" si="7"/>
        <v>70</v>
      </c>
      <c r="Q129" s="54">
        <f>VLOOKUP(N2,nilpels1,33,FALSE)</f>
        <v>66</v>
      </c>
      <c r="R129" s="54">
        <f t="shared" si="10"/>
        <v>66</v>
      </c>
      <c r="S129" s="54">
        <f t="shared" si="10"/>
        <v>66</v>
      </c>
      <c r="T129" s="54" t="str">
        <f t="shared" si="8"/>
        <v>B</v>
      </c>
      <c r="U129" s="538" t="str">
        <f t="shared" si="9"/>
        <v>B</v>
      </c>
      <c r="V129" s="538"/>
      <c r="W129" s="53"/>
    </row>
    <row r="130" spans="6:23" ht="26.25" customHeight="1" x14ac:dyDescent="0.35">
      <c r="F130" s="543" t="s">
        <v>204</v>
      </c>
      <c r="G130" s="543"/>
      <c r="H130" s="543"/>
      <c r="I130" s="543"/>
      <c r="J130" s="543"/>
      <c r="K130" s="543"/>
      <c r="L130" s="543"/>
      <c r="M130" s="543"/>
      <c r="N130" s="543"/>
      <c r="O130" s="543"/>
      <c r="P130" s="543"/>
      <c r="Q130" s="543"/>
      <c r="R130" s="543"/>
      <c r="S130" s="543"/>
      <c r="T130" s="543"/>
      <c r="U130" s="543"/>
      <c r="V130" s="543"/>
      <c r="W130" s="543"/>
    </row>
    <row r="131" spans="6:23" ht="28" customHeight="1" x14ac:dyDescent="0.35">
      <c r="F131" s="538">
        <v>8</v>
      </c>
      <c r="G131" s="538"/>
      <c r="H131" s="540" t="s">
        <v>205</v>
      </c>
      <c r="I131" s="540"/>
      <c r="J131" s="540"/>
      <c r="K131" s="540"/>
      <c r="L131" s="540"/>
      <c r="M131" s="540"/>
      <c r="N131" s="540"/>
      <c r="O131" s="540"/>
      <c r="P131" s="540"/>
      <c r="Q131" s="540"/>
      <c r="R131" s="540"/>
      <c r="S131" s="540"/>
      <c r="T131" s="540"/>
      <c r="U131" s="540"/>
      <c r="V131" s="540"/>
      <c r="W131" s="540"/>
    </row>
    <row r="132" spans="6:23" ht="30" customHeight="1" x14ac:dyDescent="0.35">
      <c r="F132" s="538"/>
      <c r="G132" s="538"/>
      <c r="H132" s="540" t="str">
        <f>H103</f>
        <v>Tahfizh Al-Qur'an</v>
      </c>
      <c r="I132" s="540"/>
      <c r="J132" s="540"/>
      <c r="K132" s="540"/>
      <c r="L132" s="540"/>
      <c r="M132" s="540"/>
      <c r="N132" s="540"/>
      <c r="O132" s="54">
        <f t="shared" ref="O132:Q133" si="11">O103</f>
        <v>2</v>
      </c>
      <c r="P132" s="54">
        <f t="shared" si="11"/>
        <v>70</v>
      </c>
      <c r="Q132" s="538">
        <f t="shared" si="11"/>
        <v>77</v>
      </c>
      <c r="R132" s="538"/>
      <c r="S132" s="538"/>
      <c r="T132" s="54"/>
      <c r="U132" s="538" t="str">
        <f>IF(Q132=0,"",IF(Q132&gt;=80.1,"SB",IF(Q132&gt;=65.81,"B",IF(Q132&gt;=50.66,"C",IF(Q132&gt;=0.51,"D",)))))</f>
        <v>B</v>
      </c>
      <c r="V132" s="538"/>
      <c r="W132" s="538"/>
    </row>
    <row r="133" spans="6:23" ht="28" customHeight="1" x14ac:dyDescent="0.35">
      <c r="F133" s="538"/>
      <c r="G133" s="538"/>
      <c r="H133" s="540" t="str">
        <f>H104</f>
        <v>Keasramaan</v>
      </c>
      <c r="I133" s="540"/>
      <c r="J133" s="540"/>
      <c r="K133" s="540"/>
      <c r="L133" s="540"/>
      <c r="M133" s="540"/>
      <c r="N133" s="540"/>
      <c r="O133" s="54">
        <f t="shared" si="11"/>
        <v>1</v>
      </c>
      <c r="P133" s="54">
        <f t="shared" si="11"/>
        <v>70</v>
      </c>
      <c r="Q133" s="538">
        <f t="shared" si="11"/>
        <v>60</v>
      </c>
      <c r="R133" s="538"/>
      <c r="S133" s="538"/>
      <c r="T133" s="54"/>
      <c r="U133" s="538" t="str">
        <f>IF(Q133=0,"",IF(Q133&gt;=80.1,"SB",IF(Q133&gt;=65.81,"B",IF(Q133&gt;=50.66,"C",IF(Q133&gt;=0.51,"D",)))))</f>
        <v>C</v>
      </c>
      <c r="V133" s="538"/>
      <c r="W133" s="538"/>
    </row>
    <row r="134" spans="6:23" ht="28" customHeight="1" x14ac:dyDescent="0.35">
      <c r="F134" s="538">
        <v>9</v>
      </c>
      <c r="G134" s="538"/>
      <c r="H134" s="540" t="s">
        <v>206</v>
      </c>
      <c r="I134" s="540"/>
      <c r="J134" s="540"/>
      <c r="K134" s="540"/>
      <c r="L134" s="540"/>
      <c r="M134" s="540"/>
      <c r="N134" s="540"/>
      <c r="O134" s="540"/>
      <c r="P134" s="540"/>
      <c r="Q134" s="540"/>
      <c r="R134" s="540"/>
      <c r="S134" s="540"/>
      <c r="T134" s="540"/>
      <c r="U134" s="540"/>
      <c r="V134" s="540"/>
      <c r="W134" s="540"/>
    </row>
    <row r="135" spans="6:23" ht="28" customHeight="1" x14ac:dyDescent="0.35">
      <c r="F135" s="538"/>
      <c r="G135" s="538"/>
      <c r="H135" s="540" t="str">
        <f>H106</f>
        <v>a. Keterampilan Wajib</v>
      </c>
      <c r="I135" s="540"/>
      <c r="J135" s="540"/>
      <c r="K135" s="540"/>
      <c r="L135" s="540"/>
      <c r="M135" s="540"/>
      <c r="N135" s="540"/>
      <c r="O135" s="54">
        <f>O106</f>
        <v>2</v>
      </c>
      <c r="P135" s="54">
        <f>P106</f>
        <v>70</v>
      </c>
      <c r="Q135" s="538">
        <f>Q106</f>
        <v>81</v>
      </c>
      <c r="R135" s="538"/>
      <c r="S135" s="538"/>
      <c r="T135" s="54"/>
      <c r="U135" s="538" t="str">
        <f>IF(Q135=0,"",IF(Q135&gt;=80.1,"SB",IF(Q135&gt;=65.81,"B",IF(Q135&gt;=50.66,"C",IF(Q135&gt;=0.51,"D",)))))</f>
        <v>SB</v>
      </c>
      <c r="V135" s="538"/>
      <c r="W135" s="538"/>
    </row>
    <row r="136" spans="6:23" ht="28" customHeight="1" x14ac:dyDescent="0.35">
      <c r="F136" s="538"/>
      <c r="G136" s="538"/>
      <c r="H136" s="540" t="str">
        <f>H107</f>
        <v>b. Keterampilan Pilihan :</v>
      </c>
      <c r="I136" s="540"/>
      <c r="J136" s="540"/>
      <c r="K136" s="540"/>
      <c r="L136" s="540"/>
      <c r="M136" s="540"/>
      <c r="N136" s="540"/>
      <c r="O136" s="540"/>
      <c r="P136" s="540"/>
      <c r="Q136" s="540"/>
      <c r="R136" s="540"/>
      <c r="S136" s="540"/>
      <c r="T136" s="540"/>
      <c r="U136" s="540"/>
      <c r="V136" s="540"/>
      <c r="W136" s="540"/>
    </row>
    <row r="137" spans="6:23" ht="28" customHeight="1" x14ac:dyDescent="0.35">
      <c r="F137" s="538"/>
      <c r="G137" s="538"/>
      <c r="H137" s="540" t="str">
        <f>H108</f>
        <v xml:space="preserve">    1) Public Speaking</v>
      </c>
      <c r="I137" s="540"/>
      <c r="J137" s="540"/>
      <c r="K137" s="540"/>
      <c r="L137" s="540"/>
      <c r="M137" s="540"/>
      <c r="N137" s="540"/>
      <c r="O137" s="54">
        <f>O108</f>
        <v>1</v>
      </c>
      <c r="P137" s="54">
        <f>P108</f>
        <v>70</v>
      </c>
      <c r="Q137" s="538">
        <f>Q108</f>
        <v>100</v>
      </c>
      <c r="R137" s="538"/>
      <c r="S137" s="538"/>
      <c r="T137" s="54"/>
      <c r="U137" s="538" t="str">
        <f t="shared" ref="U137:U138" si="12">IF(Q137=0,"",IF(Q137&gt;=80.1,"SB",IF(Q137&gt;=65.81,"B",IF(Q137&gt;=50.66,"C",IF(Q137&gt;=0.51,"D",)))))</f>
        <v>SB</v>
      </c>
      <c r="V137" s="538"/>
      <c r="W137" s="538"/>
    </row>
    <row r="138" spans="6:23" ht="25.5" customHeight="1" x14ac:dyDescent="0.35">
      <c r="F138" s="538"/>
      <c r="G138" s="538"/>
      <c r="H138" s="540" t="str">
        <f>H109</f>
        <v xml:space="preserve">    2) Olahraga</v>
      </c>
      <c r="I138" s="540"/>
      <c r="J138" s="540"/>
      <c r="K138" s="540"/>
      <c r="L138" s="540"/>
      <c r="M138" s="540"/>
      <c r="N138" s="540"/>
      <c r="O138" s="54">
        <f t="shared" ref="O138:P138" si="13">O109</f>
        <v>1</v>
      </c>
      <c r="P138" s="54">
        <f t="shared" si="13"/>
        <v>70</v>
      </c>
      <c r="Q138" s="538">
        <f>Q109</f>
        <v>45</v>
      </c>
      <c r="R138" s="538"/>
      <c r="S138" s="538"/>
      <c r="T138" s="54"/>
      <c r="U138" s="538" t="str">
        <f t="shared" si="12"/>
        <v>D</v>
      </c>
      <c r="V138" s="538"/>
      <c r="W138" s="538"/>
    </row>
    <row r="139" spans="6:23" ht="26.15" customHeight="1" x14ac:dyDescent="0.35"/>
    <row r="140" spans="6:23" ht="26.15" customHeight="1" x14ac:dyDescent="0.35">
      <c r="F140" s="84" t="s">
        <v>213</v>
      </c>
    </row>
    <row r="141" spans="6:23" ht="26.15" customHeight="1" x14ac:dyDescent="0.35">
      <c r="F141" s="518" t="s">
        <v>69</v>
      </c>
      <c r="G141" s="518"/>
      <c r="H141" s="518" t="s">
        <v>214</v>
      </c>
      <c r="I141" s="518"/>
      <c r="J141" s="518"/>
      <c r="K141" s="518"/>
      <c r="L141" s="518"/>
      <c r="M141" s="518"/>
      <c r="N141" s="518"/>
      <c r="O141" s="518"/>
      <c r="P141" s="145" t="s">
        <v>174</v>
      </c>
      <c r="Q141" s="518" t="s">
        <v>170</v>
      </c>
      <c r="R141" s="518"/>
      <c r="S141" s="518"/>
      <c r="T141" s="518"/>
      <c r="U141" s="518"/>
      <c r="V141" s="518"/>
      <c r="W141" s="518"/>
    </row>
    <row r="142" spans="6:23" ht="26.15" customHeight="1" x14ac:dyDescent="0.35">
      <c r="F142" s="518">
        <v>1</v>
      </c>
      <c r="G142" s="518"/>
      <c r="H142" s="545">
        <f>VLOOKUP(N2,nilwks1,21,FALSE)</f>
        <v>0</v>
      </c>
      <c r="I142" s="545"/>
      <c r="J142" s="545"/>
      <c r="K142" s="545"/>
      <c r="L142" s="545"/>
      <c r="M142" s="545"/>
      <c r="N142" s="545"/>
      <c r="O142" s="545"/>
      <c r="P142" s="146">
        <f>VLOOKUP(N2,nilwks1,22,FALSE)</f>
        <v>0</v>
      </c>
      <c r="Q142" s="548">
        <f>VLOOKUP(N2,nilwks1,23,FALSE)</f>
        <v>0</v>
      </c>
      <c r="R142" s="548"/>
      <c r="S142" s="548"/>
      <c r="T142" s="548"/>
      <c r="U142" s="548"/>
      <c r="V142" s="548"/>
      <c r="W142" s="548"/>
    </row>
    <row r="143" spans="6:23" ht="26.15" customHeight="1" x14ac:dyDescent="0.35">
      <c r="F143" s="518">
        <v>2</v>
      </c>
      <c r="G143" s="518"/>
      <c r="H143" s="545" t="str">
        <f>VLOOKUP(N2,nilwks1,24,FALSE)</f>
        <v>Taekwondo</v>
      </c>
      <c r="I143" s="545"/>
      <c r="J143" s="545"/>
      <c r="K143" s="545"/>
      <c r="L143" s="545"/>
      <c r="M143" s="545"/>
      <c r="N143" s="545"/>
      <c r="O143" s="545"/>
      <c r="P143" s="146" t="str">
        <f>VLOOKUP(N2,nilwks1,25,FALSE)</f>
        <v>B</v>
      </c>
      <c r="Q143" s="546">
        <f>VLOOKUP(N2,nilwks1,26,FALSE)</f>
        <v>0</v>
      </c>
      <c r="R143" s="546"/>
      <c r="S143" s="546"/>
      <c r="T143" s="546"/>
      <c r="U143" s="546"/>
      <c r="V143" s="546"/>
      <c r="W143" s="546"/>
    </row>
    <row r="144" spans="6:23" ht="26.15" customHeight="1" x14ac:dyDescent="0.35">
      <c r="F144" s="518">
        <v>3</v>
      </c>
      <c r="G144" s="518"/>
      <c r="H144" s="547">
        <f>VLOOKUP(N2,nilwks1,27,FALSE)</f>
        <v>0</v>
      </c>
      <c r="I144" s="547"/>
      <c r="J144" s="547"/>
      <c r="K144" s="547"/>
      <c r="L144" s="547"/>
      <c r="M144" s="547"/>
      <c r="N144" s="547"/>
      <c r="O144" s="547"/>
      <c r="P144" s="146">
        <f>VLOOKUP(N2,nilwks1,28,FALSE)</f>
        <v>0</v>
      </c>
      <c r="Q144" s="546">
        <f>VLOOKUP(N2,nilwks1,29,FALSE)</f>
        <v>0</v>
      </c>
      <c r="R144" s="546"/>
      <c r="S144" s="546"/>
      <c r="T144" s="546"/>
      <c r="U144" s="546"/>
      <c r="V144" s="546"/>
      <c r="W144" s="546"/>
    </row>
    <row r="145" spans="6:23" ht="26.15" customHeight="1" x14ac:dyDescent="0.35">
      <c r="F145" s="87" t="s">
        <v>120</v>
      </c>
      <c r="G145" s="87"/>
      <c r="H145" s="87"/>
      <c r="I145" s="87"/>
      <c r="J145" s="88"/>
      <c r="K145" s="89"/>
      <c r="L145" s="89"/>
      <c r="M145" s="89" t="s">
        <v>1</v>
      </c>
      <c r="N145" s="532" t="str">
        <f>N110</f>
        <v>PKBM GENERASI BANGSA</v>
      </c>
      <c r="O145" s="532"/>
      <c r="P145" s="532"/>
      <c r="Q145" s="532"/>
      <c r="R145" s="532"/>
      <c r="S145" s="94" t="s">
        <v>191</v>
      </c>
      <c r="T145" s="94"/>
      <c r="U145" s="94"/>
      <c r="V145" s="94"/>
      <c r="W145" s="94"/>
    </row>
    <row r="146" spans="6:23" ht="26.15" customHeight="1" x14ac:dyDescent="0.35">
      <c r="F146" s="534" t="s">
        <v>192</v>
      </c>
      <c r="G146" s="534"/>
      <c r="H146" s="534"/>
      <c r="I146" s="534"/>
      <c r="J146" s="534"/>
      <c r="K146" s="534"/>
      <c r="L146" s="150"/>
      <c r="M146" s="544" t="s">
        <v>1</v>
      </c>
      <c r="N146" s="536" t="str">
        <f>N111</f>
        <v>Jl. Terusan Islamic Center - Sigempol KM 03 , Limbangan Wetan Brebes Jawa Tengah</v>
      </c>
      <c r="O146" s="536"/>
      <c r="P146" s="536"/>
      <c r="Q146" s="536"/>
      <c r="R146" s="536"/>
      <c r="S146" s="89" t="s">
        <v>223</v>
      </c>
      <c r="T146" s="89"/>
      <c r="U146" s="89"/>
      <c r="V146" s="89" t="s">
        <v>1</v>
      </c>
      <c r="W146" s="151" t="str">
        <f>W111</f>
        <v>3/VII</v>
      </c>
    </row>
    <row r="147" spans="6:23" x14ac:dyDescent="0.35">
      <c r="F147" s="534"/>
      <c r="G147" s="534"/>
      <c r="H147" s="534"/>
      <c r="I147" s="534"/>
      <c r="J147" s="534"/>
      <c r="K147" s="534"/>
      <c r="L147" s="150"/>
      <c r="M147" s="544"/>
      <c r="N147" s="536"/>
      <c r="O147" s="536"/>
      <c r="P147" s="536"/>
      <c r="Q147" s="536"/>
      <c r="R147" s="536"/>
      <c r="S147" s="89" t="s">
        <v>193</v>
      </c>
      <c r="T147" s="89"/>
      <c r="U147" s="89"/>
      <c r="V147" s="89" t="s">
        <v>1</v>
      </c>
      <c r="W147" s="151" t="str">
        <f>W112</f>
        <v>3.1</v>
      </c>
    </row>
    <row r="148" spans="6:23" x14ac:dyDescent="0.35">
      <c r="F148" s="534"/>
      <c r="G148" s="534"/>
      <c r="H148" s="534"/>
      <c r="I148" s="534"/>
      <c r="J148" s="534"/>
      <c r="K148" s="534"/>
      <c r="L148" s="150"/>
      <c r="M148" s="544"/>
      <c r="N148" s="536"/>
      <c r="O148" s="536"/>
      <c r="P148" s="536"/>
      <c r="Q148" s="536"/>
      <c r="R148" s="536"/>
      <c r="S148" s="89" t="s">
        <v>7</v>
      </c>
      <c r="T148" s="89"/>
      <c r="U148" s="89"/>
      <c r="V148" s="89" t="s">
        <v>1</v>
      </c>
      <c r="W148" s="151" t="str">
        <f>W113</f>
        <v>2022/2023</v>
      </c>
    </row>
    <row r="149" spans="6:23" ht="36.75" customHeight="1" x14ac:dyDescent="0.35">
      <c r="F149" s="87" t="s">
        <v>139</v>
      </c>
      <c r="G149" s="87"/>
      <c r="H149" s="87"/>
      <c r="I149" s="87"/>
      <c r="J149" s="88"/>
      <c r="K149" s="90"/>
      <c r="L149" s="90"/>
      <c r="M149" s="89" t="s">
        <v>1</v>
      </c>
      <c r="N149" s="86" t="str">
        <f>N114</f>
        <v>ABDILLAH MUCHSIN AL ANSYORI</v>
      </c>
      <c r="O149" s="165"/>
      <c r="P149" s="91"/>
      <c r="Q149" s="91"/>
      <c r="R149" s="85"/>
      <c r="S149" s="95"/>
      <c r="T149" s="95"/>
      <c r="U149" s="95"/>
      <c r="V149" s="95"/>
      <c r="W149" s="95"/>
    </row>
    <row r="150" spans="6:23" ht="27.75" customHeight="1" x14ac:dyDescent="0.35">
      <c r="F150" s="87" t="s">
        <v>194</v>
      </c>
      <c r="G150" s="87"/>
      <c r="H150" s="87"/>
      <c r="I150" s="87"/>
      <c r="J150" s="88"/>
      <c r="K150" s="89"/>
      <c r="L150" s="89"/>
      <c r="M150" s="89" t="s">
        <v>1</v>
      </c>
      <c r="N150" s="86" t="str">
        <f>N115</f>
        <v>0259/2084756211</v>
      </c>
      <c r="O150" s="165"/>
      <c r="P150" s="91"/>
      <c r="Q150" s="91"/>
      <c r="R150" s="85"/>
      <c r="S150" s="85"/>
      <c r="T150" s="85"/>
      <c r="U150" s="85"/>
      <c r="V150" s="85"/>
      <c r="W150" s="85"/>
    </row>
    <row r="151" spans="6:23" ht="29.25" customHeight="1" x14ac:dyDescent="0.35">
      <c r="S151" s="44"/>
      <c r="T151" s="44"/>
      <c r="U151" s="44"/>
      <c r="V151" s="44"/>
      <c r="W151" s="44"/>
    </row>
    <row r="152" spans="6:23" ht="20.25" customHeight="1" x14ac:dyDescent="0.35">
      <c r="F152" s="516" t="s">
        <v>199</v>
      </c>
      <c r="G152" s="516"/>
      <c r="H152" s="516"/>
      <c r="I152" s="516"/>
      <c r="J152" s="516"/>
      <c r="K152" s="516"/>
      <c r="L152" s="516"/>
      <c r="M152" s="516"/>
      <c r="N152" s="516"/>
      <c r="O152" s="516"/>
      <c r="P152" s="516"/>
      <c r="Q152" s="516"/>
      <c r="R152" s="516"/>
      <c r="S152" s="516"/>
      <c r="T152" s="516"/>
      <c r="U152" s="516"/>
      <c r="V152" s="516"/>
      <c r="W152" s="516"/>
    </row>
    <row r="154" spans="6:23" x14ac:dyDescent="0.35">
      <c r="F154" s="84" t="s">
        <v>215</v>
      </c>
    </row>
    <row r="155" spans="6:23" s="34" customFormat="1" ht="18" customHeight="1" x14ac:dyDescent="0.35">
      <c r="F155" s="518" t="s">
        <v>69</v>
      </c>
      <c r="G155" s="518"/>
      <c r="H155" s="518" t="s">
        <v>216</v>
      </c>
      <c r="I155" s="518"/>
      <c r="J155" s="518"/>
      <c r="K155" s="518"/>
      <c r="L155" s="518"/>
      <c r="M155" s="518"/>
      <c r="N155" s="518"/>
      <c r="O155" s="518"/>
      <c r="P155" s="518" t="s">
        <v>167</v>
      </c>
      <c r="Q155" s="518"/>
      <c r="R155" s="518"/>
      <c r="S155" s="518"/>
      <c r="T155" s="518"/>
      <c r="U155" s="518"/>
      <c r="V155" s="518"/>
      <c r="W155" s="518"/>
    </row>
    <row r="156" spans="6:23" s="34" customFormat="1" ht="18" customHeight="1" x14ac:dyDescent="0.35">
      <c r="F156" s="518">
        <v>1</v>
      </c>
      <c r="G156" s="518"/>
      <c r="H156" s="547" t="str">
        <f>VLOOKUP(N2,nilwks1,15,FALSE)</f>
        <v>SB</v>
      </c>
      <c r="I156" s="547"/>
      <c r="J156" s="547"/>
      <c r="K156" s="547"/>
      <c r="L156" s="547"/>
      <c r="M156" s="547"/>
      <c r="N156" s="547"/>
      <c r="O156" s="547"/>
      <c r="P156" s="547" t="str">
        <f>VLOOKUP(N2,nilwks1,16,FALSE)</f>
        <v>SANGAT BAIK</v>
      </c>
      <c r="Q156" s="547"/>
      <c r="R156" s="547"/>
      <c r="S156" s="547"/>
      <c r="T156" s="547"/>
      <c r="U156" s="547"/>
      <c r="V156" s="547"/>
      <c r="W156" s="547"/>
    </row>
    <row r="157" spans="6:23" s="34" customFormat="1" ht="18" customHeight="1" x14ac:dyDescent="0.35">
      <c r="F157" s="518">
        <v>2</v>
      </c>
      <c r="G157" s="518"/>
      <c r="H157" s="547" t="str">
        <f>VLOOKUP(N2,nilwks1,17,FALSE)</f>
        <v>Alhamdulillah, Ananda ABDILLAH MUCHSIN AL ANSYORI telah menunjukan sikap sosial yang SANGAT BAIK dalam hal kedisiplinan, kejujuran, tanggung jawab dan keperdulian terhadap orang lain dengan terus berusaha mengamalkan akhlak mulia sesuai dengan nilai-nilai moral yang berlaku</v>
      </c>
      <c r="I157" s="547"/>
      <c r="J157" s="547"/>
      <c r="K157" s="547"/>
      <c r="L157" s="547"/>
      <c r="M157" s="547"/>
      <c r="N157" s="547"/>
      <c r="O157" s="547"/>
      <c r="P157" s="547">
        <f>VLOOKUP(N2,nilwks1,18,FALSE)</f>
        <v>0</v>
      </c>
      <c r="Q157" s="547"/>
      <c r="R157" s="547"/>
      <c r="S157" s="547"/>
      <c r="T157" s="547"/>
      <c r="U157" s="547"/>
      <c r="V157" s="547"/>
      <c r="W157" s="547"/>
    </row>
    <row r="158" spans="6:23" s="34" customFormat="1" ht="18" customHeight="1" x14ac:dyDescent="0.35">
      <c r="F158" s="518">
        <v>3</v>
      </c>
      <c r="G158" s="518"/>
      <c r="H158" s="547">
        <f>VLOOKUP(N2,nilwks1,19,FALSE)</f>
        <v>0</v>
      </c>
      <c r="I158" s="547"/>
      <c r="J158" s="547"/>
      <c r="K158" s="547"/>
      <c r="L158" s="547"/>
      <c r="M158" s="547"/>
      <c r="N158" s="547"/>
      <c r="O158" s="547"/>
      <c r="P158" s="547">
        <f>VLOOKUP(N2,nilwks1,20,FALSE)</f>
        <v>0</v>
      </c>
      <c r="Q158" s="547"/>
      <c r="R158" s="547"/>
      <c r="S158" s="547"/>
      <c r="T158" s="547"/>
      <c r="U158" s="547"/>
      <c r="V158" s="547"/>
      <c r="W158" s="547"/>
    </row>
    <row r="159" spans="6:23" s="34" customFormat="1" ht="18" customHeight="1" x14ac:dyDescent="0.35">
      <c r="O159" s="149"/>
    </row>
    <row r="160" spans="6:23" s="34" customFormat="1" ht="18" customHeight="1" x14ac:dyDescent="0.35">
      <c r="F160" s="84" t="s">
        <v>217</v>
      </c>
      <c r="O160" s="149"/>
    </row>
    <row r="161" spans="3:24" ht="62.25" customHeight="1" x14ac:dyDescent="0.35">
      <c r="F161" s="551" t="str">
        <f>VLOOKUP(N2,nilwks1,6,FALSE)</f>
        <v>B</v>
      </c>
      <c r="G161" s="551"/>
      <c r="H161" s="551"/>
      <c r="I161" s="551"/>
      <c r="J161" s="551"/>
      <c r="K161" s="551"/>
      <c r="L161" s="551"/>
      <c r="M161" s="551"/>
      <c r="N161" s="551"/>
      <c r="O161" s="551"/>
      <c r="P161" s="551"/>
      <c r="Q161" s="551"/>
      <c r="R161" s="551"/>
      <c r="S161" s="551"/>
      <c r="T161" s="551"/>
      <c r="U161" s="551"/>
      <c r="V161" s="551"/>
      <c r="W161" s="551"/>
    </row>
    <row r="163" spans="3:24" x14ac:dyDescent="0.35">
      <c r="F163" s="84" t="s">
        <v>218</v>
      </c>
    </row>
    <row r="164" spans="3:24" ht="64.5" customHeight="1" x14ac:dyDescent="0.35">
      <c r="F164" s="552"/>
      <c r="G164" s="552"/>
      <c r="H164" s="552"/>
      <c r="I164" s="552"/>
      <c r="J164" s="552"/>
      <c r="K164" s="552"/>
      <c r="L164" s="552"/>
      <c r="M164" s="552"/>
      <c r="N164" s="552"/>
      <c r="O164" s="552"/>
      <c r="P164" s="552"/>
      <c r="Q164" s="552"/>
      <c r="R164" s="552"/>
      <c r="S164" s="552"/>
      <c r="T164" s="552"/>
      <c r="U164" s="552"/>
      <c r="V164" s="552"/>
      <c r="W164" s="552"/>
    </row>
    <row r="165" spans="3:24" ht="18" customHeight="1" x14ac:dyDescent="0.35"/>
    <row r="166" spans="3:24" ht="24" customHeight="1" x14ac:dyDescent="0.35">
      <c r="R166" s="553" t="str">
        <f>'set-dakol'!M23</f>
        <v>Brebes, 12 Desember 2022</v>
      </c>
      <c r="S166" s="553"/>
      <c r="T166" s="553"/>
      <c r="U166" s="553"/>
      <c r="V166" s="553"/>
      <c r="W166" s="553"/>
    </row>
    <row r="167" spans="3:24" ht="21.75" customHeight="1" x14ac:dyDescent="0.35">
      <c r="F167" s="550" t="s">
        <v>220</v>
      </c>
      <c r="G167" s="550"/>
      <c r="H167" s="550"/>
      <c r="I167" s="550"/>
      <c r="J167" s="550"/>
      <c r="K167" s="550"/>
      <c r="L167" s="550"/>
      <c r="M167" s="550"/>
      <c r="N167" s="550"/>
      <c r="O167" s="550"/>
      <c r="P167" s="27"/>
      <c r="Q167" s="27"/>
      <c r="R167" s="550" t="s">
        <v>219</v>
      </c>
      <c r="S167" s="550"/>
      <c r="T167" s="550"/>
      <c r="U167" s="550"/>
      <c r="V167" s="550"/>
      <c r="W167" s="550"/>
    </row>
    <row r="168" spans="3:24" ht="52.5" customHeight="1" x14ac:dyDescent="0.35">
      <c r="F168" s="27"/>
      <c r="G168" s="27"/>
      <c r="H168" s="27"/>
      <c r="I168" s="27"/>
      <c r="J168" s="27"/>
      <c r="K168" s="27"/>
      <c r="L168" s="27"/>
      <c r="M168" s="27"/>
      <c r="N168" s="27"/>
      <c r="O168" s="147"/>
      <c r="P168" s="27"/>
      <c r="Q168" s="27"/>
      <c r="R168" s="27"/>
      <c r="S168" s="27"/>
      <c r="T168" s="27"/>
      <c r="U168" s="27"/>
      <c r="V168" s="27"/>
      <c r="W168" s="27"/>
    </row>
    <row r="169" spans="3:24" x14ac:dyDescent="0.35">
      <c r="F169" s="550" t="s">
        <v>221</v>
      </c>
      <c r="G169" s="550"/>
      <c r="H169" s="550"/>
      <c r="I169" s="550"/>
      <c r="J169" s="550"/>
      <c r="K169" s="550"/>
      <c r="L169" s="550"/>
      <c r="M169" s="550"/>
      <c r="N169" s="550"/>
      <c r="O169" s="550"/>
      <c r="P169" s="27"/>
      <c r="Q169" s="27"/>
      <c r="R169" s="549" t="str">
        <f>'set-dakol'!L21</f>
        <v>Mustain Billah, S.Si</v>
      </c>
      <c r="S169" s="549"/>
      <c r="T169" s="549"/>
      <c r="U169" s="549"/>
      <c r="V169" s="549"/>
      <c r="W169" s="549"/>
    </row>
    <row r="170" spans="3:24" x14ac:dyDescent="0.35">
      <c r="F170" s="550" t="s">
        <v>162</v>
      </c>
      <c r="G170" s="550"/>
      <c r="H170" s="550"/>
      <c r="I170" s="550"/>
      <c r="J170" s="550"/>
      <c r="K170" s="550"/>
      <c r="L170" s="550"/>
      <c r="M170" s="550"/>
      <c r="N170" s="550"/>
      <c r="O170" s="550"/>
      <c r="P170" s="550"/>
      <c r="Q170" s="550"/>
      <c r="R170" s="550"/>
      <c r="S170" s="550"/>
      <c r="T170" s="550"/>
      <c r="U170" s="550"/>
      <c r="V170" s="550"/>
      <c r="W170" s="550"/>
    </row>
    <row r="171" spans="3:24" ht="21.75" customHeight="1" x14ac:dyDescent="0.35">
      <c r="F171" s="549" t="str">
        <f>'set-dakol'!N3</f>
        <v>Ketua PKBM GENERASI BANGSA</v>
      </c>
      <c r="G171" s="549"/>
      <c r="H171" s="549"/>
      <c r="I171" s="549"/>
      <c r="J171" s="549"/>
      <c r="K171" s="549"/>
      <c r="L171" s="549"/>
      <c r="M171" s="549"/>
      <c r="N171" s="549"/>
      <c r="O171" s="549"/>
      <c r="P171" s="549"/>
      <c r="Q171" s="549"/>
      <c r="R171" s="549"/>
      <c r="S171" s="549"/>
      <c r="T171" s="549"/>
      <c r="U171" s="549"/>
      <c r="V171" s="549"/>
      <c r="W171" s="549"/>
    </row>
    <row r="172" spans="3:24" x14ac:dyDescent="0.35">
      <c r="H172" s="27"/>
      <c r="I172" s="27"/>
      <c r="J172" s="27"/>
      <c r="K172" s="27"/>
      <c r="L172" s="27"/>
      <c r="M172" s="27"/>
      <c r="N172" s="27"/>
      <c r="O172" s="147"/>
      <c r="P172" s="27"/>
      <c r="Q172" s="147"/>
    </row>
    <row r="173" spans="3:24" ht="47.25" customHeight="1" x14ac:dyDescent="0.35">
      <c r="F173" s="27"/>
      <c r="G173" s="27"/>
      <c r="H173" s="27"/>
      <c r="I173" s="27"/>
      <c r="J173" s="27"/>
      <c r="K173" s="27"/>
      <c r="L173" s="27"/>
      <c r="M173" s="27"/>
      <c r="N173" s="27"/>
      <c r="O173" s="147"/>
      <c r="P173" s="27"/>
      <c r="Q173" s="148"/>
      <c r="R173" s="27"/>
      <c r="S173" s="27"/>
      <c r="T173" s="27"/>
      <c r="U173" s="27"/>
      <c r="V173" s="27"/>
      <c r="W173" s="27"/>
    </row>
    <row r="174" spans="3:24" ht="18.75" customHeight="1" x14ac:dyDescent="0.35">
      <c r="F174" s="549" t="str">
        <f>'set-dakol'!H13</f>
        <v>Arini Intan Rustriana, S.Pd., M.M.</v>
      </c>
      <c r="G174" s="549"/>
      <c r="H174" s="549"/>
      <c r="I174" s="549"/>
      <c r="J174" s="549"/>
      <c r="K174" s="549"/>
      <c r="L174" s="549"/>
      <c r="M174" s="549"/>
      <c r="N174" s="549"/>
      <c r="O174" s="549"/>
      <c r="P174" s="549"/>
      <c r="Q174" s="549"/>
      <c r="R174" s="549"/>
      <c r="S174" s="549"/>
      <c r="T174" s="549"/>
      <c r="U174" s="549"/>
      <c r="V174" s="549"/>
      <c r="W174" s="549"/>
    </row>
    <row r="175" spans="3:24" x14ac:dyDescent="0.35">
      <c r="C175" s="38"/>
      <c r="D175" s="38"/>
      <c r="E175" s="38"/>
      <c r="X175" s="38"/>
    </row>
    <row r="176" spans="3:24" x14ac:dyDescent="0.35">
      <c r="C176" s="38"/>
      <c r="D176" s="38"/>
      <c r="E176" s="38"/>
      <c r="X176" s="38"/>
    </row>
    <row r="177" spans="3:24" x14ac:dyDescent="0.35">
      <c r="C177" s="38"/>
      <c r="D177" s="38"/>
      <c r="E177" s="38"/>
      <c r="X177" s="38"/>
    </row>
    <row r="178" spans="3:24" x14ac:dyDescent="0.35">
      <c r="C178" s="38"/>
      <c r="D178" s="38"/>
      <c r="E178" s="38"/>
      <c r="X178" s="38"/>
    </row>
    <row r="179" spans="3:24" x14ac:dyDescent="0.35">
      <c r="C179" s="38"/>
      <c r="D179" s="38"/>
      <c r="E179" s="38"/>
      <c r="X179" s="38"/>
    </row>
    <row r="180" spans="3:24" x14ac:dyDescent="0.35">
      <c r="C180" s="38"/>
      <c r="D180" s="38"/>
      <c r="E180" s="38"/>
      <c r="X180" s="38"/>
    </row>
    <row r="181" spans="3:24" x14ac:dyDescent="0.35">
      <c r="C181" s="38"/>
      <c r="D181" s="38"/>
      <c r="E181" s="38"/>
      <c r="X181" s="38"/>
    </row>
    <row r="182" spans="3:24" x14ac:dyDescent="0.35">
      <c r="C182" s="38"/>
      <c r="D182" s="38"/>
      <c r="E182" s="38"/>
      <c r="X182" s="38"/>
    </row>
    <row r="183" spans="3:24" x14ac:dyDescent="0.35">
      <c r="C183" s="38"/>
      <c r="D183" s="38"/>
      <c r="E183" s="38"/>
      <c r="X183" s="38"/>
    </row>
    <row r="184" spans="3:24" x14ac:dyDescent="0.35">
      <c r="C184" s="38"/>
      <c r="D184" s="38"/>
      <c r="E184" s="38"/>
      <c r="X184" s="38"/>
    </row>
  </sheetData>
  <mergeCells count="311">
    <mergeCell ref="F174:W174"/>
    <mergeCell ref="F167:O167"/>
    <mergeCell ref="R167:W167"/>
    <mergeCell ref="F169:O169"/>
    <mergeCell ref="R169:W169"/>
    <mergeCell ref="F170:W170"/>
    <mergeCell ref="F171:W171"/>
    <mergeCell ref="F158:G158"/>
    <mergeCell ref="H158:O158"/>
    <mergeCell ref="P158:W158"/>
    <mergeCell ref="F161:W161"/>
    <mergeCell ref="F164:W164"/>
    <mergeCell ref="R166:W166"/>
    <mergeCell ref="F156:G156"/>
    <mergeCell ref="H156:O156"/>
    <mergeCell ref="P156:W156"/>
    <mergeCell ref="F157:G157"/>
    <mergeCell ref="H157:O157"/>
    <mergeCell ref="P157:W157"/>
    <mergeCell ref="N145:R145"/>
    <mergeCell ref="F146:K148"/>
    <mergeCell ref="M146:M148"/>
    <mergeCell ref="N146:R148"/>
    <mergeCell ref="F152:W152"/>
    <mergeCell ref="F155:G155"/>
    <mergeCell ref="H155:O155"/>
    <mergeCell ref="P155:W155"/>
    <mergeCell ref="F143:G143"/>
    <mergeCell ref="H143:O143"/>
    <mergeCell ref="Q143:W143"/>
    <mergeCell ref="F144:G144"/>
    <mergeCell ref="H144:O144"/>
    <mergeCell ref="Q144:W144"/>
    <mergeCell ref="F141:G141"/>
    <mergeCell ref="H141:O141"/>
    <mergeCell ref="Q141:W141"/>
    <mergeCell ref="F142:G142"/>
    <mergeCell ref="H142:O142"/>
    <mergeCell ref="Q142:W142"/>
    <mergeCell ref="F137:G137"/>
    <mergeCell ref="H137:N137"/>
    <mergeCell ref="Q137:S137"/>
    <mergeCell ref="U137:W137"/>
    <mergeCell ref="F138:G138"/>
    <mergeCell ref="H138:N138"/>
    <mergeCell ref="Q138:S138"/>
    <mergeCell ref="U138:W138"/>
    <mergeCell ref="F135:G135"/>
    <mergeCell ref="H135:N135"/>
    <mergeCell ref="Q135:S135"/>
    <mergeCell ref="U135:W135"/>
    <mergeCell ref="F136:G136"/>
    <mergeCell ref="H136:W136"/>
    <mergeCell ref="F133:G133"/>
    <mergeCell ref="H133:N133"/>
    <mergeCell ref="Q133:S133"/>
    <mergeCell ref="U133:W133"/>
    <mergeCell ref="F134:G134"/>
    <mergeCell ref="H134:W134"/>
    <mergeCell ref="F130:W130"/>
    <mergeCell ref="F131:G131"/>
    <mergeCell ref="H131:W131"/>
    <mergeCell ref="F132:G132"/>
    <mergeCell ref="H132:N132"/>
    <mergeCell ref="Q132:S132"/>
    <mergeCell ref="U132:W132"/>
    <mergeCell ref="F128:G128"/>
    <mergeCell ref="H128:N128"/>
    <mergeCell ref="U128:V128"/>
    <mergeCell ref="F129:G129"/>
    <mergeCell ref="H129:N129"/>
    <mergeCell ref="U129:V129"/>
    <mergeCell ref="F126:G126"/>
    <mergeCell ref="H126:N126"/>
    <mergeCell ref="U126:V126"/>
    <mergeCell ref="F127:G127"/>
    <mergeCell ref="H127:N127"/>
    <mergeCell ref="U127:V127"/>
    <mergeCell ref="F124:G124"/>
    <mergeCell ref="H124:N124"/>
    <mergeCell ref="U124:V124"/>
    <mergeCell ref="F125:G125"/>
    <mergeCell ref="H125:N125"/>
    <mergeCell ref="U125:V125"/>
    <mergeCell ref="T120:W120"/>
    <mergeCell ref="U121:V121"/>
    <mergeCell ref="F122:W122"/>
    <mergeCell ref="F123:G123"/>
    <mergeCell ref="H123:N123"/>
    <mergeCell ref="U123:V123"/>
    <mergeCell ref="N110:R110"/>
    <mergeCell ref="F111:K113"/>
    <mergeCell ref="M111:M113"/>
    <mergeCell ref="N111:R113"/>
    <mergeCell ref="F117:W117"/>
    <mergeCell ref="F120:G121"/>
    <mergeCell ref="H120:N121"/>
    <mergeCell ref="O120:O121"/>
    <mergeCell ref="P120:P121"/>
    <mergeCell ref="Q120:S120"/>
    <mergeCell ref="F108:G108"/>
    <mergeCell ref="H108:N108"/>
    <mergeCell ref="Q108:S108"/>
    <mergeCell ref="U108:W108"/>
    <mergeCell ref="F109:G109"/>
    <mergeCell ref="H109:N109"/>
    <mergeCell ref="Q109:S109"/>
    <mergeCell ref="U109:W109"/>
    <mergeCell ref="F106:G106"/>
    <mergeCell ref="H106:N106"/>
    <mergeCell ref="Q106:S106"/>
    <mergeCell ref="U106:W106"/>
    <mergeCell ref="F107:G107"/>
    <mergeCell ref="H107:W107"/>
    <mergeCell ref="F104:G104"/>
    <mergeCell ref="H104:N104"/>
    <mergeCell ref="Q104:S104"/>
    <mergeCell ref="U104:W104"/>
    <mergeCell ref="F105:G105"/>
    <mergeCell ref="H105:W105"/>
    <mergeCell ref="F101:W101"/>
    <mergeCell ref="F102:G102"/>
    <mergeCell ref="H102:W102"/>
    <mergeCell ref="F103:G103"/>
    <mergeCell ref="H103:N103"/>
    <mergeCell ref="Q103:S103"/>
    <mergeCell ref="U103:W103"/>
    <mergeCell ref="F99:G99"/>
    <mergeCell ref="H99:N99"/>
    <mergeCell ref="U99:V99"/>
    <mergeCell ref="F100:G100"/>
    <mergeCell ref="H100:N100"/>
    <mergeCell ref="U100:V100"/>
    <mergeCell ref="F97:G97"/>
    <mergeCell ref="H97:N97"/>
    <mergeCell ref="U97:V97"/>
    <mergeCell ref="F98:G98"/>
    <mergeCell ref="H98:N98"/>
    <mergeCell ref="U98:V98"/>
    <mergeCell ref="F95:G95"/>
    <mergeCell ref="H95:N95"/>
    <mergeCell ref="U95:V95"/>
    <mergeCell ref="F96:G96"/>
    <mergeCell ref="H96:N96"/>
    <mergeCell ref="U96:V96"/>
    <mergeCell ref="T91:W91"/>
    <mergeCell ref="U92:V92"/>
    <mergeCell ref="F93:W93"/>
    <mergeCell ref="F94:G94"/>
    <mergeCell ref="H94:N94"/>
    <mergeCell ref="U94:V94"/>
    <mergeCell ref="F81:K81"/>
    <mergeCell ref="F82:K82"/>
    <mergeCell ref="L82:W82"/>
    <mergeCell ref="F83:K88"/>
    <mergeCell ref="L83:W88"/>
    <mergeCell ref="F91:G92"/>
    <mergeCell ref="H91:N92"/>
    <mergeCell ref="O91:O92"/>
    <mergeCell ref="P91:P92"/>
    <mergeCell ref="Q91:S91"/>
    <mergeCell ref="F71:W71"/>
    <mergeCell ref="F73:K73"/>
    <mergeCell ref="F74:K74"/>
    <mergeCell ref="L74:W74"/>
    <mergeCell ref="F75:K80"/>
    <mergeCell ref="L75:W80"/>
    <mergeCell ref="N64:R64"/>
    <mergeCell ref="S64:W64"/>
    <mergeCell ref="F65:K67"/>
    <mergeCell ref="M65:M67"/>
    <mergeCell ref="N65:R67"/>
    <mergeCell ref="V65:W65"/>
    <mergeCell ref="V66:W66"/>
    <mergeCell ref="V67:W67"/>
    <mergeCell ref="F58:R58"/>
    <mergeCell ref="S58:W58"/>
    <mergeCell ref="F59:N59"/>
    <mergeCell ref="O59:R59"/>
    <mergeCell ref="S59:W59"/>
    <mergeCell ref="F63:N63"/>
    <mergeCell ref="O63:R63"/>
    <mergeCell ref="S63:W63"/>
    <mergeCell ref="F53:G53"/>
    <mergeCell ref="H53:W53"/>
    <mergeCell ref="F54:P54"/>
    <mergeCell ref="Q54:W54"/>
    <mergeCell ref="F55:P57"/>
    <mergeCell ref="Q55:W57"/>
    <mergeCell ref="F50:G50"/>
    <mergeCell ref="H50:N50"/>
    <mergeCell ref="O50:P50"/>
    <mergeCell ref="F46:M46"/>
    <mergeCell ref="N46:P46"/>
    <mergeCell ref="Q46:S47"/>
    <mergeCell ref="Q50:S52"/>
    <mergeCell ref="T50:V52"/>
    <mergeCell ref="W50:W52"/>
    <mergeCell ref="F51:G51"/>
    <mergeCell ref="H51:N51"/>
    <mergeCell ref="O51:P51"/>
    <mergeCell ref="F52:G52"/>
    <mergeCell ref="H52:N52"/>
    <mergeCell ref="O52:P52"/>
    <mergeCell ref="T46:V47"/>
    <mergeCell ref="W46:W49"/>
    <mergeCell ref="F47:M47"/>
    <mergeCell ref="N47:P47"/>
    <mergeCell ref="F48:P48"/>
    <mergeCell ref="Q48:S49"/>
    <mergeCell ref="T48:V49"/>
    <mergeCell ref="F43:M43"/>
    <mergeCell ref="N43:P43"/>
    <mergeCell ref="Q43:V43"/>
    <mergeCell ref="F44:G44"/>
    <mergeCell ref="H44:W44"/>
    <mergeCell ref="F45:M45"/>
    <mergeCell ref="N45:P45"/>
    <mergeCell ref="Q45:W45"/>
    <mergeCell ref="F49:G49"/>
    <mergeCell ref="H49:N49"/>
    <mergeCell ref="O49:P49"/>
    <mergeCell ref="F41:M41"/>
    <mergeCell ref="N41:P41"/>
    <mergeCell ref="Q41:V41"/>
    <mergeCell ref="F42:M42"/>
    <mergeCell ref="N42:P42"/>
    <mergeCell ref="Q42:V42"/>
    <mergeCell ref="F38:N38"/>
    <mergeCell ref="P38:W38"/>
    <mergeCell ref="F39:G39"/>
    <mergeCell ref="H39:W39"/>
    <mergeCell ref="F40:M40"/>
    <mergeCell ref="N40:P40"/>
    <mergeCell ref="Q40:V40"/>
    <mergeCell ref="F36:G36"/>
    <mergeCell ref="H36:M36"/>
    <mergeCell ref="P36:U36"/>
    <mergeCell ref="V36:W36"/>
    <mergeCell ref="F37:N37"/>
    <mergeCell ref="P37:W37"/>
    <mergeCell ref="F34:G34"/>
    <mergeCell ref="H34:M34"/>
    <mergeCell ref="P34:U34"/>
    <mergeCell ref="V34:W34"/>
    <mergeCell ref="F35:G35"/>
    <mergeCell ref="H35:M35"/>
    <mergeCell ref="P35:U35"/>
    <mergeCell ref="V35:W35"/>
    <mergeCell ref="F32:G32"/>
    <mergeCell ref="H32:M32"/>
    <mergeCell ref="P32:U32"/>
    <mergeCell ref="V32:W32"/>
    <mergeCell ref="F33:G33"/>
    <mergeCell ref="H33:M33"/>
    <mergeCell ref="P33:U33"/>
    <mergeCell ref="V33:W33"/>
    <mergeCell ref="F30:G30"/>
    <mergeCell ref="H30:M30"/>
    <mergeCell ref="P30:U30"/>
    <mergeCell ref="V30:W30"/>
    <mergeCell ref="F31:G31"/>
    <mergeCell ref="H31:W31"/>
    <mergeCell ref="F28:G28"/>
    <mergeCell ref="H28:M28"/>
    <mergeCell ref="P28:U28"/>
    <mergeCell ref="V28:W28"/>
    <mergeCell ref="F29:G29"/>
    <mergeCell ref="H29:M29"/>
    <mergeCell ref="P29:U29"/>
    <mergeCell ref="V29:W29"/>
    <mergeCell ref="F26:G26"/>
    <mergeCell ref="H26:M26"/>
    <mergeCell ref="P26:U26"/>
    <mergeCell ref="V26:W26"/>
    <mergeCell ref="F27:G27"/>
    <mergeCell ref="H27:M27"/>
    <mergeCell ref="P27:U27"/>
    <mergeCell ref="V27:W27"/>
    <mergeCell ref="F24:G24"/>
    <mergeCell ref="H24:M24"/>
    <mergeCell ref="P24:U24"/>
    <mergeCell ref="V24:W24"/>
    <mergeCell ref="F25:G25"/>
    <mergeCell ref="H25:M25"/>
    <mergeCell ref="P25:U25"/>
    <mergeCell ref="V25:W25"/>
    <mergeCell ref="F22:G22"/>
    <mergeCell ref="H22:W22"/>
    <mergeCell ref="F23:G23"/>
    <mergeCell ref="H23:M23"/>
    <mergeCell ref="P23:U23"/>
    <mergeCell ref="V23:W23"/>
    <mergeCell ref="F2:M3"/>
    <mergeCell ref="N2:N3"/>
    <mergeCell ref="O2:P3"/>
    <mergeCell ref="Q2:Q3"/>
    <mergeCell ref="O4:P5"/>
    <mergeCell ref="Q4:Q5"/>
    <mergeCell ref="F20:G21"/>
    <mergeCell ref="H20:M21"/>
    <mergeCell ref="N20:N21"/>
    <mergeCell ref="O20:W20"/>
    <mergeCell ref="P21:U21"/>
    <mergeCell ref="V21:W21"/>
    <mergeCell ref="F9:W9"/>
    <mergeCell ref="F10:W10"/>
    <mergeCell ref="F13:W13"/>
    <mergeCell ref="F14:W14"/>
    <mergeCell ref="L16:P16"/>
    <mergeCell ref="L17:O17"/>
  </mergeCells>
  <pageMargins left="0.35" right="0.34" top="0.39" bottom="0.28999999999999998" header="0.3" footer="0.2"/>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from>
                    <xdr:col>5</xdr:col>
                    <xdr:colOff>12700</xdr:colOff>
                    <xdr:row>3</xdr:row>
                    <xdr:rowOff>12700</xdr:rowOff>
                  </from>
                  <to>
                    <xdr:col>13</xdr:col>
                    <xdr:colOff>400050</xdr:colOff>
                    <xdr:row>4</xdr:row>
                    <xdr:rowOff>184150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2:AD171"/>
  <sheetViews>
    <sheetView showGridLines="0" zoomScale="115" zoomScaleNormal="115" workbookViewId="0">
      <selection activeCell="F7" sqref="F7:Y7"/>
    </sheetView>
  </sheetViews>
  <sheetFormatPr defaultRowHeight="14.5" x14ac:dyDescent="0.35"/>
  <cols>
    <col min="4" max="4" width="4.1796875" customWidth="1"/>
    <col min="5" max="5" width="5.81640625" customWidth="1"/>
    <col min="6" max="6" width="2.7265625" style="34" customWidth="1"/>
    <col min="7" max="7" width="1.1796875" style="34" customWidth="1"/>
    <col min="8" max="8" width="6.26953125" style="34" customWidth="1"/>
    <col min="9" max="9" width="1.7265625" style="34" customWidth="1"/>
    <col min="10" max="10" width="3.81640625" style="34" customWidth="1"/>
    <col min="11" max="11" width="1.7265625" style="34" customWidth="1"/>
    <col min="12" max="12" width="5.54296875" style="34" customWidth="1"/>
    <col min="13" max="13" width="6.453125" style="34" customWidth="1"/>
    <col min="14" max="15" width="6.7265625" style="34" customWidth="1"/>
    <col min="16" max="16" width="6.7265625" style="268" customWidth="1"/>
    <col min="17" max="17" width="7.81640625" style="34" customWidth="1"/>
    <col min="18" max="18" width="6.7265625" style="34" customWidth="1"/>
    <col min="19" max="19" width="7.26953125" style="34" customWidth="1"/>
    <col min="20" max="20" width="4.1796875" style="34" customWidth="1"/>
    <col min="21" max="21" width="1.81640625" style="34" customWidth="1"/>
    <col min="22" max="22" width="1.26953125" style="34" customWidth="1"/>
    <col min="23" max="23" width="7.26953125" style="34" customWidth="1"/>
    <col min="24" max="24" width="3.26953125" style="34" customWidth="1"/>
    <col min="25" max="25" width="5.453125" style="34" customWidth="1"/>
    <col min="26" max="26" width="9.1796875" customWidth="1"/>
    <col min="27" max="27" width="9.1796875" style="66" customWidth="1"/>
    <col min="28" max="28" width="9.1796875" style="34" customWidth="1"/>
    <col min="29" max="32" width="9.1796875" customWidth="1"/>
  </cols>
  <sheetData>
    <row r="2" spans="1:28" ht="15" customHeight="1" x14ac:dyDescent="0.35">
      <c r="F2" s="473" t="s">
        <v>149</v>
      </c>
      <c r="G2" s="474"/>
      <c r="H2" s="474"/>
      <c r="I2" s="474"/>
      <c r="J2" s="474"/>
      <c r="K2" s="474"/>
      <c r="L2" s="474"/>
      <c r="M2" s="474"/>
      <c r="N2" s="479">
        <v>34</v>
      </c>
      <c r="O2" s="560" t="s">
        <v>136</v>
      </c>
      <c r="P2" s="560"/>
      <c r="Q2" s="481">
        <v>13</v>
      </c>
      <c r="R2" s="276"/>
    </row>
    <row r="3" spans="1:28" ht="15" customHeight="1" x14ac:dyDescent="0.35">
      <c r="F3" s="476"/>
      <c r="G3" s="477"/>
      <c r="H3" s="477"/>
      <c r="I3" s="477"/>
      <c r="J3" s="477"/>
      <c r="K3" s="477"/>
      <c r="L3" s="477"/>
      <c r="M3" s="477"/>
      <c r="N3" s="479"/>
      <c r="O3" s="560"/>
      <c r="P3" s="560"/>
      <c r="Q3" s="481"/>
    </row>
    <row r="4" spans="1:28" ht="15" customHeight="1" x14ac:dyDescent="0.35">
      <c r="F4" s="53"/>
      <c r="G4" s="53"/>
      <c r="H4" s="53"/>
      <c r="I4" s="53"/>
      <c r="J4" s="53"/>
      <c r="K4" s="53"/>
      <c r="L4" s="53"/>
      <c r="M4" s="53"/>
      <c r="N4" s="53"/>
      <c r="O4" s="560" t="s">
        <v>137</v>
      </c>
      <c r="P4" s="560"/>
      <c r="Q4" s="481">
        <v>34</v>
      </c>
    </row>
    <row r="5" spans="1:28" ht="15" customHeight="1" x14ac:dyDescent="0.35">
      <c r="F5" s="360"/>
      <c r="G5" s="360"/>
      <c r="H5" s="360"/>
      <c r="I5" s="360"/>
      <c r="J5" s="360"/>
      <c r="K5" s="360"/>
      <c r="L5" s="360"/>
      <c r="M5" s="360"/>
      <c r="N5" s="360"/>
      <c r="O5" s="561"/>
      <c r="P5" s="561"/>
      <c r="Q5" s="562"/>
    </row>
    <row r="6" spans="1:28" x14ac:dyDescent="0.35">
      <c r="F6" s="44"/>
      <c r="G6" s="44"/>
      <c r="H6" s="44"/>
      <c r="I6" s="44"/>
      <c r="J6" s="44"/>
      <c r="K6" s="44"/>
      <c r="L6" s="44"/>
      <c r="M6" s="44"/>
      <c r="N6" s="44"/>
      <c r="O6" s="44"/>
      <c r="P6" s="264"/>
      <c r="Q6" s="44"/>
      <c r="R6" s="44"/>
      <c r="S6" s="44"/>
      <c r="T6" s="44"/>
      <c r="U6" s="44"/>
      <c r="V6" s="44"/>
      <c r="W6" s="44"/>
      <c r="X6" s="44"/>
      <c r="Y6" s="44"/>
      <c r="Z6" s="37"/>
    </row>
    <row r="7" spans="1:28" ht="28.5" customHeight="1" x14ac:dyDescent="0.35">
      <c r="A7" s="38"/>
      <c r="B7" s="38"/>
      <c r="C7" s="38"/>
      <c r="F7" s="563" t="s">
        <v>2414</v>
      </c>
      <c r="G7" s="563"/>
      <c r="H7" s="563"/>
      <c r="I7" s="563"/>
      <c r="J7" s="563"/>
      <c r="K7" s="563"/>
      <c r="L7" s="563"/>
      <c r="M7" s="563"/>
      <c r="N7" s="563"/>
      <c r="O7" s="563"/>
      <c r="P7" s="563"/>
      <c r="Q7" s="563"/>
      <c r="R7" s="563"/>
      <c r="S7" s="563"/>
      <c r="T7" s="563"/>
      <c r="U7" s="563"/>
      <c r="V7" s="563"/>
      <c r="W7" s="563"/>
      <c r="X7" s="563"/>
      <c r="Y7" s="563"/>
      <c r="Z7" s="37"/>
    </row>
    <row r="8" spans="1:28" ht="28.5" customHeight="1" x14ac:dyDescent="0.35">
      <c r="A8" s="38"/>
      <c r="B8" s="38"/>
      <c r="C8" s="38"/>
      <c r="F8" s="563" t="s">
        <v>2413</v>
      </c>
      <c r="G8" s="563"/>
      <c r="H8" s="563"/>
      <c r="I8" s="563"/>
      <c r="J8" s="563"/>
      <c r="K8" s="563"/>
      <c r="L8" s="563"/>
      <c r="M8" s="563"/>
      <c r="N8" s="563"/>
      <c r="O8" s="563"/>
      <c r="P8" s="563"/>
      <c r="Q8" s="563"/>
      <c r="R8" s="563"/>
      <c r="S8" s="563"/>
      <c r="T8" s="563"/>
      <c r="U8" s="563"/>
      <c r="V8" s="563"/>
      <c r="W8" s="563"/>
      <c r="X8" s="563"/>
      <c r="Y8" s="563"/>
      <c r="Z8" s="37"/>
    </row>
    <row r="9" spans="1:28" ht="5.25" customHeight="1" x14ac:dyDescent="0.35">
      <c r="A9" s="38"/>
      <c r="B9" s="38"/>
      <c r="C9" s="38"/>
      <c r="F9" s="339"/>
      <c r="G9" s="339"/>
      <c r="H9" s="339"/>
      <c r="I9" s="339"/>
      <c r="J9" s="339"/>
      <c r="K9" s="339"/>
      <c r="L9" s="339"/>
      <c r="M9" s="339"/>
      <c r="N9" s="339"/>
      <c r="O9" s="339"/>
      <c r="P9" s="339"/>
      <c r="Q9" s="339"/>
      <c r="R9" s="339"/>
      <c r="S9" s="339"/>
      <c r="T9" s="339"/>
      <c r="U9" s="339"/>
      <c r="V9" s="339"/>
      <c r="W9" s="339"/>
      <c r="X9" s="339"/>
      <c r="Y9" s="339"/>
      <c r="Z9" s="37"/>
    </row>
    <row r="10" spans="1:28" s="34" customFormat="1" ht="15" customHeight="1" x14ac:dyDescent="0.35">
      <c r="A10" s="27"/>
      <c r="B10" s="27"/>
      <c r="C10" s="27"/>
      <c r="F10" s="44"/>
      <c r="G10" s="340"/>
      <c r="H10" s="340"/>
      <c r="I10" s="340"/>
      <c r="J10" s="340"/>
      <c r="K10" s="340"/>
      <c r="L10" s="340"/>
      <c r="M10" s="340"/>
      <c r="N10" s="340"/>
      <c r="O10" s="340"/>
      <c r="P10" s="340"/>
      <c r="Q10" s="340"/>
      <c r="R10" s="340"/>
      <c r="S10" s="340"/>
      <c r="T10" s="341" t="str">
        <f>VLOOKUP(patokans2,datasantri,2,FALSE)</f>
        <v>M. NABHAN DZAKWAN</v>
      </c>
      <c r="U10" s="357" t="s">
        <v>1</v>
      </c>
      <c r="V10" s="44"/>
      <c r="W10" s="233"/>
      <c r="X10" s="233"/>
      <c r="Y10" s="356" t="s">
        <v>2445</v>
      </c>
      <c r="Z10" s="352"/>
      <c r="AA10" s="296"/>
    </row>
    <row r="11" spans="1:28" s="34" customFormat="1" ht="15" customHeight="1" x14ac:dyDescent="0.35">
      <c r="A11" s="27"/>
      <c r="B11" s="27"/>
      <c r="C11" s="27"/>
      <c r="F11" s="233"/>
      <c r="G11" s="233"/>
      <c r="H11" s="233"/>
      <c r="I11" s="44"/>
      <c r="J11" s="341" t="str">
        <f>kelas</f>
        <v>VII (Tujuh)</v>
      </c>
      <c r="K11" s="357" t="s">
        <v>1</v>
      </c>
      <c r="L11" s="44"/>
      <c r="M11" s="233"/>
      <c r="N11" s="233"/>
      <c r="O11" s="356" t="s">
        <v>2448</v>
      </c>
      <c r="P11" s="342"/>
      <c r="Q11" s="342"/>
      <c r="R11" s="342"/>
      <c r="S11" s="568" t="str">
        <f>VLOOKUP(patokans2,datasantri,5,FALSE)</f>
        <v>11.2022.0285</v>
      </c>
      <c r="T11" s="568"/>
      <c r="U11" s="569" t="s">
        <v>1</v>
      </c>
      <c r="V11" s="567" t="s">
        <v>2446</v>
      </c>
      <c r="W11" s="567"/>
      <c r="X11" s="567"/>
      <c r="Y11" s="567"/>
      <c r="Z11" s="352"/>
      <c r="AA11" s="296"/>
    </row>
    <row r="12" spans="1:28" ht="15" customHeight="1" x14ac:dyDescent="0.35">
      <c r="A12" s="38"/>
      <c r="B12" s="38"/>
      <c r="C12" s="38"/>
      <c r="F12" s="233"/>
      <c r="G12" s="233"/>
      <c r="H12" s="233"/>
      <c r="I12" s="44"/>
      <c r="J12" s="341" t="str">
        <f>genap</f>
        <v>Genap</v>
      </c>
      <c r="K12" s="357" t="s">
        <v>1</v>
      </c>
      <c r="L12" s="44"/>
      <c r="M12" s="233"/>
      <c r="N12" s="233"/>
      <c r="O12" s="356" t="s">
        <v>2449</v>
      </c>
      <c r="P12" s="264"/>
      <c r="Q12" s="343"/>
      <c r="R12" s="343"/>
      <c r="S12" s="568"/>
      <c r="T12" s="568"/>
      <c r="U12" s="569"/>
      <c r="V12" s="567"/>
      <c r="W12" s="567"/>
      <c r="X12" s="567"/>
      <c r="Y12" s="567"/>
      <c r="Z12" s="352"/>
      <c r="AA12" s="296"/>
    </row>
    <row r="13" spans="1:28" ht="15" customHeight="1" x14ac:dyDescent="0.35">
      <c r="A13" s="38"/>
      <c r="B13" s="38"/>
      <c r="C13" s="38"/>
      <c r="F13" s="233"/>
      <c r="G13" s="233"/>
      <c r="H13" s="233"/>
      <c r="I13" s="44"/>
      <c r="J13" s="341" t="str">
        <f>tahunajaran</f>
        <v>2022/2023</v>
      </c>
      <c r="K13" s="357" t="s">
        <v>1</v>
      </c>
      <c r="L13" s="44"/>
      <c r="M13" s="233"/>
      <c r="N13" s="233"/>
      <c r="O13" s="356" t="s">
        <v>2450</v>
      </c>
      <c r="P13" s="264"/>
      <c r="Q13" s="343"/>
      <c r="R13" s="343"/>
      <c r="S13" s="343"/>
      <c r="T13" s="341" t="str">
        <f>VLOOKUP(patokans2,datasantri,6,FALSE)</f>
        <v>3104238355</v>
      </c>
      <c r="U13" s="357" t="s">
        <v>1</v>
      </c>
      <c r="V13" s="44"/>
      <c r="W13" s="233"/>
      <c r="X13" s="233"/>
      <c r="Y13" s="356" t="s">
        <v>2447</v>
      </c>
      <c r="Z13" s="352"/>
      <c r="AA13" s="296"/>
    </row>
    <row r="14" spans="1:28" ht="20.25" customHeight="1" x14ac:dyDescent="0.35">
      <c r="A14" s="38"/>
      <c r="B14" s="38"/>
      <c r="C14" s="38"/>
      <c r="F14" s="564" t="s">
        <v>39</v>
      </c>
      <c r="G14" s="564"/>
      <c r="H14" s="564" t="s">
        <v>150</v>
      </c>
      <c r="I14" s="564"/>
      <c r="J14" s="564"/>
      <c r="K14" s="564"/>
      <c r="L14" s="564"/>
      <c r="M14" s="564"/>
      <c r="N14" s="564" t="s">
        <v>72</v>
      </c>
      <c r="O14" s="564" t="s">
        <v>2415</v>
      </c>
      <c r="P14" s="565" t="s">
        <v>2416</v>
      </c>
      <c r="Q14" s="566" t="s">
        <v>2417</v>
      </c>
      <c r="R14" s="566" t="s">
        <v>2418</v>
      </c>
      <c r="S14" s="566" t="s">
        <v>2419</v>
      </c>
      <c r="T14" s="518" t="s">
        <v>2420</v>
      </c>
      <c r="U14" s="518"/>
      <c r="V14" s="518"/>
      <c r="W14" s="518"/>
      <c r="X14" s="518"/>
      <c r="Y14" s="518" t="s">
        <v>2421</v>
      </c>
      <c r="Z14" s="352"/>
      <c r="AA14" s="296"/>
    </row>
    <row r="15" spans="1:28" ht="15.75" customHeight="1" x14ac:dyDescent="0.35">
      <c r="A15" s="38"/>
      <c r="B15" s="38"/>
      <c r="C15" s="38"/>
      <c r="F15" s="564"/>
      <c r="G15" s="564"/>
      <c r="H15" s="564"/>
      <c r="I15" s="564"/>
      <c r="J15" s="564"/>
      <c r="K15" s="564"/>
      <c r="L15" s="564"/>
      <c r="M15" s="564"/>
      <c r="N15" s="564"/>
      <c r="O15" s="564"/>
      <c r="P15" s="565"/>
      <c r="Q15" s="566"/>
      <c r="R15" s="566"/>
      <c r="S15" s="566"/>
      <c r="T15" s="518"/>
      <c r="U15" s="518"/>
      <c r="V15" s="518"/>
      <c r="W15" s="518"/>
      <c r="X15" s="518"/>
      <c r="Y15" s="518"/>
      <c r="Z15" s="352"/>
      <c r="AA15" s="296"/>
    </row>
    <row r="16" spans="1:28" s="38" customFormat="1" ht="16.399999999999999" customHeight="1" x14ac:dyDescent="0.35">
      <c r="F16" s="361"/>
      <c r="G16" s="361"/>
      <c r="H16" s="554" t="s">
        <v>2422</v>
      </c>
      <c r="I16" s="554"/>
      <c r="J16" s="554"/>
      <c r="K16" s="554"/>
      <c r="L16" s="554"/>
      <c r="M16" s="554"/>
      <c r="N16" s="554"/>
      <c r="O16" s="554"/>
      <c r="P16" s="554"/>
      <c r="Q16" s="555" t="s">
        <v>2423</v>
      </c>
      <c r="R16" s="556"/>
      <c r="S16" s="556"/>
      <c r="T16" s="556"/>
      <c r="U16" s="556"/>
      <c r="V16" s="556"/>
      <c r="W16" s="556"/>
      <c r="X16" s="556"/>
      <c r="Y16" s="362"/>
      <c r="Z16" s="350"/>
      <c r="AA16" s="297"/>
      <c r="AB16" s="27"/>
    </row>
    <row r="17" spans="6:30" s="38" customFormat="1" ht="16.399999999999999" customHeight="1" x14ac:dyDescent="0.35">
      <c r="F17" s="557">
        <v>1</v>
      </c>
      <c r="G17" s="557"/>
      <c r="H17" s="558" t="str">
        <f>'set-kkm'!F6</f>
        <v>Tahfizh Al-Qur'an</v>
      </c>
      <c r="I17" s="558"/>
      <c r="J17" s="558"/>
      <c r="K17" s="558"/>
      <c r="L17" s="558"/>
      <c r="M17" s="558"/>
      <c r="N17" s="355">
        <f>'set-kkm'!H6</f>
        <v>70</v>
      </c>
      <c r="O17" s="355">
        <f>ROUND(AB17,0)</f>
        <v>79</v>
      </c>
      <c r="P17" s="242">
        <f>AD17</f>
        <v>85.558823529411768</v>
      </c>
      <c r="Q17" s="277">
        <f>P17</f>
        <v>85.558823529411768</v>
      </c>
      <c r="R17" s="278">
        <f>O17</f>
        <v>79</v>
      </c>
      <c r="S17" s="278">
        <f>N17</f>
        <v>70</v>
      </c>
      <c r="T17" s="559" t="str">
        <f>'set-kkm'!G6</f>
        <v>تحفيظ القرآن</v>
      </c>
      <c r="U17" s="559"/>
      <c r="V17" s="559"/>
      <c r="W17" s="559"/>
      <c r="X17" s="559"/>
      <c r="Y17" s="241">
        <v>1</v>
      </c>
      <c r="Z17" s="350"/>
      <c r="AA17" s="338">
        <f>VLOOKUP(patokans2,nilpels2,3,FALSE)</f>
        <v>79</v>
      </c>
      <c r="AB17" s="301">
        <f>IF(AA17&lt;70,"70",AA17)</f>
        <v>79</v>
      </c>
      <c r="AD17" s="309">
        <f>'nilpel-s2'!AP49</f>
        <v>85.558823529411768</v>
      </c>
    </row>
    <row r="18" spans="6:30" s="38" customFormat="1" ht="16.399999999999999" customHeight="1" x14ac:dyDescent="0.35">
      <c r="F18" s="557">
        <v>2</v>
      </c>
      <c r="G18" s="557"/>
      <c r="H18" s="558" t="str">
        <f>'set-kkm'!F7</f>
        <v>Akhlaq</v>
      </c>
      <c r="I18" s="558"/>
      <c r="J18" s="558"/>
      <c r="K18" s="558"/>
      <c r="L18" s="558"/>
      <c r="M18" s="558"/>
      <c r="N18" s="355">
        <f>'set-kkm'!H7</f>
        <v>70</v>
      </c>
      <c r="O18" s="355">
        <f t="shared" ref="O18:O34" si="0">ROUND(AB18,0)</f>
        <v>90</v>
      </c>
      <c r="P18" s="242">
        <f t="shared" ref="P18:P27" si="1">AD18</f>
        <v>92.764705882352942</v>
      </c>
      <c r="Q18" s="277">
        <f t="shared" ref="Q18:Q26" si="2">P18</f>
        <v>92.764705882352942</v>
      </c>
      <c r="R18" s="278">
        <f t="shared" ref="R18:R26" si="3">O18</f>
        <v>90</v>
      </c>
      <c r="S18" s="278">
        <f t="shared" ref="S18:S26" si="4">N18</f>
        <v>70</v>
      </c>
      <c r="T18" s="559" t="str">
        <f>'set-kkm'!G7</f>
        <v>الأخلاق</v>
      </c>
      <c r="U18" s="559"/>
      <c r="V18" s="559"/>
      <c r="W18" s="559"/>
      <c r="X18" s="559"/>
      <c r="Y18" s="241">
        <v>2</v>
      </c>
      <c r="Z18" s="350"/>
      <c r="AA18" s="338">
        <f>VLOOKUP(patokans2,nilpels2,4,FALSE)</f>
        <v>90</v>
      </c>
      <c r="AB18" s="301">
        <f t="shared" ref="AB18:AB34" si="5">IF(AA18&lt;70,"70",AA18)</f>
        <v>90</v>
      </c>
      <c r="AD18" s="309">
        <f>'nilpel-s2'!AQ49</f>
        <v>92.764705882352942</v>
      </c>
    </row>
    <row r="19" spans="6:30" s="38" customFormat="1" ht="16.399999999999999" customHeight="1" x14ac:dyDescent="0.35">
      <c r="F19" s="557">
        <v>3</v>
      </c>
      <c r="G19" s="557"/>
      <c r="H19" s="558" t="str">
        <f>'set-kkm'!F8</f>
        <v>Aqidah dan Manhaj</v>
      </c>
      <c r="I19" s="558"/>
      <c r="J19" s="558"/>
      <c r="K19" s="558"/>
      <c r="L19" s="558"/>
      <c r="M19" s="558"/>
      <c r="N19" s="355">
        <f>'set-kkm'!H8</f>
        <v>70</v>
      </c>
      <c r="O19" s="355">
        <f t="shared" si="0"/>
        <v>85</v>
      </c>
      <c r="P19" s="242">
        <f t="shared" si="1"/>
        <v>86.617647058823536</v>
      </c>
      <c r="Q19" s="277">
        <f t="shared" si="2"/>
        <v>86.617647058823536</v>
      </c>
      <c r="R19" s="278">
        <f t="shared" si="3"/>
        <v>85</v>
      </c>
      <c r="S19" s="278">
        <f t="shared" si="4"/>
        <v>70</v>
      </c>
      <c r="T19" s="559" t="str">
        <f>'set-kkm'!G8</f>
        <v>العقيدة و المنهج</v>
      </c>
      <c r="U19" s="559"/>
      <c r="V19" s="559"/>
      <c r="W19" s="559"/>
      <c r="X19" s="559"/>
      <c r="Y19" s="241">
        <v>3</v>
      </c>
      <c r="Z19" s="350"/>
      <c r="AA19" s="338">
        <f>VLOOKUP(patokans2,nilpels2,5,FALSE)</f>
        <v>85</v>
      </c>
      <c r="AB19" s="301">
        <f t="shared" si="5"/>
        <v>85</v>
      </c>
      <c r="AD19" s="309">
        <f>'nilpel-s2'!AR49</f>
        <v>86.617647058823536</v>
      </c>
    </row>
    <row r="20" spans="6:30" s="38" customFormat="1" ht="16.399999999999999" customHeight="1" x14ac:dyDescent="0.35">
      <c r="F20" s="557">
        <v>4</v>
      </c>
      <c r="G20" s="557"/>
      <c r="H20" s="558" t="str">
        <f>'set-kkm'!F9</f>
        <v>Fiqih</v>
      </c>
      <c r="I20" s="558"/>
      <c r="J20" s="558"/>
      <c r="K20" s="558"/>
      <c r="L20" s="558"/>
      <c r="M20" s="558"/>
      <c r="N20" s="355">
        <f>'set-kkm'!H9</f>
        <v>70</v>
      </c>
      <c r="O20" s="355">
        <f t="shared" si="0"/>
        <v>73</v>
      </c>
      <c r="P20" s="242">
        <f t="shared" si="1"/>
        <v>85.147058823529406</v>
      </c>
      <c r="Q20" s="277">
        <f t="shared" si="2"/>
        <v>85.147058823529406</v>
      </c>
      <c r="R20" s="278">
        <f t="shared" si="3"/>
        <v>73</v>
      </c>
      <c r="S20" s="278">
        <f t="shared" si="4"/>
        <v>70</v>
      </c>
      <c r="T20" s="559" t="str">
        <f>'set-kkm'!G9</f>
        <v>الفقه</v>
      </c>
      <c r="U20" s="559"/>
      <c r="V20" s="559"/>
      <c r="W20" s="559"/>
      <c r="X20" s="559"/>
      <c r="Y20" s="241">
        <v>4</v>
      </c>
      <c r="Z20" s="350"/>
      <c r="AA20" s="338">
        <f>VLOOKUP(patokans2,nilpels2,6,FALSE)</f>
        <v>73</v>
      </c>
      <c r="AB20" s="301">
        <f t="shared" si="5"/>
        <v>73</v>
      </c>
      <c r="AD20" s="309">
        <f>'nilpel-s2'!AS49</f>
        <v>85.147058823529406</v>
      </c>
    </row>
    <row r="21" spans="6:30" s="38" customFormat="1" ht="16.399999999999999" customHeight="1" x14ac:dyDescent="0.35">
      <c r="F21" s="557">
        <v>5</v>
      </c>
      <c r="G21" s="557"/>
      <c r="H21" s="558" t="str">
        <f>'set-kkm'!F10</f>
        <v>Bahasa Arab</v>
      </c>
      <c r="I21" s="558"/>
      <c r="J21" s="558"/>
      <c r="K21" s="558"/>
      <c r="L21" s="558"/>
      <c r="M21" s="558"/>
      <c r="N21" s="355">
        <f>'set-kkm'!H10</f>
        <v>70</v>
      </c>
      <c r="O21" s="355">
        <f t="shared" si="0"/>
        <v>77</v>
      </c>
      <c r="P21" s="242">
        <f t="shared" si="1"/>
        <v>84.82352941176471</v>
      </c>
      <c r="Q21" s="277">
        <f t="shared" si="2"/>
        <v>84.82352941176471</v>
      </c>
      <c r="R21" s="278">
        <f t="shared" si="3"/>
        <v>77</v>
      </c>
      <c r="S21" s="278">
        <f t="shared" si="4"/>
        <v>70</v>
      </c>
      <c r="T21" s="559" t="str">
        <f>'set-kkm'!G10</f>
        <v>اللغة العربية</v>
      </c>
      <c r="U21" s="559"/>
      <c r="V21" s="559"/>
      <c r="W21" s="559"/>
      <c r="X21" s="559"/>
      <c r="Y21" s="241">
        <v>5</v>
      </c>
      <c r="Z21" s="350"/>
      <c r="AA21" s="338">
        <f>VLOOKUP(patokans2,nilpels2,7,FALSE)</f>
        <v>77</v>
      </c>
      <c r="AB21" s="301">
        <f t="shared" si="5"/>
        <v>77</v>
      </c>
      <c r="AD21" s="309">
        <f>'nilpel-s2'!AT49</f>
        <v>84.82352941176471</v>
      </c>
    </row>
    <row r="22" spans="6:30" s="38" customFormat="1" ht="16.399999999999999" customHeight="1" x14ac:dyDescent="0.35">
      <c r="F22" s="557">
        <v>6</v>
      </c>
      <c r="G22" s="557"/>
      <c r="H22" s="558" t="str">
        <f>'set-kkm'!F11</f>
        <v>Nahwu dan Shorof</v>
      </c>
      <c r="I22" s="558"/>
      <c r="J22" s="558"/>
      <c r="K22" s="558"/>
      <c r="L22" s="558"/>
      <c r="M22" s="558"/>
      <c r="N22" s="355">
        <f>'set-kkm'!H11</f>
        <v>70</v>
      </c>
      <c r="O22" s="355">
        <f t="shared" si="0"/>
        <v>80</v>
      </c>
      <c r="P22" s="242">
        <f t="shared" si="1"/>
        <v>82.117647058823536</v>
      </c>
      <c r="Q22" s="277">
        <f t="shared" si="2"/>
        <v>82.117647058823536</v>
      </c>
      <c r="R22" s="278">
        <f t="shared" si="3"/>
        <v>80</v>
      </c>
      <c r="S22" s="278">
        <f t="shared" si="4"/>
        <v>70</v>
      </c>
      <c r="T22" s="559" t="str">
        <f>'set-kkm'!G11</f>
        <v>النحو و الصرف</v>
      </c>
      <c r="U22" s="559"/>
      <c r="V22" s="559"/>
      <c r="W22" s="559"/>
      <c r="X22" s="559"/>
      <c r="Y22" s="241">
        <v>6</v>
      </c>
      <c r="Z22" s="350"/>
      <c r="AA22" s="338">
        <f>VLOOKUP(patokans2,nilpels2,8,FALSE)</f>
        <v>80</v>
      </c>
      <c r="AB22" s="301">
        <f t="shared" si="5"/>
        <v>80</v>
      </c>
      <c r="AD22" s="309">
        <f>'nilpel-s2'!AU49</f>
        <v>82.117647058823536</v>
      </c>
    </row>
    <row r="23" spans="6:30" s="38" customFormat="1" ht="16.399999999999999" customHeight="1" x14ac:dyDescent="0.35">
      <c r="F23" s="557">
        <v>7</v>
      </c>
      <c r="G23" s="557"/>
      <c r="H23" s="558" t="str">
        <f>'set-kkm'!F12</f>
        <v>Hadits</v>
      </c>
      <c r="I23" s="558"/>
      <c r="J23" s="558"/>
      <c r="K23" s="558"/>
      <c r="L23" s="558"/>
      <c r="M23" s="558"/>
      <c r="N23" s="355">
        <f>'set-kkm'!H12</f>
        <v>70</v>
      </c>
      <c r="O23" s="355">
        <f t="shared" si="0"/>
        <v>77</v>
      </c>
      <c r="P23" s="242">
        <f t="shared" si="1"/>
        <v>84.147058823529406</v>
      </c>
      <c r="Q23" s="277">
        <f t="shared" si="2"/>
        <v>84.147058823529406</v>
      </c>
      <c r="R23" s="278">
        <f t="shared" si="3"/>
        <v>77</v>
      </c>
      <c r="S23" s="278">
        <f t="shared" si="4"/>
        <v>70</v>
      </c>
      <c r="T23" s="559" t="str">
        <f>'set-kkm'!G12</f>
        <v>الحديث</v>
      </c>
      <c r="U23" s="559"/>
      <c r="V23" s="559"/>
      <c r="W23" s="559"/>
      <c r="X23" s="559"/>
      <c r="Y23" s="241">
        <v>7</v>
      </c>
      <c r="Z23" s="350"/>
      <c r="AA23" s="338">
        <f>VLOOKUP(patokans2,nilpels2,9,FALSE)</f>
        <v>77</v>
      </c>
      <c r="AB23" s="301">
        <f t="shared" si="5"/>
        <v>77</v>
      </c>
      <c r="AD23" s="309">
        <f>'nilpel-s2'!AV49</f>
        <v>84.147058823529406</v>
      </c>
    </row>
    <row r="24" spans="6:30" s="38" customFormat="1" ht="16.399999999999999" customHeight="1" x14ac:dyDescent="0.35">
      <c r="F24" s="557">
        <v>8</v>
      </c>
      <c r="G24" s="557"/>
      <c r="H24" s="558" t="str">
        <f>'set-kkm'!F13</f>
        <v>Tajwid</v>
      </c>
      <c r="I24" s="558"/>
      <c r="J24" s="558"/>
      <c r="K24" s="558"/>
      <c r="L24" s="558"/>
      <c r="M24" s="558"/>
      <c r="N24" s="355">
        <f>'set-kkm'!H13</f>
        <v>70</v>
      </c>
      <c r="O24" s="355">
        <f t="shared" si="0"/>
        <v>100</v>
      </c>
      <c r="P24" s="242">
        <f t="shared" si="1"/>
        <v>84.264705882352942</v>
      </c>
      <c r="Q24" s="277">
        <f t="shared" si="2"/>
        <v>84.264705882352942</v>
      </c>
      <c r="R24" s="278">
        <f t="shared" si="3"/>
        <v>100</v>
      </c>
      <c r="S24" s="278">
        <f t="shared" si="4"/>
        <v>70</v>
      </c>
      <c r="T24" s="559" t="str">
        <f>'set-kkm'!G13</f>
        <v>التجويد</v>
      </c>
      <c r="U24" s="559"/>
      <c r="V24" s="559"/>
      <c r="W24" s="559"/>
      <c r="X24" s="559"/>
      <c r="Y24" s="241">
        <v>8</v>
      </c>
      <c r="Z24" s="350"/>
      <c r="AA24" s="338">
        <f>VLOOKUP(patokans2,nilpels2,10,FALSE)</f>
        <v>100</v>
      </c>
      <c r="AB24" s="301">
        <f t="shared" si="5"/>
        <v>100</v>
      </c>
      <c r="AD24" s="309">
        <f>'nilpel-s2'!AW49</f>
        <v>84.264705882352942</v>
      </c>
    </row>
    <row r="25" spans="6:30" s="38" customFormat="1" ht="16.399999999999999" customHeight="1" x14ac:dyDescent="0.35">
      <c r="F25" s="557">
        <v>9</v>
      </c>
      <c r="G25" s="557"/>
      <c r="H25" s="558" t="str">
        <f>'set-kkm'!F14</f>
        <v>Tafsir</v>
      </c>
      <c r="I25" s="558"/>
      <c r="J25" s="558"/>
      <c r="K25" s="558"/>
      <c r="L25" s="558"/>
      <c r="M25" s="558"/>
      <c r="N25" s="355">
        <f>'set-kkm'!H14</f>
        <v>70</v>
      </c>
      <c r="O25" s="355">
        <f t="shared" si="0"/>
        <v>95</v>
      </c>
      <c r="P25" s="242">
        <f t="shared" si="1"/>
        <v>86.67647058823529</v>
      </c>
      <c r="Q25" s="277">
        <f t="shared" si="2"/>
        <v>86.67647058823529</v>
      </c>
      <c r="R25" s="278">
        <f t="shared" si="3"/>
        <v>95</v>
      </c>
      <c r="S25" s="278">
        <f t="shared" si="4"/>
        <v>70</v>
      </c>
      <c r="T25" s="559" t="str">
        <f>'set-kkm'!G14</f>
        <v>التفسير</v>
      </c>
      <c r="U25" s="559"/>
      <c r="V25" s="559"/>
      <c r="W25" s="559"/>
      <c r="X25" s="559"/>
      <c r="Y25" s="241">
        <v>9</v>
      </c>
      <c r="Z25" s="350"/>
      <c r="AA25" s="338">
        <f>VLOOKUP(patokans2,nilpels2,11,FALSE)</f>
        <v>95</v>
      </c>
      <c r="AB25" s="301">
        <f t="shared" si="5"/>
        <v>95</v>
      </c>
      <c r="AD25" s="309">
        <f>'nilpel-s2'!AX49</f>
        <v>86.67647058823529</v>
      </c>
    </row>
    <row r="26" spans="6:30" s="38" customFormat="1" ht="16.399999999999999" customHeight="1" x14ac:dyDescent="0.35">
      <c r="F26" s="557">
        <v>10</v>
      </c>
      <c r="G26" s="557"/>
      <c r="H26" s="558" t="str">
        <f>'set-kkm'!F15</f>
        <v>Siroh</v>
      </c>
      <c r="I26" s="558"/>
      <c r="J26" s="558"/>
      <c r="K26" s="558"/>
      <c r="L26" s="558"/>
      <c r="M26" s="558"/>
      <c r="N26" s="355">
        <f>'set-kkm'!H15</f>
        <v>70</v>
      </c>
      <c r="O26" s="355">
        <f t="shared" si="0"/>
        <v>77</v>
      </c>
      <c r="P26" s="242">
        <f t="shared" si="1"/>
        <v>83.970588235294116</v>
      </c>
      <c r="Q26" s="277">
        <f t="shared" si="2"/>
        <v>83.970588235294116</v>
      </c>
      <c r="R26" s="278">
        <f t="shared" si="3"/>
        <v>77</v>
      </c>
      <c r="S26" s="278">
        <f t="shared" si="4"/>
        <v>70</v>
      </c>
      <c r="T26" s="559" t="str">
        <f>'set-kkm'!G15</f>
        <v>السيرة</v>
      </c>
      <c r="U26" s="559"/>
      <c r="V26" s="559"/>
      <c r="W26" s="559"/>
      <c r="X26" s="559"/>
      <c r="Y26" s="241">
        <v>10</v>
      </c>
      <c r="Z26" s="350"/>
      <c r="AA26" s="338">
        <f>VLOOKUP(patokans2,nilpels2,12,FALSE)</f>
        <v>77</v>
      </c>
      <c r="AB26" s="301">
        <f>IF(AA26&lt;70,"70",AA26)</f>
        <v>77</v>
      </c>
      <c r="AD26" s="309">
        <f>'nilpel-s2'!AY49</f>
        <v>83.970588235294116</v>
      </c>
    </row>
    <row r="27" spans="6:30" s="38" customFormat="1" ht="16.399999999999999" customHeight="1" x14ac:dyDescent="0.35">
      <c r="F27" s="557">
        <v>11</v>
      </c>
      <c r="G27" s="557"/>
      <c r="H27" s="558" t="str">
        <f>'set-kkm'!F16</f>
        <v>Praktek Ibadah dan Bahasa Arab</v>
      </c>
      <c r="I27" s="558"/>
      <c r="J27" s="558"/>
      <c r="K27" s="558"/>
      <c r="L27" s="558"/>
      <c r="M27" s="558"/>
      <c r="N27" s="355">
        <f>'set-kkm'!H16</f>
        <v>70</v>
      </c>
      <c r="O27" s="355">
        <f t="shared" si="0"/>
        <v>85</v>
      </c>
      <c r="P27" s="242">
        <f t="shared" si="1"/>
        <v>82.5</v>
      </c>
      <c r="Q27" s="277">
        <f>P27</f>
        <v>82.5</v>
      </c>
      <c r="R27" s="278">
        <f t="shared" ref="R27" si="6">O27</f>
        <v>85</v>
      </c>
      <c r="S27" s="278">
        <f t="shared" ref="S27" si="7">N27</f>
        <v>70</v>
      </c>
      <c r="T27" s="559" t="str">
        <f>'set-kkm'!G16</f>
        <v>عملية العبادة و العربية</v>
      </c>
      <c r="U27" s="559"/>
      <c r="V27" s="559"/>
      <c r="W27" s="559"/>
      <c r="X27" s="559"/>
      <c r="Y27" s="241">
        <v>10</v>
      </c>
      <c r="Z27" s="350"/>
      <c r="AA27" s="338">
        <f>VLOOKUP(patokans2,nilpels2,13,FALSE)</f>
        <v>85</v>
      </c>
      <c r="AB27" s="301">
        <f t="shared" si="5"/>
        <v>85</v>
      </c>
      <c r="AD27" s="309">
        <f>'nilpel-s2'!AZ49</f>
        <v>82.5</v>
      </c>
    </row>
    <row r="28" spans="6:30" s="38" customFormat="1" ht="16.399999999999999" customHeight="1" x14ac:dyDescent="0.35">
      <c r="F28" s="361"/>
      <c r="G28" s="361"/>
      <c r="H28" s="554" t="s">
        <v>2425</v>
      </c>
      <c r="I28" s="554"/>
      <c r="J28" s="554"/>
      <c r="K28" s="554"/>
      <c r="L28" s="554"/>
      <c r="M28" s="554"/>
      <c r="N28" s="554"/>
      <c r="O28" s="554"/>
      <c r="P28" s="554"/>
      <c r="Q28" s="555" t="s">
        <v>2426</v>
      </c>
      <c r="R28" s="556"/>
      <c r="S28" s="556"/>
      <c r="T28" s="556"/>
      <c r="U28" s="556"/>
      <c r="V28" s="556"/>
      <c r="W28" s="556"/>
      <c r="X28" s="556"/>
      <c r="Y28" s="363"/>
      <c r="Z28" s="350"/>
      <c r="AA28" s="351"/>
      <c r="AB28" s="302"/>
    </row>
    <row r="29" spans="6:30" s="38" customFormat="1" ht="16.399999999999999" customHeight="1" x14ac:dyDescent="0.35">
      <c r="F29" s="557">
        <v>12</v>
      </c>
      <c r="G29" s="557"/>
      <c r="H29" s="558" t="str">
        <f>'set-kkm'!F18</f>
        <v>Bahasa Indonesia</v>
      </c>
      <c r="I29" s="558"/>
      <c r="J29" s="558"/>
      <c r="K29" s="558"/>
      <c r="L29" s="558"/>
      <c r="M29" s="558"/>
      <c r="N29" s="355">
        <f>'set-kkm'!H18</f>
        <v>70</v>
      </c>
      <c r="O29" s="355">
        <f t="shared" si="0"/>
        <v>70</v>
      </c>
      <c r="P29" s="242">
        <f t="shared" ref="P29:P34" si="8">AD29</f>
        <v>81.515151515151516</v>
      </c>
      <c r="Q29" s="277">
        <f t="shared" ref="Q29:Q34" si="9">P29</f>
        <v>81.515151515151516</v>
      </c>
      <c r="R29" s="278">
        <f t="shared" ref="R29:R34" si="10">O29</f>
        <v>70</v>
      </c>
      <c r="S29" s="278">
        <f t="shared" ref="S29:S34" si="11">N29</f>
        <v>70</v>
      </c>
      <c r="T29" s="559" t="str">
        <f>'set-kkm'!G18</f>
        <v>اللغة الإندونيسية</v>
      </c>
      <c r="U29" s="559"/>
      <c r="V29" s="559"/>
      <c r="W29" s="559"/>
      <c r="X29" s="559"/>
      <c r="Y29" s="241">
        <v>11</v>
      </c>
      <c r="Z29" s="350"/>
      <c r="AA29" s="338">
        <f>VLOOKUP(patokans2,nilpels2,14,FALSE)</f>
        <v>70</v>
      </c>
      <c r="AB29" s="301">
        <f t="shared" si="5"/>
        <v>70</v>
      </c>
      <c r="AD29" s="309">
        <f>'nilpel-s2'!BA49</f>
        <v>81.515151515151516</v>
      </c>
    </row>
    <row r="30" spans="6:30" s="38" customFormat="1" ht="16.399999999999999" customHeight="1" x14ac:dyDescent="0.35">
      <c r="F30" s="557">
        <v>13</v>
      </c>
      <c r="G30" s="557"/>
      <c r="H30" s="558" t="str">
        <f>'set-kkm'!F19</f>
        <v>Bahasa Inggris</v>
      </c>
      <c r="I30" s="558"/>
      <c r="J30" s="558"/>
      <c r="K30" s="558"/>
      <c r="L30" s="558"/>
      <c r="M30" s="558"/>
      <c r="N30" s="355">
        <f>'set-kkm'!H19</f>
        <v>70</v>
      </c>
      <c r="O30" s="355">
        <f t="shared" si="0"/>
        <v>70</v>
      </c>
      <c r="P30" s="242">
        <f t="shared" si="8"/>
        <v>80.852941176470594</v>
      </c>
      <c r="Q30" s="277">
        <f t="shared" si="9"/>
        <v>80.852941176470594</v>
      </c>
      <c r="R30" s="278">
        <f t="shared" si="10"/>
        <v>70</v>
      </c>
      <c r="S30" s="278">
        <f t="shared" si="11"/>
        <v>70</v>
      </c>
      <c r="T30" s="559" t="str">
        <f>'set-kkm'!G19</f>
        <v>اللغة الإنجليزية</v>
      </c>
      <c r="U30" s="559"/>
      <c r="V30" s="559"/>
      <c r="W30" s="559"/>
      <c r="X30" s="559"/>
      <c r="Y30" s="241">
        <v>12</v>
      </c>
      <c r="Z30" s="350"/>
      <c r="AA30" s="338">
        <f>VLOOKUP(patokans2,nilpels2,15,FALSE)</f>
        <v>70</v>
      </c>
      <c r="AB30" s="301">
        <f t="shared" si="5"/>
        <v>70</v>
      </c>
      <c r="AD30" s="309">
        <f>'nilpel-s2'!BB49</f>
        <v>80.852941176470594</v>
      </c>
    </row>
    <row r="31" spans="6:30" s="38" customFormat="1" ht="16.399999999999999" customHeight="1" x14ac:dyDescent="0.35">
      <c r="F31" s="557">
        <v>14</v>
      </c>
      <c r="G31" s="557"/>
      <c r="H31" s="558" t="str">
        <f>'set-kkm'!F20</f>
        <v>Matematika</v>
      </c>
      <c r="I31" s="558"/>
      <c r="J31" s="558"/>
      <c r="K31" s="558"/>
      <c r="L31" s="558"/>
      <c r="M31" s="558"/>
      <c r="N31" s="355">
        <f>'set-kkm'!H20</f>
        <v>70</v>
      </c>
      <c r="O31" s="355">
        <f t="shared" si="0"/>
        <v>96</v>
      </c>
      <c r="P31" s="242">
        <f t="shared" si="8"/>
        <v>84.029411764705884</v>
      </c>
      <c r="Q31" s="277">
        <f t="shared" si="9"/>
        <v>84.029411764705884</v>
      </c>
      <c r="R31" s="278">
        <f t="shared" si="10"/>
        <v>96</v>
      </c>
      <c r="S31" s="278">
        <f t="shared" si="11"/>
        <v>70</v>
      </c>
      <c r="T31" s="559" t="str">
        <f>'set-kkm'!G20</f>
        <v>الرياضية</v>
      </c>
      <c r="U31" s="559"/>
      <c r="V31" s="559"/>
      <c r="W31" s="559"/>
      <c r="X31" s="559"/>
      <c r="Y31" s="241">
        <v>13</v>
      </c>
      <c r="Z31" s="350"/>
      <c r="AA31" s="338">
        <f>VLOOKUP(patokans2,nilpels2,16,FALSE)</f>
        <v>96</v>
      </c>
      <c r="AB31" s="301">
        <f t="shared" si="5"/>
        <v>96</v>
      </c>
      <c r="AD31" s="309">
        <f>'nilpel-s2'!BC49</f>
        <v>84.029411764705884</v>
      </c>
    </row>
    <row r="32" spans="6:30" s="38" customFormat="1" ht="16.399999999999999" customHeight="1" x14ac:dyDescent="0.35">
      <c r="F32" s="557">
        <v>15</v>
      </c>
      <c r="G32" s="557"/>
      <c r="H32" s="558" t="str">
        <f>'set-kkm'!F21</f>
        <v>Ilmu Pengetahuan Alam</v>
      </c>
      <c r="I32" s="558"/>
      <c r="J32" s="558"/>
      <c r="K32" s="558"/>
      <c r="L32" s="558"/>
      <c r="M32" s="558"/>
      <c r="N32" s="355">
        <f>'set-kkm'!H21</f>
        <v>70</v>
      </c>
      <c r="O32" s="355">
        <f t="shared" si="0"/>
        <v>70</v>
      </c>
      <c r="P32" s="242">
        <f t="shared" si="8"/>
        <v>80</v>
      </c>
      <c r="Q32" s="277">
        <f t="shared" si="9"/>
        <v>80</v>
      </c>
      <c r="R32" s="278">
        <f t="shared" si="10"/>
        <v>70</v>
      </c>
      <c r="S32" s="278">
        <f t="shared" si="11"/>
        <v>70</v>
      </c>
      <c r="T32" s="559" t="str">
        <f>'set-kkm'!G21</f>
        <v>العلوم الطبيعية</v>
      </c>
      <c r="U32" s="559"/>
      <c r="V32" s="559"/>
      <c r="W32" s="559"/>
      <c r="X32" s="559"/>
      <c r="Y32" s="241">
        <v>14</v>
      </c>
      <c r="Z32" s="350"/>
      <c r="AA32" s="338">
        <f>VLOOKUP(patokans2,nilpels2,17,FALSE)</f>
        <v>55</v>
      </c>
      <c r="AB32" s="301" t="str">
        <f t="shared" si="5"/>
        <v>70</v>
      </c>
      <c r="AD32" s="309">
        <f>'nilpel-s2'!BD49</f>
        <v>80</v>
      </c>
    </row>
    <row r="33" spans="6:30" s="38" customFormat="1" ht="16.399999999999999" customHeight="1" x14ac:dyDescent="0.35">
      <c r="F33" s="557">
        <v>16</v>
      </c>
      <c r="G33" s="557"/>
      <c r="H33" s="558" t="str">
        <f>'set-kkm'!F22</f>
        <v>Ilmu Pengetahuan Sosial</v>
      </c>
      <c r="I33" s="558"/>
      <c r="J33" s="558"/>
      <c r="K33" s="558"/>
      <c r="L33" s="558"/>
      <c r="M33" s="558"/>
      <c r="N33" s="355">
        <f>'set-kkm'!H22</f>
        <v>70</v>
      </c>
      <c r="O33" s="355">
        <f t="shared" si="0"/>
        <v>70</v>
      </c>
      <c r="P33" s="242">
        <f t="shared" si="8"/>
        <v>80.82352941176471</v>
      </c>
      <c r="Q33" s="277">
        <f t="shared" si="9"/>
        <v>80.82352941176471</v>
      </c>
      <c r="R33" s="278">
        <f t="shared" si="10"/>
        <v>70</v>
      </c>
      <c r="S33" s="278">
        <f t="shared" si="11"/>
        <v>70</v>
      </c>
      <c r="T33" s="559" t="str">
        <f>'set-kkm'!G22</f>
        <v>العلوم الإجتماعية</v>
      </c>
      <c r="U33" s="559"/>
      <c r="V33" s="559"/>
      <c r="W33" s="559"/>
      <c r="X33" s="559"/>
      <c r="Y33" s="241">
        <v>15</v>
      </c>
      <c r="Z33" s="350"/>
      <c r="AA33" s="338">
        <f>VLOOKUP(patokans2,nilpels2,18,FALSE)</f>
        <v>50</v>
      </c>
      <c r="AB33" s="301" t="str">
        <f t="shared" si="5"/>
        <v>70</v>
      </c>
      <c r="AD33" s="309">
        <f>'nilpel-s2'!BE49</f>
        <v>80.82352941176471</v>
      </c>
    </row>
    <row r="34" spans="6:30" s="38" customFormat="1" ht="16.399999999999999" customHeight="1" x14ac:dyDescent="0.35">
      <c r="F34" s="557">
        <v>17</v>
      </c>
      <c r="G34" s="557"/>
      <c r="H34" s="558" t="str">
        <f>'set-kkm'!F23</f>
        <v>Komputer</v>
      </c>
      <c r="I34" s="558"/>
      <c r="J34" s="558"/>
      <c r="K34" s="558"/>
      <c r="L34" s="558"/>
      <c r="M34" s="558"/>
      <c r="N34" s="355">
        <f>'set-kkm'!H23</f>
        <v>70</v>
      </c>
      <c r="O34" s="355">
        <f t="shared" si="0"/>
        <v>70</v>
      </c>
      <c r="P34" s="242">
        <f t="shared" si="8"/>
        <v>84.117647058823536</v>
      </c>
      <c r="Q34" s="277">
        <f t="shared" si="9"/>
        <v>84.117647058823536</v>
      </c>
      <c r="R34" s="278">
        <f t="shared" si="10"/>
        <v>70</v>
      </c>
      <c r="S34" s="278">
        <f t="shared" si="11"/>
        <v>70</v>
      </c>
      <c r="T34" s="559" t="str">
        <f>'set-kkm'!G23</f>
        <v>الحاسب الآلي</v>
      </c>
      <c r="U34" s="559"/>
      <c r="V34" s="559"/>
      <c r="W34" s="559"/>
      <c r="X34" s="559"/>
      <c r="Y34" s="241">
        <v>16</v>
      </c>
      <c r="Z34" s="350"/>
      <c r="AA34" s="338">
        <f>VLOOKUP(patokans2,nilpels2,19,FALSE)</f>
        <v>70</v>
      </c>
      <c r="AB34" s="301">
        <f t="shared" si="5"/>
        <v>70</v>
      </c>
      <c r="AD34" s="309">
        <f>'nilpel-s2'!BF49</f>
        <v>84.117647058823536</v>
      </c>
    </row>
    <row r="35" spans="6:30" s="38" customFormat="1" ht="16.399999999999999" customHeight="1" x14ac:dyDescent="0.35">
      <c r="F35" s="564" t="s">
        <v>151</v>
      </c>
      <c r="G35" s="564"/>
      <c r="H35" s="564"/>
      <c r="I35" s="564"/>
      <c r="J35" s="564"/>
      <c r="K35" s="564"/>
      <c r="L35" s="564"/>
      <c r="M35" s="564"/>
      <c r="N35" s="570">
        <f>SUM(O17:O27,O29:O34)</f>
        <v>1364</v>
      </c>
      <c r="O35" s="570"/>
      <c r="P35" s="570"/>
      <c r="Q35" s="571">
        <f>N35</f>
        <v>1364</v>
      </c>
      <c r="R35" s="571"/>
      <c r="S35" s="571"/>
      <c r="T35" s="570" t="s">
        <v>2427</v>
      </c>
      <c r="U35" s="570"/>
      <c r="V35" s="570"/>
      <c r="W35" s="570"/>
      <c r="X35" s="570"/>
      <c r="Y35" s="570"/>
      <c r="Z35" s="350"/>
      <c r="AA35" s="348">
        <f>VLOOKUP(patokans2,nilpels2,20,FALSE)</f>
        <v>1329</v>
      </c>
      <c r="AB35" s="301"/>
    </row>
    <row r="36" spans="6:30" s="38" customFormat="1" ht="16.399999999999999" customHeight="1" x14ac:dyDescent="0.35">
      <c r="F36" s="564" t="s">
        <v>152</v>
      </c>
      <c r="G36" s="564"/>
      <c r="H36" s="564"/>
      <c r="I36" s="564"/>
      <c r="J36" s="564"/>
      <c r="K36" s="564"/>
      <c r="L36" s="564"/>
      <c r="M36" s="564"/>
      <c r="N36" s="572">
        <f>AVERAGE(O17:O27,O29:O34)</f>
        <v>80.235294117647058</v>
      </c>
      <c r="O36" s="572"/>
      <c r="P36" s="572"/>
      <c r="Q36" s="573">
        <f>N36</f>
        <v>80.235294117647058</v>
      </c>
      <c r="R36" s="573"/>
      <c r="S36" s="573"/>
      <c r="T36" s="570" t="s">
        <v>2417</v>
      </c>
      <c r="U36" s="570"/>
      <c r="V36" s="570"/>
      <c r="W36" s="570"/>
      <c r="X36" s="570"/>
      <c r="Y36" s="570"/>
      <c r="Z36" s="350"/>
      <c r="AA36" s="349">
        <f>VLOOKUP(patokans2,nilpels2,21,FALSE)</f>
        <v>78.17647058823529</v>
      </c>
      <c r="AB36" s="301"/>
    </row>
    <row r="37" spans="6:30" s="38" customFormat="1" ht="16.399999999999999" customHeight="1" x14ac:dyDescent="0.35">
      <c r="F37" s="564" t="s">
        <v>2428</v>
      </c>
      <c r="G37" s="564"/>
      <c r="H37" s="564"/>
      <c r="I37" s="564"/>
      <c r="J37" s="564"/>
      <c r="K37" s="564"/>
      <c r="L37" s="564"/>
      <c r="M37" s="564"/>
      <c r="N37" s="570">
        <f>40-COUNTBLANK(jlmsis)</f>
        <v>36</v>
      </c>
      <c r="O37" s="570"/>
      <c r="P37" s="570"/>
      <c r="Q37" s="571">
        <f t="shared" ref="Q37" si="12">N37</f>
        <v>36</v>
      </c>
      <c r="R37" s="571"/>
      <c r="S37" s="571"/>
      <c r="T37" s="570" t="s">
        <v>2429</v>
      </c>
      <c r="U37" s="570"/>
      <c r="V37" s="570"/>
      <c r="W37" s="570"/>
      <c r="X37" s="570"/>
      <c r="Y37" s="570"/>
      <c r="Z37" s="350"/>
      <c r="AA37" s="297"/>
      <c r="AB37" s="27"/>
    </row>
    <row r="38" spans="6:30" s="38" customFormat="1" ht="16.399999999999999" customHeight="1" x14ac:dyDescent="0.35">
      <c r="F38" s="361"/>
      <c r="G38" s="361"/>
      <c r="H38" s="554" t="s">
        <v>2436</v>
      </c>
      <c r="I38" s="554"/>
      <c r="J38" s="554"/>
      <c r="K38" s="554"/>
      <c r="L38" s="554"/>
      <c r="M38" s="554"/>
      <c r="N38" s="554"/>
      <c r="O38" s="554"/>
      <c r="P38" s="554"/>
      <c r="Q38" s="555" t="s">
        <v>2430</v>
      </c>
      <c r="R38" s="556"/>
      <c r="S38" s="556"/>
      <c r="T38" s="556"/>
      <c r="U38" s="556"/>
      <c r="V38" s="556"/>
      <c r="W38" s="556"/>
      <c r="X38" s="556"/>
      <c r="Y38" s="363"/>
      <c r="Z38" s="350"/>
      <c r="AA38" s="297"/>
      <c r="AB38" s="27"/>
    </row>
    <row r="39" spans="6:30" s="38" customFormat="1" ht="16.399999999999999" customHeight="1" x14ac:dyDescent="0.35">
      <c r="F39" s="576" t="s">
        <v>2465</v>
      </c>
      <c r="G39" s="576"/>
      <c r="H39" s="576"/>
      <c r="I39" s="576"/>
      <c r="J39" s="576"/>
      <c r="K39" s="576"/>
      <c r="L39" s="577" t="s">
        <v>2444</v>
      </c>
      <c r="M39" s="577"/>
      <c r="N39" s="577"/>
      <c r="O39" s="577"/>
      <c r="P39" s="577"/>
      <c r="Q39" s="354" t="s">
        <v>2435</v>
      </c>
      <c r="R39" s="574" t="s">
        <v>2441</v>
      </c>
      <c r="S39" s="574"/>
      <c r="T39" s="574"/>
      <c r="U39" s="574"/>
      <c r="V39" s="574"/>
      <c r="W39" s="574"/>
      <c r="X39" s="574"/>
      <c r="Y39" s="574"/>
      <c r="Z39" s="350"/>
      <c r="AA39" s="297"/>
      <c r="AB39" s="27"/>
    </row>
    <row r="40" spans="6:30" s="38" customFormat="1" ht="16.399999999999999" customHeight="1" x14ac:dyDescent="0.35">
      <c r="F40" s="578" t="str">
        <f>IF(AA40=0,"-",AA40)</f>
        <v>-</v>
      </c>
      <c r="G40" s="578"/>
      <c r="H40" s="578"/>
      <c r="I40" s="578"/>
      <c r="J40" s="578"/>
      <c r="K40" s="578"/>
      <c r="L40" s="575" t="s">
        <v>158</v>
      </c>
      <c r="M40" s="575"/>
      <c r="N40" s="575"/>
      <c r="O40" s="570" t="s">
        <v>2432</v>
      </c>
      <c r="P40" s="570"/>
      <c r="Q40" s="353" t="str">
        <f>VLOOKUP(patokans2,walikls2,6,FALSE)</f>
        <v>A</v>
      </c>
      <c r="R40" s="575" t="s">
        <v>2454</v>
      </c>
      <c r="S40" s="575"/>
      <c r="T40" s="575"/>
      <c r="U40" s="575"/>
      <c r="V40" s="575"/>
      <c r="W40" s="570" t="s">
        <v>2455</v>
      </c>
      <c r="X40" s="570"/>
      <c r="Y40" s="570"/>
      <c r="Z40" s="350"/>
      <c r="AA40" s="297">
        <f>VLOOKUP(patokans2,walikls2,3,FALSE)</f>
        <v>0</v>
      </c>
      <c r="AB40" s="27"/>
    </row>
    <row r="41" spans="6:30" s="38" customFormat="1" ht="16.399999999999999" customHeight="1" x14ac:dyDescent="0.35">
      <c r="F41" s="578" t="str">
        <f t="shared" ref="F41:F42" si="13">IF(AA41=0,"-",AA41)</f>
        <v>-</v>
      </c>
      <c r="G41" s="578"/>
      <c r="H41" s="578"/>
      <c r="I41" s="578"/>
      <c r="J41" s="578"/>
      <c r="K41" s="578"/>
      <c r="L41" s="575" t="s">
        <v>157</v>
      </c>
      <c r="M41" s="575"/>
      <c r="N41" s="575"/>
      <c r="O41" s="570" t="s">
        <v>2433</v>
      </c>
      <c r="P41" s="570"/>
      <c r="Q41" s="353" t="str">
        <f>VLOOKUP(patokans2,walikls2,7,FALSE)</f>
        <v>A</v>
      </c>
      <c r="R41" s="575" t="s">
        <v>156</v>
      </c>
      <c r="S41" s="575"/>
      <c r="T41" s="575"/>
      <c r="U41" s="575"/>
      <c r="V41" s="575"/>
      <c r="W41" s="570" t="s">
        <v>2453</v>
      </c>
      <c r="X41" s="570"/>
      <c r="Y41" s="570"/>
      <c r="Z41" s="350"/>
      <c r="AA41" s="297">
        <f>VLOOKUP(patokans2,walikls2,4,FALSE)</f>
        <v>0</v>
      </c>
      <c r="AB41" s="27"/>
    </row>
    <row r="42" spans="6:30" s="38" customFormat="1" ht="16.399999999999999" customHeight="1" x14ac:dyDescent="0.35">
      <c r="F42" s="578" t="str">
        <f t="shared" si="13"/>
        <v>-</v>
      </c>
      <c r="G42" s="578"/>
      <c r="H42" s="578"/>
      <c r="I42" s="578"/>
      <c r="J42" s="578"/>
      <c r="K42" s="578"/>
      <c r="L42" s="575" t="s">
        <v>277</v>
      </c>
      <c r="M42" s="575"/>
      <c r="N42" s="575"/>
      <c r="O42" s="570" t="s">
        <v>2434</v>
      </c>
      <c r="P42" s="570"/>
      <c r="Q42" s="353" t="str">
        <f>VLOOKUP(patokans2,walikls2,8,FALSE)</f>
        <v>B</v>
      </c>
      <c r="R42" s="575" t="s">
        <v>276</v>
      </c>
      <c r="S42" s="575"/>
      <c r="T42" s="575"/>
      <c r="U42" s="575"/>
      <c r="V42" s="575"/>
      <c r="W42" s="570" t="s">
        <v>2431</v>
      </c>
      <c r="X42" s="570"/>
      <c r="Y42" s="570"/>
      <c r="Z42" s="350"/>
      <c r="AA42" s="297">
        <f>VLOOKUP(patokans2,walikls2,5,FALSE)</f>
        <v>0</v>
      </c>
      <c r="AB42" s="27"/>
    </row>
    <row r="43" spans="6:30" s="38" customFormat="1" ht="16.399999999999999" customHeight="1" x14ac:dyDescent="0.35">
      <c r="F43" s="576" t="s">
        <v>2435</v>
      </c>
      <c r="G43" s="576"/>
      <c r="H43" s="576"/>
      <c r="I43" s="574" t="s">
        <v>2443</v>
      </c>
      <c r="J43" s="574"/>
      <c r="K43" s="574"/>
      <c r="L43" s="574"/>
      <c r="M43" s="574"/>
      <c r="N43" s="574"/>
      <c r="O43" s="574"/>
      <c r="P43" s="574"/>
      <c r="Q43" s="354" t="s">
        <v>2435</v>
      </c>
      <c r="R43" s="574" t="s">
        <v>2442</v>
      </c>
      <c r="S43" s="574"/>
      <c r="T43" s="574"/>
      <c r="U43" s="574"/>
      <c r="V43" s="574"/>
      <c r="W43" s="574"/>
      <c r="X43" s="574"/>
      <c r="Y43" s="574"/>
      <c r="Z43" s="350"/>
      <c r="AA43" s="297"/>
      <c r="AB43" s="27"/>
    </row>
    <row r="44" spans="6:30" s="38" customFormat="1" ht="16.399999999999999" customHeight="1" x14ac:dyDescent="0.35">
      <c r="F44" s="579" t="str">
        <f>IF(AA44=0,"-",AA44)</f>
        <v>B</v>
      </c>
      <c r="G44" s="579"/>
      <c r="H44" s="579"/>
      <c r="I44" s="575" t="str">
        <f>IF(AB44=0,"-",AB44)</f>
        <v>Silat</v>
      </c>
      <c r="J44" s="575"/>
      <c r="K44" s="575"/>
      <c r="L44" s="575"/>
      <c r="M44" s="575"/>
      <c r="N44" s="575"/>
      <c r="O44" s="575"/>
      <c r="P44" s="575"/>
      <c r="Q44" s="353" t="str">
        <f>VLOOKUP(patokans2,walikls2,33,FALSE)</f>
        <v>B</v>
      </c>
      <c r="R44" s="575" t="s">
        <v>245</v>
      </c>
      <c r="S44" s="575"/>
      <c r="T44" s="575"/>
      <c r="U44" s="575"/>
      <c r="V44" s="575"/>
      <c r="W44" s="570" t="s">
        <v>2438</v>
      </c>
      <c r="X44" s="570"/>
      <c r="Y44" s="570"/>
      <c r="Z44" s="350"/>
      <c r="AA44" s="297" t="str">
        <f>VLOOKUP(patokans2,walikls2,25,FALSE)</f>
        <v>B</v>
      </c>
      <c r="AB44" s="317" t="str">
        <f>VLOOKUP(patokans2,walikls2,24,FALSE)</f>
        <v>Silat</v>
      </c>
    </row>
    <row r="45" spans="6:30" s="38" customFormat="1" ht="16.399999999999999" customHeight="1" x14ac:dyDescent="0.35">
      <c r="F45" s="579" t="str">
        <f>IF(AA45=0,"-",AA45)</f>
        <v>B</v>
      </c>
      <c r="G45" s="579"/>
      <c r="H45" s="579"/>
      <c r="I45" s="575" t="str">
        <f>IF(AB45=0,"-",AB45)</f>
        <v>Tibbun</v>
      </c>
      <c r="J45" s="575"/>
      <c r="K45" s="575"/>
      <c r="L45" s="575"/>
      <c r="M45" s="575"/>
      <c r="N45" s="575"/>
      <c r="O45" s="575"/>
      <c r="P45" s="575"/>
      <c r="Q45" s="353" t="str">
        <f>VLOOKUP(patokans2,walikls2,34,FALSE)</f>
        <v>C</v>
      </c>
      <c r="R45" s="575" t="s">
        <v>246</v>
      </c>
      <c r="S45" s="575"/>
      <c r="T45" s="575"/>
      <c r="U45" s="575"/>
      <c r="V45" s="575"/>
      <c r="W45" s="570" t="s">
        <v>2468</v>
      </c>
      <c r="X45" s="570"/>
      <c r="Y45" s="570"/>
      <c r="Z45" s="350"/>
      <c r="AA45" s="297" t="str">
        <f>VLOOKUP(patokans2,walikls2,28,FALSE)</f>
        <v>B</v>
      </c>
      <c r="AB45" s="317" t="str">
        <f>VLOOKUP(patokans2,walikls2,27,FALSE)</f>
        <v>Tibbun</v>
      </c>
    </row>
    <row r="46" spans="6:30" s="38" customFormat="1" ht="16.399999999999999" customHeight="1" x14ac:dyDescent="0.35">
      <c r="F46" s="584"/>
      <c r="G46" s="584"/>
      <c r="H46" s="554" t="s">
        <v>2456</v>
      </c>
      <c r="I46" s="554"/>
      <c r="J46" s="554"/>
      <c r="K46" s="554"/>
      <c r="L46" s="554"/>
      <c r="M46" s="554"/>
      <c r="N46" s="554"/>
      <c r="O46" s="554"/>
      <c r="P46" s="554"/>
      <c r="Q46" s="582" t="s">
        <v>2457</v>
      </c>
      <c r="R46" s="582"/>
      <c r="S46" s="582"/>
      <c r="T46" s="582"/>
      <c r="U46" s="582"/>
      <c r="V46" s="582"/>
      <c r="W46" s="582"/>
      <c r="X46" s="582"/>
      <c r="Y46" s="582"/>
      <c r="Z46" s="350"/>
      <c r="AA46" s="297"/>
      <c r="AB46" s="27"/>
    </row>
    <row r="47" spans="6:30" ht="30.75" customHeight="1" x14ac:dyDescent="0.35">
      <c r="F47" s="515" t="str">
        <f>VLOOKUP(patokans2,walikls2,9,FALSE)</f>
        <v>Alhamdulillah, Semoga ilmu yang dipelajari bermanfaat dan terus istiqomah dalam mengamalkan ilmu</v>
      </c>
      <c r="G47" s="515"/>
      <c r="H47" s="515"/>
      <c r="I47" s="515"/>
      <c r="J47" s="515"/>
      <c r="K47" s="515"/>
      <c r="L47" s="515"/>
      <c r="M47" s="515"/>
      <c r="N47" s="515"/>
      <c r="O47" s="515"/>
      <c r="P47" s="515"/>
      <c r="Q47" s="483" t="s">
        <v>2458</v>
      </c>
      <c r="R47" s="583"/>
      <c r="S47" s="583"/>
      <c r="T47" s="583"/>
      <c r="U47" s="583"/>
      <c r="V47" s="583"/>
      <c r="W47" s="583"/>
      <c r="X47" s="583"/>
      <c r="Y47" s="583"/>
      <c r="Z47" s="37"/>
    </row>
    <row r="48" spans="6:30" ht="30.75" customHeight="1" x14ac:dyDescent="0.35">
      <c r="F48" s="515"/>
      <c r="G48" s="515"/>
      <c r="H48" s="515"/>
      <c r="I48" s="515"/>
      <c r="J48" s="515"/>
      <c r="K48" s="515"/>
      <c r="L48" s="515"/>
      <c r="M48" s="515"/>
      <c r="N48" s="515"/>
      <c r="O48" s="515"/>
      <c r="P48" s="515"/>
      <c r="Q48" s="583"/>
      <c r="R48" s="583"/>
      <c r="S48" s="583"/>
      <c r="T48" s="583"/>
      <c r="U48" s="583"/>
      <c r="V48" s="583"/>
      <c r="W48" s="583"/>
      <c r="X48" s="583"/>
      <c r="Y48" s="583"/>
      <c r="Z48" s="37"/>
    </row>
    <row r="49" spans="6:30" ht="6.75" customHeight="1" x14ac:dyDescent="0.35">
      <c r="F49" s="344"/>
      <c r="G49" s="344"/>
      <c r="H49" s="344"/>
      <c r="I49" s="344"/>
      <c r="J49" s="344"/>
      <c r="K49" s="344"/>
      <c r="L49" s="344"/>
      <c r="M49" s="344"/>
      <c r="N49" s="344"/>
      <c r="O49" s="344"/>
      <c r="P49" s="344"/>
      <c r="Q49" s="344"/>
      <c r="R49" s="344"/>
      <c r="S49" s="344"/>
      <c r="T49" s="344"/>
      <c r="U49" s="344"/>
      <c r="V49" s="344"/>
      <c r="W49" s="344"/>
      <c r="X49" s="344"/>
      <c r="Y49" s="344"/>
      <c r="Z49" s="37"/>
    </row>
    <row r="50" spans="6:30" ht="14.15" customHeight="1" x14ac:dyDescent="0.35">
      <c r="F50" s="581" t="s">
        <v>162</v>
      </c>
      <c r="G50" s="581"/>
      <c r="H50" s="581"/>
      <c r="I50" s="581"/>
      <c r="J50" s="581"/>
      <c r="K50" s="581"/>
      <c r="L50" s="581"/>
      <c r="M50" s="581"/>
      <c r="N50" s="345"/>
      <c r="O50" s="345"/>
      <c r="P50" s="345"/>
      <c r="Q50" s="345"/>
      <c r="R50" s="345"/>
      <c r="S50" s="580" t="str">
        <f>'set-dakol'!M24</f>
        <v>Brebes, 25 Juni 2023</v>
      </c>
      <c r="T50" s="580"/>
      <c r="U50" s="580"/>
      <c r="V50" s="580"/>
      <c r="W50" s="580"/>
      <c r="X50" s="580"/>
      <c r="Y50" s="580"/>
      <c r="Z50" s="37"/>
    </row>
    <row r="51" spans="6:30" ht="14.15" customHeight="1" x14ac:dyDescent="0.35">
      <c r="F51" s="581" t="s">
        <v>107</v>
      </c>
      <c r="G51" s="581"/>
      <c r="H51" s="581"/>
      <c r="I51" s="581"/>
      <c r="J51" s="581"/>
      <c r="K51" s="581"/>
      <c r="L51" s="581"/>
      <c r="M51" s="581"/>
      <c r="N51" s="581" t="s">
        <v>161</v>
      </c>
      <c r="O51" s="581"/>
      <c r="P51" s="581"/>
      <c r="Q51" s="581"/>
      <c r="R51" s="581"/>
      <c r="S51" s="580" t="s">
        <v>2459</v>
      </c>
      <c r="T51" s="580"/>
      <c r="U51" s="580"/>
      <c r="V51" s="580"/>
      <c r="W51" s="580"/>
      <c r="X51" s="580"/>
      <c r="Y51" s="580"/>
    </row>
    <row r="52" spans="6:30" ht="14.15" customHeight="1" x14ac:dyDescent="0.35">
      <c r="F52" s="346"/>
      <c r="G52" s="346"/>
      <c r="H52" s="346"/>
      <c r="I52" s="346"/>
      <c r="J52" s="346"/>
      <c r="K52" s="346"/>
      <c r="L52" s="346"/>
      <c r="M52" s="346"/>
      <c r="N52" s="346"/>
      <c r="O52" s="346"/>
      <c r="P52" s="347"/>
      <c r="Q52" s="346"/>
      <c r="R52" s="346"/>
      <c r="S52" s="358"/>
      <c r="T52" s="358"/>
      <c r="U52" s="358"/>
      <c r="V52" s="358"/>
      <c r="W52" s="358"/>
      <c r="X52" s="358"/>
      <c r="Y52" s="358"/>
    </row>
    <row r="53" spans="6:30" ht="14.15" customHeight="1" x14ac:dyDescent="0.35">
      <c r="F53" s="345"/>
      <c r="G53" s="345"/>
      <c r="H53" s="345"/>
      <c r="I53" s="345"/>
      <c r="J53" s="345"/>
      <c r="K53" s="345"/>
      <c r="L53" s="345"/>
      <c r="M53" s="345"/>
      <c r="N53" s="346"/>
      <c r="O53" s="346"/>
      <c r="P53" s="347"/>
      <c r="Q53" s="346"/>
      <c r="R53" s="346"/>
      <c r="S53" s="359"/>
      <c r="T53" s="358"/>
      <c r="U53" s="359"/>
      <c r="V53" s="359"/>
      <c r="W53" s="359"/>
      <c r="X53" s="359"/>
      <c r="Y53" s="359"/>
    </row>
    <row r="54" spans="6:30" ht="14.15" customHeight="1" x14ac:dyDescent="0.35">
      <c r="F54" s="345"/>
      <c r="G54" s="345"/>
      <c r="H54" s="345"/>
      <c r="I54" s="345"/>
      <c r="J54" s="345"/>
      <c r="K54" s="345"/>
      <c r="L54" s="345"/>
      <c r="M54" s="345"/>
      <c r="N54" s="346"/>
      <c r="O54" s="346"/>
      <c r="P54" s="347"/>
      <c r="Q54" s="346"/>
      <c r="R54" s="346"/>
      <c r="S54" s="359"/>
      <c r="T54" s="358"/>
      <c r="U54" s="359"/>
      <c r="V54" s="359"/>
      <c r="W54" s="359"/>
      <c r="X54" s="359"/>
      <c r="Y54" s="359"/>
    </row>
    <row r="55" spans="6:30" ht="14.15" customHeight="1" x14ac:dyDescent="0.35">
      <c r="F55" s="345"/>
      <c r="G55" s="345"/>
      <c r="H55" s="345"/>
      <c r="I55" s="345"/>
      <c r="J55" s="345"/>
      <c r="K55" s="345"/>
      <c r="L55" s="345"/>
      <c r="M55" s="345"/>
      <c r="N55" s="346"/>
      <c r="O55" s="346"/>
      <c r="P55" s="347"/>
      <c r="Q55" s="346"/>
      <c r="R55" s="346"/>
      <c r="S55" s="359"/>
      <c r="T55" s="358"/>
      <c r="U55" s="359"/>
      <c r="V55" s="359"/>
      <c r="W55" s="359"/>
      <c r="X55" s="359"/>
      <c r="Y55" s="359"/>
      <c r="AA55" s="292"/>
      <c r="AD55" s="34"/>
    </row>
    <row r="56" spans="6:30" ht="13.5" customHeight="1" x14ac:dyDescent="0.35">
      <c r="F56" s="585" t="s">
        <v>2440</v>
      </c>
      <c r="G56" s="585"/>
      <c r="H56" s="585"/>
      <c r="I56" s="585"/>
      <c r="J56" s="585"/>
      <c r="K56" s="585"/>
      <c r="L56" s="585"/>
      <c r="M56" s="585"/>
      <c r="N56" s="581" t="str">
        <f>'set-dakol'!H21</f>
        <v>Mustain Billah, S.Si</v>
      </c>
      <c r="O56" s="581"/>
      <c r="P56" s="581"/>
      <c r="Q56" s="581"/>
      <c r="R56" s="581"/>
      <c r="S56" s="580" t="str">
        <f>'set-dakol'!H11</f>
        <v>Ir. Abdul Aziz Ahmad, M.M.</v>
      </c>
      <c r="T56" s="580"/>
      <c r="U56" s="580"/>
      <c r="V56" s="580"/>
      <c r="W56" s="580"/>
      <c r="X56" s="580"/>
      <c r="Y56" s="580"/>
      <c r="AA56" s="292"/>
      <c r="AD56" s="34"/>
    </row>
    <row r="57" spans="6:30" s="34" customFormat="1" ht="30.75" customHeight="1" x14ac:dyDescent="0.35">
      <c r="F57" s="87" t="s">
        <v>120</v>
      </c>
      <c r="G57" s="87"/>
      <c r="H57" s="87"/>
      <c r="I57" s="87"/>
      <c r="J57" s="88"/>
      <c r="K57" s="89"/>
      <c r="L57" s="89"/>
      <c r="M57" s="254" t="s">
        <v>1</v>
      </c>
      <c r="N57" s="262" t="str">
        <f>'set-dakol'!H3</f>
        <v>PKBM GENERASI BANGSA</v>
      </c>
      <c r="O57" s="44"/>
      <c r="P57" s="262"/>
      <c r="Q57" s="262"/>
      <c r="R57" s="588" t="s">
        <v>191</v>
      </c>
      <c r="S57" s="588"/>
      <c r="T57" s="588"/>
      <c r="U57" s="588"/>
      <c r="V57" s="588"/>
      <c r="W57" s="588"/>
      <c r="X57" s="588"/>
      <c r="Y57" s="588"/>
      <c r="AA57" s="292"/>
    </row>
    <row r="58" spans="6:30" s="34" customFormat="1" x14ac:dyDescent="0.35">
      <c r="F58" s="534" t="s">
        <v>192</v>
      </c>
      <c r="G58" s="534"/>
      <c r="H58" s="534"/>
      <c r="I58" s="534"/>
      <c r="J58" s="534"/>
      <c r="K58" s="534"/>
      <c r="L58" s="269"/>
      <c r="M58" s="544" t="s">
        <v>1</v>
      </c>
      <c r="N58" s="589" t="str">
        <f>'set-dakol'!H5</f>
        <v>Jl. Terusan Islamic Center - Sigempol KM 03 , Limbangan Wetan Brebes Jawa Tengah</v>
      </c>
      <c r="O58" s="589"/>
      <c r="P58" s="589"/>
      <c r="Q58" s="589"/>
      <c r="R58" s="590" t="s">
        <v>223</v>
      </c>
      <c r="S58" s="590"/>
      <c r="T58" s="590"/>
      <c r="U58" s="590"/>
      <c r="V58" s="254" t="s">
        <v>1</v>
      </c>
      <c r="W58" s="591" t="str">
        <f>'set-kkm'!N4</f>
        <v>3/VII</v>
      </c>
      <c r="X58" s="591"/>
      <c r="Y58" s="591"/>
      <c r="AA58" s="292"/>
    </row>
    <row r="59" spans="6:30" s="34" customFormat="1" x14ac:dyDescent="0.35">
      <c r="F59" s="534"/>
      <c r="G59" s="534"/>
      <c r="H59" s="534"/>
      <c r="I59" s="534"/>
      <c r="J59" s="534"/>
      <c r="K59" s="534"/>
      <c r="L59" s="269"/>
      <c r="M59" s="544"/>
      <c r="N59" s="589"/>
      <c r="O59" s="589"/>
      <c r="P59" s="589"/>
      <c r="Q59" s="589"/>
      <c r="R59" s="535" t="s">
        <v>193</v>
      </c>
      <c r="S59" s="535"/>
      <c r="T59" s="535"/>
      <c r="U59" s="535"/>
      <c r="V59" s="254" t="s">
        <v>1</v>
      </c>
      <c r="W59" s="591" t="str">
        <f>'set-kkm'!N6</f>
        <v>3.2</v>
      </c>
      <c r="X59" s="591"/>
      <c r="Y59" s="591"/>
      <c r="AA59" s="292"/>
    </row>
    <row r="60" spans="6:30" s="34" customFormat="1" x14ac:dyDescent="0.35">
      <c r="F60" s="534"/>
      <c r="G60" s="534"/>
      <c r="H60" s="534"/>
      <c r="I60" s="534"/>
      <c r="J60" s="534"/>
      <c r="K60" s="534"/>
      <c r="L60" s="269"/>
      <c r="M60" s="544"/>
      <c r="N60" s="589"/>
      <c r="O60" s="589"/>
      <c r="P60" s="589"/>
      <c r="Q60" s="589"/>
      <c r="R60" s="535" t="s">
        <v>7</v>
      </c>
      <c r="S60" s="535"/>
      <c r="T60" s="535"/>
      <c r="U60" s="535"/>
      <c r="V60" s="254" t="s">
        <v>1</v>
      </c>
      <c r="W60" s="591" t="str">
        <f>'set-dakol'!H10</f>
        <v>2022/2023</v>
      </c>
      <c r="X60" s="591"/>
      <c r="Y60" s="591"/>
      <c r="AA60" s="292"/>
    </row>
    <row r="61" spans="6:30" s="34" customFormat="1" ht="24.75" customHeight="1" x14ac:dyDescent="0.35">
      <c r="F61" s="87" t="s">
        <v>139</v>
      </c>
      <c r="G61" s="87"/>
      <c r="H61" s="87"/>
      <c r="I61" s="87"/>
      <c r="J61" s="88"/>
      <c r="K61" s="90"/>
      <c r="L61" s="90"/>
      <c r="M61" s="254" t="s">
        <v>1</v>
      </c>
      <c r="N61" s="262" t="str">
        <f>T10</f>
        <v>M. NABHAN DZAKWAN</v>
      </c>
      <c r="O61" s="44"/>
      <c r="P61" s="263"/>
      <c r="Q61" s="273"/>
      <c r="R61" s="273"/>
      <c r="S61" s="44"/>
      <c r="T61" s="44"/>
      <c r="U61" s="44"/>
      <c r="V61" s="44"/>
      <c r="W61" s="44"/>
      <c r="X61" s="44"/>
      <c r="Y61" s="44"/>
      <c r="AA61" s="66"/>
      <c r="AD61"/>
    </row>
    <row r="62" spans="6:30" s="34" customFormat="1" ht="18.75" customHeight="1" x14ac:dyDescent="0.35">
      <c r="F62" s="87" t="s">
        <v>194</v>
      </c>
      <c r="G62" s="87"/>
      <c r="H62" s="87"/>
      <c r="I62" s="87"/>
      <c r="J62" s="88"/>
      <c r="K62" s="89"/>
      <c r="L62" s="89"/>
      <c r="M62" s="254" t="s">
        <v>1</v>
      </c>
      <c r="N62" s="44" t="str">
        <f>CONCATENATE(S11&amp;"/"&amp;T13)</f>
        <v>11.2022.0285/3104238355</v>
      </c>
      <c r="O62" s="44"/>
      <c r="P62" s="263"/>
      <c r="Q62" s="273"/>
      <c r="R62" s="273"/>
      <c r="S62" s="44"/>
      <c r="T62" s="44"/>
      <c r="U62" s="44"/>
      <c r="V62" s="44"/>
      <c r="W62" s="44"/>
      <c r="X62" s="44"/>
      <c r="Y62" s="44"/>
      <c r="AA62" s="66"/>
      <c r="AD62"/>
    </row>
    <row r="63" spans="6:30" x14ac:dyDescent="0.35">
      <c r="T63" s="44"/>
      <c r="U63" s="44"/>
      <c r="V63" s="44"/>
      <c r="W63" s="44"/>
      <c r="X63" s="44"/>
      <c r="Y63" s="44"/>
    </row>
    <row r="64" spans="6:30" ht="15.75" customHeight="1" x14ac:dyDescent="0.35">
      <c r="F64" s="586" t="s">
        <v>199</v>
      </c>
      <c r="G64" s="586"/>
      <c r="H64" s="586"/>
      <c r="I64" s="586"/>
      <c r="J64" s="586"/>
      <c r="K64" s="586"/>
      <c r="L64" s="586"/>
      <c r="M64" s="586"/>
      <c r="N64" s="586"/>
      <c r="O64" s="586"/>
      <c r="P64" s="586"/>
      <c r="Q64" s="586"/>
      <c r="R64" s="586"/>
      <c r="S64" s="586"/>
      <c r="T64" s="586"/>
      <c r="U64" s="586"/>
      <c r="V64" s="586"/>
      <c r="W64" s="586"/>
      <c r="X64" s="586"/>
      <c r="Y64" s="586"/>
    </row>
    <row r="65" spans="6:28" ht="18" customHeight="1" x14ac:dyDescent="0.35">
      <c r="F65" s="84" t="s">
        <v>200</v>
      </c>
      <c r="G65" s="84"/>
      <c r="H65" s="84"/>
    </row>
    <row r="66" spans="6:28" ht="14.25" customHeight="1" x14ac:dyDescent="0.35">
      <c r="F66" s="84"/>
      <c r="G66" s="84"/>
      <c r="H66" s="84"/>
    </row>
    <row r="67" spans="6:28" ht="18" customHeight="1" x14ac:dyDescent="0.35">
      <c r="F67" s="517" t="s">
        <v>201</v>
      </c>
      <c r="G67" s="517"/>
      <c r="H67" s="517"/>
      <c r="I67" s="517"/>
      <c r="J67" s="517"/>
      <c r="K67" s="517"/>
      <c r="L67" s="271"/>
      <c r="M67" s="271"/>
    </row>
    <row r="68" spans="6:28" ht="24.75" customHeight="1" x14ac:dyDescent="0.35">
      <c r="F68" s="518" t="s">
        <v>174</v>
      </c>
      <c r="G68" s="518"/>
      <c r="H68" s="518"/>
      <c r="I68" s="518"/>
      <c r="J68" s="518"/>
      <c r="K68" s="518"/>
      <c r="L68" s="518" t="s">
        <v>170</v>
      </c>
      <c r="M68" s="518"/>
      <c r="N68" s="518"/>
      <c r="O68" s="518"/>
      <c r="P68" s="518"/>
      <c r="Q68" s="518"/>
      <c r="R68" s="518"/>
      <c r="S68" s="518"/>
      <c r="T68" s="518"/>
      <c r="U68" s="518"/>
      <c r="V68" s="518"/>
      <c r="W68" s="518"/>
      <c r="X68" s="518"/>
      <c r="Y68" s="518"/>
    </row>
    <row r="69" spans="6:28" ht="54" customHeight="1" x14ac:dyDescent="0.35">
      <c r="F69" s="522" t="str">
        <f>VLOOKUP(N2,walikls2,11,FALSE)</f>
        <v>SB</v>
      </c>
      <c r="G69" s="522"/>
      <c r="H69" s="522"/>
      <c r="I69" s="522"/>
      <c r="J69" s="522"/>
      <c r="K69" s="522"/>
      <c r="L69" s="587" t="str">
        <f>VLOOKUP(N2,walikls2,13,FALSE)</f>
        <v>Alhamdulillah,  Ananda ROZAN telah menunjukan sikap spiritual yang SANGAT BAIK dalam hal beribadah dan bersyukur dengan terus berusaha melakukan ketaatan kepada Allah سبحانه و تعالى dan berbuat baik kepada orang lain</v>
      </c>
      <c r="M69" s="587"/>
      <c r="N69" s="587"/>
      <c r="O69" s="587"/>
      <c r="P69" s="587"/>
      <c r="Q69" s="587"/>
      <c r="R69" s="587"/>
      <c r="S69" s="587"/>
      <c r="T69" s="587"/>
      <c r="U69" s="587"/>
      <c r="V69" s="587"/>
      <c r="W69" s="587"/>
      <c r="X69" s="587"/>
      <c r="Y69" s="587"/>
    </row>
    <row r="70" spans="6:28" ht="10.5" customHeight="1" x14ac:dyDescent="0.35">
      <c r="F70" s="255"/>
      <c r="G70" s="255"/>
      <c r="H70" s="255"/>
      <c r="I70" s="255"/>
      <c r="J70" s="255"/>
      <c r="K70" s="255"/>
      <c r="L70" s="272"/>
      <c r="M70" s="272"/>
      <c r="N70" s="272"/>
      <c r="O70" s="272"/>
      <c r="P70" s="272"/>
      <c r="Q70" s="272"/>
      <c r="R70" s="272"/>
      <c r="S70" s="272"/>
      <c r="T70" s="272"/>
      <c r="U70" s="272"/>
      <c r="V70" s="272"/>
      <c r="W70" s="272"/>
      <c r="X70" s="272"/>
      <c r="Y70" s="272"/>
    </row>
    <row r="71" spans="6:28" x14ac:dyDescent="0.35">
      <c r="F71" s="517" t="s">
        <v>202</v>
      </c>
      <c r="G71" s="517"/>
      <c r="H71" s="517"/>
      <c r="I71" s="517"/>
      <c r="J71" s="517"/>
      <c r="K71" s="517"/>
      <c r="L71" s="271"/>
      <c r="M71" s="271"/>
    </row>
    <row r="72" spans="6:28" ht="24" customHeight="1" x14ac:dyDescent="0.35">
      <c r="F72" s="518" t="s">
        <v>174</v>
      </c>
      <c r="G72" s="518"/>
      <c r="H72" s="518"/>
      <c r="I72" s="518"/>
      <c r="J72" s="518"/>
      <c r="K72" s="518"/>
      <c r="L72" s="518" t="s">
        <v>170</v>
      </c>
      <c r="M72" s="518"/>
      <c r="N72" s="518"/>
      <c r="O72" s="518"/>
      <c r="P72" s="518"/>
      <c r="Q72" s="518"/>
      <c r="R72" s="518"/>
      <c r="S72" s="518"/>
      <c r="T72" s="518"/>
      <c r="U72" s="518"/>
      <c r="V72" s="518"/>
      <c r="W72" s="518"/>
      <c r="X72" s="518"/>
      <c r="Y72" s="518"/>
    </row>
    <row r="73" spans="6:28" ht="66" customHeight="1" x14ac:dyDescent="0.35">
      <c r="F73" s="522" t="str">
        <f>VLOOKUP(N2,walikls2,15,FALSE)</f>
        <v>B</v>
      </c>
      <c r="G73" s="522"/>
      <c r="H73" s="522"/>
      <c r="I73" s="522"/>
      <c r="J73" s="522"/>
      <c r="K73" s="522"/>
      <c r="L73" s="587" t="str">
        <f>VLOOKUP(N2,walikls2,17,FALSE)</f>
        <v>Alhamdulillah, Ananda ROZAN telah menunjukan sikap sosial yang BAIK dalam hal kediplinan, kejujuran, tanggung jawab dan keperdulian terhadap orang lain dengan terus berusaha mengamalkan akhlak mulia sesuai dengan nilai-nilai moral yang berlaku</v>
      </c>
      <c r="M73" s="587"/>
      <c r="N73" s="587"/>
      <c r="O73" s="587"/>
      <c r="P73" s="587"/>
      <c r="Q73" s="587"/>
      <c r="R73" s="587"/>
      <c r="S73" s="587"/>
      <c r="T73" s="587"/>
      <c r="U73" s="587"/>
      <c r="V73" s="587"/>
      <c r="W73" s="587"/>
      <c r="X73" s="587"/>
      <c r="Y73" s="587"/>
    </row>
    <row r="75" spans="6:28" x14ac:dyDescent="0.35">
      <c r="F75" s="84" t="s">
        <v>203</v>
      </c>
    </row>
    <row r="76" spans="6:28" ht="20.149999999999999" customHeight="1" x14ac:dyDescent="0.35">
      <c r="F76" s="518" t="s">
        <v>69</v>
      </c>
      <c r="G76" s="518"/>
      <c r="H76" s="592" t="s">
        <v>70</v>
      </c>
      <c r="I76" s="593"/>
      <c r="J76" s="593"/>
      <c r="K76" s="593"/>
      <c r="L76" s="593"/>
      <c r="M76" s="593"/>
      <c r="N76" s="594"/>
      <c r="O76" s="598" t="s">
        <v>71</v>
      </c>
      <c r="P76" s="598" t="s">
        <v>72</v>
      </c>
      <c r="Q76" s="518" t="s">
        <v>173</v>
      </c>
      <c r="R76" s="518"/>
      <c r="S76" s="518"/>
      <c r="T76" s="518" t="s">
        <v>174</v>
      </c>
      <c r="U76" s="518"/>
      <c r="V76" s="518"/>
      <c r="W76" s="518"/>
      <c r="X76" s="518"/>
      <c r="Y76" s="518"/>
    </row>
    <row r="77" spans="6:28" ht="31.5" customHeight="1" x14ac:dyDescent="0.35">
      <c r="F77" s="518"/>
      <c r="G77" s="518"/>
      <c r="H77" s="595"/>
      <c r="I77" s="596"/>
      <c r="J77" s="596"/>
      <c r="K77" s="596"/>
      <c r="L77" s="596"/>
      <c r="M77" s="596"/>
      <c r="N77" s="597"/>
      <c r="O77" s="599"/>
      <c r="P77" s="599"/>
      <c r="Q77" s="274" t="s">
        <v>2462</v>
      </c>
      <c r="R77" s="274" t="s">
        <v>2461</v>
      </c>
      <c r="S77" s="274"/>
      <c r="T77" s="610" t="s">
        <v>2462</v>
      </c>
      <c r="U77" s="611"/>
      <c r="V77" s="612"/>
      <c r="W77" s="274" t="s">
        <v>2461</v>
      </c>
      <c r="X77" s="566"/>
      <c r="Y77" s="566"/>
    </row>
    <row r="78" spans="6:28" ht="21.75" customHeight="1" x14ac:dyDescent="0.35">
      <c r="F78" s="613" t="s">
        <v>73</v>
      </c>
      <c r="G78" s="614"/>
      <c r="H78" s="614"/>
      <c r="I78" s="614"/>
      <c r="J78" s="614"/>
      <c r="K78" s="614"/>
      <c r="L78" s="614"/>
      <c r="M78" s="614"/>
      <c r="N78" s="614"/>
      <c r="O78" s="614"/>
      <c r="P78" s="614"/>
      <c r="Q78" s="614"/>
      <c r="R78" s="614"/>
      <c r="S78" s="614"/>
      <c r="T78" s="614"/>
      <c r="U78" s="614"/>
      <c r="V78" s="614"/>
      <c r="W78" s="614"/>
      <c r="X78" s="614"/>
      <c r="Y78" s="615"/>
    </row>
    <row r="79" spans="6:28" ht="20.149999999999999" customHeight="1" x14ac:dyDescent="0.35">
      <c r="F79" s="538">
        <v>1</v>
      </c>
      <c r="G79" s="538"/>
      <c r="H79" s="607" t="str">
        <f>'set-kkm'!K8</f>
        <v>Pendidikan Agama</v>
      </c>
      <c r="I79" s="608"/>
      <c r="J79" s="608"/>
      <c r="K79" s="608"/>
      <c r="L79" s="608"/>
      <c r="M79" s="608"/>
      <c r="N79" s="609"/>
      <c r="O79" s="270">
        <f>'set-kkm'!M8</f>
        <v>2</v>
      </c>
      <c r="P79" s="270">
        <f>'set-kkm'!N8</f>
        <v>70</v>
      </c>
      <c r="Q79" s="280">
        <f>ROUND(AB79,0)</f>
        <v>80</v>
      </c>
      <c r="R79" s="293">
        <f>IF(Q79="","", IF(Q79=100,100, Q79+1))</f>
        <v>81</v>
      </c>
      <c r="S79" s="290"/>
      <c r="T79" s="603" t="str">
        <f>IF(Q79=0,"",IF(Q79&gt;=79.1,"SB",IF(Q79&gt;=65.8,"B",IF(Q79&gt;=50.66,"C",IF(Q79&gt;=0.51,"D",)))))</f>
        <v>SB</v>
      </c>
      <c r="U79" s="604"/>
      <c r="V79" s="605"/>
      <c r="W79" s="270" t="str">
        <f>IF(R79="","",IF(R79&gt;=79.1,"SB",IF(R79&gt;=65.8,"B",IF(R79&gt;=50.66,"C",IF(R79&gt;=0.51,"D",)))))</f>
        <v>SB</v>
      </c>
      <c r="X79" s="606"/>
      <c r="Y79" s="606"/>
      <c r="AA79" s="293">
        <f>VLOOKUP(N2,nilpels2,21,FALSE)</f>
        <v>78.17647058823529</v>
      </c>
      <c r="AB79" s="301" t="str">
        <f>IF(AA79&lt;80,"80",AA79)</f>
        <v>80</v>
      </c>
    </row>
    <row r="80" spans="6:28" ht="31.5" customHeight="1" x14ac:dyDescent="0.35">
      <c r="F80" s="538">
        <v>2</v>
      </c>
      <c r="G80" s="538"/>
      <c r="H80" s="600" t="str">
        <f>'set-kkm'!K9</f>
        <v>Pendidikan Pancasila dan Kewarganegaraan (PPKN)</v>
      </c>
      <c r="I80" s="601"/>
      <c r="J80" s="601"/>
      <c r="K80" s="601"/>
      <c r="L80" s="601"/>
      <c r="M80" s="601"/>
      <c r="N80" s="602"/>
      <c r="O80" s="270">
        <f>'set-kkm'!M9</f>
        <v>2</v>
      </c>
      <c r="P80" s="270">
        <f>'set-kkm'!N9</f>
        <v>70</v>
      </c>
      <c r="Q80" s="280">
        <f t="shared" ref="Q80:Q85" si="14">ROUND(AB80,0)</f>
        <v>86</v>
      </c>
      <c r="R80" s="293">
        <f t="shared" ref="R80:R85" si="15">IF(Q80="","", IF(Q80=100,100, Q80+1))</f>
        <v>87</v>
      </c>
      <c r="S80" s="291"/>
      <c r="T80" s="603" t="str">
        <f t="shared" ref="T80:T85" si="16">IF(Q80=0,"",IF(Q80&gt;=79.1,"SB",IF(Q80&gt;=65.8,"B",IF(Q80&gt;=50.66,"C",IF(Q80&gt;=0.51,"D",)))))</f>
        <v>SB</v>
      </c>
      <c r="U80" s="604"/>
      <c r="V80" s="605"/>
      <c r="W80" s="293" t="str">
        <f t="shared" ref="W80:W85" si="17">IF(R80="","",IF(R80&gt;=79.1,"SB",IF(R80&gt;=65.8,"B",IF(R80&gt;=50.66,"C",IF(R80&gt;=0.51,"D",)))))</f>
        <v>SB</v>
      </c>
      <c r="X80" s="606"/>
      <c r="Y80" s="606"/>
      <c r="AA80" s="293">
        <f>VLOOKUP(N2,nilpels2,23,FALSE)</f>
        <v>86</v>
      </c>
      <c r="AB80" s="301">
        <f t="shared" ref="AB80:AB85" si="18">IF(AA80&lt;80,"80",AA80)</f>
        <v>86</v>
      </c>
    </row>
    <row r="81" spans="6:30" ht="20.149999999999999" customHeight="1" x14ac:dyDescent="0.35">
      <c r="F81" s="538">
        <v>3</v>
      </c>
      <c r="G81" s="538"/>
      <c r="H81" s="607" t="str">
        <f>'set-kkm'!K10</f>
        <v>Bahasa Indonesia</v>
      </c>
      <c r="I81" s="608"/>
      <c r="J81" s="608"/>
      <c r="K81" s="608"/>
      <c r="L81" s="608"/>
      <c r="M81" s="608"/>
      <c r="N81" s="609"/>
      <c r="O81" s="270">
        <f>'set-kkm'!M10</f>
        <v>1</v>
      </c>
      <c r="P81" s="270">
        <f>'set-kkm'!N10</f>
        <v>70</v>
      </c>
      <c r="Q81" s="280">
        <f t="shared" si="14"/>
        <v>80</v>
      </c>
      <c r="R81" s="293">
        <f t="shared" si="15"/>
        <v>81</v>
      </c>
      <c r="S81" s="291"/>
      <c r="T81" s="603" t="str">
        <f t="shared" si="16"/>
        <v>SB</v>
      </c>
      <c r="U81" s="604"/>
      <c r="V81" s="605"/>
      <c r="W81" s="293" t="str">
        <f t="shared" si="17"/>
        <v>SB</v>
      </c>
      <c r="X81" s="606"/>
      <c r="Y81" s="606"/>
      <c r="AA81" s="293">
        <f>VLOOKUP(N2,nilpels2,25,FALSE)</f>
        <v>80</v>
      </c>
      <c r="AB81" s="301">
        <f t="shared" si="18"/>
        <v>80</v>
      </c>
    </row>
    <row r="82" spans="6:30" ht="20.149999999999999" customHeight="1" x14ac:dyDescent="0.35">
      <c r="F82" s="538">
        <v>4</v>
      </c>
      <c r="G82" s="538"/>
      <c r="H82" s="607" t="str">
        <f>'set-kkm'!K11</f>
        <v>Bahasa Inggris</v>
      </c>
      <c r="I82" s="608"/>
      <c r="J82" s="608"/>
      <c r="K82" s="608"/>
      <c r="L82" s="608"/>
      <c r="M82" s="608"/>
      <c r="N82" s="609"/>
      <c r="O82" s="270">
        <f>'set-kkm'!M11</f>
        <v>1</v>
      </c>
      <c r="P82" s="270">
        <f>'set-kkm'!N11</f>
        <v>70</v>
      </c>
      <c r="Q82" s="280">
        <f t="shared" si="14"/>
        <v>80</v>
      </c>
      <c r="R82" s="293">
        <f t="shared" si="15"/>
        <v>81</v>
      </c>
      <c r="S82" s="291"/>
      <c r="T82" s="603" t="str">
        <f t="shared" si="16"/>
        <v>SB</v>
      </c>
      <c r="U82" s="604"/>
      <c r="V82" s="605"/>
      <c r="W82" s="293" t="str">
        <f t="shared" si="17"/>
        <v>SB</v>
      </c>
      <c r="X82" s="606"/>
      <c r="Y82" s="606"/>
      <c r="AA82" s="293">
        <f>VLOOKUP(N2,nilpels2,27,FALSE)</f>
        <v>71</v>
      </c>
      <c r="AB82" s="301" t="str">
        <f t="shared" si="18"/>
        <v>80</v>
      </c>
    </row>
    <row r="83" spans="6:30" ht="20.149999999999999" customHeight="1" x14ac:dyDescent="0.35">
      <c r="F83" s="538">
        <v>5</v>
      </c>
      <c r="G83" s="538"/>
      <c r="H83" s="607" t="str">
        <f>'set-kkm'!K12</f>
        <v>Matematika</v>
      </c>
      <c r="I83" s="608"/>
      <c r="J83" s="608"/>
      <c r="K83" s="608"/>
      <c r="L83" s="608"/>
      <c r="M83" s="608"/>
      <c r="N83" s="609"/>
      <c r="O83" s="270">
        <f>'set-kkm'!M12</f>
        <v>1</v>
      </c>
      <c r="P83" s="270">
        <f>'set-kkm'!N12</f>
        <v>70</v>
      </c>
      <c r="Q83" s="280">
        <f t="shared" si="14"/>
        <v>80</v>
      </c>
      <c r="R83" s="293">
        <f t="shared" si="15"/>
        <v>81</v>
      </c>
      <c r="S83" s="291"/>
      <c r="T83" s="603" t="str">
        <f t="shared" si="16"/>
        <v>SB</v>
      </c>
      <c r="U83" s="604"/>
      <c r="V83" s="605"/>
      <c r="W83" s="293" t="str">
        <f t="shared" si="17"/>
        <v>SB</v>
      </c>
      <c r="X83" s="606"/>
      <c r="Y83" s="606"/>
      <c r="AA83" s="293">
        <f>VLOOKUP(N2,nilpels2,29,FALSE)</f>
        <v>71</v>
      </c>
      <c r="AB83" s="301" t="str">
        <f t="shared" si="18"/>
        <v>80</v>
      </c>
    </row>
    <row r="84" spans="6:30" ht="20.149999999999999" customHeight="1" x14ac:dyDescent="0.35">
      <c r="F84" s="538">
        <v>6</v>
      </c>
      <c r="G84" s="538"/>
      <c r="H84" s="607" t="str">
        <f>'set-kkm'!K13</f>
        <v>Ilmu Pengetahuan Alam</v>
      </c>
      <c r="I84" s="608"/>
      <c r="J84" s="608"/>
      <c r="K84" s="608"/>
      <c r="L84" s="608"/>
      <c r="M84" s="608"/>
      <c r="N84" s="609"/>
      <c r="O84" s="270">
        <f>'set-kkm'!M13</f>
        <v>1</v>
      </c>
      <c r="P84" s="270">
        <f>'set-kkm'!N13</f>
        <v>70</v>
      </c>
      <c r="Q84" s="280">
        <f t="shared" si="14"/>
        <v>97</v>
      </c>
      <c r="R84" s="293">
        <f t="shared" si="15"/>
        <v>98</v>
      </c>
      <c r="S84" s="291"/>
      <c r="T84" s="603" t="str">
        <f t="shared" si="16"/>
        <v>SB</v>
      </c>
      <c r="U84" s="604"/>
      <c r="V84" s="605"/>
      <c r="W84" s="293" t="str">
        <f t="shared" si="17"/>
        <v>SB</v>
      </c>
      <c r="X84" s="606"/>
      <c r="Y84" s="606"/>
      <c r="AA84" s="293">
        <f>VLOOKUP(N2,nilpels2,31,FALSE)</f>
        <v>97</v>
      </c>
      <c r="AB84" s="301">
        <f t="shared" si="18"/>
        <v>97</v>
      </c>
    </row>
    <row r="85" spans="6:30" ht="20.149999999999999" customHeight="1" x14ac:dyDescent="0.35">
      <c r="F85" s="538">
        <v>7</v>
      </c>
      <c r="G85" s="538"/>
      <c r="H85" s="607" t="str">
        <f>'set-kkm'!K14</f>
        <v>Ilmu Pengetahuan Sosial</v>
      </c>
      <c r="I85" s="608"/>
      <c r="J85" s="608"/>
      <c r="K85" s="608"/>
      <c r="L85" s="608"/>
      <c r="M85" s="608"/>
      <c r="N85" s="609"/>
      <c r="O85" s="270">
        <f>'set-kkm'!M14</f>
        <v>1</v>
      </c>
      <c r="P85" s="270">
        <f>'set-kkm'!N14</f>
        <v>70</v>
      </c>
      <c r="Q85" s="280">
        <f t="shared" si="14"/>
        <v>80</v>
      </c>
      <c r="R85" s="293">
        <f t="shared" si="15"/>
        <v>81</v>
      </c>
      <c r="S85" s="291"/>
      <c r="T85" s="603" t="str">
        <f t="shared" si="16"/>
        <v>SB</v>
      </c>
      <c r="U85" s="604"/>
      <c r="V85" s="605"/>
      <c r="W85" s="293" t="str">
        <f t="shared" si="17"/>
        <v>SB</v>
      </c>
      <c r="X85" s="606"/>
      <c r="Y85" s="606"/>
      <c r="AA85" s="293">
        <f>VLOOKUP(N2,nilpels2,33,FALSE)</f>
        <v>56</v>
      </c>
      <c r="AB85" s="301" t="str">
        <f t="shared" si="18"/>
        <v>80</v>
      </c>
    </row>
    <row r="86" spans="6:30" ht="21" customHeight="1" x14ac:dyDescent="0.35">
      <c r="F86" s="616" t="s">
        <v>204</v>
      </c>
      <c r="G86" s="617"/>
      <c r="H86" s="617"/>
      <c r="I86" s="617"/>
      <c r="J86" s="617"/>
      <c r="K86" s="617"/>
      <c r="L86" s="617"/>
      <c r="M86" s="617"/>
      <c r="N86" s="617"/>
      <c r="O86" s="617"/>
      <c r="P86" s="617"/>
      <c r="Q86" s="617"/>
      <c r="R86" s="617"/>
      <c r="S86" s="617"/>
      <c r="T86" s="617"/>
      <c r="U86" s="617"/>
      <c r="V86" s="617"/>
      <c r="W86" s="617"/>
      <c r="X86" s="617"/>
      <c r="Y86" s="618"/>
      <c r="AA86" s="299"/>
      <c r="AB86" s="293"/>
    </row>
    <row r="87" spans="6:30" ht="20.149999999999999" customHeight="1" x14ac:dyDescent="0.35">
      <c r="F87" s="538">
        <v>8</v>
      </c>
      <c r="G87" s="538"/>
      <c r="H87" s="540" t="s">
        <v>205</v>
      </c>
      <c r="I87" s="540"/>
      <c r="J87" s="540"/>
      <c r="K87" s="540"/>
      <c r="L87" s="540"/>
      <c r="M87" s="540"/>
      <c r="N87" s="540"/>
      <c r="O87" s="540"/>
      <c r="P87" s="540"/>
      <c r="Q87" s="540"/>
      <c r="R87" s="540"/>
      <c r="S87" s="540"/>
      <c r="T87" s="540"/>
      <c r="U87" s="540"/>
      <c r="V87" s="540"/>
      <c r="W87" s="540"/>
      <c r="X87" s="540"/>
      <c r="Y87" s="540"/>
      <c r="AA87" s="299"/>
      <c r="AB87" s="293"/>
    </row>
    <row r="88" spans="6:30" ht="20.149999999999999" customHeight="1" x14ac:dyDescent="0.35">
      <c r="F88" s="538"/>
      <c r="G88" s="538"/>
      <c r="H88" s="607" t="str">
        <f>'set-kkm'!K17</f>
        <v>Tahfizh Al-Qur'an</v>
      </c>
      <c r="I88" s="608"/>
      <c r="J88" s="608"/>
      <c r="K88" s="608"/>
      <c r="L88" s="608"/>
      <c r="M88" s="608"/>
      <c r="N88" s="609"/>
      <c r="O88" s="270">
        <f>'set-kkm'!M17</f>
        <v>2</v>
      </c>
      <c r="P88" s="270">
        <f>'set-kkm'!N17</f>
        <v>70</v>
      </c>
      <c r="Q88" s="603">
        <f>ROUND(AB88,0)</f>
        <v>80</v>
      </c>
      <c r="R88" s="604"/>
      <c r="S88" s="605"/>
      <c r="T88" s="603" t="str">
        <f>IF(Q88=0,"",IF(Q88&gt;=79.1,"SB",IF(Q88&gt;=65.8,"B",IF(Q88&gt;=50.66,"C",IF(Q88&gt;=0.51,"D",)))))</f>
        <v>SB</v>
      </c>
      <c r="U88" s="604"/>
      <c r="V88" s="604"/>
      <c r="W88" s="604"/>
      <c r="X88" s="604"/>
      <c r="Y88" s="605"/>
      <c r="AA88" s="293">
        <f>VLOOKUP(N2,nilpels2,3,FALSE)</f>
        <v>79</v>
      </c>
      <c r="AB88" s="301" t="str">
        <f t="shared" ref="AB88:AB89" si="19">IF(AA88&lt;80,"80",AA88)</f>
        <v>80</v>
      </c>
    </row>
    <row r="89" spans="6:30" ht="20.149999999999999" customHeight="1" x14ac:dyDescent="0.35">
      <c r="F89" s="538"/>
      <c r="G89" s="538"/>
      <c r="H89" s="607" t="str">
        <f>'set-kkm'!K18</f>
        <v>Keasramaan</v>
      </c>
      <c r="I89" s="608"/>
      <c r="J89" s="608"/>
      <c r="K89" s="608"/>
      <c r="L89" s="608"/>
      <c r="M89" s="608"/>
      <c r="N89" s="609"/>
      <c r="O89" s="270">
        <f>'set-kkm'!M18</f>
        <v>1</v>
      </c>
      <c r="P89" s="270">
        <f>'set-kkm'!N18</f>
        <v>70</v>
      </c>
      <c r="Q89" s="603">
        <f>ROUND(AB89,0)</f>
        <v>90</v>
      </c>
      <c r="R89" s="604"/>
      <c r="S89" s="605"/>
      <c r="T89" s="603" t="str">
        <f>IF(Q89=0,"",IF(Q89&gt;=79.1,"SB",IF(Q89&gt;=65.8,"B",IF(Q89&gt;=50.66,"C",IF(Q89&gt;=0.51,"D",)))))</f>
        <v>SB</v>
      </c>
      <c r="U89" s="604"/>
      <c r="V89" s="604"/>
      <c r="W89" s="604"/>
      <c r="X89" s="604"/>
      <c r="Y89" s="605"/>
      <c r="AA89" s="293">
        <f>VLOOKUP(N2,nilpels2,4,FALSE)</f>
        <v>90</v>
      </c>
      <c r="AB89" s="301">
        <f t="shared" si="19"/>
        <v>90</v>
      </c>
    </row>
    <row r="90" spans="6:30" ht="20.149999999999999" customHeight="1" x14ac:dyDescent="0.35">
      <c r="F90" s="538">
        <v>9</v>
      </c>
      <c r="G90" s="538"/>
      <c r="H90" s="607" t="s">
        <v>206</v>
      </c>
      <c r="I90" s="608"/>
      <c r="J90" s="608"/>
      <c r="K90" s="608"/>
      <c r="L90" s="608"/>
      <c r="M90" s="608"/>
      <c r="N90" s="608"/>
      <c r="O90" s="608"/>
      <c r="P90" s="608"/>
      <c r="Q90" s="608"/>
      <c r="R90" s="608"/>
      <c r="S90" s="608"/>
      <c r="T90" s="608"/>
      <c r="U90" s="608"/>
      <c r="V90" s="608"/>
      <c r="W90" s="608"/>
      <c r="X90" s="608"/>
      <c r="Y90" s="609"/>
      <c r="AA90" s="299"/>
      <c r="AB90" s="293"/>
    </row>
    <row r="91" spans="6:30" ht="20.149999999999999" customHeight="1" x14ac:dyDescent="0.35">
      <c r="F91" s="538"/>
      <c r="G91" s="538"/>
      <c r="H91" s="607" t="str">
        <f>'set-kkm'!K20</f>
        <v>a. Keterampilan Wajib</v>
      </c>
      <c r="I91" s="608"/>
      <c r="J91" s="608"/>
      <c r="K91" s="608"/>
      <c r="L91" s="608"/>
      <c r="M91" s="608"/>
      <c r="N91" s="609"/>
      <c r="O91" s="270">
        <f>'set-kkm'!M20</f>
        <v>2</v>
      </c>
      <c r="P91" s="270">
        <f>'set-kkm'!N20</f>
        <v>70</v>
      </c>
      <c r="Q91" s="603">
        <f>ROUND(AB91,0)</f>
        <v>85</v>
      </c>
      <c r="R91" s="604"/>
      <c r="S91" s="605"/>
      <c r="T91" s="603" t="str">
        <f>IF(Q91=0,"",IF(Q91&gt;=79.1,"SB",IF(Q91&gt;=65.8,"B",IF(Q91&gt;=50.66,"C",IF(Q91&gt;=0.51,"D",)))))</f>
        <v>SB</v>
      </c>
      <c r="U91" s="604"/>
      <c r="V91" s="604"/>
      <c r="W91" s="604"/>
      <c r="X91" s="604"/>
      <c r="Y91" s="605"/>
      <c r="AA91" s="293">
        <f>VLOOKUP(N2,nilpels2,5,FALSE)</f>
        <v>85</v>
      </c>
      <c r="AB91" s="301">
        <f t="shared" ref="AB91" si="20">IF(AA91&lt;80,"80",AA91)</f>
        <v>85</v>
      </c>
    </row>
    <row r="92" spans="6:30" ht="20.149999999999999" customHeight="1" x14ac:dyDescent="0.35">
      <c r="F92" s="538"/>
      <c r="G92" s="538"/>
      <c r="H92" s="607" t="str">
        <f>'set-kkm'!K21</f>
        <v>b. Keterampilan Pilihan :</v>
      </c>
      <c r="I92" s="608"/>
      <c r="J92" s="608"/>
      <c r="K92" s="608"/>
      <c r="L92" s="608"/>
      <c r="M92" s="608"/>
      <c r="N92" s="608"/>
      <c r="O92" s="608"/>
      <c r="P92" s="608"/>
      <c r="Q92" s="608"/>
      <c r="R92" s="608"/>
      <c r="S92" s="608"/>
      <c r="T92" s="608"/>
      <c r="U92" s="608"/>
      <c r="V92" s="608"/>
      <c r="W92" s="608"/>
      <c r="X92" s="608"/>
      <c r="Y92" s="609"/>
      <c r="AA92" s="299"/>
      <c r="AB92" s="293"/>
    </row>
    <row r="93" spans="6:30" ht="20.149999999999999" customHeight="1" x14ac:dyDescent="0.35">
      <c r="F93" s="538"/>
      <c r="G93" s="538"/>
      <c r="H93" s="607" t="str">
        <f>'set-kkm'!K22</f>
        <v xml:space="preserve">    1) Public Speaking</v>
      </c>
      <c r="I93" s="608"/>
      <c r="J93" s="608"/>
      <c r="K93" s="608"/>
      <c r="L93" s="608"/>
      <c r="M93" s="608"/>
      <c r="N93" s="609"/>
      <c r="O93" s="270">
        <f>'set-kkm'!M22</f>
        <v>1</v>
      </c>
      <c r="P93" s="270">
        <f>'set-kkm'!N22</f>
        <v>70</v>
      </c>
      <c r="Q93" s="603">
        <f>ROUND(AB93,0)</f>
        <v>85</v>
      </c>
      <c r="R93" s="604"/>
      <c r="S93" s="605"/>
      <c r="T93" s="603" t="str">
        <f>IF(Q93=0,"",IF(Q93&gt;=79.1,"SB",IF(Q93&gt;=65.8,"B",IF(Q93&gt;=50.66,"C",IF(Q93&gt;=0.51,"D",)))))</f>
        <v>SB</v>
      </c>
      <c r="U93" s="604"/>
      <c r="V93" s="604"/>
      <c r="W93" s="604"/>
      <c r="X93" s="604"/>
      <c r="Y93" s="605"/>
      <c r="AA93" s="293">
        <f>VLOOKUP(N2,nilpels2,13,FALSE)</f>
        <v>85</v>
      </c>
      <c r="AB93" s="301">
        <f t="shared" ref="AB93:AB94" si="21">IF(AA93&lt;80,"80",AA93)</f>
        <v>85</v>
      </c>
      <c r="AD93" s="34"/>
    </row>
    <row r="94" spans="6:30" ht="20.149999999999999" customHeight="1" x14ac:dyDescent="0.35">
      <c r="F94" s="538"/>
      <c r="G94" s="538"/>
      <c r="H94" s="607" t="str">
        <f>'set-kkm'!K23</f>
        <v xml:space="preserve">    2) Olahraga</v>
      </c>
      <c r="I94" s="608"/>
      <c r="J94" s="608"/>
      <c r="K94" s="608"/>
      <c r="L94" s="608"/>
      <c r="M94" s="608"/>
      <c r="N94" s="609"/>
      <c r="O94" s="270">
        <f>'set-kkm'!M23</f>
        <v>1</v>
      </c>
      <c r="P94" s="270">
        <f>'set-kkm'!N23</f>
        <v>70</v>
      </c>
      <c r="Q94" s="603">
        <f>ROUND(AB94,0)</f>
        <v>80</v>
      </c>
      <c r="R94" s="604"/>
      <c r="S94" s="605"/>
      <c r="T94" s="603" t="str">
        <f>IF(Q94=0,"",IF(Q94&gt;=79.1,"SB",IF(Q94&gt;=65.8,"B",IF(Q94&gt;=50.66,"C",IF(Q94&gt;=0.51,"D",)))))</f>
        <v>SB</v>
      </c>
      <c r="U94" s="604"/>
      <c r="V94" s="604"/>
      <c r="W94" s="604"/>
      <c r="X94" s="604"/>
      <c r="Y94" s="605"/>
      <c r="AA94" s="293">
        <f>VLOOKUP(N2,nilpels2,15,FALSE)</f>
        <v>70</v>
      </c>
      <c r="AB94" s="301" t="str">
        <f t="shared" si="21"/>
        <v>80</v>
      </c>
      <c r="AD94" s="34"/>
    </row>
    <row r="95" spans="6:30" s="34" customFormat="1" ht="33" customHeight="1" x14ac:dyDescent="0.35">
      <c r="F95" s="87" t="s">
        <v>120</v>
      </c>
      <c r="G95" s="87"/>
      <c r="H95" s="87"/>
      <c r="I95" s="87"/>
      <c r="J95" s="88"/>
      <c r="K95" s="89"/>
      <c r="L95" s="89"/>
      <c r="M95" s="254" t="s">
        <v>1</v>
      </c>
      <c r="N95" s="262" t="str">
        <f>N57</f>
        <v>PKBM GENERASI BANGSA</v>
      </c>
      <c r="O95" s="44"/>
      <c r="P95" s="262"/>
      <c r="Q95" s="262"/>
      <c r="R95" s="588" t="s">
        <v>191</v>
      </c>
      <c r="S95" s="588"/>
      <c r="T95" s="588"/>
      <c r="U95" s="588"/>
      <c r="V95" s="588"/>
      <c r="W95" s="588"/>
      <c r="X95" s="588"/>
      <c r="Y95" s="588"/>
      <c r="AA95" s="292"/>
    </row>
    <row r="96" spans="6:30" s="34" customFormat="1" x14ac:dyDescent="0.35">
      <c r="F96" s="534" t="s">
        <v>192</v>
      </c>
      <c r="G96" s="534"/>
      <c r="H96" s="534"/>
      <c r="I96" s="534"/>
      <c r="J96" s="534"/>
      <c r="K96" s="534"/>
      <c r="L96" s="269"/>
      <c r="M96" s="544" t="s">
        <v>1</v>
      </c>
      <c r="N96" s="589" t="str">
        <f>N58</f>
        <v>Jl. Terusan Islamic Center - Sigempol KM 03 , Limbangan Wetan Brebes Jawa Tengah</v>
      </c>
      <c r="O96" s="589"/>
      <c r="P96" s="589"/>
      <c r="Q96" s="589"/>
      <c r="R96" s="590" t="s">
        <v>223</v>
      </c>
      <c r="S96" s="590"/>
      <c r="T96" s="590"/>
      <c r="U96" s="590"/>
      <c r="V96" s="254" t="s">
        <v>1</v>
      </c>
      <c r="W96" s="591" t="str">
        <f>W58</f>
        <v>3/VII</v>
      </c>
      <c r="X96" s="591"/>
      <c r="Y96" s="591"/>
      <c r="AA96" s="292"/>
    </row>
    <row r="97" spans="6:30" s="34" customFormat="1" x14ac:dyDescent="0.35">
      <c r="F97" s="534"/>
      <c r="G97" s="534"/>
      <c r="H97" s="534"/>
      <c r="I97" s="534"/>
      <c r="J97" s="534"/>
      <c r="K97" s="534"/>
      <c r="L97" s="269"/>
      <c r="M97" s="544"/>
      <c r="N97" s="589"/>
      <c r="O97" s="589"/>
      <c r="P97" s="589"/>
      <c r="Q97" s="589"/>
      <c r="R97" s="535" t="s">
        <v>193</v>
      </c>
      <c r="S97" s="535"/>
      <c r="T97" s="535"/>
      <c r="U97" s="535"/>
      <c r="V97" s="254" t="s">
        <v>1</v>
      </c>
      <c r="W97" s="591" t="str">
        <f t="shared" ref="W97:W98" si="22">W59</f>
        <v>3.2</v>
      </c>
      <c r="X97" s="591"/>
      <c r="Y97" s="591"/>
      <c r="AA97" s="292"/>
    </row>
    <row r="98" spans="6:30" s="34" customFormat="1" x14ac:dyDescent="0.35">
      <c r="F98" s="534"/>
      <c r="G98" s="534"/>
      <c r="H98" s="534"/>
      <c r="I98" s="534"/>
      <c r="J98" s="534"/>
      <c r="K98" s="534"/>
      <c r="L98" s="269"/>
      <c r="M98" s="544"/>
      <c r="N98" s="589"/>
      <c r="O98" s="589"/>
      <c r="P98" s="589"/>
      <c r="Q98" s="589"/>
      <c r="R98" s="535" t="s">
        <v>7</v>
      </c>
      <c r="S98" s="535"/>
      <c r="T98" s="535"/>
      <c r="U98" s="535"/>
      <c r="V98" s="254" t="s">
        <v>1</v>
      </c>
      <c r="W98" s="591" t="str">
        <f t="shared" si="22"/>
        <v>2022/2023</v>
      </c>
      <c r="X98" s="591"/>
      <c r="Y98" s="591"/>
      <c r="AA98" s="292"/>
    </row>
    <row r="99" spans="6:30" s="34" customFormat="1" ht="24.75" customHeight="1" x14ac:dyDescent="0.35">
      <c r="F99" s="87" t="s">
        <v>139</v>
      </c>
      <c r="G99" s="87"/>
      <c r="H99" s="87"/>
      <c r="I99" s="87"/>
      <c r="J99" s="88"/>
      <c r="K99" s="90"/>
      <c r="L99" s="90"/>
      <c r="M99" s="254" t="s">
        <v>1</v>
      </c>
      <c r="N99" s="262" t="str">
        <f>N61</f>
        <v>M. NABHAN DZAKWAN</v>
      </c>
      <c r="O99" s="44"/>
      <c r="P99" s="263"/>
      <c r="Q99" s="273"/>
      <c r="R99" s="273"/>
      <c r="S99" s="44"/>
      <c r="T99" s="44"/>
      <c r="U99" s="44"/>
      <c r="V99" s="44"/>
      <c r="W99" s="44"/>
      <c r="X99" s="44"/>
      <c r="Y99" s="44"/>
      <c r="AA99" s="66"/>
      <c r="AD99"/>
    </row>
    <row r="100" spans="6:30" s="34" customFormat="1" ht="18.75" customHeight="1" x14ac:dyDescent="0.35">
      <c r="F100" s="87" t="s">
        <v>194</v>
      </c>
      <c r="G100" s="87"/>
      <c r="H100" s="87"/>
      <c r="I100" s="87"/>
      <c r="J100" s="88"/>
      <c r="K100" s="89"/>
      <c r="L100" s="89"/>
      <c r="M100" s="254" t="s">
        <v>1</v>
      </c>
      <c r="N100" s="44" t="str">
        <f>N62</f>
        <v>11.2022.0285/3104238355</v>
      </c>
      <c r="O100" s="44"/>
      <c r="P100" s="263"/>
      <c r="Q100" s="273"/>
      <c r="R100" s="273"/>
      <c r="S100" s="44"/>
      <c r="T100" s="44"/>
      <c r="U100" s="44"/>
      <c r="V100" s="44"/>
      <c r="W100" s="44"/>
      <c r="X100" s="44"/>
      <c r="Y100" s="44"/>
      <c r="AA100" s="66"/>
      <c r="AD100"/>
    </row>
    <row r="101" spans="6:30" x14ac:dyDescent="0.35">
      <c r="T101" s="44"/>
      <c r="U101" s="44"/>
      <c r="V101" s="44"/>
      <c r="W101" s="44"/>
      <c r="X101" s="44"/>
      <c r="Y101" s="44"/>
    </row>
    <row r="102" spans="6:30" ht="16.5" customHeight="1" x14ac:dyDescent="0.35">
      <c r="F102" s="586" t="s">
        <v>199</v>
      </c>
      <c r="G102" s="586"/>
      <c r="H102" s="586"/>
      <c r="I102" s="586"/>
      <c r="J102" s="586"/>
      <c r="K102" s="586"/>
      <c r="L102" s="586"/>
      <c r="M102" s="586"/>
      <c r="N102" s="586"/>
      <c r="O102" s="586"/>
      <c r="P102" s="586"/>
      <c r="Q102" s="586"/>
      <c r="R102" s="586"/>
      <c r="S102" s="586"/>
      <c r="T102" s="586"/>
      <c r="U102" s="586"/>
      <c r="V102" s="586"/>
      <c r="W102" s="586"/>
      <c r="X102" s="586"/>
      <c r="Y102" s="586"/>
    </row>
    <row r="103" spans="6:30" ht="10.5" customHeight="1" x14ac:dyDescent="0.35">
      <c r="F103" s="264"/>
      <c r="G103" s="264"/>
      <c r="H103" s="44"/>
      <c r="I103" s="44"/>
      <c r="J103" s="44"/>
      <c r="K103" s="44"/>
      <c r="L103" s="44"/>
      <c r="M103" s="44"/>
      <c r="N103" s="44"/>
      <c r="O103" s="264"/>
      <c r="P103" s="264"/>
      <c r="Q103" s="264"/>
      <c r="R103" s="264"/>
      <c r="S103" s="264"/>
      <c r="T103" s="264"/>
      <c r="U103" s="264"/>
      <c r="V103" s="264"/>
      <c r="W103" s="264"/>
      <c r="X103" s="264"/>
      <c r="Y103" s="264"/>
    </row>
    <row r="104" spans="6:30" x14ac:dyDescent="0.35">
      <c r="F104" s="84" t="s">
        <v>212</v>
      </c>
    </row>
    <row r="105" spans="6:30" ht="20.149999999999999" customHeight="1" x14ac:dyDescent="0.35">
      <c r="F105" s="518" t="s">
        <v>69</v>
      </c>
      <c r="G105" s="518"/>
      <c r="H105" s="592" t="s">
        <v>70</v>
      </c>
      <c r="I105" s="593"/>
      <c r="J105" s="593"/>
      <c r="K105" s="593"/>
      <c r="L105" s="593"/>
      <c r="M105" s="593"/>
      <c r="N105" s="594"/>
      <c r="O105" s="598" t="s">
        <v>71</v>
      </c>
      <c r="P105" s="598" t="s">
        <v>72</v>
      </c>
      <c r="Q105" s="518" t="s">
        <v>173</v>
      </c>
      <c r="R105" s="518"/>
      <c r="S105" s="518"/>
      <c r="T105" s="518" t="s">
        <v>174</v>
      </c>
      <c r="U105" s="518"/>
      <c r="V105" s="518"/>
      <c r="W105" s="518"/>
      <c r="X105" s="518"/>
      <c r="Y105" s="518"/>
    </row>
    <row r="106" spans="6:30" ht="31.5" customHeight="1" x14ac:dyDescent="0.35">
      <c r="F106" s="518"/>
      <c r="G106" s="518"/>
      <c r="H106" s="595"/>
      <c r="I106" s="596"/>
      <c r="J106" s="596"/>
      <c r="K106" s="596"/>
      <c r="L106" s="596"/>
      <c r="M106" s="596"/>
      <c r="N106" s="597"/>
      <c r="O106" s="599"/>
      <c r="P106" s="599"/>
      <c r="Q106" s="289" t="s">
        <v>2460</v>
      </c>
      <c r="R106" s="289" t="s">
        <v>2461</v>
      </c>
      <c r="S106" s="289"/>
      <c r="T106" s="610" t="s">
        <v>2462</v>
      </c>
      <c r="U106" s="611"/>
      <c r="V106" s="612"/>
      <c r="W106" s="289" t="s">
        <v>2461</v>
      </c>
      <c r="X106" s="566"/>
      <c r="Y106" s="566"/>
    </row>
    <row r="107" spans="6:30" ht="26.15" customHeight="1" x14ac:dyDescent="0.35">
      <c r="F107" s="613" t="s">
        <v>73</v>
      </c>
      <c r="G107" s="614"/>
      <c r="H107" s="614"/>
      <c r="I107" s="614"/>
      <c r="J107" s="614"/>
      <c r="K107" s="614"/>
      <c r="L107" s="614"/>
      <c r="M107" s="614"/>
      <c r="N107" s="614"/>
      <c r="O107" s="614"/>
      <c r="P107" s="614"/>
      <c r="Q107" s="614"/>
      <c r="R107" s="614"/>
      <c r="S107" s="614"/>
      <c r="T107" s="614"/>
      <c r="U107" s="614"/>
      <c r="V107" s="614"/>
      <c r="W107" s="614"/>
      <c r="X107" s="614"/>
      <c r="Y107" s="615"/>
    </row>
    <row r="108" spans="6:30" ht="26.15" customHeight="1" x14ac:dyDescent="0.35">
      <c r="F108" s="538">
        <v>1</v>
      </c>
      <c r="G108" s="538"/>
      <c r="H108" s="607" t="str">
        <f>H79</f>
        <v>Pendidikan Agama</v>
      </c>
      <c r="I108" s="608"/>
      <c r="J108" s="608"/>
      <c r="K108" s="608"/>
      <c r="L108" s="608"/>
      <c r="M108" s="608"/>
      <c r="N108" s="609"/>
      <c r="O108" s="270">
        <f>O79</f>
        <v>2</v>
      </c>
      <c r="P108" s="270">
        <f>P79</f>
        <v>70</v>
      </c>
      <c r="Q108" s="280">
        <f>ROUND(AB108,0)</f>
        <v>85</v>
      </c>
      <c r="R108" s="293">
        <f>IF(Q108="","", IF(Q108=100,100, Q108+1))</f>
        <v>86</v>
      </c>
      <c r="S108" s="291"/>
      <c r="T108" s="603" t="str">
        <f>IF(Q108=0,"",IF(Q108&gt;=79.1,"SB",IF(Q108&gt;=65.8,"B",IF(Q108&gt;=50.66,"C",IF(Q108&gt;=0.51,"D",)))))</f>
        <v>SB</v>
      </c>
      <c r="U108" s="604"/>
      <c r="V108" s="605"/>
      <c r="W108" s="293" t="str">
        <f>IF(R108="","",IF(R108&gt;=79.1,"SB",IF(R108&gt;=65.8,"B",IF(R108&gt;=50.66,"C",IF(R108&gt;=0.51,"D",)))))</f>
        <v>SB</v>
      </c>
      <c r="X108" s="606"/>
      <c r="Y108" s="606"/>
      <c r="AA108" s="293">
        <f>VLOOKUP(N2,nilpels2,22,FALSE)</f>
        <v>85</v>
      </c>
      <c r="AB108" s="301">
        <f t="shared" ref="AB108:AB114" si="23">IF(AA108&lt;80,"80",AA108)</f>
        <v>85</v>
      </c>
    </row>
    <row r="109" spans="6:30" ht="34.5" customHeight="1" x14ac:dyDescent="0.35">
      <c r="F109" s="538">
        <v>2</v>
      </c>
      <c r="G109" s="538"/>
      <c r="H109" s="600" t="str">
        <f t="shared" ref="H109:H114" si="24">H80</f>
        <v>Pendidikan Pancasila dan Kewarganegaraan (PPKN)</v>
      </c>
      <c r="I109" s="601"/>
      <c r="J109" s="601"/>
      <c r="K109" s="601"/>
      <c r="L109" s="601"/>
      <c r="M109" s="601"/>
      <c r="N109" s="602"/>
      <c r="O109" s="270">
        <f t="shared" ref="O109:P114" si="25">O80</f>
        <v>2</v>
      </c>
      <c r="P109" s="270">
        <f t="shared" si="25"/>
        <v>70</v>
      </c>
      <c r="Q109" s="280">
        <f t="shared" ref="Q109:Q114" si="26">ROUND(AB109,0)</f>
        <v>80</v>
      </c>
      <c r="R109" s="293">
        <f t="shared" ref="R109:R114" si="27">IF(Q109="","", IF(Q109=100,100, Q109+1))</f>
        <v>81</v>
      </c>
      <c r="S109" s="291"/>
      <c r="T109" s="603" t="str">
        <f t="shared" ref="T109:T114" si="28">IF(Q109=0,"",IF(Q109&gt;=79.1,"SB",IF(Q109&gt;=65.8,"B",IF(Q109&gt;=50.66,"C",IF(Q109&gt;=0.51,"D",)))))</f>
        <v>SB</v>
      </c>
      <c r="U109" s="604"/>
      <c r="V109" s="605"/>
      <c r="W109" s="293" t="str">
        <f t="shared" ref="W109:W114" si="29">IF(R109="","",IF(R109&gt;=79.1,"SB",IF(R109&gt;=65.8,"B",IF(R109&gt;=50.66,"C",IF(R109&gt;=0.51,"D",)))))</f>
        <v>SB</v>
      </c>
      <c r="X109" s="606"/>
      <c r="Y109" s="606"/>
      <c r="AA109" s="293">
        <f>VLOOKUP(N2,nilpels2,24,FALSE)</f>
        <v>79</v>
      </c>
      <c r="AB109" s="301" t="str">
        <f t="shared" si="23"/>
        <v>80</v>
      </c>
    </row>
    <row r="110" spans="6:30" ht="26.15" customHeight="1" x14ac:dyDescent="0.35">
      <c r="F110" s="538">
        <v>3</v>
      </c>
      <c r="G110" s="538"/>
      <c r="H110" s="607" t="str">
        <f t="shared" si="24"/>
        <v>Bahasa Indonesia</v>
      </c>
      <c r="I110" s="608"/>
      <c r="J110" s="608"/>
      <c r="K110" s="608"/>
      <c r="L110" s="608"/>
      <c r="M110" s="608"/>
      <c r="N110" s="609"/>
      <c r="O110" s="270">
        <f t="shared" si="25"/>
        <v>1</v>
      </c>
      <c r="P110" s="270">
        <f t="shared" si="25"/>
        <v>70</v>
      </c>
      <c r="Q110" s="280">
        <f t="shared" si="26"/>
        <v>80</v>
      </c>
      <c r="R110" s="293">
        <f t="shared" si="27"/>
        <v>81</v>
      </c>
      <c r="S110" s="291"/>
      <c r="T110" s="603" t="str">
        <f t="shared" si="28"/>
        <v>SB</v>
      </c>
      <c r="U110" s="604"/>
      <c r="V110" s="605"/>
      <c r="W110" s="293" t="str">
        <f t="shared" si="29"/>
        <v>SB</v>
      </c>
      <c r="X110" s="606"/>
      <c r="Y110" s="606"/>
      <c r="AA110" s="293">
        <f>VLOOKUP(N2,nilpels2,26,FALSE)</f>
        <v>70</v>
      </c>
      <c r="AB110" s="301" t="str">
        <f t="shared" si="23"/>
        <v>80</v>
      </c>
    </row>
    <row r="111" spans="6:30" ht="26.15" customHeight="1" x14ac:dyDescent="0.35">
      <c r="F111" s="538">
        <v>4</v>
      </c>
      <c r="G111" s="538"/>
      <c r="H111" s="607" t="str">
        <f t="shared" si="24"/>
        <v>Bahasa Inggris</v>
      </c>
      <c r="I111" s="608"/>
      <c r="J111" s="608"/>
      <c r="K111" s="608"/>
      <c r="L111" s="608"/>
      <c r="M111" s="608"/>
      <c r="N111" s="609"/>
      <c r="O111" s="270">
        <f t="shared" si="25"/>
        <v>1</v>
      </c>
      <c r="P111" s="270">
        <f t="shared" si="25"/>
        <v>70</v>
      </c>
      <c r="Q111" s="280">
        <f t="shared" si="26"/>
        <v>80</v>
      </c>
      <c r="R111" s="293">
        <f t="shared" si="27"/>
        <v>81</v>
      </c>
      <c r="S111" s="291"/>
      <c r="T111" s="603" t="str">
        <f t="shared" si="28"/>
        <v>SB</v>
      </c>
      <c r="U111" s="604"/>
      <c r="V111" s="605"/>
      <c r="W111" s="293" t="str">
        <f t="shared" si="29"/>
        <v>SB</v>
      </c>
      <c r="X111" s="606"/>
      <c r="Y111" s="606"/>
      <c r="AA111" s="293">
        <f>VLOOKUP(N2,nilpels2,28,FALSE)</f>
        <v>70</v>
      </c>
      <c r="AB111" s="301" t="str">
        <f t="shared" si="23"/>
        <v>80</v>
      </c>
    </row>
    <row r="112" spans="6:30" ht="26.15" customHeight="1" x14ac:dyDescent="0.35">
      <c r="F112" s="538">
        <v>5</v>
      </c>
      <c r="G112" s="538"/>
      <c r="H112" s="607" t="str">
        <f t="shared" si="24"/>
        <v>Matematika</v>
      </c>
      <c r="I112" s="608"/>
      <c r="J112" s="608"/>
      <c r="K112" s="608"/>
      <c r="L112" s="608"/>
      <c r="M112" s="608"/>
      <c r="N112" s="609"/>
      <c r="O112" s="270">
        <f t="shared" si="25"/>
        <v>1</v>
      </c>
      <c r="P112" s="270">
        <f t="shared" si="25"/>
        <v>70</v>
      </c>
      <c r="Q112" s="280">
        <f t="shared" si="26"/>
        <v>96</v>
      </c>
      <c r="R112" s="293">
        <f t="shared" si="27"/>
        <v>97</v>
      </c>
      <c r="S112" s="291"/>
      <c r="T112" s="603" t="str">
        <f t="shared" si="28"/>
        <v>SB</v>
      </c>
      <c r="U112" s="604"/>
      <c r="V112" s="605"/>
      <c r="W112" s="293" t="str">
        <f t="shared" si="29"/>
        <v>SB</v>
      </c>
      <c r="X112" s="606"/>
      <c r="Y112" s="606"/>
      <c r="AA112" s="293">
        <f>VLOOKUP(N2,nilpels2,30,FALSE)</f>
        <v>96</v>
      </c>
      <c r="AB112" s="301">
        <f t="shared" si="23"/>
        <v>96</v>
      </c>
    </row>
    <row r="113" spans="6:30" ht="26.15" customHeight="1" x14ac:dyDescent="0.35">
      <c r="F113" s="538">
        <v>6</v>
      </c>
      <c r="G113" s="538"/>
      <c r="H113" s="607" t="str">
        <f t="shared" si="24"/>
        <v>Ilmu Pengetahuan Alam</v>
      </c>
      <c r="I113" s="608"/>
      <c r="J113" s="608"/>
      <c r="K113" s="608"/>
      <c r="L113" s="608"/>
      <c r="M113" s="608"/>
      <c r="N113" s="609"/>
      <c r="O113" s="270">
        <f t="shared" si="25"/>
        <v>1</v>
      </c>
      <c r="P113" s="270">
        <f t="shared" si="25"/>
        <v>70</v>
      </c>
      <c r="Q113" s="280">
        <f t="shared" si="26"/>
        <v>80</v>
      </c>
      <c r="R113" s="293">
        <f t="shared" si="27"/>
        <v>81</v>
      </c>
      <c r="S113" s="291"/>
      <c r="T113" s="603" t="str">
        <f t="shared" si="28"/>
        <v>SB</v>
      </c>
      <c r="U113" s="604"/>
      <c r="V113" s="605"/>
      <c r="W113" s="293" t="str">
        <f t="shared" si="29"/>
        <v>SB</v>
      </c>
      <c r="X113" s="606"/>
      <c r="Y113" s="606"/>
      <c r="AA113" s="293">
        <f>VLOOKUP(N2,nilpels2,32,FALSE)</f>
        <v>55</v>
      </c>
      <c r="AB113" s="301" t="str">
        <f t="shared" si="23"/>
        <v>80</v>
      </c>
    </row>
    <row r="114" spans="6:30" ht="26.15" customHeight="1" x14ac:dyDescent="0.35">
      <c r="F114" s="538">
        <v>7</v>
      </c>
      <c r="G114" s="538"/>
      <c r="H114" s="607" t="str">
        <f t="shared" si="24"/>
        <v>Ilmu Pengetahuan Sosial</v>
      </c>
      <c r="I114" s="608"/>
      <c r="J114" s="608"/>
      <c r="K114" s="608"/>
      <c r="L114" s="608"/>
      <c r="M114" s="608"/>
      <c r="N114" s="609"/>
      <c r="O114" s="270">
        <f t="shared" si="25"/>
        <v>1</v>
      </c>
      <c r="P114" s="270">
        <f t="shared" si="25"/>
        <v>70</v>
      </c>
      <c r="Q114" s="280">
        <f t="shared" si="26"/>
        <v>80</v>
      </c>
      <c r="R114" s="293">
        <f t="shared" si="27"/>
        <v>81</v>
      </c>
      <c r="S114" s="291"/>
      <c r="T114" s="603" t="str">
        <f t="shared" si="28"/>
        <v>SB</v>
      </c>
      <c r="U114" s="604"/>
      <c r="V114" s="605"/>
      <c r="W114" s="293" t="str">
        <f t="shared" si="29"/>
        <v>SB</v>
      </c>
      <c r="X114" s="606"/>
      <c r="Y114" s="606"/>
      <c r="AA114" s="293">
        <f>VLOOKUP(N2,nilpels2,34,FALSE)</f>
        <v>50</v>
      </c>
      <c r="AB114" s="301" t="str">
        <f t="shared" si="23"/>
        <v>80</v>
      </c>
    </row>
    <row r="115" spans="6:30" ht="26.15" customHeight="1" x14ac:dyDescent="0.35">
      <c r="F115" s="616" t="s">
        <v>204</v>
      </c>
      <c r="G115" s="617"/>
      <c r="H115" s="617"/>
      <c r="I115" s="617"/>
      <c r="J115" s="617"/>
      <c r="K115" s="617"/>
      <c r="L115" s="617"/>
      <c r="M115" s="617"/>
      <c r="N115" s="617"/>
      <c r="O115" s="617"/>
      <c r="P115" s="617"/>
      <c r="Q115" s="617"/>
      <c r="R115" s="617"/>
      <c r="S115" s="617"/>
      <c r="T115" s="617"/>
      <c r="U115" s="617"/>
      <c r="V115" s="617"/>
      <c r="W115" s="617"/>
      <c r="X115" s="617"/>
      <c r="Y115" s="618"/>
      <c r="AA115" s="299"/>
      <c r="AB115" s="53"/>
    </row>
    <row r="116" spans="6:30" ht="26.15" customHeight="1" x14ac:dyDescent="0.35">
      <c r="F116" s="538">
        <v>8</v>
      </c>
      <c r="G116" s="538"/>
      <c r="H116" s="540" t="s">
        <v>205</v>
      </c>
      <c r="I116" s="540"/>
      <c r="J116" s="540"/>
      <c r="K116" s="540"/>
      <c r="L116" s="540"/>
      <c r="M116" s="540"/>
      <c r="N116" s="540"/>
      <c r="O116" s="540"/>
      <c r="P116" s="540"/>
      <c r="Q116" s="540"/>
      <c r="R116" s="540"/>
      <c r="S116" s="540"/>
      <c r="T116" s="540"/>
      <c r="U116" s="540"/>
      <c r="V116" s="540"/>
      <c r="W116" s="540"/>
      <c r="X116" s="540"/>
      <c r="Y116" s="540"/>
      <c r="AA116" s="299"/>
      <c r="AB116" s="53"/>
    </row>
    <row r="117" spans="6:30" ht="26.15" customHeight="1" x14ac:dyDescent="0.35">
      <c r="F117" s="538"/>
      <c r="G117" s="538"/>
      <c r="H117" s="607" t="str">
        <f>H88</f>
        <v>Tahfizh Al-Qur'an</v>
      </c>
      <c r="I117" s="608"/>
      <c r="J117" s="608"/>
      <c r="K117" s="608"/>
      <c r="L117" s="608"/>
      <c r="M117" s="608"/>
      <c r="N117" s="609"/>
      <c r="O117" s="270">
        <f>O88</f>
        <v>2</v>
      </c>
      <c r="P117" s="270">
        <f>P88</f>
        <v>70</v>
      </c>
      <c r="Q117" s="603">
        <f>ROUND(AB117,0)</f>
        <v>80</v>
      </c>
      <c r="R117" s="604"/>
      <c r="S117" s="605"/>
      <c r="T117" s="603" t="str">
        <f>IF(Q117=0,"",IF(Q117&gt;=79.1,"SB",IF(Q117&gt;=65.8,"B",IF(Q117&gt;=50.66,"C",IF(Q117&gt;=0.51,"D",)))))</f>
        <v>SB</v>
      </c>
      <c r="U117" s="604"/>
      <c r="V117" s="604"/>
      <c r="W117" s="604"/>
      <c r="X117" s="604"/>
      <c r="Y117" s="605"/>
      <c r="AA117" s="293">
        <f>VLOOKUP(N2,nilpels2,3,FALSE)</f>
        <v>79</v>
      </c>
      <c r="AB117" s="301" t="str">
        <f t="shared" ref="AB117:AB118" si="30">IF(AA117&lt;80,"80",AA117)</f>
        <v>80</v>
      </c>
    </row>
    <row r="118" spans="6:30" ht="26.15" customHeight="1" x14ac:dyDescent="0.35">
      <c r="F118" s="538"/>
      <c r="G118" s="538"/>
      <c r="H118" s="607" t="str">
        <f>H89</f>
        <v>Keasramaan</v>
      </c>
      <c r="I118" s="608"/>
      <c r="J118" s="608"/>
      <c r="K118" s="608"/>
      <c r="L118" s="608"/>
      <c r="M118" s="608"/>
      <c r="N118" s="609"/>
      <c r="O118" s="270">
        <f>O89</f>
        <v>1</v>
      </c>
      <c r="P118" s="270">
        <f>P89</f>
        <v>70</v>
      </c>
      <c r="Q118" s="603">
        <f>ROUND(AB118,0)</f>
        <v>90</v>
      </c>
      <c r="R118" s="604"/>
      <c r="S118" s="605"/>
      <c r="T118" s="603" t="str">
        <f>IF(Q118=0,"",IF(Q118&gt;=79.1,"SB",IF(Q118&gt;=65.8,"B",IF(Q118&gt;=50.66,"C",IF(Q118&gt;=0.51,"D",)))))</f>
        <v>SB</v>
      </c>
      <c r="U118" s="604"/>
      <c r="V118" s="604"/>
      <c r="W118" s="604"/>
      <c r="X118" s="604"/>
      <c r="Y118" s="605"/>
      <c r="AA118" s="293">
        <f>VLOOKUP(N2,nilpels2,4,FALSE)</f>
        <v>90</v>
      </c>
      <c r="AB118" s="301">
        <f t="shared" si="30"/>
        <v>90</v>
      </c>
    </row>
    <row r="119" spans="6:30" ht="26.15" customHeight="1" x14ac:dyDescent="0.35">
      <c r="F119" s="538">
        <v>9</v>
      </c>
      <c r="G119" s="538"/>
      <c r="H119" s="607" t="s">
        <v>206</v>
      </c>
      <c r="I119" s="608"/>
      <c r="J119" s="608"/>
      <c r="K119" s="608"/>
      <c r="L119" s="608"/>
      <c r="M119" s="608"/>
      <c r="N119" s="608"/>
      <c r="O119" s="608"/>
      <c r="P119" s="608"/>
      <c r="Q119" s="608"/>
      <c r="R119" s="608"/>
      <c r="S119" s="608"/>
      <c r="T119" s="608"/>
      <c r="U119" s="608"/>
      <c r="V119" s="608"/>
      <c r="W119" s="608"/>
      <c r="X119" s="608"/>
      <c r="Y119" s="609"/>
      <c r="AA119" s="299"/>
      <c r="AB119" s="293"/>
    </row>
    <row r="120" spans="6:30" ht="26.15" customHeight="1" x14ac:dyDescent="0.35">
      <c r="F120" s="538"/>
      <c r="G120" s="538"/>
      <c r="H120" s="607" t="str">
        <f>H91</f>
        <v>a. Keterampilan Wajib</v>
      </c>
      <c r="I120" s="608"/>
      <c r="J120" s="608"/>
      <c r="K120" s="608"/>
      <c r="L120" s="608"/>
      <c r="M120" s="608"/>
      <c r="N120" s="609"/>
      <c r="O120" s="270">
        <f>O91</f>
        <v>2</v>
      </c>
      <c r="P120" s="270">
        <f>P91</f>
        <v>70</v>
      </c>
      <c r="Q120" s="603">
        <f>ROUND(AB120,0)</f>
        <v>85</v>
      </c>
      <c r="R120" s="604"/>
      <c r="S120" s="605"/>
      <c r="T120" s="603" t="str">
        <f>IF(Q120=0,"",IF(Q120&gt;=79.1,"SB",IF(Q120&gt;=65.8,"B",IF(Q120&gt;=50.66,"C",IF(Q120&gt;=0.51,"D",)))))</f>
        <v>SB</v>
      </c>
      <c r="U120" s="604"/>
      <c r="V120" s="604"/>
      <c r="W120" s="604"/>
      <c r="X120" s="604"/>
      <c r="Y120" s="605"/>
      <c r="AA120" s="293">
        <f>VLOOKUP(N2,nilpels2,5,FALSE)</f>
        <v>85</v>
      </c>
      <c r="AB120" s="301">
        <f t="shared" ref="AB120:AB123" si="31">IF(AA120&lt;80,"80",AA120)</f>
        <v>85</v>
      </c>
    </row>
    <row r="121" spans="6:30" ht="26.15" customHeight="1" x14ac:dyDescent="0.35">
      <c r="F121" s="538"/>
      <c r="G121" s="538"/>
      <c r="H121" s="607" t="str">
        <f>H92</f>
        <v>b. Keterampilan Pilihan :</v>
      </c>
      <c r="I121" s="608"/>
      <c r="J121" s="608"/>
      <c r="K121" s="608"/>
      <c r="L121" s="608"/>
      <c r="M121" s="608"/>
      <c r="N121" s="608"/>
      <c r="O121" s="608"/>
      <c r="P121" s="608"/>
      <c r="Q121" s="608"/>
      <c r="R121" s="608"/>
      <c r="S121" s="608"/>
      <c r="T121" s="608"/>
      <c r="U121" s="608"/>
      <c r="V121" s="608"/>
      <c r="W121" s="608"/>
      <c r="X121" s="608"/>
      <c r="Y121" s="609"/>
      <c r="AA121" s="299"/>
      <c r="AB121" s="293"/>
    </row>
    <row r="122" spans="6:30" ht="26.15" customHeight="1" x14ac:dyDescent="0.35">
      <c r="F122" s="538"/>
      <c r="G122" s="538"/>
      <c r="H122" s="607" t="str">
        <f>H93</f>
        <v xml:space="preserve">    1) Public Speaking</v>
      </c>
      <c r="I122" s="608"/>
      <c r="J122" s="608"/>
      <c r="K122" s="608"/>
      <c r="L122" s="608"/>
      <c r="M122" s="608"/>
      <c r="N122" s="609"/>
      <c r="O122" s="270">
        <f>O93</f>
        <v>1</v>
      </c>
      <c r="P122" s="270">
        <f>P93</f>
        <v>70</v>
      </c>
      <c r="Q122" s="603">
        <f>ROUND(AB122,0)</f>
        <v>85</v>
      </c>
      <c r="R122" s="604"/>
      <c r="S122" s="605"/>
      <c r="T122" s="603" t="str">
        <f>IF(Q122=0,"",IF(Q122&gt;=79.1,"SB",IF(Q122&gt;=65.8,"B",IF(Q122&gt;=50.66,"C",IF(Q122&gt;=0.51,"D",)))))</f>
        <v>SB</v>
      </c>
      <c r="U122" s="604"/>
      <c r="V122" s="604"/>
      <c r="W122" s="604"/>
      <c r="X122" s="604"/>
      <c r="Y122" s="605"/>
      <c r="AA122" s="293">
        <f>VLOOKUP(N2,nilpels2,13,FALSE)</f>
        <v>85</v>
      </c>
      <c r="AB122" s="301">
        <f t="shared" si="31"/>
        <v>85</v>
      </c>
    </row>
    <row r="123" spans="6:30" ht="26.15" customHeight="1" x14ac:dyDescent="0.35">
      <c r="F123" s="538"/>
      <c r="G123" s="538"/>
      <c r="H123" s="607" t="str">
        <f>H94</f>
        <v xml:space="preserve">    2) Olahraga</v>
      </c>
      <c r="I123" s="608"/>
      <c r="J123" s="608"/>
      <c r="K123" s="608"/>
      <c r="L123" s="608"/>
      <c r="M123" s="608"/>
      <c r="N123" s="609"/>
      <c r="O123" s="270">
        <f>O94</f>
        <v>1</v>
      </c>
      <c r="P123" s="270">
        <f>P94</f>
        <v>70</v>
      </c>
      <c r="Q123" s="603">
        <f>ROUND(AB123,0)</f>
        <v>80</v>
      </c>
      <c r="R123" s="604"/>
      <c r="S123" s="605"/>
      <c r="T123" s="603" t="str">
        <f>IF(Q123=0,"",IF(Q123&gt;=79.1,"SB",IF(Q123&gt;=65.8,"B",IF(Q123&gt;=50.66,"C",IF(Q123&gt;=0.51,"D",)))))</f>
        <v>SB</v>
      </c>
      <c r="U123" s="604"/>
      <c r="V123" s="604"/>
      <c r="W123" s="604"/>
      <c r="X123" s="604"/>
      <c r="Y123" s="605"/>
      <c r="AA123" s="293">
        <f>VLOOKUP(N2,nilpels2,15,FALSE)</f>
        <v>70</v>
      </c>
      <c r="AB123" s="301" t="str">
        <f t="shared" si="31"/>
        <v>80</v>
      </c>
    </row>
    <row r="124" spans="6:30" ht="13.5" customHeight="1" x14ac:dyDescent="0.35">
      <c r="F124" s="264"/>
      <c r="G124" s="264"/>
      <c r="H124" s="44"/>
      <c r="I124" s="44"/>
      <c r="J124" s="44"/>
      <c r="K124" s="44"/>
      <c r="L124" s="44"/>
      <c r="M124" s="44"/>
      <c r="N124" s="44"/>
      <c r="O124" s="264"/>
      <c r="P124" s="264"/>
      <c r="Q124" s="264"/>
      <c r="R124" s="264"/>
      <c r="S124" s="264"/>
      <c r="T124" s="264"/>
      <c r="U124" s="264"/>
      <c r="V124" s="264"/>
      <c r="W124" s="264"/>
      <c r="X124" s="264"/>
      <c r="Y124" s="264"/>
    </row>
    <row r="125" spans="6:30" ht="26.15" customHeight="1" x14ac:dyDescent="0.35">
      <c r="F125" s="84" t="s">
        <v>2452</v>
      </c>
    </row>
    <row r="126" spans="6:30" ht="26.15" customHeight="1" x14ac:dyDescent="0.35">
      <c r="F126" s="518" t="s">
        <v>69</v>
      </c>
      <c r="G126" s="518"/>
      <c r="H126" s="519" t="s">
        <v>214</v>
      </c>
      <c r="I126" s="520"/>
      <c r="J126" s="520"/>
      <c r="K126" s="520"/>
      <c r="L126" s="520"/>
      <c r="M126" s="520"/>
      <c r="N126" s="520"/>
      <c r="O126" s="521"/>
      <c r="P126" s="624" t="s">
        <v>174</v>
      </c>
      <c r="Q126" s="625"/>
      <c r="R126" s="518" t="s">
        <v>170</v>
      </c>
      <c r="S126" s="518"/>
      <c r="T126" s="518"/>
      <c r="U126" s="518"/>
      <c r="V126" s="518"/>
      <c r="W126" s="518"/>
      <c r="X126" s="518"/>
      <c r="Y126" s="518"/>
    </row>
    <row r="127" spans="6:30" ht="26.15" customHeight="1" x14ac:dyDescent="0.35">
      <c r="F127" s="518">
        <v>1</v>
      </c>
      <c r="G127" s="518"/>
      <c r="H127" s="619" t="str">
        <f>VLOOKUP(N2,walikls2,24,FALSE)</f>
        <v>Silat</v>
      </c>
      <c r="I127" s="620"/>
      <c r="J127" s="620"/>
      <c r="K127" s="620"/>
      <c r="L127" s="620"/>
      <c r="M127" s="620"/>
      <c r="N127" s="620"/>
      <c r="O127" s="621"/>
      <c r="P127" s="622" t="str">
        <f>VLOOKUP(N2,walikls2,25,FALSE)</f>
        <v>B</v>
      </c>
      <c r="Q127" s="623"/>
      <c r="R127" s="547">
        <f>VLOOKUP(N2,walikls2,26,FALSE)</f>
        <v>0</v>
      </c>
      <c r="S127" s="547"/>
      <c r="T127" s="547"/>
      <c r="U127" s="547"/>
      <c r="V127" s="547"/>
      <c r="W127" s="547"/>
      <c r="X127" s="547"/>
      <c r="Y127" s="547"/>
    </row>
    <row r="128" spans="6:30" ht="26.15" customHeight="1" x14ac:dyDescent="0.35">
      <c r="F128" s="518">
        <v>2</v>
      </c>
      <c r="G128" s="518"/>
      <c r="H128" s="619" t="str">
        <f>VLOOKUP(N2,walikls2,27,FALSE)</f>
        <v>Tibbun</v>
      </c>
      <c r="I128" s="620"/>
      <c r="J128" s="620"/>
      <c r="K128" s="620"/>
      <c r="L128" s="620"/>
      <c r="M128" s="620"/>
      <c r="N128" s="620"/>
      <c r="O128" s="621"/>
      <c r="P128" s="622" t="str">
        <f>VLOOKUP(N2,walikls2,28,FALSE)</f>
        <v>B</v>
      </c>
      <c r="Q128" s="623"/>
      <c r="R128" s="547">
        <f>VLOOKUP(N2,walikls2,29,FALSE)</f>
        <v>0</v>
      </c>
      <c r="S128" s="547"/>
      <c r="T128" s="547"/>
      <c r="U128" s="547"/>
      <c r="V128" s="547"/>
      <c r="W128" s="547"/>
      <c r="X128" s="547"/>
      <c r="Y128" s="547"/>
      <c r="AA128" s="292"/>
      <c r="AD128" s="34"/>
    </row>
    <row r="129" spans="6:30" ht="26.15" customHeight="1" x14ac:dyDescent="0.35">
      <c r="F129" s="518">
        <v>3</v>
      </c>
      <c r="G129" s="518"/>
      <c r="H129" s="622">
        <f>VLOOKUP(N2,walikls2,30,FALSE)</f>
        <v>0</v>
      </c>
      <c r="I129" s="626"/>
      <c r="J129" s="626"/>
      <c r="K129" s="626"/>
      <c r="L129" s="626"/>
      <c r="M129" s="626"/>
      <c r="N129" s="626"/>
      <c r="O129" s="623"/>
      <c r="P129" s="622">
        <f>VLOOKUP(N2,walikls2,31,FALSE)</f>
        <v>0</v>
      </c>
      <c r="Q129" s="623"/>
      <c r="R129" s="547">
        <f>VLOOKUP(N2,walikls2,32,FALSE)</f>
        <v>0</v>
      </c>
      <c r="S129" s="547"/>
      <c r="T129" s="547"/>
      <c r="U129" s="547"/>
      <c r="V129" s="547"/>
      <c r="W129" s="547"/>
      <c r="X129" s="547"/>
      <c r="Y129" s="547"/>
      <c r="AA129" s="292"/>
      <c r="AD129" s="34"/>
    </row>
    <row r="130" spans="6:30" s="34" customFormat="1" ht="34.5" customHeight="1" x14ac:dyDescent="0.35">
      <c r="F130" s="87" t="s">
        <v>120</v>
      </c>
      <c r="G130" s="87"/>
      <c r="H130" s="87"/>
      <c r="I130" s="87"/>
      <c r="J130" s="88"/>
      <c r="K130" s="89"/>
      <c r="L130" s="89"/>
      <c r="M130" s="254" t="s">
        <v>1</v>
      </c>
      <c r="N130" s="262" t="str">
        <f>N95</f>
        <v>PKBM GENERASI BANGSA</v>
      </c>
      <c r="O130" s="44"/>
      <c r="P130" s="262"/>
      <c r="Q130" s="262"/>
      <c r="R130" s="588" t="s">
        <v>191</v>
      </c>
      <c r="S130" s="588"/>
      <c r="T130" s="588"/>
      <c r="U130" s="588"/>
      <c r="V130" s="588"/>
      <c r="W130" s="588"/>
      <c r="X130" s="588"/>
      <c r="Y130" s="588"/>
      <c r="AA130" s="292"/>
    </row>
    <row r="131" spans="6:30" s="34" customFormat="1" ht="17.25" customHeight="1" x14ac:dyDescent="0.35">
      <c r="F131" s="534" t="s">
        <v>192</v>
      </c>
      <c r="G131" s="534"/>
      <c r="H131" s="534"/>
      <c r="I131" s="534"/>
      <c r="J131" s="534"/>
      <c r="K131" s="534"/>
      <c r="L131" s="269"/>
      <c r="M131" s="544" t="s">
        <v>1</v>
      </c>
      <c r="N131" s="589" t="str">
        <f>N96</f>
        <v>Jl. Terusan Islamic Center - Sigempol KM 03 , Limbangan Wetan Brebes Jawa Tengah</v>
      </c>
      <c r="O131" s="589"/>
      <c r="P131" s="589"/>
      <c r="Q131" s="589"/>
      <c r="R131" s="590" t="s">
        <v>223</v>
      </c>
      <c r="S131" s="590"/>
      <c r="T131" s="590"/>
      <c r="U131" s="590"/>
      <c r="V131" s="254" t="s">
        <v>1</v>
      </c>
      <c r="W131" s="591" t="str">
        <f>W96</f>
        <v>3/VII</v>
      </c>
      <c r="X131" s="591"/>
      <c r="Y131" s="591"/>
      <c r="AA131" s="292"/>
    </row>
    <row r="132" spans="6:30" s="34" customFormat="1" ht="17.25" customHeight="1" x14ac:dyDescent="0.35">
      <c r="F132" s="534"/>
      <c r="G132" s="534"/>
      <c r="H132" s="534"/>
      <c r="I132" s="534"/>
      <c r="J132" s="534"/>
      <c r="K132" s="534"/>
      <c r="L132" s="269"/>
      <c r="M132" s="544"/>
      <c r="N132" s="589"/>
      <c r="O132" s="589"/>
      <c r="P132" s="589"/>
      <c r="Q132" s="589"/>
      <c r="R132" s="535" t="s">
        <v>193</v>
      </c>
      <c r="S132" s="535"/>
      <c r="T132" s="535"/>
      <c r="U132" s="535"/>
      <c r="V132" s="254" t="s">
        <v>1</v>
      </c>
      <c r="W132" s="591" t="str">
        <f t="shared" ref="W132:W133" si="32">W97</f>
        <v>3.2</v>
      </c>
      <c r="X132" s="591"/>
      <c r="Y132" s="591"/>
      <c r="AA132" s="292"/>
    </row>
    <row r="133" spans="6:30" s="34" customFormat="1" ht="17.25" customHeight="1" x14ac:dyDescent="0.35">
      <c r="F133" s="534"/>
      <c r="G133" s="534"/>
      <c r="H133" s="534"/>
      <c r="I133" s="534"/>
      <c r="J133" s="534"/>
      <c r="K133" s="534"/>
      <c r="L133" s="269"/>
      <c r="M133" s="544"/>
      <c r="N133" s="589"/>
      <c r="O133" s="589"/>
      <c r="P133" s="589"/>
      <c r="Q133" s="589"/>
      <c r="R133" s="535" t="s">
        <v>7</v>
      </c>
      <c r="S133" s="535"/>
      <c r="T133" s="535"/>
      <c r="U133" s="535"/>
      <c r="V133" s="254" t="s">
        <v>1</v>
      </c>
      <c r="W133" s="591" t="str">
        <f t="shared" si="32"/>
        <v>2022/2023</v>
      </c>
      <c r="X133" s="591"/>
      <c r="Y133" s="591"/>
      <c r="AA133" s="292"/>
    </row>
    <row r="134" spans="6:30" s="34" customFormat="1" ht="22.5" customHeight="1" x14ac:dyDescent="0.35">
      <c r="F134" s="87" t="s">
        <v>139</v>
      </c>
      <c r="G134" s="87"/>
      <c r="H134" s="87"/>
      <c r="I134" s="87"/>
      <c r="J134" s="88"/>
      <c r="K134" s="90"/>
      <c r="L134" s="90"/>
      <c r="M134" s="254" t="s">
        <v>1</v>
      </c>
      <c r="N134" s="262" t="str">
        <f>N99</f>
        <v>M. NABHAN DZAKWAN</v>
      </c>
      <c r="O134" s="44"/>
      <c r="P134" s="263"/>
      <c r="Q134" s="273"/>
      <c r="R134" s="273"/>
      <c r="S134" s="44"/>
      <c r="T134" s="44"/>
      <c r="U134" s="44"/>
      <c r="V134" s="44"/>
      <c r="W134" s="44"/>
      <c r="X134" s="44"/>
      <c r="Y134" s="44"/>
      <c r="AA134" s="66"/>
      <c r="AD134"/>
    </row>
    <row r="135" spans="6:30" s="34" customFormat="1" ht="22.5" customHeight="1" x14ac:dyDescent="0.35">
      <c r="F135" s="87" t="s">
        <v>194</v>
      </c>
      <c r="G135" s="87"/>
      <c r="H135" s="87"/>
      <c r="I135" s="87"/>
      <c r="J135" s="88"/>
      <c r="K135" s="89"/>
      <c r="L135" s="89"/>
      <c r="M135" s="254" t="s">
        <v>1</v>
      </c>
      <c r="N135" s="44" t="str">
        <f>N100</f>
        <v>11.2022.0285/3104238355</v>
      </c>
      <c r="O135" s="44"/>
      <c r="P135" s="263"/>
      <c r="Q135" s="273"/>
      <c r="R135" s="273"/>
      <c r="S135" s="44"/>
      <c r="T135" s="44"/>
      <c r="U135" s="44"/>
      <c r="V135" s="44"/>
      <c r="W135" s="44"/>
      <c r="X135" s="44"/>
      <c r="Y135" s="44"/>
      <c r="AA135" s="66"/>
      <c r="AD135"/>
    </row>
    <row r="136" spans="6:30" x14ac:dyDescent="0.35">
      <c r="T136" s="44"/>
      <c r="U136" s="44"/>
      <c r="V136" s="44"/>
      <c r="W136" s="44"/>
      <c r="X136" s="44"/>
      <c r="Y136" s="44"/>
    </row>
    <row r="137" spans="6:30" ht="18.75" customHeight="1" x14ac:dyDescent="0.35">
      <c r="F137" s="586" t="s">
        <v>199</v>
      </c>
      <c r="G137" s="586"/>
      <c r="H137" s="586"/>
      <c r="I137" s="586"/>
      <c r="J137" s="586"/>
      <c r="K137" s="586"/>
      <c r="L137" s="586"/>
      <c r="M137" s="586"/>
      <c r="N137" s="586"/>
      <c r="O137" s="586"/>
      <c r="P137" s="586"/>
      <c r="Q137" s="586"/>
      <c r="R137" s="586"/>
      <c r="S137" s="586"/>
      <c r="T137" s="586"/>
      <c r="U137" s="586"/>
      <c r="V137" s="586"/>
      <c r="W137" s="586"/>
      <c r="X137" s="586"/>
      <c r="Y137" s="586"/>
    </row>
    <row r="138" spans="6:30" x14ac:dyDescent="0.35">
      <c r="AA138" s="292"/>
      <c r="AD138" s="34"/>
    </row>
    <row r="139" spans="6:30" ht="30" customHeight="1" x14ac:dyDescent="0.35">
      <c r="F139" s="84" t="s">
        <v>215</v>
      </c>
      <c r="AA139" s="292"/>
      <c r="AD139" s="34"/>
    </row>
    <row r="140" spans="6:30" s="34" customFormat="1" ht="26.25" customHeight="1" x14ac:dyDescent="0.35">
      <c r="F140" s="518" t="s">
        <v>69</v>
      </c>
      <c r="G140" s="518"/>
      <c r="H140" s="518" t="s">
        <v>216</v>
      </c>
      <c r="I140" s="518"/>
      <c r="J140" s="518"/>
      <c r="K140" s="518"/>
      <c r="L140" s="518"/>
      <c r="M140" s="518"/>
      <c r="N140" s="518"/>
      <c r="O140" s="518"/>
      <c r="P140" s="518"/>
      <c r="Q140" s="518" t="s">
        <v>167</v>
      </c>
      <c r="R140" s="518"/>
      <c r="S140" s="518"/>
      <c r="T140" s="518"/>
      <c r="U140" s="518"/>
      <c r="V140" s="518"/>
      <c r="W140" s="518"/>
      <c r="X140" s="518"/>
      <c r="Y140" s="518"/>
      <c r="AA140" s="292"/>
    </row>
    <row r="141" spans="6:30" s="34" customFormat="1" ht="26.25" customHeight="1" x14ac:dyDescent="0.35">
      <c r="F141" s="518">
        <v>1</v>
      </c>
      <c r="G141" s="518"/>
      <c r="H141" s="547">
        <f>VLOOKUP(N2,walikls2,18,FALSE)</f>
        <v>0</v>
      </c>
      <c r="I141" s="547"/>
      <c r="J141" s="547"/>
      <c r="K141" s="547"/>
      <c r="L141" s="547"/>
      <c r="M141" s="547"/>
      <c r="N141" s="547"/>
      <c r="O141" s="547"/>
      <c r="P141" s="547"/>
      <c r="Q141" s="547">
        <f>VLOOKUP(N2,walikls2,19,FALSE)</f>
        <v>0</v>
      </c>
      <c r="R141" s="547"/>
      <c r="S141" s="547"/>
      <c r="T141" s="547"/>
      <c r="U141" s="547"/>
      <c r="V141" s="547"/>
      <c r="W141" s="547"/>
      <c r="X141" s="547"/>
      <c r="Y141" s="547"/>
      <c r="AA141" s="292"/>
    </row>
    <row r="142" spans="6:30" s="34" customFormat="1" ht="26.25" customHeight="1" x14ac:dyDescent="0.35">
      <c r="F142" s="518">
        <v>2</v>
      </c>
      <c r="G142" s="518"/>
      <c r="H142" s="547">
        <f>VLOOKUP(N2,walikls2,20,FALSE)</f>
        <v>0</v>
      </c>
      <c r="I142" s="547"/>
      <c r="J142" s="547"/>
      <c r="K142" s="547"/>
      <c r="L142" s="547"/>
      <c r="M142" s="547"/>
      <c r="N142" s="547"/>
      <c r="O142" s="547"/>
      <c r="P142" s="547"/>
      <c r="Q142" s="547">
        <f>VLOOKUP(N2,walikls2,21,FALSE)</f>
        <v>0</v>
      </c>
      <c r="R142" s="547"/>
      <c r="S142" s="547"/>
      <c r="T142" s="547"/>
      <c r="U142" s="547"/>
      <c r="V142" s="547"/>
      <c r="W142" s="547"/>
      <c r="X142" s="547"/>
      <c r="Y142" s="547"/>
      <c r="AA142" s="292"/>
    </row>
    <row r="143" spans="6:30" s="34" customFormat="1" ht="26.25" customHeight="1" x14ac:dyDescent="0.35">
      <c r="F143" s="518">
        <v>3</v>
      </c>
      <c r="G143" s="518"/>
      <c r="H143" s="547">
        <f>VLOOKUP(N2,walikls2,22,FALSE)</f>
        <v>0</v>
      </c>
      <c r="I143" s="547"/>
      <c r="J143" s="547"/>
      <c r="K143" s="547"/>
      <c r="L143" s="547"/>
      <c r="M143" s="547"/>
      <c r="N143" s="547"/>
      <c r="O143" s="547"/>
      <c r="P143" s="547"/>
      <c r="Q143" s="547">
        <f>VLOOKUP(N2,walikls2,23,FALSE)</f>
        <v>0</v>
      </c>
      <c r="R143" s="547"/>
      <c r="S143" s="547"/>
      <c r="T143" s="547"/>
      <c r="U143" s="547"/>
      <c r="V143" s="547"/>
      <c r="W143" s="547"/>
      <c r="X143" s="547"/>
      <c r="Y143" s="547"/>
      <c r="AA143" s="292"/>
    </row>
    <row r="144" spans="6:30" s="34" customFormat="1" ht="18" customHeight="1" x14ac:dyDescent="0.35">
      <c r="P144" s="268"/>
      <c r="AA144" s="66"/>
      <c r="AD144"/>
    </row>
    <row r="145" spans="6:30" s="34" customFormat="1" ht="27" customHeight="1" x14ac:dyDescent="0.35">
      <c r="F145" s="84" t="s">
        <v>217</v>
      </c>
      <c r="P145" s="268"/>
      <c r="AA145" s="66"/>
      <c r="AD145"/>
    </row>
    <row r="146" spans="6:30" ht="41.25" customHeight="1" x14ac:dyDescent="0.35">
      <c r="F146" s="551" t="str">
        <f>VLOOKUP(N2,walikls2,9,FALSE)</f>
        <v>Alhamdulillah, Semoga ilmu yang dipelajari bermanfaat dan terus istiqomah dalam mengamalkan ilmu</v>
      </c>
      <c r="G146" s="551"/>
      <c r="H146" s="551"/>
      <c r="I146" s="551"/>
      <c r="J146" s="551"/>
      <c r="K146" s="551"/>
      <c r="L146" s="551"/>
      <c r="M146" s="551"/>
      <c r="N146" s="551"/>
      <c r="O146" s="551"/>
      <c r="P146" s="551"/>
      <c r="Q146" s="551"/>
      <c r="R146" s="551"/>
      <c r="S146" s="551"/>
      <c r="T146" s="551"/>
      <c r="U146" s="551"/>
      <c r="V146" s="551"/>
      <c r="W146" s="551"/>
      <c r="X146" s="551"/>
      <c r="Y146" s="551"/>
    </row>
    <row r="148" spans="6:30" ht="27.75" customHeight="1" x14ac:dyDescent="0.35">
      <c r="F148" s="84" t="s">
        <v>218</v>
      </c>
    </row>
    <row r="149" spans="6:30" ht="50.25" customHeight="1" x14ac:dyDescent="0.35">
      <c r="F149" s="552"/>
      <c r="G149" s="552"/>
      <c r="H149" s="552"/>
      <c r="I149" s="552"/>
      <c r="J149" s="552"/>
      <c r="K149" s="552"/>
      <c r="L149" s="552"/>
      <c r="M149" s="552"/>
      <c r="N149" s="552"/>
      <c r="O149" s="552"/>
      <c r="P149" s="552"/>
      <c r="Q149" s="552"/>
      <c r="R149" s="552"/>
      <c r="S149" s="552"/>
      <c r="T149" s="552"/>
      <c r="U149" s="552"/>
      <c r="V149" s="552"/>
      <c r="W149" s="552"/>
      <c r="X149" s="552"/>
      <c r="Y149" s="552"/>
    </row>
    <row r="150" spans="6:30" ht="18" customHeight="1" x14ac:dyDescent="0.35"/>
    <row r="151" spans="6:30" ht="24" customHeight="1" x14ac:dyDescent="0.35">
      <c r="S151" s="553" t="str">
        <f>'set-dakol'!M26</f>
        <v>Brebes, 23 Juni 2023</v>
      </c>
      <c r="T151" s="553"/>
      <c r="U151" s="553"/>
      <c r="V151" s="553"/>
      <c r="W151" s="553"/>
      <c r="X151" s="553"/>
      <c r="Y151" s="553"/>
    </row>
    <row r="152" spans="6:30" ht="21.75" customHeight="1" x14ac:dyDescent="0.35">
      <c r="F152" s="550" t="s">
        <v>220</v>
      </c>
      <c r="G152" s="550"/>
      <c r="H152" s="550"/>
      <c r="I152" s="550"/>
      <c r="J152" s="550"/>
      <c r="K152" s="550"/>
      <c r="L152" s="550"/>
      <c r="M152" s="550"/>
      <c r="N152" s="550"/>
      <c r="O152" s="550"/>
      <c r="P152" s="550"/>
      <c r="Q152" s="27"/>
      <c r="R152" s="27"/>
      <c r="S152" s="550" t="s">
        <v>219</v>
      </c>
      <c r="T152" s="550"/>
      <c r="U152" s="550"/>
      <c r="V152" s="550"/>
      <c r="W152" s="550"/>
      <c r="X152" s="550"/>
      <c r="Y152" s="550"/>
    </row>
    <row r="153" spans="6:30" ht="52.5" customHeight="1" x14ac:dyDescent="0.35">
      <c r="F153" s="27"/>
      <c r="G153" s="27"/>
      <c r="H153" s="27"/>
      <c r="I153" s="27"/>
      <c r="J153" s="27"/>
      <c r="K153" s="27"/>
      <c r="L153" s="27"/>
      <c r="M153" s="27"/>
      <c r="N153" s="27"/>
      <c r="O153" s="27"/>
      <c r="P153" s="267"/>
      <c r="Q153" s="27"/>
      <c r="R153" s="27"/>
      <c r="S153" s="27"/>
      <c r="T153" s="27"/>
      <c r="U153" s="27"/>
      <c r="V153" s="27"/>
      <c r="W153" s="27"/>
      <c r="X153" s="27"/>
      <c r="Y153" s="27"/>
    </row>
    <row r="154" spans="6:30" x14ac:dyDescent="0.35">
      <c r="F154" s="550" t="s">
        <v>221</v>
      </c>
      <c r="G154" s="550"/>
      <c r="H154" s="550"/>
      <c r="I154" s="550"/>
      <c r="J154" s="550"/>
      <c r="K154" s="550"/>
      <c r="L154" s="550"/>
      <c r="M154" s="550"/>
      <c r="N154" s="550"/>
      <c r="O154" s="550"/>
      <c r="P154" s="550"/>
      <c r="Q154" s="27"/>
      <c r="R154" s="27"/>
      <c r="S154" s="549" t="str">
        <f>'set-dakol'!L21</f>
        <v>Mustain Billah, S.Si</v>
      </c>
      <c r="T154" s="549"/>
      <c r="U154" s="549"/>
      <c r="V154" s="549"/>
      <c r="W154" s="549"/>
      <c r="X154" s="549"/>
      <c r="Y154" s="549"/>
    </row>
    <row r="155" spans="6:30" x14ac:dyDescent="0.35">
      <c r="F155" s="267"/>
      <c r="G155" s="267"/>
      <c r="H155" s="267"/>
      <c r="I155" s="267"/>
      <c r="J155" s="267"/>
      <c r="K155" s="267"/>
      <c r="L155" s="267"/>
      <c r="M155" s="267"/>
      <c r="N155" s="267"/>
      <c r="O155" s="267"/>
      <c r="P155" s="267"/>
      <c r="Q155" s="27"/>
      <c r="R155" s="27"/>
      <c r="S155" s="266"/>
      <c r="T155" s="266"/>
      <c r="U155" s="266"/>
      <c r="V155" s="266"/>
      <c r="W155" s="266"/>
      <c r="X155" s="266"/>
      <c r="Y155" s="266"/>
    </row>
    <row r="156" spans="6:30" x14ac:dyDescent="0.35">
      <c r="F156" s="267"/>
      <c r="G156" s="267"/>
      <c r="H156" s="267"/>
      <c r="I156" s="267"/>
      <c r="J156" s="267"/>
      <c r="K156" s="267"/>
      <c r="L156" s="267"/>
      <c r="M156" s="267"/>
      <c r="N156" s="267"/>
      <c r="O156" s="267"/>
      <c r="P156" s="267"/>
      <c r="Q156" s="27"/>
      <c r="R156" s="27"/>
      <c r="S156" s="266"/>
      <c r="T156" s="266"/>
      <c r="U156" s="266"/>
      <c r="V156" s="266"/>
      <c r="W156" s="266"/>
      <c r="X156" s="266"/>
      <c r="Y156" s="266"/>
    </row>
    <row r="157" spans="6:30" x14ac:dyDescent="0.35">
      <c r="F157" s="550" t="s">
        <v>162</v>
      </c>
      <c r="G157" s="550"/>
      <c r="H157" s="550"/>
      <c r="I157" s="550"/>
      <c r="J157" s="550"/>
      <c r="K157" s="550"/>
      <c r="L157" s="550"/>
      <c r="M157" s="550"/>
      <c r="N157" s="550"/>
      <c r="O157" s="550"/>
      <c r="P157" s="550"/>
      <c r="Q157" s="550"/>
      <c r="R157" s="550"/>
      <c r="S157" s="550"/>
      <c r="T157" s="550"/>
      <c r="U157" s="550"/>
      <c r="V157" s="550"/>
      <c r="W157" s="550"/>
      <c r="X157" s="550"/>
      <c r="Y157" s="550"/>
    </row>
    <row r="158" spans="6:30" ht="21.75" customHeight="1" x14ac:dyDescent="0.35">
      <c r="F158" s="549" t="str">
        <f>'set-dakol'!N3</f>
        <v>Ketua PKBM GENERASI BANGSA</v>
      </c>
      <c r="G158" s="549"/>
      <c r="H158" s="549"/>
      <c r="I158" s="549"/>
      <c r="J158" s="549"/>
      <c r="K158" s="549"/>
      <c r="L158" s="549"/>
      <c r="M158" s="549"/>
      <c r="N158" s="549"/>
      <c r="O158" s="549"/>
      <c r="P158" s="549"/>
      <c r="Q158" s="549"/>
      <c r="R158" s="549"/>
      <c r="S158" s="549"/>
      <c r="T158" s="549"/>
      <c r="U158" s="549"/>
      <c r="V158" s="549"/>
      <c r="W158" s="549"/>
      <c r="X158" s="549"/>
      <c r="Y158" s="549"/>
    </row>
    <row r="159" spans="6:30" x14ac:dyDescent="0.35">
      <c r="H159" s="27"/>
      <c r="I159" s="27"/>
      <c r="J159" s="27"/>
      <c r="K159" s="27"/>
      <c r="L159" s="27"/>
      <c r="M159" s="27"/>
      <c r="N159" s="27"/>
      <c r="O159" s="27"/>
      <c r="P159" s="267"/>
      <c r="Q159" s="27"/>
      <c r="R159" s="267"/>
    </row>
    <row r="160" spans="6:30" ht="47.25" customHeight="1" x14ac:dyDescent="0.35">
      <c r="F160" s="27"/>
      <c r="G160" s="27"/>
      <c r="H160" s="27"/>
      <c r="I160" s="27"/>
      <c r="J160" s="27"/>
      <c r="K160" s="27"/>
      <c r="L160" s="27"/>
      <c r="M160" s="27"/>
      <c r="N160" s="27"/>
      <c r="O160" s="27"/>
      <c r="P160" s="267"/>
      <c r="Q160" s="27"/>
      <c r="R160" s="266"/>
      <c r="S160" s="27"/>
      <c r="T160" s="27"/>
      <c r="U160" s="27"/>
      <c r="V160" s="27"/>
      <c r="W160" s="27"/>
      <c r="X160" s="27"/>
      <c r="Y160" s="27"/>
    </row>
    <row r="161" spans="3:25" ht="18.75" customHeight="1" x14ac:dyDescent="0.35">
      <c r="F161" s="549" t="str">
        <f>'set-dakol'!H13</f>
        <v>Arini Intan Rustriana, S.Pd., M.M.</v>
      </c>
      <c r="G161" s="549"/>
      <c r="H161" s="549"/>
      <c r="I161" s="549"/>
      <c r="J161" s="549"/>
      <c r="K161" s="549"/>
      <c r="L161" s="549"/>
      <c r="M161" s="549"/>
      <c r="N161" s="549"/>
      <c r="O161" s="549"/>
      <c r="P161" s="549"/>
      <c r="Q161" s="549"/>
      <c r="R161" s="549"/>
      <c r="S161" s="549"/>
      <c r="T161" s="549"/>
      <c r="U161" s="549"/>
      <c r="V161" s="549"/>
      <c r="W161" s="549"/>
      <c r="X161" s="549"/>
      <c r="Y161" s="549"/>
    </row>
    <row r="162" spans="3:25" x14ac:dyDescent="0.35">
      <c r="C162" s="38"/>
      <c r="D162" s="38"/>
      <c r="E162" s="38"/>
    </row>
    <row r="163" spans="3:25" x14ac:dyDescent="0.35">
      <c r="C163" s="38"/>
      <c r="D163" s="38"/>
      <c r="E163" s="38"/>
    </row>
    <row r="164" spans="3:25" x14ac:dyDescent="0.35">
      <c r="C164" s="38"/>
      <c r="D164" s="38"/>
      <c r="E164" s="38"/>
    </row>
    <row r="165" spans="3:25" x14ac:dyDescent="0.35">
      <c r="C165" s="38"/>
      <c r="D165" s="38"/>
      <c r="E165" s="38"/>
    </row>
    <row r="166" spans="3:25" x14ac:dyDescent="0.35">
      <c r="C166" s="38"/>
      <c r="D166" s="38"/>
      <c r="E166" s="38"/>
    </row>
    <row r="167" spans="3:25" x14ac:dyDescent="0.35">
      <c r="C167" s="38"/>
      <c r="D167" s="38"/>
      <c r="E167" s="38"/>
    </row>
    <row r="168" spans="3:25" x14ac:dyDescent="0.35">
      <c r="C168" s="38"/>
      <c r="D168" s="38"/>
      <c r="E168" s="38"/>
    </row>
    <row r="169" spans="3:25" x14ac:dyDescent="0.35">
      <c r="C169" s="38"/>
      <c r="D169" s="38"/>
      <c r="E169" s="38"/>
    </row>
    <row r="170" spans="3:25" x14ac:dyDescent="0.35">
      <c r="C170" s="38"/>
      <c r="D170" s="38"/>
      <c r="E170" s="38"/>
    </row>
    <row r="171" spans="3:25" x14ac:dyDescent="0.35">
      <c r="C171" s="38"/>
      <c r="D171" s="38"/>
      <c r="E171" s="38"/>
    </row>
  </sheetData>
  <mergeCells count="341">
    <mergeCell ref="F161:Y161"/>
    <mergeCell ref="F152:P152"/>
    <mergeCell ref="S152:Y152"/>
    <mergeCell ref="F154:P154"/>
    <mergeCell ref="S154:Y154"/>
    <mergeCell ref="F157:Y157"/>
    <mergeCell ref="F158:Y158"/>
    <mergeCell ref="F143:G143"/>
    <mergeCell ref="H143:P143"/>
    <mergeCell ref="Q143:Y143"/>
    <mergeCell ref="F146:Y146"/>
    <mergeCell ref="F149:Y149"/>
    <mergeCell ref="S151:Y151"/>
    <mergeCell ref="F141:G141"/>
    <mergeCell ref="H141:P141"/>
    <mergeCell ref="Q141:Y141"/>
    <mergeCell ref="F142:G142"/>
    <mergeCell ref="H142:P142"/>
    <mergeCell ref="Q142:Y142"/>
    <mergeCell ref="R132:U132"/>
    <mergeCell ref="W132:Y132"/>
    <mergeCell ref="R133:U133"/>
    <mergeCell ref="W133:Y133"/>
    <mergeCell ref="F137:Y137"/>
    <mergeCell ref="F140:G140"/>
    <mergeCell ref="H140:P140"/>
    <mergeCell ref="Q140:Y140"/>
    <mergeCell ref="F129:G129"/>
    <mergeCell ref="H129:O129"/>
    <mergeCell ref="P129:Q129"/>
    <mergeCell ref="R129:Y129"/>
    <mergeCell ref="R130:Y130"/>
    <mergeCell ref="F131:K133"/>
    <mergeCell ref="M131:M133"/>
    <mergeCell ref="N131:Q133"/>
    <mergeCell ref="R131:U131"/>
    <mergeCell ref="W131:Y131"/>
    <mergeCell ref="F127:G127"/>
    <mergeCell ref="H127:O127"/>
    <mergeCell ref="P127:Q127"/>
    <mergeCell ref="R127:Y127"/>
    <mergeCell ref="F128:G128"/>
    <mergeCell ref="H128:O128"/>
    <mergeCell ref="P128:Q128"/>
    <mergeCell ref="R128:Y128"/>
    <mergeCell ref="F123:G123"/>
    <mergeCell ref="H123:N123"/>
    <mergeCell ref="Q123:S123"/>
    <mergeCell ref="T123:Y123"/>
    <mergeCell ref="F126:G126"/>
    <mergeCell ref="H126:O126"/>
    <mergeCell ref="P126:Q126"/>
    <mergeCell ref="R126:Y126"/>
    <mergeCell ref="F121:G121"/>
    <mergeCell ref="H121:Y121"/>
    <mergeCell ref="F122:G122"/>
    <mergeCell ref="H122:N122"/>
    <mergeCell ref="Q122:S122"/>
    <mergeCell ref="T122:Y122"/>
    <mergeCell ref="F119:G119"/>
    <mergeCell ref="H119:Y119"/>
    <mergeCell ref="F120:G120"/>
    <mergeCell ref="H120:N120"/>
    <mergeCell ref="Q120:S120"/>
    <mergeCell ref="T120:Y120"/>
    <mergeCell ref="F117:G117"/>
    <mergeCell ref="H117:N117"/>
    <mergeCell ref="Q117:S117"/>
    <mergeCell ref="T117:Y117"/>
    <mergeCell ref="F118:G118"/>
    <mergeCell ref="H118:N118"/>
    <mergeCell ref="Q118:S118"/>
    <mergeCell ref="T118:Y118"/>
    <mergeCell ref="F114:G114"/>
    <mergeCell ref="H114:N114"/>
    <mergeCell ref="T114:V114"/>
    <mergeCell ref="X114:Y114"/>
    <mergeCell ref="F115:Y115"/>
    <mergeCell ref="F116:G116"/>
    <mergeCell ref="H116:Y116"/>
    <mergeCell ref="F112:G112"/>
    <mergeCell ref="H112:N112"/>
    <mergeCell ref="T112:V112"/>
    <mergeCell ref="X112:Y112"/>
    <mergeCell ref="F113:G113"/>
    <mergeCell ref="H113:N113"/>
    <mergeCell ref="T113:V113"/>
    <mergeCell ref="X113:Y113"/>
    <mergeCell ref="F110:G110"/>
    <mergeCell ref="H110:N110"/>
    <mergeCell ref="T110:V110"/>
    <mergeCell ref="X110:Y110"/>
    <mergeCell ref="F111:G111"/>
    <mergeCell ref="H111:N111"/>
    <mergeCell ref="T111:V111"/>
    <mergeCell ref="X111:Y111"/>
    <mergeCell ref="F107:Y107"/>
    <mergeCell ref="F108:G108"/>
    <mergeCell ref="H108:N108"/>
    <mergeCell ref="T108:V108"/>
    <mergeCell ref="X108:Y108"/>
    <mergeCell ref="F109:G109"/>
    <mergeCell ref="H109:N109"/>
    <mergeCell ref="T109:V109"/>
    <mergeCell ref="X109:Y109"/>
    <mergeCell ref="F102:Y102"/>
    <mergeCell ref="F105:G106"/>
    <mergeCell ref="H105:N106"/>
    <mergeCell ref="O105:O106"/>
    <mergeCell ref="P105:P106"/>
    <mergeCell ref="Q105:S105"/>
    <mergeCell ref="T105:Y105"/>
    <mergeCell ref="T106:V106"/>
    <mergeCell ref="X106:Y106"/>
    <mergeCell ref="R95:Y95"/>
    <mergeCell ref="F96:K98"/>
    <mergeCell ref="M96:M98"/>
    <mergeCell ref="N96:Q98"/>
    <mergeCell ref="R96:U96"/>
    <mergeCell ref="W96:Y96"/>
    <mergeCell ref="R97:U97"/>
    <mergeCell ref="W97:Y97"/>
    <mergeCell ref="R98:U98"/>
    <mergeCell ref="W98:Y98"/>
    <mergeCell ref="F93:G93"/>
    <mergeCell ref="H93:N93"/>
    <mergeCell ref="Q93:S93"/>
    <mergeCell ref="T93:Y93"/>
    <mergeCell ref="F94:G94"/>
    <mergeCell ref="H94:N94"/>
    <mergeCell ref="Q94:S94"/>
    <mergeCell ref="T94:Y94"/>
    <mergeCell ref="F91:G91"/>
    <mergeCell ref="H91:N91"/>
    <mergeCell ref="Q91:S91"/>
    <mergeCell ref="T91:Y91"/>
    <mergeCell ref="F92:G92"/>
    <mergeCell ref="H92:Y92"/>
    <mergeCell ref="F89:G89"/>
    <mergeCell ref="H89:N89"/>
    <mergeCell ref="Q89:S89"/>
    <mergeCell ref="T89:Y89"/>
    <mergeCell ref="F90:G90"/>
    <mergeCell ref="H90:Y90"/>
    <mergeCell ref="F86:Y86"/>
    <mergeCell ref="F87:G87"/>
    <mergeCell ref="H87:Y87"/>
    <mergeCell ref="F88:G88"/>
    <mergeCell ref="H88:N88"/>
    <mergeCell ref="Q88:S88"/>
    <mergeCell ref="T88:Y88"/>
    <mergeCell ref="F84:G84"/>
    <mergeCell ref="H84:N84"/>
    <mergeCell ref="T84:V84"/>
    <mergeCell ref="X84:Y84"/>
    <mergeCell ref="F85:G85"/>
    <mergeCell ref="H85:N85"/>
    <mergeCell ref="T85:V85"/>
    <mergeCell ref="X85:Y85"/>
    <mergeCell ref="F82:G82"/>
    <mergeCell ref="H82:N82"/>
    <mergeCell ref="T82:V82"/>
    <mergeCell ref="X82:Y82"/>
    <mergeCell ref="F83:G83"/>
    <mergeCell ref="H83:N83"/>
    <mergeCell ref="T83:V83"/>
    <mergeCell ref="X83:Y83"/>
    <mergeCell ref="F80:G80"/>
    <mergeCell ref="H80:N80"/>
    <mergeCell ref="T80:V80"/>
    <mergeCell ref="X80:Y80"/>
    <mergeCell ref="F81:G81"/>
    <mergeCell ref="H81:N81"/>
    <mergeCell ref="T81:V81"/>
    <mergeCell ref="X81:Y81"/>
    <mergeCell ref="T76:Y76"/>
    <mergeCell ref="T77:V77"/>
    <mergeCell ref="X77:Y77"/>
    <mergeCell ref="F78:Y78"/>
    <mergeCell ref="F79:G79"/>
    <mergeCell ref="H79:N79"/>
    <mergeCell ref="T79:V79"/>
    <mergeCell ref="X79:Y79"/>
    <mergeCell ref="F71:K71"/>
    <mergeCell ref="F72:K72"/>
    <mergeCell ref="L72:Y72"/>
    <mergeCell ref="F73:K73"/>
    <mergeCell ref="L73:Y73"/>
    <mergeCell ref="F76:G77"/>
    <mergeCell ref="H76:N77"/>
    <mergeCell ref="O76:O77"/>
    <mergeCell ref="P76:P77"/>
    <mergeCell ref="Q76:S76"/>
    <mergeCell ref="F56:M56"/>
    <mergeCell ref="S56:Y56"/>
    <mergeCell ref="F64:Y64"/>
    <mergeCell ref="F67:K67"/>
    <mergeCell ref="F68:K68"/>
    <mergeCell ref="L68:Y68"/>
    <mergeCell ref="F69:K69"/>
    <mergeCell ref="L69:Y69"/>
    <mergeCell ref="R57:Y57"/>
    <mergeCell ref="F58:K60"/>
    <mergeCell ref="M58:M60"/>
    <mergeCell ref="N58:Q60"/>
    <mergeCell ref="R58:U58"/>
    <mergeCell ref="W58:Y58"/>
    <mergeCell ref="R59:U59"/>
    <mergeCell ref="W59:Y59"/>
    <mergeCell ref="R60:U60"/>
    <mergeCell ref="W60:Y60"/>
    <mergeCell ref="N56:R56"/>
    <mergeCell ref="S50:Y50"/>
    <mergeCell ref="S51:Y51"/>
    <mergeCell ref="F45:H45"/>
    <mergeCell ref="I45:P45"/>
    <mergeCell ref="R45:V45"/>
    <mergeCell ref="W45:Y45"/>
    <mergeCell ref="H46:P46"/>
    <mergeCell ref="F50:M50"/>
    <mergeCell ref="F51:M51"/>
    <mergeCell ref="N51:R51"/>
    <mergeCell ref="F47:P48"/>
    <mergeCell ref="Q46:Y46"/>
    <mergeCell ref="Q47:Y48"/>
    <mergeCell ref="F46:G46"/>
    <mergeCell ref="F43:H43"/>
    <mergeCell ref="I43:P43"/>
    <mergeCell ref="R43:Y43"/>
    <mergeCell ref="F44:H44"/>
    <mergeCell ref="I44:P44"/>
    <mergeCell ref="R44:V44"/>
    <mergeCell ref="W44:Y44"/>
    <mergeCell ref="R41:V41"/>
    <mergeCell ref="W41:Y41"/>
    <mergeCell ref="R42:V42"/>
    <mergeCell ref="W42:Y42"/>
    <mergeCell ref="F41:K41"/>
    <mergeCell ref="L41:N41"/>
    <mergeCell ref="O41:P41"/>
    <mergeCell ref="F42:K42"/>
    <mergeCell ref="L42:N42"/>
    <mergeCell ref="O42:P42"/>
    <mergeCell ref="R39:Y39"/>
    <mergeCell ref="R40:V40"/>
    <mergeCell ref="W40:Y40"/>
    <mergeCell ref="F37:M37"/>
    <mergeCell ref="N37:P37"/>
    <mergeCell ref="Q37:S37"/>
    <mergeCell ref="T37:Y37"/>
    <mergeCell ref="H38:P38"/>
    <mergeCell ref="Q38:X38"/>
    <mergeCell ref="F39:K39"/>
    <mergeCell ref="L39:P39"/>
    <mergeCell ref="F40:K40"/>
    <mergeCell ref="L40:N40"/>
    <mergeCell ref="O40:P40"/>
    <mergeCell ref="F35:M35"/>
    <mergeCell ref="N35:P35"/>
    <mergeCell ref="Q35:S35"/>
    <mergeCell ref="T35:Y35"/>
    <mergeCell ref="F36:M36"/>
    <mergeCell ref="N36:P36"/>
    <mergeCell ref="Q36:S36"/>
    <mergeCell ref="T36:Y36"/>
    <mergeCell ref="F33:G33"/>
    <mergeCell ref="H33:M33"/>
    <mergeCell ref="T33:X33"/>
    <mergeCell ref="F34:G34"/>
    <mergeCell ref="H34:M34"/>
    <mergeCell ref="T34:X34"/>
    <mergeCell ref="F31:G31"/>
    <mergeCell ref="H31:M31"/>
    <mergeCell ref="T31:X31"/>
    <mergeCell ref="F32:G32"/>
    <mergeCell ref="H32:M32"/>
    <mergeCell ref="T32:X32"/>
    <mergeCell ref="H28:P28"/>
    <mergeCell ref="Q28:X28"/>
    <mergeCell ref="F29:G29"/>
    <mergeCell ref="H29:M29"/>
    <mergeCell ref="T29:X29"/>
    <mergeCell ref="F30:G30"/>
    <mergeCell ref="H30:M30"/>
    <mergeCell ref="T30:X30"/>
    <mergeCell ref="F7:Y7"/>
    <mergeCell ref="F8:Y8"/>
    <mergeCell ref="F14:G15"/>
    <mergeCell ref="H14:M15"/>
    <mergeCell ref="N14:N15"/>
    <mergeCell ref="O14:O15"/>
    <mergeCell ref="P14:P15"/>
    <mergeCell ref="Q14:Q15"/>
    <mergeCell ref="R14:R15"/>
    <mergeCell ref="S14:S15"/>
    <mergeCell ref="T14:X15"/>
    <mergeCell ref="V11:Y12"/>
    <mergeCell ref="S11:T12"/>
    <mergeCell ref="U11:U12"/>
    <mergeCell ref="Y14:Y15"/>
    <mergeCell ref="F2:M3"/>
    <mergeCell ref="N2:N3"/>
    <mergeCell ref="O2:P3"/>
    <mergeCell ref="Q2:Q3"/>
    <mergeCell ref="O4:P5"/>
    <mergeCell ref="Q4:Q5"/>
    <mergeCell ref="F27:G27"/>
    <mergeCell ref="H27:M27"/>
    <mergeCell ref="T27:X27"/>
    <mergeCell ref="F17:G17"/>
    <mergeCell ref="H17:M17"/>
    <mergeCell ref="T17:X17"/>
    <mergeCell ref="F18:G18"/>
    <mergeCell ref="H18:M18"/>
    <mergeCell ref="T18:X18"/>
    <mergeCell ref="F21:G21"/>
    <mergeCell ref="H21:M21"/>
    <mergeCell ref="T21:X21"/>
    <mergeCell ref="F22:G22"/>
    <mergeCell ref="H22:M22"/>
    <mergeCell ref="T22:X22"/>
    <mergeCell ref="F19:G19"/>
    <mergeCell ref="H19:M19"/>
    <mergeCell ref="T19:X19"/>
    <mergeCell ref="H16:P16"/>
    <mergeCell ref="Q16:X16"/>
    <mergeCell ref="F20:G20"/>
    <mergeCell ref="H20:M20"/>
    <mergeCell ref="T20:X20"/>
    <mergeCell ref="F25:G25"/>
    <mergeCell ref="H25:M25"/>
    <mergeCell ref="T25:X25"/>
    <mergeCell ref="F26:G26"/>
    <mergeCell ref="H26:M26"/>
    <mergeCell ref="T26:X26"/>
    <mergeCell ref="F23:G23"/>
    <mergeCell ref="H23:M23"/>
    <mergeCell ref="T23:X23"/>
    <mergeCell ref="F24:G24"/>
    <mergeCell ref="H24:M24"/>
    <mergeCell ref="T24:X24"/>
  </mergeCells>
  <pageMargins left="0.47" right="0.41" top="0.27" bottom="0.17" header="0.16" footer="0.12"/>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defaultSize="0" autoLine="0" autoPict="0">
                <anchor>
                  <from>
                    <xdr:col>5</xdr:col>
                    <xdr:colOff>12700</xdr:colOff>
                    <xdr:row>3</xdr:row>
                    <xdr:rowOff>12700</xdr:rowOff>
                  </from>
                  <to>
                    <xdr:col>13</xdr:col>
                    <xdr:colOff>438150</xdr:colOff>
                    <xdr:row>4</xdr:row>
                    <xdr:rowOff>184150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2:AD168"/>
  <sheetViews>
    <sheetView showGridLines="0" tabSelected="1" topLeftCell="C25" zoomScale="115" zoomScaleNormal="115" workbookViewId="0">
      <selection activeCell="AA37" sqref="AA37"/>
    </sheetView>
  </sheetViews>
  <sheetFormatPr defaultRowHeight="14.5" x14ac:dyDescent="0.35"/>
  <cols>
    <col min="4" max="4" width="4.1796875" customWidth="1"/>
    <col min="5" max="5" width="5.81640625" customWidth="1"/>
    <col min="6" max="6" width="2.7265625" style="34" customWidth="1"/>
    <col min="7" max="7" width="1.1796875" style="34" customWidth="1"/>
    <col min="8" max="8" width="6.26953125" style="34" customWidth="1"/>
    <col min="9" max="9" width="1.7265625" style="34" customWidth="1"/>
    <col min="10" max="10" width="3.81640625" style="34" customWidth="1"/>
    <col min="11" max="11" width="1.7265625" style="34" customWidth="1"/>
    <col min="12" max="12" width="5.54296875" style="34" customWidth="1"/>
    <col min="13" max="13" width="6.453125" style="34" customWidth="1"/>
    <col min="14" max="15" width="6.7265625" style="34" customWidth="1"/>
    <col min="16" max="16" width="6.7265625" style="149" customWidth="1"/>
    <col min="17" max="17" width="7.81640625" style="34" customWidth="1"/>
    <col min="18" max="18" width="6.7265625" style="34" customWidth="1"/>
    <col min="19" max="19" width="7.26953125" style="34" customWidth="1"/>
    <col min="20" max="20" width="4.1796875" style="34" customWidth="1"/>
    <col min="21" max="21" width="1.81640625" style="34" customWidth="1"/>
    <col min="22" max="22" width="1.54296875" style="34" customWidth="1"/>
    <col min="23" max="23" width="7" style="34" customWidth="1"/>
    <col min="24" max="24" width="3.26953125" style="34" customWidth="1"/>
    <col min="25" max="25" width="5.453125" style="34" customWidth="1"/>
    <col min="27" max="27" width="9.1796875" style="66" customWidth="1"/>
    <col min="28" max="28" width="9.1796875" style="34" customWidth="1"/>
    <col min="29" max="30" width="9.1796875" customWidth="1"/>
  </cols>
  <sheetData>
    <row r="2" spans="1:28" ht="15" customHeight="1" x14ac:dyDescent="0.35">
      <c r="F2" s="473" t="s">
        <v>149</v>
      </c>
      <c r="G2" s="474"/>
      <c r="H2" s="474"/>
      <c r="I2" s="474"/>
      <c r="J2" s="474"/>
      <c r="K2" s="474"/>
      <c r="L2" s="474"/>
      <c r="M2" s="474"/>
      <c r="N2" s="479">
        <v>10</v>
      </c>
      <c r="O2" s="560" t="s">
        <v>136</v>
      </c>
      <c r="P2" s="560"/>
      <c r="Q2" s="481">
        <v>1</v>
      </c>
      <c r="R2" s="276"/>
    </row>
    <row r="3" spans="1:28" ht="15" customHeight="1" x14ac:dyDescent="0.35">
      <c r="F3" s="476"/>
      <c r="G3" s="477"/>
      <c r="H3" s="477"/>
      <c r="I3" s="477"/>
      <c r="J3" s="477"/>
      <c r="K3" s="477"/>
      <c r="L3" s="477"/>
      <c r="M3" s="477"/>
      <c r="N3" s="479"/>
      <c r="O3" s="560"/>
      <c r="P3" s="560"/>
      <c r="Q3" s="481"/>
    </row>
    <row r="4" spans="1:28" ht="15" customHeight="1" x14ac:dyDescent="0.35">
      <c r="F4" s="53"/>
      <c r="G4" s="53"/>
      <c r="H4" s="53"/>
      <c r="I4" s="53"/>
      <c r="J4" s="53"/>
      <c r="K4" s="53"/>
      <c r="L4" s="53"/>
      <c r="M4" s="53"/>
      <c r="N4" s="53"/>
      <c r="O4" s="560" t="s">
        <v>137</v>
      </c>
      <c r="P4" s="560"/>
      <c r="Q4" s="481">
        <v>10</v>
      </c>
    </row>
    <row r="5" spans="1:28" ht="15" customHeight="1" x14ac:dyDescent="0.35">
      <c r="F5" s="53"/>
      <c r="G5" s="53"/>
      <c r="H5" s="53"/>
      <c r="I5" s="53"/>
      <c r="J5" s="53"/>
      <c r="K5" s="53"/>
      <c r="L5" s="53"/>
      <c r="M5" s="53"/>
      <c r="N5" s="53"/>
      <c r="O5" s="560"/>
      <c r="P5" s="560"/>
      <c r="Q5" s="481"/>
    </row>
    <row r="7" spans="1:28" ht="26.15" customHeight="1" x14ac:dyDescent="0.35">
      <c r="A7" s="38"/>
      <c r="B7" s="38"/>
      <c r="C7" s="38"/>
      <c r="F7" s="659" t="s">
        <v>2414</v>
      </c>
      <c r="G7" s="659"/>
      <c r="H7" s="659"/>
      <c r="I7" s="659"/>
      <c r="J7" s="659"/>
      <c r="K7" s="659"/>
      <c r="L7" s="659"/>
      <c r="M7" s="659"/>
      <c r="N7" s="659"/>
      <c r="O7" s="659"/>
      <c r="P7" s="659"/>
      <c r="Q7" s="659"/>
      <c r="R7" s="659"/>
      <c r="S7" s="659"/>
      <c r="T7" s="659"/>
      <c r="U7" s="659"/>
      <c r="V7" s="659"/>
      <c r="W7" s="659"/>
      <c r="X7" s="659"/>
      <c r="Y7" s="659"/>
    </row>
    <row r="8" spans="1:28" ht="26.15" customHeight="1" x14ac:dyDescent="0.35">
      <c r="A8" s="38"/>
      <c r="B8" s="38"/>
      <c r="C8" s="38"/>
      <c r="F8" s="659" t="s">
        <v>2413</v>
      </c>
      <c r="G8" s="659"/>
      <c r="H8" s="659"/>
      <c r="I8" s="659"/>
      <c r="J8" s="659"/>
      <c r="K8" s="659"/>
      <c r="L8" s="659"/>
      <c r="M8" s="659"/>
      <c r="N8" s="659"/>
      <c r="O8" s="659"/>
      <c r="P8" s="659"/>
      <c r="Q8" s="659"/>
      <c r="R8" s="659"/>
      <c r="S8" s="659"/>
      <c r="T8" s="659"/>
      <c r="U8" s="659"/>
      <c r="V8" s="659"/>
      <c r="W8" s="659"/>
      <c r="X8" s="659"/>
      <c r="Y8" s="659"/>
    </row>
    <row r="9" spans="1:28" ht="5.25" customHeight="1" x14ac:dyDescent="0.35">
      <c r="A9" s="38"/>
      <c r="B9" s="38"/>
      <c r="C9" s="38"/>
      <c r="F9" s="137"/>
      <c r="G9" s="137"/>
      <c r="H9" s="137"/>
      <c r="I9" s="137"/>
      <c r="J9" s="137"/>
      <c r="K9" s="137"/>
      <c r="L9" s="227"/>
      <c r="M9" s="137"/>
      <c r="N9" s="137"/>
      <c r="O9" s="137"/>
      <c r="P9" s="157"/>
      <c r="Q9" s="137"/>
      <c r="R9" s="137"/>
      <c r="S9" s="137"/>
      <c r="T9" s="137"/>
      <c r="U9" s="137"/>
      <c r="V9" s="137"/>
      <c r="W9" s="137"/>
      <c r="X9" s="227"/>
      <c r="Y9" s="137"/>
    </row>
    <row r="10" spans="1:28" s="34" customFormat="1" ht="17.149999999999999" customHeight="1" x14ac:dyDescent="0.25">
      <c r="A10" s="27"/>
      <c r="B10" s="27"/>
      <c r="C10" s="27"/>
      <c r="G10" s="288"/>
      <c r="H10" s="288"/>
      <c r="I10" s="288"/>
      <c r="J10" s="288"/>
      <c r="K10" s="288"/>
      <c r="L10" s="288"/>
      <c r="M10" s="288"/>
      <c r="N10" s="288"/>
      <c r="O10" s="288"/>
      <c r="P10" s="288"/>
      <c r="Q10" s="288"/>
      <c r="R10" s="288"/>
      <c r="S10" s="288"/>
      <c r="T10" s="287" t="str">
        <f>VLOOKUP(patokans1,datasantri,2,FALSE)</f>
        <v>CHAIRUL AZZAM RAMADHAN</v>
      </c>
      <c r="U10" s="235" t="s">
        <v>1</v>
      </c>
      <c r="W10" s="234"/>
      <c r="X10" s="234"/>
      <c r="Y10" s="425" t="s">
        <v>2445</v>
      </c>
      <c r="AA10" s="296"/>
    </row>
    <row r="11" spans="1:28" s="34" customFormat="1" ht="17.149999999999999" customHeight="1" x14ac:dyDescent="0.35">
      <c r="A11" s="27"/>
      <c r="B11" s="27"/>
      <c r="C11" s="27"/>
      <c r="F11" s="234"/>
      <c r="G11" s="234"/>
      <c r="H11" s="234"/>
      <c r="J11" s="240" t="str">
        <f>kelas</f>
        <v>VII (Tujuh)</v>
      </c>
      <c r="K11" s="235" t="s">
        <v>1</v>
      </c>
      <c r="M11" s="234"/>
      <c r="N11" s="234"/>
      <c r="O11" s="239" t="s">
        <v>2448</v>
      </c>
      <c r="P11" s="279"/>
      <c r="Q11" s="279"/>
      <c r="R11" s="279"/>
      <c r="S11" s="661" t="str">
        <f>VLOOKUP(patokans1,datasantri,5,FALSE)</f>
        <v>11.2022.0297</v>
      </c>
      <c r="T11" s="661"/>
      <c r="U11" s="660" t="s">
        <v>1</v>
      </c>
      <c r="W11" s="662" t="s">
        <v>2446</v>
      </c>
      <c r="X11" s="662"/>
      <c r="Y11" s="662"/>
      <c r="AA11" s="296"/>
    </row>
    <row r="12" spans="1:28" ht="17.149999999999999" customHeight="1" x14ac:dyDescent="0.35">
      <c r="A12" s="38"/>
      <c r="B12" s="38"/>
      <c r="C12" s="38"/>
      <c r="F12" s="234"/>
      <c r="G12" s="234"/>
      <c r="H12" s="234"/>
      <c r="J12" s="237" t="str">
        <f>gasal</f>
        <v>Gasal</v>
      </c>
      <c r="K12" s="235" t="s">
        <v>1</v>
      </c>
      <c r="M12" s="234"/>
      <c r="N12" s="234"/>
      <c r="O12" s="239" t="s">
        <v>2449</v>
      </c>
      <c r="Q12" s="236"/>
      <c r="R12" s="236"/>
      <c r="S12" s="661"/>
      <c r="T12" s="661"/>
      <c r="U12" s="660"/>
      <c r="W12" s="662"/>
      <c r="X12" s="662"/>
      <c r="Y12" s="662"/>
      <c r="AA12" s="296"/>
    </row>
    <row r="13" spans="1:28" ht="17.149999999999999" customHeight="1" x14ac:dyDescent="0.35">
      <c r="A13" s="38"/>
      <c r="B13" s="38"/>
      <c r="C13" s="38"/>
      <c r="F13" s="234"/>
      <c r="G13" s="234"/>
      <c r="H13" s="234"/>
      <c r="J13" s="237" t="str">
        <f>tahunajaran</f>
        <v>2022/2023</v>
      </c>
      <c r="K13" s="235" t="s">
        <v>1</v>
      </c>
      <c r="M13" s="234"/>
      <c r="N13" s="234"/>
      <c r="O13" s="239" t="s">
        <v>2450</v>
      </c>
      <c r="Q13" s="236"/>
      <c r="R13" s="236"/>
      <c r="S13" s="282"/>
      <c r="T13" s="283" t="str">
        <f>VLOOKUP(patokans1,datasantri,6,FALSE)</f>
        <v>0093310219</v>
      </c>
      <c r="U13" s="281" t="s">
        <v>1</v>
      </c>
      <c r="V13" s="284"/>
      <c r="W13" s="285"/>
      <c r="X13" s="285"/>
      <c r="Y13" s="286" t="s">
        <v>2447</v>
      </c>
      <c r="AA13" s="296"/>
    </row>
    <row r="14" spans="1:28" ht="20.25" customHeight="1" x14ac:dyDescent="0.35">
      <c r="A14" s="38"/>
      <c r="B14" s="38"/>
      <c r="C14" s="38"/>
      <c r="F14" s="663" t="s">
        <v>39</v>
      </c>
      <c r="G14" s="664"/>
      <c r="H14" s="663" t="s">
        <v>150</v>
      </c>
      <c r="I14" s="667"/>
      <c r="J14" s="667"/>
      <c r="K14" s="667"/>
      <c r="L14" s="667"/>
      <c r="M14" s="664"/>
      <c r="N14" s="564" t="s">
        <v>72</v>
      </c>
      <c r="O14" s="564" t="s">
        <v>2415</v>
      </c>
      <c r="P14" s="565" t="s">
        <v>2416</v>
      </c>
      <c r="Q14" s="566" t="s">
        <v>2417</v>
      </c>
      <c r="R14" s="566" t="s">
        <v>2418</v>
      </c>
      <c r="S14" s="566" t="s">
        <v>2419</v>
      </c>
      <c r="T14" s="592" t="s">
        <v>2420</v>
      </c>
      <c r="U14" s="593"/>
      <c r="V14" s="593"/>
      <c r="W14" s="593"/>
      <c r="X14" s="594"/>
      <c r="Y14" s="518" t="s">
        <v>2421</v>
      </c>
      <c r="AA14" s="296"/>
    </row>
    <row r="15" spans="1:28" ht="20.25" customHeight="1" x14ac:dyDescent="0.35">
      <c r="A15" s="38"/>
      <c r="B15" s="38"/>
      <c r="C15" s="38"/>
      <c r="F15" s="665"/>
      <c r="G15" s="666"/>
      <c r="H15" s="665"/>
      <c r="I15" s="668"/>
      <c r="J15" s="668"/>
      <c r="K15" s="668"/>
      <c r="L15" s="668"/>
      <c r="M15" s="666"/>
      <c r="N15" s="564"/>
      <c r="O15" s="564"/>
      <c r="P15" s="565"/>
      <c r="Q15" s="566"/>
      <c r="R15" s="566"/>
      <c r="S15" s="566"/>
      <c r="T15" s="595"/>
      <c r="U15" s="596"/>
      <c r="V15" s="596"/>
      <c r="W15" s="596"/>
      <c r="X15" s="597"/>
      <c r="Y15" s="518"/>
      <c r="AA15" s="296"/>
    </row>
    <row r="16" spans="1:28" s="38" customFormat="1" ht="17.149999999999999" customHeight="1" x14ac:dyDescent="0.35">
      <c r="F16" s="243"/>
      <c r="G16" s="244"/>
      <c r="H16" s="633" t="s">
        <v>2422</v>
      </c>
      <c r="I16" s="637"/>
      <c r="J16" s="637"/>
      <c r="K16" s="637"/>
      <c r="L16" s="637"/>
      <c r="M16" s="637"/>
      <c r="N16" s="637"/>
      <c r="O16" s="637"/>
      <c r="P16" s="637"/>
      <c r="Q16" s="634" t="s">
        <v>2423</v>
      </c>
      <c r="R16" s="635"/>
      <c r="S16" s="635"/>
      <c r="T16" s="635"/>
      <c r="U16" s="635"/>
      <c r="V16" s="635"/>
      <c r="W16" s="635"/>
      <c r="X16" s="635"/>
      <c r="Y16" s="245"/>
      <c r="AA16" s="297"/>
      <c r="AB16" s="27"/>
    </row>
    <row r="17" spans="6:30" s="38" customFormat="1" ht="17.149999999999999" customHeight="1" x14ac:dyDescent="0.35">
      <c r="F17" s="630">
        <v>1</v>
      </c>
      <c r="G17" s="630"/>
      <c r="H17" s="631" t="str">
        <f>'set-kkm'!F6</f>
        <v>Tahfizh Al-Qur'an</v>
      </c>
      <c r="I17" s="631"/>
      <c r="J17" s="631"/>
      <c r="K17" s="631"/>
      <c r="L17" s="631"/>
      <c r="M17" s="631"/>
      <c r="N17" s="311">
        <f>'set-kkm'!H6</f>
        <v>70</v>
      </c>
      <c r="O17" s="312">
        <f>ROUND(AB17,0)</f>
        <v>75</v>
      </c>
      <c r="P17" s="313">
        <f>AD17</f>
        <v>77.978260869565219</v>
      </c>
      <c r="Q17" s="314">
        <f>P17</f>
        <v>77.978260869565219</v>
      </c>
      <c r="R17" s="315">
        <f>O17</f>
        <v>75</v>
      </c>
      <c r="S17" s="315">
        <f>N17</f>
        <v>70</v>
      </c>
      <c r="T17" s="627" t="str">
        <f>'set-kkm'!G6</f>
        <v>تحفيظ القرآن</v>
      </c>
      <c r="U17" s="628"/>
      <c r="V17" s="628"/>
      <c r="W17" s="628"/>
      <c r="X17" s="629"/>
      <c r="Y17" s="241">
        <v>1</v>
      </c>
      <c r="AA17" s="238">
        <f>VLOOKUP(patokans1,nilpels1,3,FALSE)</f>
        <v>59</v>
      </c>
      <c r="AB17" s="301" t="str">
        <f>IF(AA17&lt;75,"75",AA17)</f>
        <v>75</v>
      </c>
      <c r="AD17" s="309">
        <f>'nilpel-s1'!AQ59</f>
        <v>77.978260869565219</v>
      </c>
    </row>
    <row r="18" spans="6:30" s="38" customFormat="1" ht="17.149999999999999" customHeight="1" x14ac:dyDescent="0.35">
      <c r="F18" s="630">
        <v>2</v>
      </c>
      <c r="G18" s="630"/>
      <c r="H18" s="631" t="str">
        <f>'set-kkm'!F7</f>
        <v>Akhlaq</v>
      </c>
      <c r="I18" s="631"/>
      <c r="J18" s="631"/>
      <c r="K18" s="631"/>
      <c r="L18" s="631"/>
      <c r="M18" s="631"/>
      <c r="N18" s="311">
        <f>'set-kkm'!H7</f>
        <v>70</v>
      </c>
      <c r="O18" s="312">
        <f t="shared" ref="O18:O33" si="0">ROUND(AB18,0)</f>
        <v>85</v>
      </c>
      <c r="P18" s="313">
        <f t="shared" ref="P18:P27" si="1">AD18</f>
        <v>94.555555555555557</v>
      </c>
      <c r="Q18" s="314">
        <f t="shared" ref="Q18:Q33" si="2">P18</f>
        <v>94.555555555555557</v>
      </c>
      <c r="R18" s="315">
        <f t="shared" ref="R18:R33" si="3">O18</f>
        <v>85</v>
      </c>
      <c r="S18" s="315">
        <f t="shared" ref="S18:S26" si="4">N18</f>
        <v>70</v>
      </c>
      <c r="T18" s="627" t="str">
        <f>'set-kkm'!G7</f>
        <v>الأخلاق</v>
      </c>
      <c r="U18" s="628"/>
      <c r="V18" s="628"/>
      <c r="W18" s="628"/>
      <c r="X18" s="629"/>
      <c r="Y18" s="241">
        <v>2</v>
      </c>
      <c r="AA18" s="238">
        <f>VLOOKUP(patokans1,nilpels1,4,FALSE)</f>
        <v>85</v>
      </c>
      <c r="AB18" s="301">
        <f t="shared" ref="AB18:AB27" si="5">IF(AA18&lt;75,"75",AA18)</f>
        <v>85</v>
      </c>
      <c r="AD18" s="309">
        <f>'nilpel-s1'!AR59</f>
        <v>94.555555555555557</v>
      </c>
    </row>
    <row r="19" spans="6:30" s="38" customFormat="1" ht="17.149999999999999" customHeight="1" x14ac:dyDescent="0.35">
      <c r="F19" s="638">
        <v>3</v>
      </c>
      <c r="G19" s="639"/>
      <c r="H19" s="631" t="str">
        <f>'set-kkm'!F8</f>
        <v>Aqidah dan Manhaj</v>
      </c>
      <c r="I19" s="631"/>
      <c r="J19" s="631"/>
      <c r="K19" s="631"/>
      <c r="L19" s="631"/>
      <c r="M19" s="631"/>
      <c r="N19" s="311">
        <f>'set-kkm'!H8</f>
        <v>70</v>
      </c>
      <c r="O19" s="312">
        <f t="shared" si="0"/>
        <v>79</v>
      </c>
      <c r="P19" s="313">
        <f t="shared" si="1"/>
        <v>82.066666666666663</v>
      </c>
      <c r="Q19" s="314">
        <f t="shared" si="2"/>
        <v>82.066666666666663</v>
      </c>
      <c r="R19" s="315">
        <f t="shared" si="3"/>
        <v>79</v>
      </c>
      <c r="S19" s="315">
        <f t="shared" si="4"/>
        <v>70</v>
      </c>
      <c r="T19" s="627" t="str">
        <f>'set-kkm'!G8</f>
        <v>العقيدة و المنهج</v>
      </c>
      <c r="U19" s="628"/>
      <c r="V19" s="628"/>
      <c r="W19" s="628"/>
      <c r="X19" s="629"/>
      <c r="Y19" s="241">
        <v>3</v>
      </c>
      <c r="AA19" s="238">
        <f>VLOOKUP(patokans1,nilpels1,5,FALSE)</f>
        <v>79</v>
      </c>
      <c r="AB19" s="301">
        <f t="shared" si="5"/>
        <v>79</v>
      </c>
      <c r="AD19" s="309">
        <f>'nilpel-s1'!AS59</f>
        <v>82.066666666666663</v>
      </c>
    </row>
    <row r="20" spans="6:30" s="38" customFormat="1" ht="17.149999999999999" customHeight="1" x14ac:dyDescent="0.35">
      <c r="F20" s="638">
        <v>4</v>
      </c>
      <c r="G20" s="639"/>
      <c r="H20" s="631" t="str">
        <f>'set-kkm'!F9</f>
        <v>Fiqih</v>
      </c>
      <c r="I20" s="631"/>
      <c r="J20" s="631"/>
      <c r="K20" s="631"/>
      <c r="L20" s="631"/>
      <c r="M20" s="631"/>
      <c r="N20" s="311">
        <f>'set-kkm'!H9</f>
        <v>70</v>
      </c>
      <c r="O20" s="312">
        <f t="shared" si="0"/>
        <v>75</v>
      </c>
      <c r="P20" s="313">
        <f t="shared" si="1"/>
        <v>83.326086956521735</v>
      </c>
      <c r="Q20" s="314">
        <f t="shared" si="2"/>
        <v>83.326086956521735</v>
      </c>
      <c r="R20" s="315">
        <f t="shared" si="3"/>
        <v>75</v>
      </c>
      <c r="S20" s="315">
        <f t="shared" si="4"/>
        <v>70</v>
      </c>
      <c r="T20" s="627" t="str">
        <f>'set-kkm'!G9</f>
        <v>الفقه</v>
      </c>
      <c r="U20" s="628"/>
      <c r="V20" s="628"/>
      <c r="W20" s="628"/>
      <c r="X20" s="629"/>
      <c r="Y20" s="241">
        <v>4</v>
      </c>
      <c r="AA20" s="238">
        <f>VLOOKUP(patokans1,nilpels1,6,FALSE)</f>
        <v>70</v>
      </c>
      <c r="AB20" s="301" t="str">
        <f t="shared" si="5"/>
        <v>75</v>
      </c>
      <c r="AD20" s="309">
        <f>'nilpel-s1'!AT59</f>
        <v>83.326086956521735</v>
      </c>
    </row>
    <row r="21" spans="6:30" s="38" customFormat="1" ht="17.149999999999999" customHeight="1" x14ac:dyDescent="0.35">
      <c r="F21" s="638">
        <v>5</v>
      </c>
      <c r="G21" s="639"/>
      <c r="H21" s="631" t="str">
        <f>'set-kkm'!F10</f>
        <v>Bahasa Arab</v>
      </c>
      <c r="I21" s="631"/>
      <c r="J21" s="631"/>
      <c r="K21" s="631"/>
      <c r="L21" s="631"/>
      <c r="M21" s="631"/>
      <c r="N21" s="311">
        <f>'set-kkm'!H10</f>
        <v>70</v>
      </c>
      <c r="O21" s="312">
        <f t="shared" si="0"/>
        <v>90</v>
      </c>
      <c r="P21" s="313">
        <f t="shared" si="1"/>
        <v>86.931818181818187</v>
      </c>
      <c r="Q21" s="314">
        <f t="shared" si="2"/>
        <v>86.931818181818187</v>
      </c>
      <c r="R21" s="315">
        <f t="shared" si="3"/>
        <v>90</v>
      </c>
      <c r="S21" s="315">
        <f t="shared" si="4"/>
        <v>70</v>
      </c>
      <c r="T21" s="627" t="str">
        <f>'set-kkm'!G10</f>
        <v>اللغة العربية</v>
      </c>
      <c r="U21" s="628"/>
      <c r="V21" s="628"/>
      <c r="W21" s="628"/>
      <c r="X21" s="629"/>
      <c r="Y21" s="241">
        <v>5</v>
      </c>
      <c r="AA21" s="238">
        <f>VLOOKUP(patokans1,nilpels1,7,FALSE)</f>
        <v>90</v>
      </c>
      <c r="AB21" s="301">
        <f t="shared" si="5"/>
        <v>90</v>
      </c>
      <c r="AD21" s="309">
        <f>'nilpel-s1'!AU59</f>
        <v>86.931818181818187</v>
      </c>
    </row>
    <row r="22" spans="6:30" s="38" customFormat="1" ht="17.149999999999999" customHeight="1" x14ac:dyDescent="0.35">
      <c r="F22" s="638">
        <v>6</v>
      </c>
      <c r="G22" s="639"/>
      <c r="H22" s="631" t="str">
        <f>'set-kkm'!F11</f>
        <v>Nahwu dan Shorof</v>
      </c>
      <c r="I22" s="631"/>
      <c r="J22" s="631"/>
      <c r="K22" s="631"/>
      <c r="L22" s="631"/>
      <c r="M22" s="631"/>
      <c r="N22" s="311">
        <f>'set-kkm'!H11</f>
        <v>70</v>
      </c>
      <c r="O22" s="312">
        <f t="shared" si="0"/>
        <v>75</v>
      </c>
      <c r="P22" s="313">
        <f t="shared" si="1"/>
        <v>78.954545454545453</v>
      </c>
      <c r="Q22" s="314">
        <f t="shared" si="2"/>
        <v>78.954545454545453</v>
      </c>
      <c r="R22" s="315">
        <f t="shared" si="3"/>
        <v>75</v>
      </c>
      <c r="S22" s="315">
        <f t="shared" si="4"/>
        <v>70</v>
      </c>
      <c r="T22" s="627" t="str">
        <f>'set-kkm'!G11</f>
        <v>النحو و الصرف</v>
      </c>
      <c r="U22" s="628"/>
      <c r="V22" s="628"/>
      <c r="W22" s="628"/>
      <c r="X22" s="629"/>
      <c r="Y22" s="241">
        <v>6</v>
      </c>
      <c r="AA22" s="238">
        <f>VLOOKUP(patokans1,nilpels1,8,FALSE)</f>
        <v>68</v>
      </c>
      <c r="AB22" s="301" t="str">
        <f t="shared" si="5"/>
        <v>75</v>
      </c>
      <c r="AD22" s="309">
        <f>'nilpel-s1'!AV59</f>
        <v>78.954545454545453</v>
      </c>
    </row>
    <row r="23" spans="6:30" s="38" customFormat="1" ht="17.149999999999999" customHeight="1" x14ac:dyDescent="0.35">
      <c r="F23" s="638">
        <v>7</v>
      </c>
      <c r="G23" s="639"/>
      <c r="H23" s="631" t="str">
        <f>'set-kkm'!F12</f>
        <v>Hadits</v>
      </c>
      <c r="I23" s="631"/>
      <c r="J23" s="631"/>
      <c r="K23" s="631"/>
      <c r="L23" s="631"/>
      <c r="M23" s="631"/>
      <c r="N23" s="311">
        <f>'set-kkm'!H12</f>
        <v>70</v>
      </c>
      <c r="O23" s="312">
        <f t="shared" si="0"/>
        <v>75</v>
      </c>
      <c r="P23" s="313">
        <f t="shared" si="1"/>
        <v>84.38636363636364</v>
      </c>
      <c r="Q23" s="314">
        <f t="shared" si="2"/>
        <v>84.38636363636364</v>
      </c>
      <c r="R23" s="315">
        <f t="shared" si="3"/>
        <v>75</v>
      </c>
      <c r="S23" s="315">
        <f t="shared" si="4"/>
        <v>70</v>
      </c>
      <c r="T23" s="627" t="str">
        <f>'set-kkm'!G12</f>
        <v>الحديث</v>
      </c>
      <c r="U23" s="628"/>
      <c r="V23" s="628"/>
      <c r="W23" s="628"/>
      <c r="X23" s="629"/>
      <c r="Y23" s="241">
        <v>7</v>
      </c>
      <c r="AA23" s="238">
        <f>VLOOKUP(patokans1,nilpels1,9,FALSE)</f>
        <v>65</v>
      </c>
      <c r="AB23" s="301" t="str">
        <f t="shared" si="5"/>
        <v>75</v>
      </c>
      <c r="AD23" s="309">
        <f>'nilpel-s1'!AW59</f>
        <v>84.38636363636364</v>
      </c>
    </row>
    <row r="24" spans="6:30" s="38" customFormat="1" ht="17.149999999999999" customHeight="1" x14ac:dyDescent="0.35">
      <c r="F24" s="638">
        <v>8</v>
      </c>
      <c r="G24" s="639"/>
      <c r="H24" s="631" t="str">
        <f>'set-kkm'!F13</f>
        <v>Tajwid</v>
      </c>
      <c r="I24" s="631"/>
      <c r="J24" s="631"/>
      <c r="K24" s="631"/>
      <c r="L24" s="631"/>
      <c r="M24" s="631"/>
      <c r="N24" s="311">
        <f>'set-kkm'!H13</f>
        <v>70</v>
      </c>
      <c r="O24" s="312">
        <f t="shared" si="0"/>
        <v>75</v>
      </c>
      <c r="P24" s="313">
        <f t="shared" si="1"/>
        <v>80</v>
      </c>
      <c r="Q24" s="314">
        <f t="shared" si="2"/>
        <v>80</v>
      </c>
      <c r="R24" s="315">
        <f t="shared" si="3"/>
        <v>75</v>
      </c>
      <c r="S24" s="315">
        <f t="shared" si="4"/>
        <v>70</v>
      </c>
      <c r="T24" s="627" t="str">
        <f>'set-kkm'!G13</f>
        <v>التجويد</v>
      </c>
      <c r="U24" s="628"/>
      <c r="V24" s="628"/>
      <c r="W24" s="628"/>
      <c r="X24" s="629"/>
      <c r="Y24" s="241">
        <v>8</v>
      </c>
      <c r="AA24" s="238">
        <f>VLOOKUP(patokans1,nilpels1,10,FALSE)</f>
        <v>62</v>
      </c>
      <c r="AB24" s="301" t="str">
        <f t="shared" si="5"/>
        <v>75</v>
      </c>
      <c r="AD24" s="309">
        <f>'nilpel-s1'!AX59</f>
        <v>80</v>
      </c>
    </row>
    <row r="25" spans="6:30" s="38" customFormat="1" ht="17.149999999999999" customHeight="1" x14ac:dyDescent="0.35">
      <c r="F25" s="638">
        <v>9</v>
      </c>
      <c r="G25" s="639"/>
      <c r="H25" s="631" t="str">
        <f>'set-kkm'!F14</f>
        <v>Tafsir</v>
      </c>
      <c r="I25" s="631"/>
      <c r="J25" s="631"/>
      <c r="K25" s="631"/>
      <c r="L25" s="631"/>
      <c r="M25" s="631"/>
      <c r="N25" s="311">
        <f>'set-kkm'!H14</f>
        <v>70</v>
      </c>
      <c r="O25" s="312">
        <f t="shared" si="0"/>
        <v>75</v>
      </c>
      <c r="P25" s="313">
        <f t="shared" si="1"/>
        <v>78.044444444444451</v>
      </c>
      <c r="Q25" s="314">
        <f t="shared" si="2"/>
        <v>78.044444444444451</v>
      </c>
      <c r="R25" s="315">
        <f t="shared" si="3"/>
        <v>75</v>
      </c>
      <c r="S25" s="315">
        <f t="shared" si="4"/>
        <v>70</v>
      </c>
      <c r="T25" s="627" t="str">
        <f>'set-kkm'!G14</f>
        <v>التفسير</v>
      </c>
      <c r="U25" s="628"/>
      <c r="V25" s="628"/>
      <c r="W25" s="628"/>
      <c r="X25" s="629"/>
      <c r="Y25" s="241">
        <v>9</v>
      </c>
      <c r="AA25" s="238">
        <f>VLOOKUP(patokans1,nilpels1,11,FALSE)</f>
        <v>57</v>
      </c>
      <c r="AB25" s="301" t="str">
        <f t="shared" si="5"/>
        <v>75</v>
      </c>
      <c r="AD25" s="309">
        <f>'nilpel-s1'!AY59</f>
        <v>78.044444444444451</v>
      </c>
    </row>
    <row r="26" spans="6:30" s="38" customFormat="1" ht="17.149999999999999" customHeight="1" x14ac:dyDescent="0.35">
      <c r="F26" s="638">
        <v>10</v>
      </c>
      <c r="G26" s="639"/>
      <c r="H26" s="631" t="str">
        <f>'set-kkm'!F15</f>
        <v>Siroh</v>
      </c>
      <c r="I26" s="631"/>
      <c r="J26" s="631"/>
      <c r="K26" s="631"/>
      <c r="L26" s="631"/>
      <c r="M26" s="631"/>
      <c r="N26" s="311">
        <f>'set-kkm'!H15</f>
        <v>70</v>
      </c>
      <c r="O26" s="312">
        <f t="shared" si="0"/>
        <v>75</v>
      </c>
      <c r="P26" s="313">
        <f t="shared" si="1"/>
        <v>80.545454545454547</v>
      </c>
      <c r="Q26" s="314">
        <f t="shared" si="2"/>
        <v>80.545454545454547</v>
      </c>
      <c r="R26" s="315">
        <f t="shared" si="3"/>
        <v>75</v>
      </c>
      <c r="S26" s="315">
        <f t="shared" si="4"/>
        <v>70</v>
      </c>
      <c r="T26" s="627" t="str">
        <f>'set-kkm'!G15</f>
        <v>السيرة</v>
      </c>
      <c r="U26" s="628"/>
      <c r="V26" s="628"/>
      <c r="W26" s="628"/>
      <c r="X26" s="629"/>
      <c r="Y26" s="241">
        <v>10</v>
      </c>
      <c r="AA26" s="238">
        <f>VLOOKUP(patokans1,nilpels1,12,FALSE)</f>
        <v>65</v>
      </c>
      <c r="AB26" s="301" t="str">
        <f t="shared" si="5"/>
        <v>75</v>
      </c>
      <c r="AD26" s="309">
        <f>'nilpel-s1'!AZ59</f>
        <v>80.545454545454547</v>
      </c>
    </row>
    <row r="27" spans="6:30" s="38" customFormat="1" ht="17.149999999999999" customHeight="1" x14ac:dyDescent="0.35">
      <c r="F27" s="638">
        <v>11</v>
      </c>
      <c r="G27" s="639"/>
      <c r="H27" s="631" t="str">
        <f>'set-kkm'!F16</f>
        <v>Praktek Ibadah dan Bahasa Arab</v>
      </c>
      <c r="I27" s="631"/>
      <c r="J27" s="631"/>
      <c r="K27" s="631"/>
      <c r="L27" s="631"/>
      <c r="M27" s="631"/>
      <c r="N27" s="311">
        <f>'set-kkm'!H16</f>
        <v>70</v>
      </c>
      <c r="O27" s="312">
        <f t="shared" si="0"/>
        <v>80</v>
      </c>
      <c r="P27" s="313">
        <f t="shared" si="1"/>
        <v>80.5</v>
      </c>
      <c r="Q27" s="314">
        <f t="shared" ref="Q27" si="6">P27</f>
        <v>80.5</v>
      </c>
      <c r="R27" s="315">
        <f t="shared" si="3"/>
        <v>80</v>
      </c>
      <c r="S27" s="315">
        <f t="shared" ref="S27" si="7">N27</f>
        <v>70</v>
      </c>
      <c r="T27" s="627" t="str">
        <f>'set-kkm'!G16</f>
        <v>عملية العبادة و العربية</v>
      </c>
      <c r="U27" s="628"/>
      <c r="V27" s="628"/>
      <c r="W27" s="628"/>
      <c r="X27" s="629"/>
      <c r="Y27" s="241">
        <v>11</v>
      </c>
      <c r="AA27" s="238">
        <f>VLOOKUP(patokans1,nilpels1,13,FALSE)</f>
        <v>80</v>
      </c>
      <c r="AB27" s="301">
        <f t="shared" si="5"/>
        <v>80</v>
      </c>
      <c r="AD27" s="309">
        <f>'nilpel-s1'!BA59</f>
        <v>80.5</v>
      </c>
    </row>
    <row r="28" spans="6:30" s="38" customFormat="1" ht="17.149999999999999" customHeight="1" x14ac:dyDescent="0.35">
      <c r="F28" s="650"/>
      <c r="G28" s="651"/>
      <c r="H28" s="633" t="s">
        <v>2425</v>
      </c>
      <c r="I28" s="637"/>
      <c r="J28" s="637"/>
      <c r="K28" s="637"/>
      <c r="L28" s="637"/>
      <c r="M28" s="637"/>
      <c r="N28" s="637"/>
      <c r="O28" s="637"/>
      <c r="P28" s="637"/>
      <c r="Q28" s="634" t="s">
        <v>2426</v>
      </c>
      <c r="R28" s="635"/>
      <c r="S28" s="635"/>
      <c r="T28" s="635"/>
      <c r="U28" s="635"/>
      <c r="V28" s="635"/>
      <c r="W28" s="635"/>
      <c r="X28" s="635"/>
      <c r="Y28" s="253"/>
      <c r="AA28" s="298"/>
      <c r="AB28" s="302"/>
    </row>
    <row r="29" spans="6:30" s="38" customFormat="1" ht="17.149999999999999" customHeight="1" x14ac:dyDescent="0.35">
      <c r="F29" s="630">
        <v>12</v>
      </c>
      <c r="G29" s="630"/>
      <c r="H29" s="631" t="str">
        <f>'set-kkm'!F18</f>
        <v>Bahasa Indonesia</v>
      </c>
      <c r="I29" s="631"/>
      <c r="J29" s="631"/>
      <c r="K29" s="631"/>
      <c r="L29" s="631"/>
      <c r="M29" s="631"/>
      <c r="N29" s="311">
        <f>'set-kkm'!H18</f>
        <v>70</v>
      </c>
      <c r="O29" s="312">
        <f t="shared" si="0"/>
        <v>82</v>
      </c>
      <c r="P29" s="313">
        <f t="shared" ref="P29:P33" si="8">AD29</f>
        <v>80</v>
      </c>
      <c r="Q29" s="314">
        <f>P29</f>
        <v>80</v>
      </c>
      <c r="R29" s="315">
        <f t="shared" si="3"/>
        <v>82</v>
      </c>
      <c r="S29" s="315">
        <f t="shared" ref="S29" si="9">N29</f>
        <v>70</v>
      </c>
      <c r="T29" s="627" t="str">
        <f>'set-kkm'!G18</f>
        <v>اللغة الإندونيسية</v>
      </c>
      <c r="U29" s="628"/>
      <c r="V29" s="628"/>
      <c r="W29" s="628"/>
      <c r="X29" s="629"/>
      <c r="Y29" s="241">
        <v>12</v>
      </c>
      <c r="AA29" s="238">
        <f>VLOOKUP(patokans1,nilpels1,14,FALSE)</f>
        <v>35</v>
      </c>
      <c r="AB29" s="301" t="str">
        <f>IF(AA29&lt;80,"82",AA29)</f>
        <v>82</v>
      </c>
      <c r="AD29" s="309">
        <f>'nilpel-s1'!BB59</f>
        <v>80</v>
      </c>
    </row>
    <row r="30" spans="6:30" s="38" customFormat="1" ht="17.149999999999999" customHeight="1" x14ac:dyDescent="0.35">
      <c r="F30" s="630">
        <v>13</v>
      </c>
      <c r="G30" s="630"/>
      <c r="H30" s="631" t="str">
        <f>'set-kkm'!F20</f>
        <v>Matematika</v>
      </c>
      <c r="I30" s="631"/>
      <c r="J30" s="631"/>
      <c r="K30" s="631"/>
      <c r="L30" s="631"/>
      <c r="M30" s="631"/>
      <c r="N30" s="311">
        <f>'set-kkm'!H20</f>
        <v>70</v>
      </c>
      <c r="O30" s="312">
        <f t="shared" si="0"/>
        <v>80</v>
      </c>
      <c r="P30" s="313">
        <f t="shared" si="8"/>
        <v>85.11363636363636</v>
      </c>
      <c r="Q30" s="314">
        <f t="shared" si="2"/>
        <v>85.11363636363636</v>
      </c>
      <c r="R30" s="315">
        <f t="shared" si="3"/>
        <v>80</v>
      </c>
      <c r="S30" s="315">
        <f t="shared" ref="S30:S33" si="10">N30</f>
        <v>70</v>
      </c>
      <c r="T30" s="627" t="str">
        <f>'set-kkm'!G20</f>
        <v>الرياضية</v>
      </c>
      <c r="U30" s="628"/>
      <c r="V30" s="628"/>
      <c r="W30" s="628"/>
      <c r="X30" s="629"/>
      <c r="Y30" s="241">
        <v>13</v>
      </c>
      <c r="AA30" s="238">
        <f>VLOOKUP(patokans1,nilpels1,16,FALSE)</f>
        <v>50</v>
      </c>
      <c r="AB30" s="301" t="str">
        <f t="shared" ref="AB30" si="11">IF(AA30&lt;80,"80",AA30)</f>
        <v>80</v>
      </c>
      <c r="AD30" s="309">
        <f>'nilpel-s1'!BD59</f>
        <v>85.11363636363636</v>
      </c>
    </row>
    <row r="31" spans="6:30" s="38" customFormat="1" ht="17.149999999999999" customHeight="1" x14ac:dyDescent="0.35">
      <c r="F31" s="630">
        <v>14</v>
      </c>
      <c r="G31" s="630"/>
      <c r="H31" s="631" t="str">
        <f>'set-kkm'!F21</f>
        <v>Ilmu Pengetahuan Alam</v>
      </c>
      <c r="I31" s="631"/>
      <c r="J31" s="631"/>
      <c r="K31" s="631"/>
      <c r="L31" s="631"/>
      <c r="M31" s="631"/>
      <c r="N31" s="311">
        <f>'set-kkm'!H21</f>
        <v>70</v>
      </c>
      <c r="O31" s="312">
        <f t="shared" si="0"/>
        <v>81</v>
      </c>
      <c r="P31" s="313">
        <f t="shared" si="8"/>
        <v>83.068181818181813</v>
      </c>
      <c r="Q31" s="314">
        <f t="shared" si="2"/>
        <v>83.068181818181813</v>
      </c>
      <c r="R31" s="315">
        <f t="shared" si="3"/>
        <v>81</v>
      </c>
      <c r="S31" s="315">
        <f t="shared" si="10"/>
        <v>70</v>
      </c>
      <c r="T31" s="627" t="str">
        <f>'set-kkm'!G21</f>
        <v>العلوم الطبيعية</v>
      </c>
      <c r="U31" s="628"/>
      <c r="V31" s="628"/>
      <c r="W31" s="628"/>
      <c r="X31" s="629"/>
      <c r="Y31" s="241">
        <v>14</v>
      </c>
      <c r="AA31" s="238">
        <f>VLOOKUP(patokans1,nilpels1,17,FALSE)</f>
        <v>58</v>
      </c>
      <c r="AB31" s="301" t="str">
        <f>IF(AA31&lt;80,"81",AA31)</f>
        <v>81</v>
      </c>
      <c r="AD31" s="309">
        <f>'nilpel-s1'!BE59</f>
        <v>83.068181818181813</v>
      </c>
    </row>
    <row r="32" spans="6:30" s="38" customFormat="1" ht="17.149999999999999" customHeight="1" x14ac:dyDescent="0.35">
      <c r="F32" s="630">
        <v>15</v>
      </c>
      <c r="G32" s="630"/>
      <c r="H32" s="631" t="str">
        <f>'set-kkm'!F22</f>
        <v>Ilmu Pengetahuan Sosial</v>
      </c>
      <c r="I32" s="631"/>
      <c r="J32" s="631"/>
      <c r="K32" s="631"/>
      <c r="L32" s="631"/>
      <c r="M32" s="631"/>
      <c r="N32" s="311">
        <f>'set-kkm'!H22</f>
        <v>70</v>
      </c>
      <c r="O32" s="312">
        <f t="shared" si="0"/>
        <v>83</v>
      </c>
      <c r="P32" s="313">
        <f t="shared" si="8"/>
        <v>85</v>
      </c>
      <c r="Q32" s="314">
        <f t="shared" si="2"/>
        <v>85</v>
      </c>
      <c r="R32" s="315">
        <f t="shared" si="3"/>
        <v>83</v>
      </c>
      <c r="S32" s="315">
        <f t="shared" si="10"/>
        <v>70</v>
      </c>
      <c r="T32" s="627" t="str">
        <f>'set-kkm'!G22</f>
        <v>العلوم الإجتماعية</v>
      </c>
      <c r="U32" s="628"/>
      <c r="V32" s="628"/>
      <c r="W32" s="628"/>
      <c r="X32" s="629"/>
      <c r="Y32" s="241">
        <v>15</v>
      </c>
      <c r="AA32" s="238">
        <f>VLOOKUP(patokans1,nilpels1,18,FALSE)</f>
        <v>77</v>
      </c>
      <c r="AB32" s="301" t="str">
        <f>IF(AA32&lt;80,"83",AA32)</f>
        <v>83</v>
      </c>
      <c r="AD32" s="309">
        <f>'nilpel-s1'!BF59</f>
        <v>85</v>
      </c>
    </row>
    <row r="33" spans="6:30" s="38" customFormat="1" ht="17.149999999999999" customHeight="1" x14ac:dyDescent="0.35">
      <c r="F33" s="630">
        <v>16</v>
      </c>
      <c r="G33" s="630"/>
      <c r="H33" s="631" t="str">
        <f>'set-kkm'!F23</f>
        <v>Komputer</v>
      </c>
      <c r="I33" s="631"/>
      <c r="J33" s="631"/>
      <c r="K33" s="631"/>
      <c r="L33" s="631"/>
      <c r="M33" s="631"/>
      <c r="N33" s="311">
        <f>'set-kkm'!H23</f>
        <v>70</v>
      </c>
      <c r="O33" s="312">
        <f t="shared" si="0"/>
        <v>84</v>
      </c>
      <c r="P33" s="313">
        <f t="shared" si="8"/>
        <v>87.159090909090907</v>
      </c>
      <c r="Q33" s="314">
        <f t="shared" si="2"/>
        <v>87.159090909090907</v>
      </c>
      <c r="R33" s="315">
        <f t="shared" si="3"/>
        <v>84</v>
      </c>
      <c r="S33" s="315">
        <f t="shared" si="10"/>
        <v>70</v>
      </c>
      <c r="T33" s="627" t="str">
        <f>'set-kkm'!G23</f>
        <v>الحاسب الآلي</v>
      </c>
      <c r="U33" s="628"/>
      <c r="V33" s="628"/>
      <c r="W33" s="628"/>
      <c r="X33" s="629"/>
      <c r="Y33" s="241">
        <v>16</v>
      </c>
      <c r="AA33" s="238">
        <f>VLOOKUP(patokans1,nilpels1,19,FALSE)</f>
        <v>64</v>
      </c>
      <c r="AB33" s="301" t="str">
        <f>IF(AA33&lt;80,"84",AA33)</f>
        <v>84</v>
      </c>
      <c r="AD33" s="309">
        <f>'nilpel-s1'!BG59</f>
        <v>87.159090909090907</v>
      </c>
    </row>
    <row r="34" spans="6:30" s="38" customFormat="1" ht="17.149999999999999" customHeight="1" x14ac:dyDescent="0.35">
      <c r="F34" s="564" t="s">
        <v>151</v>
      </c>
      <c r="G34" s="564"/>
      <c r="H34" s="564"/>
      <c r="I34" s="564"/>
      <c r="J34" s="564"/>
      <c r="K34" s="564"/>
      <c r="L34" s="564"/>
      <c r="M34" s="564"/>
      <c r="N34" s="644">
        <f>SUM(O17:O27,O29:O33)</f>
        <v>1269</v>
      </c>
      <c r="O34" s="645"/>
      <c r="P34" s="646"/>
      <c r="Q34" s="571">
        <f>N34</f>
        <v>1269</v>
      </c>
      <c r="R34" s="571"/>
      <c r="S34" s="571"/>
      <c r="T34" s="570" t="s">
        <v>2427</v>
      </c>
      <c r="U34" s="570"/>
      <c r="V34" s="570"/>
      <c r="W34" s="570"/>
      <c r="X34" s="570"/>
      <c r="Y34" s="570"/>
      <c r="AA34" s="294"/>
      <c r="AB34" s="301"/>
    </row>
    <row r="35" spans="6:30" s="38" customFormat="1" ht="17.149999999999999" customHeight="1" x14ac:dyDescent="0.35">
      <c r="F35" s="564" t="s">
        <v>152</v>
      </c>
      <c r="G35" s="564"/>
      <c r="H35" s="564"/>
      <c r="I35" s="564"/>
      <c r="J35" s="564"/>
      <c r="K35" s="564"/>
      <c r="L35" s="564"/>
      <c r="M35" s="564"/>
      <c r="N35" s="647">
        <f>AVERAGE(O17:O27,O29:O33)</f>
        <v>79.3125</v>
      </c>
      <c r="O35" s="648"/>
      <c r="P35" s="649"/>
      <c r="Q35" s="573">
        <f>N35</f>
        <v>79.3125</v>
      </c>
      <c r="R35" s="573"/>
      <c r="S35" s="573"/>
      <c r="T35" s="570" t="s">
        <v>2417</v>
      </c>
      <c r="U35" s="570"/>
      <c r="V35" s="570"/>
      <c r="W35" s="570"/>
      <c r="X35" s="570"/>
      <c r="Y35" s="570"/>
      <c r="AA35" s="295"/>
      <c r="AB35" s="301"/>
    </row>
    <row r="36" spans="6:30" s="38" customFormat="1" ht="17.149999999999999" customHeight="1" x14ac:dyDescent="0.35">
      <c r="F36" s="564" t="s">
        <v>2428</v>
      </c>
      <c r="G36" s="564"/>
      <c r="H36" s="564"/>
      <c r="I36" s="564"/>
      <c r="J36" s="564"/>
      <c r="K36" s="564"/>
      <c r="L36" s="564"/>
      <c r="M36" s="564"/>
      <c r="N36" s="570">
        <f>50-COUNTBLANK(jlmsis)</f>
        <v>46</v>
      </c>
      <c r="O36" s="570"/>
      <c r="P36" s="570"/>
      <c r="Q36" s="571">
        <f t="shared" ref="Q36" si="12">N36</f>
        <v>46</v>
      </c>
      <c r="R36" s="571"/>
      <c r="S36" s="571"/>
      <c r="T36" s="570" t="s">
        <v>2429</v>
      </c>
      <c r="U36" s="570"/>
      <c r="V36" s="570"/>
      <c r="W36" s="570"/>
      <c r="X36" s="570"/>
      <c r="Y36" s="570"/>
      <c r="AA36" s="297"/>
      <c r="AB36" s="27"/>
    </row>
    <row r="37" spans="6:30" s="38" customFormat="1" ht="17.149999999999999" customHeight="1" x14ac:dyDescent="0.35">
      <c r="F37" s="243"/>
      <c r="G37" s="244"/>
      <c r="H37" s="632" t="s">
        <v>2436</v>
      </c>
      <c r="I37" s="632"/>
      <c r="J37" s="632"/>
      <c r="K37" s="632"/>
      <c r="L37" s="632"/>
      <c r="M37" s="632"/>
      <c r="N37" s="632"/>
      <c r="O37" s="632"/>
      <c r="P37" s="633"/>
      <c r="Q37" s="634" t="s">
        <v>2430</v>
      </c>
      <c r="R37" s="635"/>
      <c r="S37" s="635"/>
      <c r="T37" s="635"/>
      <c r="U37" s="635"/>
      <c r="V37" s="635"/>
      <c r="W37" s="635"/>
      <c r="X37" s="635"/>
      <c r="Y37" s="253"/>
      <c r="AA37" s="297"/>
      <c r="AB37" s="27"/>
    </row>
    <row r="38" spans="6:30" s="38" customFormat="1" ht="17.149999999999999" customHeight="1" x14ac:dyDescent="0.35">
      <c r="F38" s="576" t="s">
        <v>2471</v>
      </c>
      <c r="G38" s="576"/>
      <c r="H38" s="576"/>
      <c r="I38" s="576"/>
      <c r="J38" s="576"/>
      <c r="K38" s="576"/>
      <c r="L38" s="577" t="s">
        <v>2444</v>
      </c>
      <c r="M38" s="577"/>
      <c r="N38" s="577"/>
      <c r="O38" s="577"/>
      <c r="P38" s="577"/>
      <c r="Q38" s="246" t="s">
        <v>2435</v>
      </c>
      <c r="R38" s="574" t="s">
        <v>2441</v>
      </c>
      <c r="S38" s="574"/>
      <c r="T38" s="574"/>
      <c r="U38" s="574"/>
      <c r="V38" s="574"/>
      <c r="W38" s="574"/>
      <c r="X38" s="574"/>
      <c r="Y38" s="574"/>
      <c r="AA38" s="297"/>
      <c r="AB38" s="27"/>
    </row>
    <row r="39" spans="6:30" s="38" customFormat="1" ht="17.149999999999999" customHeight="1" x14ac:dyDescent="0.35">
      <c r="F39" s="669">
        <f>AB39</f>
        <v>19</v>
      </c>
      <c r="G39" s="670"/>
      <c r="H39" s="670"/>
      <c r="I39" s="670"/>
      <c r="J39" s="670"/>
      <c r="K39" s="670"/>
      <c r="L39" s="575" t="s">
        <v>158</v>
      </c>
      <c r="M39" s="575"/>
      <c r="N39" s="575"/>
      <c r="O39" s="570" t="s">
        <v>2432</v>
      </c>
      <c r="P39" s="570"/>
      <c r="Q39" s="247" t="str">
        <f>VLOOKUP(patokans1,nilwks1,6,FALSE)</f>
        <v>B</v>
      </c>
      <c r="R39" s="575" t="s">
        <v>2454</v>
      </c>
      <c r="S39" s="575"/>
      <c r="T39" s="575"/>
      <c r="U39" s="575"/>
      <c r="V39" s="575"/>
      <c r="W39" s="570" t="s">
        <v>2455</v>
      </c>
      <c r="X39" s="570"/>
      <c r="Y39" s="570"/>
      <c r="AA39" s="308">
        <f>VLOOKUP(patokans1,nilwks1,3,FALSE)</f>
        <v>19</v>
      </c>
      <c r="AB39" s="308">
        <f>IF(AA39=0,"-",AA39)</f>
        <v>19</v>
      </c>
    </row>
    <row r="40" spans="6:30" s="38" customFormat="1" ht="17.149999999999999" customHeight="1" x14ac:dyDescent="0.35">
      <c r="F40" s="669" t="str">
        <f>AB40</f>
        <v>-</v>
      </c>
      <c r="G40" s="670"/>
      <c r="H40" s="670"/>
      <c r="I40" s="670"/>
      <c r="J40" s="670"/>
      <c r="K40" s="670"/>
      <c r="L40" s="575" t="s">
        <v>157</v>
      </c>
      <c r="M40" s="575"/>
      <c r="N40" s="575"/>
      <c r="O40" s="570" t="s">
        <v>2433</v>
      </c>
      <c r="P40" s="570"/>
      <c r="Q40" s="247" t="str">
        <f>VLOOKUP(patokans1,nilwks1,7,FALSE)</f>
        <v>B</v>
      </c>
      <c r="R40" s="575" t="s">
        <v>156</v>
      </c>
      <c r="S40" s="575"/>
      <c r="T40" s="575"/>
      <c r="U40" s="575"/>
      <c r="V40" s="575"/>
      <c r="W40" s="570" t="s">
        <v>2453</v>
      </c>
      <c r="X40" s="570"/>
      <c r="Y40" s="570"/>
      <c r="AA40" s="308">
        <f>VLOOKUP(patokans1,nilwks1,4,FALSE)</f>
        <v>0</v>
      </c>
      <c r="AB40" s="308" t="str">
        <f t="shared" ref="AB40:AB41" si="13">IF(AA40=0,"-",AA40)</f>
        <v>-</v>
      </c>
    </row>
    <row r="41" spans="6:30" s="38" customFormat="1" ht="17.149999999999999" customHeight="1" x14ac:dyDescent="0.35">
      <c r="F41" s="669" t="str">
        <f>AB41</f>
        <v>-</v>
      </c>
      <c r="G41" s="670"/>
      <c r="H41" s="670"/>
      <c r="I41" s="670"/>
      <c r="J41" s="670"/>
      <c r="K41" s="670"/>
      <c r="L41" s="575" t="s">
        <v>277</v>
      </c>
      <c r="M41" s="575"/>
      <c r="N41" s="575"/>
      <c r="O41" s="570" t="s">
        <v>2434</v>
      </c>
      <c r="P41" s="570"/>
      <c r="Q41" s="247" t="str">
        <f>VLOOKUP(patokans1,nilwks1,8,FALSE)</f>
        <v>B</v>
      </c>
      <c r="R41" s="672" t="s">
        <v>276</v>
      </c>
      <c r="S41" s="672"/>
      <c r="T41" s="672"/>
      <c r="U41" s="672"/>
      <c r="V41" s="672"/>
      <c r="W41" s="570" t="s">
        <v>2431</v>
      </c>
      <c r="X41" s="570"/>
      <c r="Y41" s="570"/>
      <c r="AA41" s="308">
        <f>VLOOKUP(patokans1,nilwks1,5,FALSE)</f>
        <v>0</v>
      </c>
      <c r="AB41" s="308" t="str">
        <f t="shared" si="13"/>
        <v>-</v>
      </c>
    </row>
    <row r="42" spans="6:30" s="38" customFormat="1" ht="17.149999999999999" customHeight="1" x14ac:dyDescent="0.35">
      <c r="F42" s="673" t="s">
        <v>2435</v>
      </c>
      <c r="G42" s="674"/>
      <c r="H42" s="675"/>
      <c r="I42" s="676" t="s">
        <v>2443</v>
      </c>
      <c r="J42" s="677"/>
      <c r="K42" s="677"/>
      <c r="L42" s="677"/>
      <c r="M42" s="677"/>
      <c r="N42" s="677"/>
      <c r="O42" s="677"/>
      <c r="P42" s="678"/>
      <c r="Q42" s="246" t="s">
        <v>2435</v>
      </c>
      <c r="R42" s="574" t="s">
        <v>2442</v>
      </c>
      <c r="S42" s="574"/>
      <c r="T42" s="574"/>
      <c r="U42" s="574"/>
      <c r="V42" s="574"/>
      <c r="W42" s="574"/>
      <c r="X42" s="574"/>
      <c r="Y42" s="574"/>
      <c r="AA42" s="297"/>
      <c r="AB42" s="27"/>
    </row>
    <row r="43" spans="6:30" s="38" customFormat="1" ht="17.149999999999999" customHeight="1" x14ac:dyDescent="0.35">
      <c r="F43" s="652" t="str">
        <f>AB43</f>
        <v>C</v>
      </c>
      <c r="G43" s="653"/>
      <c r="H43" s="654"/>
      <c r="I43" s="655" t="str">
        <f>AD43</f>
        <v>Komputer</v>
      </c>
      <c r="J43" s="656"/>
      <c r="K43" s="656"/>
      <c r="L43" s="656"/>
      <c r="M43" s="656"/>
      <c r="N43" s="656"/>
      <c r="O43" s="656"/>
      <c r="P43" s="657"/>
      <c r="Q43" s="247" t="str">
        <f>VLOOKUP(patokans1,nilwks1,33,FALSE)</f>
        <v>A</v>
      </c>
      <c r="R43" s="575" t="s">
        <v>245</v>
      </c>
      <c r="S43" s="575"/>
      <c r="T43" s="575"/>
      <c r="U43" s="575"/>
      <c r="V43" s="575"/>
      <c r="W43" s="570" t="s">
        <v>2438</v>
      </c>
      <c r="X43" s="570"/>
      <c r="Y43" s="570"/>
      <c r="AA43" s="310" t="str">
        <f>VLOOKUP(patokans1,nilwks1,25,FALSE)</f>
        <v>C</v>
      </c>
      <c r="AB43" s="308" t="str">
        <f>IF(AA43=0,"-",AA43)</f>
        <v>C</v>
      </c>
      <c r="AC43" s="307" t="str">
        <f>VLOOKUP(patokans1,nilwks1,24,FALSE)</f>
        <v>Komputer</v>
      </c>
      <c r="AD43" s="308" t="str">
        <f>IF(AC43=0,"-",AC43)</f>
        <v>Komputer</v>
      </c>
    </row>
    <row r="44" spans="6:30" s="38" customFormat="1" ht="17.149999999999999" customHeight="1" x14ac:dyDescent="0.35">
      <c r="F44" s="652" t="str">
        <f>AB44</f>
        <v>-</v>
      </c>
      <c r="G44" s="653"/>
      <c r="H44" s="654"/>
      <c r="I44" s="655" t="str">
        <f>AD44</f>
        <v>-</v>
      </c>
      <c r="J44" s="656"/>
      <c r="K44" s="656"/>
      <c r="L44" s="656"/>
      <c r="M44" s="656"/>
      <c r="N44" s="656"/>
      <c r="O44" s="656"/>
      <c r="P44" s="657"/>
      <c r="Q44" s="247" t="str">
        <f>VLOOKUP(patokans1,nilwks1,34,FALSE)</f>
        <v>B</v>
      </c>
      <c r="R44" s="575" t="s">
        <v>3021</v>
      </c>
      <c r="S44" s="575"/>
      <c r="T44" s="575"/>
      <c r="U44" s="575"/>
      <c r="V44" s="575"/>
      <c r="W44" s="570" t="s">
        <v>3023</v>
      </c>
      <c r="X44" s="570"/>
      <c r="Y44" s="570"/>
      <c r="AA44" s="310">
        <f>VLOOKUP(patokans1,nilwks1,28,FALSE)</f>
        <v>0</v>
      </c>
      <c r="AB44" s="308" t="str">
        <f>IF(AA44=0,"-",AA44)</f>
        <v>-</v>
      </c>
      <c r="AC44" s="307">
        <f>VLOOKUP(patokans1,nilwks1,27,FALSE)</f>
        <v>0</v>
      </c>
      <c r="AD44" s="308" t="str">
        <f>IF(AC44=0,"-",AC44)</f>
        <v>-</v>
      </c>
    </row>
    <row r="45" spans="6:30" s="38" customFormat="1" ht="17.149999999999999" customHeight="1" x14ac:dyDescent="0.35">
      <c r="F45" s="243"/>
      <c r="G45" s="244"/>
      <c r="H45" s="632" t="s">
        <v>2439</v>
      </c>
      <c r="I45" s="632"/>
      <c r="J45" s="632"/>
      <c r="K45" s="632"/>
      <c r="L45" s="632"/>
      <c r="M45" s="632"/>
      <c r="N45" s="632"/>
      <c r="O45" s="632"/>
      <c r="P45" s="633"/>
      <c r="Q45" s="634" t="s">
        <v>2437</v>
      </c>
      <c r="R45" s="635"/>
      <c r="S45" s="635"/>
      <c r="T45" s="635"/>
      <c r="U45" s="635"/>
      <c r="V45" s="635"/>
      <c r="W45" s="635"/>
      <c r="X45" s="635"/>
      <c r="Y45" s="253"/>
      <c r="AA45" s="297"/>
      <c r="AB45" s="27"/>
    </row>
    <row r="46" spans="6:30" ht="41.25" customHeight="1" x14ac:dyDescent="0.35">
      <c r="F46" s="640" t="str">
        <f>VLOOKUP(patokans1,nilwks1,9,FALSE)</f>
        <v>Alhamdulillah, Semoga ilmu yang dipelajari bermanfaat dan terus istiqomah dalam mengamalkan ilmu</v>
      </c>
      <c r="G46" s="640"/>
      <c r="H46" s="640"/>
      <c r="I46" s="640"/>
      <c r="J46" s="640"/>
      <c r="K46" s="640"/>
      <c r="L46" s="640"/>
      <c r="M46" s="640"/>
      <c r="N46" s="640"/>
      <c r="O46" s="640"/>
      <c r="P46" s="640"/>
      <c r="Q46" s="640"/>
      <c r="R46" s="640"/>
      <c r="S46" s="640"/>
      <c r="T46" s="640"/>
      <c r="U46" s="640"/>
      <c r="V46" s="640"/>
      <c r="W46" s="640"/>
      <c r="X46" s="640"/>
      <c r="Y46" s="640"/>
    </row>
    <row r="47" spans="6:30" ht="6.75" customHeight="1" x14ac:dyDescent="0.35">
      <c r="F47" s="233"/>
      <c r="G47" s="233"/>
      <c r="H47" s="233"/>
      <c r="I47" s="233"/>
      <c r="J47" s="233"/>
      <c r="K47" s="233"/>
      <c r="L47" s="233"/>
      <c r="M47" s="233"/>
      <c r="N47" s="233"/>
      <c r="O47" s="233"/>
      <c r="P47" s="233"/>
      <c r="Q47" s="233"/>
      <c r="R47" s="233"/>
      <c r="S47" s="233"/>
      <c r="T47" s="233"/>
      <c r="U47" s="233"/>
      <c r="V47" s="233"/>
      <c r="W47" s="233"/>
      <c r="X47" s="233"/>
      <c r="Y47" s="233"/>
    </row>
    <row r="48" spans="6:30" ht="14.15" customHeight="1" x14ac:dyDescent="0.35">
      <c r="F48" s="658" t="s">
        <v>162</v>
      </c>
      <c r="G48" s="658"/>
      <c r="H48" s="658"/>
      <c r="I48" s="658"/>
      <c r="J48" s="658"/>
      <c r="K48" s="658"/>
      <c r="L48" s="658"/>
      <c r="M48" s="658"/>
      <c r="N48" s="658"/>
      <c r="O48" s="658"/>
      <c r="P48" s="248"/>
      <c r="Q48" s="248"/>
      <c r="R48" s="248"/>
      <c r="S48" s="658" t="str">
        <f>'set-dakol'!M23</f>
        <v>Brebes, 12 Desember 2022</v>
      </c>
      <c r="T48" s="658"/>
      <c r="U48" s="658"/>
      <c r="V48" s="658"/>
      <c r="W48" s="658"/>
      <c r="X48" s="658"/>
      <c r="Y48" s="658"/>
    </row>
    <row r="49" spans="6:27" ht="14.15" customHeight="1" x14ac:dyDescent="0.35">
      <c r="F49" s="658" t="s">
        <v>107</v>
      </c>
      <c r="G49" s="658"/>
      <c r="H49" s="658"/>
      <c r="I49" s="658"/>
      <c r="J49" s="658"/>
      <c r="K49" s="658"/>
      <c r="L49" s="658"/>
      <c r="M49" s="658"/>
      <c r="N49" s="658"/>
      <c r="O49" s="658"/>
      <c r="P49" s="249"/>
      <c r="Q49" s="248"/>
      <c r="R49" s="248"/>
      <c r="S49" s="658" t="s">
        <v>161</v>
      </c>
      <c r="T49" s="658"/>
      <c r="U49" s="658"/>
      <c r="V49" s="658"/>
      <c r="W49" s="658"/>
      <c r="X49" s="658"/>
      <c r="Y49" s="658"/>
    </row>
    <row r="50" spans="6:27" ht="14.15" customHeight="1" x14ac:dyDescent="0.35">
      <c r="F50" s="250"/>
      <c r="G50" s="250"/>
      <c r="H50" s="250"/>
      <c r="I50" s="250"/>
      <c r="J50" s="250"/>
      <c r="K50" s="250"/>
      <c r="L50" s="250"/>
      <c r="M50" s="250"/>
      <c r="N50" s="250"/>
      <c r="O50" s="250"/>
      <c r="P50" s="249"/>
      <c r="Q50" s="250"/>
      <c r="R50" s="250"/>
      <c r="S50" s="250"/>
      <c r="T50" s="250"/>
      <c r="U50" s="250"/>
      <c r="V50" s="250"/>
      <c r="W50" s="250"/>
      <c r="X50" s="250"/>
      <c r="Y50" s="250"/>
    </row>
    <row r="51" spans="6:27" ht="13.5" customHeight="1" x14ac:dyDescent="0.35">
      <c r="F51" s="248"/>
      <c r="G51" s="248"/>
      <c r="H51" s="248"/>
      <c r="I51" s="248"/>
      <c r="J51" s="248"/>
      <c r="K51" s="248"/>
      <c r="L51" s="248"/>
      <c r="M51" s="248"/>
      <c r="N51" s="248"/>
      <c r="O51" s="248"/>
      <c r="P51" s="249"/>
      <c r="Q51" s="248"/>
      <c r="R51" s="248"/>
      <c r="S51" s="248"/>
      <c r="T51" s="250"/>
      <c r="U51" s="248"/>
      <c r="V51" s="248"/>
      <c r="W51" s="248"/>
      <c r="X51" s="248"/>
      <c r="Y51" s="248"/>
    </row>
    <row r="52" spans="6:27" ht="14.15" customHeight="1" x14ac:dyDescent="0.35">
      <c r="F52" s="248"/>
      <c r="G52" s="248"/>
      <c r="H52" s="248"/>
      <c r="I52" s="248"/>
      <c r="J52" s="248"/>
      <c r="K52" s="248"/>
      <c r="L52" s="248"/>
      <c r="M52" s="248"/>
      <c r="N52" s="248"/>
      <c r="O52" s="248"/>
      <c r="P52" s="249"/>
      <c r="Q52" s="248"/>
      <c r="R52" s="248"/>
      <c r="S52" s="248"/>
      <c r="T52" s="250"/>
      <c r="U52" s="248"/>
      <c r="V52" s="248"/>
      <c r="W52" s="248"/>
      <c r="X52" s="248"/>
      <c r="Y52" s="248"/>
    </row>
    <row r="53" spans="6:27" ht="13.5" customHeight="1" x14ac:dyDescent="0.35">
      <c r="F53" s="636" t="s">
        <v>2440</v>
      </c>
      <c r="G53" s="636"/>
      <c r="H53" s="636"/>
      <c r="I53" s="636"/>
      <c r="J53" s="636"/>
      <c r="K53" s="636"/>
      <c r="L53" s="636"/>
      <c r="M53" s="636"/>
      <c r="N53" s="636"/>
      <c r="O53" s="636"/>
      <c r="P53" s="251"/>
      <c r="Q53" s="252"/>
      <c r="R53" s="252"/>
      <c r="S53" s="671" t="str">
        <f>'set-dakol'!H21</f>
        <v>Mustain Billah, S.Si</v>
      </c>
      <c r="T53" s="671"/>
      <c r="U53" s="671"/>
      <c r="V53" s="671"/>
      <c r="W53" s="671"/>
      <c r="X53" s="671"/>
      <c r="Y53" s="671"/>
    </row>
    <row r="54" spans="6:27" s="34" customFormat="1" ht="30.75" customHeight="1" x14ac:dyDescent="0.35">
      <c r="F54" s="87" t="s">
        <v>120</v>
      </c>
      <c r="G54" s="87"/>
      <c r="H54" s="87"/>
      <c r="I54" s="87"/>
      <c r="J54" s="88"/>
      <c r="K54" s="89"/>
      <c r="L54" s="89"/>
      <c r="M54" s="254" t="s">
        <v>1</v>
      </c>
      <c r="N54" s="262" t="str">
        <f>'set-dakol'!H3</f>
        <v>PKBM GENERASI BANGSA</v>
      </c>
      <c r="O54" s="44"/>
      <c r="P54" s="262"/>
      <c r="Q54" s="262"/>
      <c r="R54" s="588" t="s">
        <v>191</v>
      </c>
      <c r="S54" s="588"/>
      <c r="T54" s="588"/>
      <c r="U54" s="588"/>
      <c r="V54" s="588"/>
      <c r="W54" s="588"/>
      <c r="X54" s="588"/>
      <c r="Y54" s="588"/>
      <c r="AA54" s="292"/>
    </row>
    <row r="55" spans="6:27" s="34" customFormat="1" x14ac:dyDescent="0.35">
      <c r="F55" s="534" t="s">
        <v>192</v>
      </c>
      <c r="G55" s="534"/>
      <c r="H55" s="534"/>
      <c r="I55" s="534"/>
      <c r="J55" s="534"/>
      <c r="K55" s="534"/>
      <c r="L55" s="231"/>
      <c r="M55" s="544" t="s">
        <v>1</v>
      </c>
      <c r="N55" s="589" t="str">
        <f>'set-dakol'!H5</f>
        <v>Jl. Terusan Islamic Center - Sigempol KM 03 , Limbangan Wetan Brebes Jawa Tengah</v>
      </c>
      <c r="O55" s="589"/>
      <c r="P55" s="589"/>
      <c r="Q55" s="589"/>
      <c r="R55" s="590" t="s">
        <v>223</v>
      </c>
      <c r="S55" s="590"/>
      <c r="T55" s="590"/>
      <c r="U55" s="590"/>
      <c r="V55" s="254" t="s">
        <v>1</v>
      </c>
      <c r="W55" s="591" t="str">
        <f>'set-kkm'!N4</f>
        <v>3/VII</v>
      </c>
      <c r="X55" s="591"/>
      <c r="Y55" s="591"/>
      <c r="AA55" s="292"/>
    </row>
    <row r="56" spans="6:27" s="34" customFormat="1" x14ac:dyDescent="0.35">
      <c r="F56" s="534"/>
      <c r="G56" s="534"/>
      <c r="H56" s="534"/>
      <c r="I56" s="534"/>
      <c r="J56" s="534"/>
      <c r="K56" s="534"/>
      <c r="L56" s="231"/>
      <c r="M56" s="544"/>
      <c r="N56" s="589"/>
      <c r="O56" s="589"/>
      <c r="P56" s="589"/>
      <c r="Q56" s="589"/>
      <c r="R56" s="535" t="s">
        <v>193</v>
      </c>
      <c r="S56" s="535"/>
      <c r="T56" s="535"/>
      <c r="U56" s="535"/>
      <c r="V56" s="254" t="s">
        <v>1</v>
      </c>
      <c r="W56" s="591" t="str">
        <f>'set-kkm'!N5</f>
        <v>3.1</v>
      </c>
      <c r="X56" s="591"/>
      <c r="Y56" s="591"/>
      <c r="AA56" s="292"/>
    </row>
    <row r="57" spans="6:27" s="34" customFormat="1" x14ac:dyDescent="0.35">
      <c r="F57" s="534"/>
      <c r="G57" s="534"/>
      <c r="H57" s="534"/>
      <c r="I57" s="534"/>
      <c r="J57" s="534"/>
      <c r="K57" s="534"/>
      <c r="L57" s="231"/>
      <c r="M57" s="544"/>
      <c r="N57" s="589"/>
      <c r="O57" s="589"/>
      <c r="P57" s="589"/>
      <c r="Q57" s="589"/>
      <c r="R57" s="535" t="s">
        <v>7</v>
      </c>
      <c r="S57" s="535"/>
      <c r="T57" s="535"/>
      <c r="U57" s="535"/>
      <c r="V57" s="254" t="s">
        <v>1</v>
      </c>
      <c r="W57" s="591" t="str">
        <f>'set-dakol'!H10</f>
        <v>2022/2023</v>
      </c>
      <c r="X57" s="591"/>
      <c r="Y57" s="591"/>
      <c r="AA57" s="292"/>
    </row>
    <row r="58" spans="6:27" s="34" customFormat="1" ht="24.75" customHeight="1" x14ac:dyDescent="0.35">
      <c r="F58" s="87" t="s">
        <v>139</v>
      </c>
      <c r="G58" s="87"/>
      <c r="H58" s="87"/>
      <c r="I58" s="87"/>
      <c r="J58" s="88"/>
      <c r="K58" s="90"/>
      <c r="L58" s="90"/>
      <c r="M58" s="254" t="s">
        <v>1</v>
      </c>
      <c r="N58" s="262" t="str">
        <f>T10</f>
        <v>CHAIRUL AZZAM RAMADHAN</v>
      </c>
      <c r="O58" s="44"/>
      <c r="P58" s="263"/>
      <c r="Q58" s="260"/>
      <c r="R58" s="260"/>
      <c r="S58" s="44"/>
      <c r="T58" s="44"/>
      <c r="U58" s="44"/>
      <c r="V58" s="44"/>
      <c r="W58" s="44"/>
      <c r="X58" s="44"/>
      <c r="Y58" s="44"/>
      <c r="AA58" s="292"/>
    </row>
    <row r="59" spans="6:27" s="34" customFormat="1" ht="18.75" customHeight="1" x14ac:dyDescent="0.35">
      <c r="F59" s="87" t="s">
        <v>194</v>
      </c>
      <c r="G59" s="87"/>
      <c r="H59" s="87"/>
      <c r="I59" s="87"/>
      <c r="J59" s="88"/>
      <c r="K59" s="89"/>
      <c r="L59" s="89"/>
      <c r="M59" s="254" t="s">
        <v>1</v>
      </c>
      <c r="N59" s="44" t="str">
        <f>CONCATENATE(S11&amp;"/"&amp;T13)</f>
        <v>11.2022.0297/0093310219</v>
      </c>
      <c r="O59" s="44"/>
      <c r="P59" s="263"/>
      <c r="Q59" s="260"/>
      <c r="R59" s="260"/>
      <c r="S59" s="44"/>
      <c r="T59" s="44"/>
      <c r="U59" s="44"/>
      <c r="V59" s="44"/>
      <c r="W59" s="44"/>
      <c r="X59" s="44"/>
      <c r="Y59" s="44"/>
      <c r="AA59" s="292"/>
    </row>
    <row r="60" spans="6:27" x14ac:dyDescent="0.35">
      <c r="T60" s="44"/>
      <c r="U60" s="44"/>
      <c r="V60" s="44"/>
      <c r="W60" s="44"/>
      <c r="X60" s="44"/>
      <c r="Y60" s="44"/>
    </row>
    <row r="61" spans="6:27" ht="22.5" customHeight="1" x14ac:dyDescent="0.35">
      <c r="F61" s="516" t="s">
        <v>199</v>
      </c>
      <c r="G61" s="516"/>
      <c r="H61" s="516"/>
      <c r="I61" s="516"/>
      <c r="J61" s="516"/>
      <c r="K61" s="516"/>
      <c r="L61" s="516"/>
      <c r="M61" s="516"/>
      <c r="N61" s="516"/>
      <c r="O61" s="516"/>
      <c r="P61" s="516"/>
      <c r="Q61" s="516"/>
      <c r="R61" s="516"/>
      <c r="S61" s="516"/>
      <c r="T61" s="516"/>
      <c r="U61" s="516"/>
      <c r="V61" s="516"/>
      <c r="W61" s="516"/>
      <c r="X61" s="516"/>
      <c r="Y61" s="516"/>
    </row>
    <row r="62" spans="6:27" ht="18" customHeight="1" x14ac:dyDescent="0.35">
      <c r="F62" s="84" t="s">
        <v>200</v>
      </c>
      <c r="G62" s="84"/>
      <c r="H62" s="84"/>
    </row>
    <row r="63" spans="6:27" ht="8.25" customHeight="1" x14ac:dyDescent="0.35">
      <c r="F63" s="84"/>
      <c r="G63" s="84"/>
      <c r="H63" s="84"/>
      <c r="P63" s="230"/>
    </row>
    <row r="64" spans="6:27" ht="18" customHeight="1" x14ac:dyDescent="0.35">
      <c r="F64" s="517" t="s">
        <v>201</v>
      </c>
      <c r="G64" s="517"/>
      <c r="H64" s="517"/>
      <c r="I64" s="517"/>
      <c r="J64" s="517"/>
      <c r="K64" s="517"/>
      <c r="L64" s="228"/>
      <c r="M64" s="134"/>
    </row>
    <row r="65" spans="6:28" ht="24" customHeight="1" x14ac:dyDescent="0.35">
      <c r="F65" s="518" t="s">
        <v>174</v>
      </c>
      <c r="G65" s="518"/>
      <c r="H65" s="518"/>
      <c r="I65" s="518"/>
      <c r="J65" s="518"/>
      <c r="K65" s="518"/>
      <c r="L65" s="518" t="s">
        <v>170</v>
      </c>
      <c r="M65" s="518"/>
      <c r="N65" s="518"/>
      <c r="O65" s="518"/>
      <c r="P65" s="518"/>
      <c r="Q65" s="518"/>
      <c r="R65" s="518"/>
      <c r="S65" s="518"/>
      <c r="T65" s="518"/>
      <c r="U65" s="518"/>
      <c r="V65" s="518"/>
      <c r="W65" s="518"/>
      <c r="X65" s="518"/>
      <c r="Y65" s="518"/>
    </row>
    <row r="66" spans="6:28" ht="58.5" customHeight="1" x14ac:dyDescent="0.35">
      <c r="F66" s="522" t="str">
        <f>VLOOKUP(N2,nilwks1,11,FALSE)</f>
        <v>SB</v>
      </c>
      <c r="G66" s="522"/>
      <c r="H66" s="522"/>
      <c r="I66" s="522"/>
      <c r="J66" s="522"/>
      <c r="K66" s="522"/>
      <c r="L66" s="587" t="str">
        <f>VLOOKUP(N2,nilwks1,13,FALSE)</f>
        <v>Alhamdulillah Ananda CHAIRUL AZZAM RAMADHAN telah menunjukan sikap spiritual yang SANGAT BAIK dalam hal beribadah dan bersyukur dengan terus berusaha melakukan ketaatan kepada Allah dan berbuat baik kepada orang lain</v>
      </c>
      <c r="M66" s="587"/>
      <c r="N66" s="587"/>
      <c r="O66" s="587"/>
      <c r="P66" s="587"/>
      <c r="Q66" s="587"/>
      <c r="R66" s="587"/>
      <c r="S66" s="587"/>
      <c r="T66" s="587"/>
      <c r="U66" s="587"/>
      <c r="V66" s="587"/>
      <c r="W66" s="587"/>
      <c r="X66" s="587"/>
      <c r="Y66" s="587"/>
    </row>
    <row r="67" spans="6:28" ht="6" customHeight="1" x14ac:dyDescent="0.35">
      <c r="F67" s="255"/>
      <c r="G67" s="255"/>
      <c r="H67" s="255"/>
      <c r="I67" s="255"/>
      <c r="J67" s="255"/>
      <c r="K67" s="255"/>
      <c r="L67" s="232"/>
      <c r="M67" s="232"/>
      <c r="N67" s="232"/>
      <c r="O67" s="232"/>
      <c r="P67" s="232"/>
      <c r="Q67" s="232"/>
      <c r="R67" s="232"/>
      <c r="S67" s="232"/>
      <c r="T67" s="232"/>
      <c r="U67" s="232"/>
      <c r="V67" s="232"/>
      <c r="W67" s="232"/>
      <c r="X67" s="232"/>
      <c r="Y67" s="232"/>
    </row>
    <row r="68" spans="6:28" x14ac:dyDescent="0.35">
      <c r="F68" s="517" t="s">
        <v>202</v>
      </c>
      <c r="G68" s="517"/>
      <c r="H68" s="517"/>
      <c r="I68" s="517"/>
      <c r="J68" s="517"/>
      <c r="K68" s="517"/>
      <c r="L68" s="228"/>
      <c r="M68" s="134"/>
    </row>
    <row r="69" spans="6:28" ht="24" customHeight="1" x14ac:dyDescent="0.35">
      <c r="F69" s="518" t="s">
        <v>174</v>
      </c>
      <c r="G69" s="518"/>
      <c r="H69" s="518"/>
      <c r="I69" s="518"/>
      <c r="J69" s="518"/>
      <c r="K69" s="518"/>
      <c r="L69" s="518" t="s">
        <v>170</v>
      </c>
      <c r="M69" s="518"/>
      <c r="N69" s="518"/>
      <c r="O69" s="518"/>
      <c r="P69" s="518"/>
      <c r="Q69" s="518"/>
      <c r="R69" s="518"/>
      <c r="S69" s="518"/>
      <c r="T69" s="518"/>
      <c r="U69" s="518"/>
      <c r="V69" s="518"/>
      <c r="W69" s="518"/>
      <c r="X69" s="518"/>
      <c r="Y69" s="518"/>
    </row>
    <row r="70" spans="6:28" ht="64.5" customHeight="1" x14ac:dyDescent="0.35">
      <c r="F70" s="522" t="str">
        <f>VLOOKUP(N2,nilwks1,15,FALSE)</f>
        <v>SB</v>
      </c>
      <c r="G70" s="522"/>
      <c r="H70" s="522"/>
      <c r="I70" s="522"/>
      <c r="J70" s="522"/>
      <c r="K70" s="522"/>
      <c r="L70" s="587" t="str">
        <f>VLOOKUP(N2,nilwks1,17,FALSE)</f>
        <v>Alhamdulillah, Ananda CHAIRUL AZZAM RAMADHAN telah menunjukan sikap sosial yang SANGAT BAIK dalam hal kedisiplinan, kejujuran, tanggung jawab dan keperdulian terhadap orang lain dengan terus berusaha mengamalkan akhlak mulia sesuai dengan nilai-nilai moral yang berlaku</v>
      </c>
      <c r="M70" s="587"/>
      <c r="N70" s="587"/>
      <c r="O70" s="587"/>
      <c r="P70" s="587"/>
      <c r="Q70" s="587"/>
      <c r="R70" s="587"/>
      <c r="S70" s="587"/>
      <c r="T70" s="587"/>
      <c r="U70" s="587"/>
      <c r="V70" s="587"/>
      <c r="W70" s="587"/>
      <c r="X70" s="587"/>
      <c r="Y70" s="587"/>
    </row>
    <row r="72" spans="6:28" x14ac:dyDescent="0.35">
      <c r="F72" s="84" t="s">
        <v>203</v>
      </c>
    </row>
    <row r="73" spans="6:28" ht="20.149999999999999" customHeight="1" x14ac:dyDescent="0.35">
      <c r="F73" s="518" t="s">
        <v>69</v>
      </c>
      <c r="G73" s="518"/>
      <c r="H73" s="592" t="s">
        <v>70</v>
      </c>
      <c r="I73" s="593"/>
      <c r="J73" s="593"/>
      <c r="K73" s="593"/>
      <c r="L73" s="593"/>
      <c r="M73" s="593"/>
      <c r="N73" s="594"/>
      <c r="O73" s="598" t="s">
        <v>71</v>
      </c>
      <c r="P73" s="598" t="s">
        <v>72</v>
      </c>
      <c r="Q73" s="518" t="s">
        <v>173</v>
      </c>
      <c r="R73" s="518"/>
      <c r="S73" s="518"/>
      <c r="T73" s="518" t="s">
        <v>174</v>
      </c>
      <c r="U73" s="518"/>
      <c r="V73" s="518"/>
      <c r="W73" s="518"/>
      <c r="X73" s="518"/>
      <c r="Y73" s="518"/>
    </row>
    <row r="74" spans="6:28" ht="31.5" customHeight="1" x14ac:dyDescent="0.35">
      <c r="F74" s="518"/>
      <c r="G74" s="518"/>
      <c r="H74" s="595"/>
      <c r="I74" s="596"/>
      <c r="J74" s="596"/>
      <c r="K74" s="596"/>
      <c r="L74" s="596"/>
      <c r="M74" s="596"/>
      <c r="N74" s="597"/>
      <c r="O74" s="599"/>
      <c r="P74" s="599"/>
      <c r="Q74" s="261" t="s">
        <v>142</v>
      </c>
      <c r="R74" s="261" t="s">
        <v>143</v>
      </c>
      <c r="S74" s="261" t="s">
        <v>144</v>
      </c>
      <c r="T74" s="610" t="s">
        <v>2451</v>
      </c>
      <c r="U74" s="611"/>
      <c r="V74" s="612"/>
      <c r="W74" s="261" t="s">
        <v>143</v>
      </c>
      <c r="X74" s="566" t="s">
        <v>2464</v>
      </c>
      <c r="Y74" s="566"/>
    </row>
    <row r="75" spans="6:28" ht="22.5" customHeight="1" x14ac:dyDescent="0.35">
      <c r="F75" s="641" t="s">
        <v>73</v>
      </c>
      <c r="G75" s="642"/>
      <c r="H75" s="642"/>
      <c r="I75" s="642"/>
      <c r="J75" s="642"/>
      <c r="K75" s="642"/>
      <c r="L75" s="642"/>
      <c r="M75" s="642"/>
      <c r="N75" s="642"/>
      <c r="O75" s="642"/>
      <c r="P75" s="642"/>
      <c r="Q75" s="642"/>
      <c r="R75" s="642"/>
      <c r="S75" s="642"/>
      <c r="T75" s="642"/>
      <c r="U75" s="642"/>
      <c r="V75" s="642"/>
      <c r="W75" s="642"/>
      <c r="X75" s="642"/>
      <c r="Y75" s="643"/>
    </row>
    <row r="76" spans="6:28" ht="20.149999999999999" customHeight="1" x14ac:dyDescent="0.35">
      <c r="F76" s="538">
        <v>1</v>
      </c>
      <c r="G76" s="538"/>
      <c r="H76" s="540" t="str">
        <f>'set-kkm'!K8</f>
        <v>Pendidikan Agama</v>
      </c>
      <c r="I76" s="540"/>
      <c r="J76" s="540"/>
      <c r="K76" s="540"/>
      <c r="L76" s="540"/>
      <c r="M76" s="540"/>
      <c r="N76" s="540"/>
      <c r="O76" s="293">
        <f>'set-kkm'!M8</f>
        <v>2</v>
      </c>
      <c r="P76" s="293">
        <f>'set-kkm'!N8</f>
        <v>70</v>
      </c>
      <c r="Q76" s="293">
        <f>ROUND(AB76,0)</f>
        <v>80</v>
      </c>
      <c r="R76" s="293">
        <f>IF(Q76="","", IF(Q76=100,100, Q76+1))</f>
        <v>81</v>
      </c>
      <c r="S76" s="293">
        <f>IF(R76="","", IF(R76=100,100, R76+1))</f>
        <v>82</v>
      </c>
      <c r="T76" s="538" t="str">
        <f>IF(Q76=0,"",IF(Q76&gt;=79.1,"SB",IF(Q76&gt;=65.8,"B",IF(Q76&gt;=50.66,"C",IF(Q76&gt;=0.51,"D",)))))</f>
        <v>SB</v>
      </c>
      <c r="U76" s="538"/>
      <c r="V76" s="538"/>
      <c r="W76" s="293" t="str">
        <f>IF(R76=0,"",IF(R76&gt;=79.1,"SB",IF(R76&gt;=65.8,"B",IF(R76&gt;=50.66,"C",IF(R76&gt;=0.51,"D",)))))</f>
        <v>SB</v>
      </c>
      <c r="X76" s="538" t="str">
        <f>IF(S76=0,"",IF(S76&gt;=79.1,"SB",IF(S76&gt;=65.8,"B",IF(S76&gt;=50.66,"C",IF(S76&gt;=0.51,"D",)))))</f>
        <v>SB</v>
      </c>
      <c r="Y76" s="538"/>
      <c r="AA76" s="293">
        <f>VLOOKUP(N2,nilpels1,21,FALSE)</f>
        <v>66.352941176470594</v>
      </c>
      <c r="AB76" s="301" t="str">
        <f>IF(AA76&lt;80,"80",AA76)</f>
        <v>80</v>
      </c>
    </row>
    <row r="77" spans="6:28" ht="31.5" customHeight="1" x14ac:dyDescent="0.35">
      <c r="F77" s="538">
        <v>2</v>
      </c>
      <c r="G77" s="538"/>
      <c r="H77" s="539" t="str">
        <f>'set-kkm'!K9</f>
        <v>Pendidikan Pancasila dan Kewarganegaraan (PPKN)</v>
      </c>
      <c r="I77" s="539"/>
      <c r="J77" s="539"/>
      <c r="K77" s="539"/>
      <c r="L77" s="539"/>
      <c r="M77" s="539"/>
      <c r="N77" s="539"/>
      <c r="O77" s="293">
        <f>'set-kkm'!M9</f>
        <v>2</v>
      </c>
      <c r="P77" s="293">
        <f>'set-kkm'!N9</f>
        <v>70</v>
      </c>
      <c r="Q77" s="293">
        <f t="shared" ref="Q77:Q82" si="14">ROUND(AB77,0)</f>
        <v>80</v>
      </c>
      <c r="R77" s="293">
        <f t="shared" ref="R77:S82" si="15">IF(Q77="","", IF(Q77=100,100, Q77+1))</f>
        <v>81</v>
      </c>
      <c r="S77" s="293">
        <f t="shared" si="15"/>
        <v>82</v>
      </c>
      <c r="T77" s="538" t="str">
        <f t="shared" ref="T77:T82" si="16">IF(Q77=0,"",IF(Q77&gt;=79.1,"SB",IF(Q77&gt;=65.8,"B",IF(Q77&gt;=50.66,"C",IF(Q77&gt;=0.51,"D",)))))</f>
        <v>SB</v>
      </c>
      <c r="U77" s="538"/>
      <c r="V77" s="538"/>
      <c r="W77" s="293" t="str">
        <f t="shared" ref="W77:W82" si="17">IF(R77=0,"",IF(R77&gt;=79.1,"SB",IF(R77&gt;=65.8,"B",IF(R77&gt;=50.66,"C",IF(R77&gt;=0.51,"D",)))))</f>
        <v>SB</v>
      </c>
      <c r="X77" s="538" t="str">
        <f t="shared" ref="X77:X82" si="18">IF(S77=0,"",IF(S77&gt;=79.1,"SB",IF(S77&gt;=65.8,"B",IF(S77&gt;=50.66,"C",IF(S77&gt;=0.51,"D",)))))</f>
        <v>SB</v>
      </c>
      <c r="Y77" s="538"/>
      <c r="AA77" s="293">
        <f>VLOOKUP(N2,nilpels1,23,FALSE)</f>
        <v>80</v>
      </c>
      <c r="AB77" s="301">
        <f t="shared" ref="AB77:AB82" si="19">IF(AA77&lt;80,"80",AA77)</f>
        <v>80</v>
      </c>
    </row>
    <row r="78" spans="6:28" ht="20.149999999999999" customHeight="1" x14ac:dyDescent="0.35">
      <c r="F78" s="538">
        <v>3</v>
      </c>
      <c r="G78" s="538"/>
      <c r="H78" s="540" t="str">
        <f>'set-kkm'!K10</f>
        <v>Bahasa Indonesia</v>
      </c>
      <c r="I78" s="540"/>
      <c r="J78" s="540"/>
      <c r="K78" s="540"/>
      <c r="L78" s="540"/>
      <c r="M78" s="540"/>
      <c r="N78" s="540"/>
      <c r="O78" s="293">
        <f>'set-kkm'!M10</f>
        <v>1</v>
      </c>
      <c r="P78" s="293">
        <f>'set-kkm'!N10</f>
        <v>70</v>
      </c>
      <c r="Q78" s="293">
        <f t="shared" si="14"/>
        <v>80</v>
      </c>
      <c r="R78" s="293">
        <f t="shared" si="15"/>
        <v>81</v>
      </c>
      <c r="S78" s="293">
        <f t="shared" si="15"/>
        <v>82</v>
      </c>
      <c r="T78" s="538" t="str">
        <f t="shared" si="16"/>
        <v>SB</v>
      </c>
      <c r="U78" s="538"/>
      <c r="V78" s="538"/>
      <c r="W78" s="293" t="str">
        <f t="shared" si="17"/>
        <v>SB</v>
      </c>
      <c r="X78" s="538" t="str">
        <f t="shared" si="18"/>
        <v>SB</v>
      </c>
      <c r="Y78" s="538"/>
      <c r="AA78" s="293">
        <f>VLOOKUP(N2,nilpels1,25,FALSE)</f>
        <v>60</v>
      </c>
      <c r="AB78" s="301" t="str">
        <f t="shared" si="19"/>
        <v>80</v>
      </c>
    </row>
    <row r="79" spans="6:28" ht="20.149999999999999" customHeight="1" x14ac:dyDescent="0.35">
      <c r="F79" s="538">
        <v>4</v>
      </c>
      <c r="G79" s="538"/>
      <c r="H79" s="540" t="str">
        <f>'set-kkm'!K11</f>
        <v>Bahasa Inggris</v>
      </c>
      <c r="I79" s="540"/>
      <c r="J79" s="540"/>
      <c r="K79" s="540"/>
      <c r="L79" s="540"/>
      <c r="M79" s="540"/>
      <c r="N79" s="540"/>
      <c r="O79" s="293">
        <f>'set-kkm'!M11</f>
        <v>1</v>
      </c>
      <c r="P79" s="293">
        <f>'set-kkm'!N11</f>
        <v>70</v>
      </c>
      <c r="Q79" s="293">
        <f t="shared" si="14"/>
        <v>80</v>
      </c>
      <c r="R79" s="293">
        <f t="shared" si="15"/>
        <v>81</v>
      </c>
      <c r="S79" s="293">
        <f t="shared" si="15"/>
        <v>82</v>
      </c>
      <c r="T79" s="538" t="str">
        <f t="shared" si="16"/>
        <v>SB</v>
      </c>
      <c r="U79" s="538"/>
      <c r="V79" s="538"/>
      <c r="W79" s="293" t="str">
        <f t="shared" si="17"/>
        <v>SB</v>
      </c>
      <c r="X79" s="538" t="str">
        <f t="shared" si="18"/>
        <v>SB</v>
      </c>
      <c r="Y79" s="538"/>
      <c r="AA79" s="293">
        <f>VLOOKUP(N2,nilpels1,27,FALSE)</f>
        <v>36</v>
      </c>
      <c r="AB79" s="301" t="str">
        <f t="shared" si="19"/>
        <v>80</v>
      </c>
    </row>
    <row r="80" spans="6:28" ht="20.149999999999999" customHeight="1" x14ac:dyDescent="0.35">
      <c r="F80" s="538">
        <v>5</v>
      </c>
      <c r="G80" s="538"/>
      <c r="H80" s="540" t="str">
        <f>'set-kkm'!K12</f>
        <v>Matematika</v>
      </c>
      <c r="I80" s="540"/>
      <c r="J80" s="540"/>
      <c r="K80" s="540"/>
      <c r="L80" s="540"/>
      <c r="M80" s="540"/>
      <c r="N80" s="540"/>
      <c r="O80" s="293">
        <f>'set-kkm'!M12</f>
        <v>1</v>
      </c>
      <c r="P80" s="293">
        <f>'set-kkm'!N12</f>
        <v>70</v>
      </c>
      <c r="Q80" s="293">
        <f t="shared" si="14"/>
        <v>80</v>
      </c>
      <c r="R80" s="293">
        <f t="shared" si="15"/>
        <v>81</v>
      </c>
      <c r="S80" s="293">
        <f t="shared" si="15"/>
        <v>82</v>
      </c>
      <c r="T80" s="538" t="str">
        <f t="shared" si="16"/>
        <v>SB</v>
      </c>
      <c r="U80" s="538"/>
      <c r="V80" s="538"/>
      <c r="W80" s="293" t="str">
        <f t="shared" si="17"/>
        <v>SB</v>
      </c>
      <c r="X80" s="538" t="str">
        <f t="shared" si="18"/>
        <v>SB</v>
      </c>
      <c r="Y80" s="538"/>
      <c r="AA80" s="293">
        <f>VLOOKUP(N2,nilpels1,29,FALSE)</f>
        <v>65</v>
      </c>
      <c r="AB80" s="301" t="str">
        <f t="shared" si="19"/>
        <v>80</v>
      </c>
    </row>
    <row r="81" spans="6:28" ht="20.149999999999999" customHeight="1" x14ac:dyDescent="0.35">
      <c r="F81" s="538">
        <v>6</v>
      </c>
      <c r="G81" s="538"/>
      <c r="H81" s="540" t="str">
        <f>'set-kkm'!K13</f>
        <v>Ilmu Pengetahuan Alam</v>
      </c>
      <c r="I81" s="540"/>
      <c r="J81" s="540"/>
      <c r="K81" s="540"/>
      <c r="L81" s="540"/>
      <c r="M81" s="540"/>
      <c r="N81" s="540"/>
      <c r="O81" s="293">
        <f>'set-kkm'!M13</f>
        <v>1</v>
      </c>
      <c r="P81" s="293">
        <f>'set-kkm'!N13</f>
        <v>70</v>
      </c>
      <c r="Q81" s="293">
        <f t="shared" si="14"/>
        <v>80</v>
      </c>
      <c r="R81" s="293">
        <f t="shared" si="15"/>
        <v>81</v>
      </c>
      <c r="S81" s="293">
        <f t="shared" si="15"/>
        <v>82</v>
      </c>
      <c r="T81" s="538" t="str">
        <f t="shared" si="16"/>
        <v>SB</v>
      </c>
      <c r="U81" s="538"/>
      <c r="V81" s="538"/>
      <c r="W81" s="293" t="str">
        <f t="shared" si="17"/>
        <v>SB</v>
      </c>
      <c r="X81" s="538" t="str">
        <f t="shared" si="18"/>
        <v>SB</v>
      </c>
      <c r="Y81" s="538"/>
      <c r="AA81" s="293">
        <f>VLOOKUP(N2,nilpels1,31,FALSE)</f>
        <v>51</v>
      </c>
      <c r="AB81" s="301" t="str">
        <f t="shared" si="19"/>
        <v>80</v>
      </c>
    </row>
    <row r="82" spans="6:28" ht="20.149999999999999" customHeight="1" x14ac:dyDescent="0.35">
      <c r="F82" s="538">
        <v>7</v>
      </c>
      <c r="G82" s="538"/>
      <c r="H82" s="540" t="str">
        <f>'set-kkm'!K14</f>
        <v>Ilmu Pengetahuan Sosial</v>
      </c>
      <c r="I82" s="540"/>
      <c r="J82" s="540"/>
      <c r="K82" s="540"/>
      <c r="L82" s="540"/>
      <c r="M82" s="540"/>
      <c r="N82" s="540"/>
      <c r="O82" s="293">
        <f>'set-kkm'!M14</f>
        <v>1</v>
      </c>
      <c r="P82" s="293">
        <f>'set-kkm'!N14</f>
        <v>70</v>
      </c>
      <c r="Q82" s="293">
        <f t="shared" si="14"/>
        <v>80</v>
      </c>
      <c r="R82" s="293">
        <f t="shared" si="15"/>
        <v>81</v>
      </c>
      <c r="S82" s="293">
        <f t="shared" si="15"/>
        <v>82</v>
      </c>
      <c r="T82" s="538" t="str">
        <f t="shared" si="16"/>
        <v>SB</v>
      </c>
      <c r="U82" s="538"/>
      <c r="V82" s="538"/>
      <c r="W82" s="293" t="str">
        <f t="shared" si="17"/>
        <v>SB</v>
      </c>
      <c r="X82" s="538" t="str">
        <f t="shared" si="18"/>
        <v>SB</v>
      </c>
      <c r="Y82" s="538"/>
      <c r="AA82" s="293">
        <f>VLOOKUP(N2,nilpels1,33,FALSE)</f>
        <v>59</v>
      </c>
      <c r="AB82" s="301" t="str">
        <f t="shared" si="19"/>
        <v>80</v>
      </c>
    </row>
    <row r="83" spans="6:28" ht="20.25" customHeight="1" x14ac:dyDescent="0.35">
      <c r="F83" s="542" t="s">
        <v>204</v>
      </c>
      <c r="G83" s="542"/>
      <c r="H83" s="542"/>
      <c r="I83" s="542"/>
      <c r="J83" s="542"/>
      <c r="K83" s="542"/>
      <c r="L83" s="542"/>
      <c r="M83" s="542"/>
      <c r="N83" s="542"/>
      <c r="O83" s="542"/>
      <c r="P83" s="542"/>
      <c r="Q83" s="542"/>
      <c r="R83" s="542"/>
      <c r="S83" s="542"/>
      <c r="T83" s="542"/>
      <c r="U83" s="542"/>
      <c r="V83" s="542"/>
      <c r="W83" s="542"/>
      <c r="X83" s="542"/>
      <c r="Y83" s="542"/>
      <c r="AA83" s="299"/>
      <c r="AB83" s="293"/>
    </row>
    <row r="84" spans="6:28" ht="20.149999999999999" customHeight="1" x14ac:dyDescent="0.35">
      <c r="F84" s="538">
        <v>8</v>
      </c>
      <c r="G84" s="538"/>
      <c r="H84" s="540" t="s">
        <v>205</v>
      </c>
      <c r="I84" s="540"/>
      <c r="J84" s="540"/>
      <c r="K84" s="540"/>
      <c r="L84" s="540"/>
      <c r="M84" s="540"/>
      <c r="N84" s="540"/>
      <c r="O84" s="540"/>
      <c r="P84" s="540"/>
      <c r="Q84" s="540"/>
      <c r="R84" s="540"/>
      <c r="S84" s="540"/>
      <c r="T84" s="540"/>
      <c r="U84" s="540"/>
      <c r="V84" s="540"/>
      <c r="W84" s="540"/>
      <c r="X84" s="540"/>
      <c r="Y84" s="540"/>
      <c r="AA84" s="299"/>
      <c r="AB84" s="293"/>
    </row>
    <row r="85" spans="6:28" ht="20.149999999999999" customHeight="1" x14ac:dyDescent="0.35">
      <c r="F85" s="538"/>
      <c r="G85" s="538"/>
      <c r="H85" s="540" t="str">
        <f>'set-kkm'!K17</f>
        <v>Tahfizh Al-Qur'an</v>
      </c>
      <c r="I85" s="540"/>
      <c r="J85" s="540"/>
      <c r="K85" s="540"/>
      <c r="L85" s="540"/>
      <c r="M85" s="540"/>
      <c r="N85" s="540"/>
      <c r="O85" s="293">
        <f>'set-kkm'!M17</f>
        <v>2</v>
      </c>
      <c r="P85" s="293">
        <f>'set-kkm'!N17</f>
        <v>70</v>
      </c>
      <c r="Q85" s="603">
        <f>ROUND(AB85,0)</f>
        <v>80</v>
      </c>
      <c r="R85" s="604"/>
      <c r="S85" s="605"/>
      <c r="T85" s="538" t="str">
        <f>IF(Q85=0,"",IF(Q85&gt;=79.1,"SB",IF(Q85&gt;=65.8,"B",IF(Q85&gt;=50.66,"C",IF(Q85&gt;=0.51,"D",)))))</f>
        <v>SB</v>
      </c>
      <c r="U85" s="538"/>
      <c r="V85" s="538"/>
      <c r="W85" s="538"/>
      <c r="X85" s="538"/>
      <c r="Y85" s="538"/>
      <c r="AA85" s="293">
        <f>VLOOKUP(N2,nilpels1,3,FALSE)</f>
        <v>59</v>
      </c>
      <c r="AB85" s="301" t="str">
        <f t="shared" ref="AB85:AB86" si="20">IF(AA85&lt;80,"80",AA85)</f>
        <v>80</v>
      </c>
    </row>
    <row r="86" spans="6:28" ht="20.149999999999999" customHeight="1" x14ac:dyDescent="0.35">
      <c r="F86" s="538"/>
      <c r="G86" s="538"/>
      <c r="H86" s="540" t="str">
        <f>'set-kkm'!K18</f>
        <v>Keasramaan</v>
      </c>
      <c r="I86" s="540"/>
      <c r="J86" s="540"/>
      <c r="K86" s="540"/>
      <c r="L86" s="540"/>
      <c r="M86" s="540"/>
      <c r="N86" s="540"/>
      <c r="O86" s="293">
        <f>'set-kkm'!M18</f>
        <v>1</v>
      </c>
      <c r="P86" s="293">
        <f>'set-kkm'!N18</f>
        <v>70</v>
      </c>
      <c r="Q86" s="603">
        <f>ROUND(AB86,0)</f>
        <v>85</v>
      </c>
      <c r="R86" s="604"/>
      <c r="S86" s="605"/>
      <c r="T86" s="538" t="str">
        <f>IF(Q86=0,"",IF(Q86&gt;=79.1,"SB",IF(Q86&gt;=65.8,"B",IF(Q86&gt;=50.66,"C",IF(Q86&gt;=0.51,"D",)))))</f>
        <v>SB</v>
      </c>
      <c r="U86" s="538"/>
      <c r="V86" s="538"/>
      <c r="W86" s="538"/>
      <c r="X86" s="538"/>
      <c r="Y86" s="538"/>
      <c r="AA86" s="293">
        <f>VLOOKUP(N2,nilpels1,4,FALSE)</f>
        <v>85</v>
      </c>
      <c r="AB86" s="301">
        <f t="shared" si="20"/>
        <v>85</v>
      </c>
    </row>
    <row r="87" spans="6:28" ht="20.149999999999999" customHeight="1" x14ac:dyDescent="0.35">
      <c r="F87" s="538">
        <v>9</v>
      </c>
      <c r="G87" s="538"/>
      <c r="H87" s="540" t="s">
        <v>206</v>
      </c>
      <c r="I87" s="540"/>
      <c r="J87" s="540"/>
      <c r="K87" s="540"/>
      <c r="L87" s="540"/>
      <c r="M87" s="540"/>
      <c r="N87" s="540"/>
      <c r="O87" s="540"/>
      <c r="P87" s="540"/>
      <c r="Q87" s="540"/>
      <c r="R87" s="540"/>
      <c r="S87" s="540"/>
      <c r="T87" s="540"/>
      <c r="U87" s="540"/>
      <c r="V87" s="540"/>
      <c r="W87" s="540"/>
      <c r="X87" s="540"/>
      <c r="Y87" s="540"/>
      <c r="AA87" s="299"/>
      <c r="AB87" s="293"/>
    </row>
    <row r="88" spans="6:28" ht="20.149999999999999" customHeight="1" x14ac:dyDescent="0.35">
      <c r="F88" s="538"/>
      <c r="G88" s="538"/>
      <c r="H88" s="540" t="str">
        <f>'set-kkm'!K20</f>
        <v>a. Keterampilan Wajib</v>
      </c>
      <c r="I88" s="540"/>
      <c r="J88" s="540"/>
      <c r="K88" s="540"/>
      <c r="L88" s="540"/>
      <c r="M88" s="540"/>
      <c r="N88" s="540"/>
      <c r="O88" s="293">
        <f>'set-kkm'!M20</f>
        <v>2</v>
      </c>
      <c r="P88" s="293">
        <f>'set-kkm'!N20</f>
        <v>70</v>
      </c>
      <c r="Q88" s="603">
        <f>ROUND(AB88,0)</f>
        <v>80</v>
      </c>
      <c r="R88" s="604"/>
      <c r="S88" s="605"/>
      <c r="T88" s="538" t="str">
        <f>IF(Q88=0,"",IF(Q88&gt;=79.1,"SB",IF(Q88&gt;=65.8,"B",IF(Q88&gt;=50.66,"C",IF(Q88&gt;=0.51,"D",)))))</f>
        <v>SB</v>
      </c>
      <c r="U88" s="538"/>
      <c r="V88" s="538"/>
      <c r="W88" s="538"/>
      <c r="X88" s="538"/>
      <c r="Y88" s="538"/>
      <c r="AA88" s="293">
        <f>VLOOKUP(N2,nilpels1,5,FALSE)</f>
        <v>79</v>
      </c>
      <c r="AB88" s="301" t="str">
        <f t="shared" ref="AB88" si="21">IF(AA88&lt;80,"80",AA88)</f>
        <v>80</v>
      </c>
    </row>
    <row r="89" spans="6:28" ht="20.149999999999999" customHeight="1" x14ac:dyDescent="0.35">
      <c r="F89" s="538"/>
      <c r="G89" s="538"/>
      <c r="H89" s="540" t="str">
        <f>'set-kkm'!K21</f>
        <v>b. Keterampilan Pilihan :</v>
      </c>
      <c r="I89" s="540"/>
      <c r="J89" s="540"/>
      <c r="K89" s="540"/>
      <c r="L89" s="540"/>
      <c r="M89" s="540"/>
      <c r="N89" s="540"/>
      <c r="O89" s="540"/>
      <c r="P89" s="540"/>
      <c r="Q89" s="540"/>
      <c r="R89" s="540"/>
      <c r="S89" s="540"/>
      <c r="T89" s="540"/>
      <c r="U89" s="540"/>
      <c r="V89" s="540"/>
      <c r="W89" s="540"/>
      <c r="X89" s="540"/>
      <c r="Y89" s="540"/>
      <c r="AA89" s="299"/>
      <c r="AB89" s="293"/>
    </row>
    <row r="90" spans="6:28" ht="20.149999999999999" customHeight="1" x14ac:dyDescent="0.35">
      <c r="F90" s="538"/>
      <c r="G90" s="538"/>
      <c r="H90" s="540" t="str">
        <f>'set-kkm'!K22</f>
        <v xml:space="preserve">    1) Public Speaking</v>
      </c>
      <c r="I90" s="540"/>
      <c r="J90" s="540"/>
      <c r="K90" s="540"/>
      <c r="L90" s="540"/>
      <c r="M90" s="540"/>
      <c r="N90" s="540"/>
      <c r="O90" s="293">
        <f>'set-kkm'!M22</f>
        <v>1</v>
      </c>
      <c r="P90" s="293">
        <f>'set-kkm'!N22</f>
        <v>70</v>
      </c>
      <c r="Q90" s="603">
        <f>ROUND(AB90,0)</f>
        <v>80</v>
      </c>
      <c r="R90" s="604"/>
      <c r="S90" s="605"/>
      <c r="T90" s="538" t="str">
        <f t="shared" ref="T90:T91" si="22">IF(Q90=0,"",IF(Q90&gt;=79.1,"SB",IF(Q90&gt;=65.8,"B",IF(Q90&gt;=50.66,"C",IF(Q90&gt;=0.51,"D",)))))</f>
        <v>SB</v>
      </c>
      <c r="U90" s="538"/>
      <c r="V90" s="538"/>
      <c r="W90" s="538"/>
      <c r="X90" s="538"/>
      <c r="Y90" s="538"/>
      <c r="AA90" s="293">
        <f>VLOOKUP(N2,nilpels1,13,FALSE)</f>
        <v>80</v>
      </c>
      <c r="AB90" s="301">
        <f t="shared" ref="AB90:AB91" si="23">IF(AA90&lt;80,"80",AA90)</f>
        <v>80</v>
      </c>
    </row>
    <row r="91" spans="6:28" ht="20.149999999999999" customHeight="1" x14ac:dyDescent="0.35">
      <c r="F91" s="538"/>
      <c r="G91" s="538"/>
      <c r="H91" s="540" t="str">
        <f>'set-kkm'!K23</f>
        <v xml:space="preserve">    2) Olahraga</v>
      </c>
      <c r="I91" s="540"/>
      <c r="J91" s="540"/>
      <c r="K91" s="540"/>
      <c r="L91" s="540"/>
      <c r="M91" s="540"/>
      <c r="N91" s="540"/>
      <c r="O91" s="293">
        <f>'set-kkm'!M23</f>
        <v>1</v>
      </c>
      <c r="P91" s="293">
        <f>'set-kkm'!N23</f>
        <v>70</v>
      </c>
      <c r="Q91" s="603">
        <f>ROUND(AB91,0)</f>
        <v>80</v>
      </c>
      <c r="R91" s="604"/>
      <c r="S91" s="605"/>
      <c r="T91" s="538" t="str">
        <f t="shared" si="22"/>
        <v>SB</v>
      </c>
      <c r="U91" s="538"/>
      <c r="V91" s="538"/>
      <c r="W91" s="538"/>
      <c r="X91" s="538"/>
      <c r="Y91" s="538"/>
      <c r="AA91" s="293">
        <f>VLOOKUP(N2,nilpels1,15,FALSE)</f>
        <v>64</v>
      </c>
      <c r="AB91" s="301" t="str">
        <f t="shared" si="23"/>
        <v>80</v>
      </c>
    </row>
    <row r="92" spans="6:28" s="34" customFormat="1" ht="33" customHeight="1" x14ac:dyDescent="0.35">
      <c r="F92" s="87" t="s">
        <v>120</v>
      </c>
      <c r="G92" s="87"/>
      <c r="H92" s="87"/>
      <c r="I92" s="87"/>
      <c r="J92" s="88"/>
      <c r="K92" s="89"/>
      <c r="L92" s="89"/>
      <c r="M92" s="254" t="s">
        <v>1</v>
      </c>
      <c r="N92" s="262" t="str">
        <f>N54</f>
        <v>PKBM GENERASI BANGSA</v>
      </c>
      <c r="O92" s="44"/>
      <c r="P92" s="262"/>
      <c r="Q92" s="262"/>
      <c r="R92" s="588" t="s">
        <v>191</v>
      </c>
      <c r="S92" s="588"/>
      <c r="T92" s="588"/>
      <c r="U92" s="588"/>
      <c r="V92" s="588"/>
      <c r="W92" s="588"/>
      <c r="X92" s="588"/>
      <c r="Y92" s="588"/>
      <c r="AA92" s="292"/>
    </row>
    <row r="93" spans="6:28" s="34" customFormat="1" x14ac:dyDescent="0.35">
      <c r="F93" s="534" t="s">
        <v>192</v>
      </c>
      <c r="G93" s="534"/>
      <c r="H93" s="534"/>
      <c r="I93" s="534"/>
      <c r="J93" s="534"/>
      <c r="K93" s="534"/>
      <c r="L93" s="259"/>
      <c r="M93" s="544" t="s">
        <v>1</v>
      </c>
      <c r="N93" s="589" t="str">
        <f>N55</f>
        <v>Jl. Terusan Islamic Center - Sigempol KM 03 , Limbangan Wetan Brebes Jawa Tengah</v>
      </c>
      <c r="O93" s="589"/>
      <c r="P93" s="589"/>
      <c r="Q93" s="589"/>
      <c r="R93" s="590" t="s">
        <v>223</v>
      </c>
      <c r="S93" s="590"/>
      <c r="T93" s="590"/>
      <c r="U93" s="590"/>
      <c r="V93" s="254" t="s">
        <v>1</v>
      </c>
      <c r="W93" s="591" t="str">
        <f>W55</f>
        <v>3/VII</v>
      </c>
      <c r="X93" s="591"/>
      <c r="Y93" s="591"/>
      <c r="AA93" s="292"/>
    </row>
    <row r="94" spans="6:28" s="34" customFormat="1" x14ac:dyDescent="0.35">
      <c r="F94" s="534"/>
      <c r="G94" s="534"/>
      <c r="H94" s="534"/>
      <c r="I94" s="534"/>
      <c r="J94" s="534"/>
      <c r="K94" s="534"/>
      <c r="L94" s="259"/>
      <c r="M94" s="544"/>
      <c r="N94" s="589"/>
      <c r="O94" s="589"/>
      <c r="P94" s="589"/>
      <c r="Q94" s="589"/>
      <c r="R94" s="535" t="s">
        <v>193</v>
      </c>
      <c r="S94" s="535"/>
      <c r="T94" s="535"/>
      <c r="U94" s="535"/>
      <c r="V94" s="254" t="s">
        <v>1</v>
      </c>
      <c r="W94" s="591" t="str">
        <f t="shared" ref="W94:W95" si="24">W56</f>
        <v>3.1</v>
      </c>
      <c r="X94" s="591"/>
      <c r="Y94" s="591"/>
      <c r="AA94" s="292"/>
    </row>
    <row r="95" spans="6:28" s="34" customFormat="1" x14ac:dyDescent="0.35">
      <c r="F95" s="534"/>
      <c r="G95" s="534"/>
      <c r="H95" s="534"/>
      <c r="I95" s="534"/>
      <c r="J95" s="534"/>
      <c r="K95" s="534"/>
      <c r="L95" s="259"/>
      <c r="M95" s="544"/>
      <c r="N95" s="589"/>
      <c r="O95" s="589"/>
      <c r="P95" s="589"/>
      <c r="Q95" s="589"/>
      <c r="R95" s="535" t="s">
        <v>7</v>
      </c>
      <c r="S95" s="535"/>
      <c r="T95" s="535"/>
      <c r="U95" s="535"/>
      <c r="V95" s="254" t="s">
        <v>1</v>
      </c>
      <c r="W95" s="591" t="str">
        <f t="shared" si="24"/>
        <v>2022/2023</v>
      </c>
      <c r="X95" s="591"/>
      <c r="Y95" s="591"/>
      <c r="AA95" s="292"/>
    </row>
    <row r="96" spans="6:28" s="34" customFormat="1" ht="24.75" customHeight="1" x14ac:dyDescent="0.35">
      <c r="F96" s="87" t="s">
        <v>139</v>
      </c>
      <c r="G96" s="87"/>
      <c r="H96" s="87"/>
      <c r="I96" s="87"/>
      <c r="J96" s="88"/>
      <c r="K96" s="90"/>
      <c r="L96" s="90"/>
      <c r="M96" s="254" t="s">
        <v>1</v>
      </c>
      <c r="N96" s="262" t="str">
        <f>N58</f>
        <v>CHAIRUL AZZAM RAMADHAN</v>
      </c>
      <c r="O96" s="44"/>
      <c r="P96" s="263"/>
      <c r="Q96" s="260"/>
      <c r="R96" s="260"/>
      <c r="S96" s="44"/>
      <c r="T96" s="44"/>
      <c r="U96" s="44"/>
      <c r="V96" s="44"/>
      <c r="W96" s="44"/>
      <c r="X96" s="44"/>
      <c r="Y96" s="44"/>
      <c r="AA96" s="292"/>
    </row>
    <row r="97" spans="6:28" s="34" customFormat="1" ht="18.75" customHeight="1" x14ac:dyDescent="0.35">
      <c r="F97" s="87" t="s">
        <v>194</v>
      </c>
      <c r="G97" s="87"/>
      <c r="H97" s="87"/>
      <c r="I97" s="87"/>
      <c r="J97" s="88"/>
      <c r="K97" s="89"/>
      <c r="L97" s="89"/>
      <c r="M97" s="254" t="s">
        <v>1</v>
      </c>
      <c r="N97" s="44" t="str">
        <f>N59</f>
        <v>11.2022.0297/0093310219</v>
      </c>
      <c r="O97" s="44"/>
      <c r="P97" s="263"/>
      <c r="Q97" s="260"/>
      <c r="R97" s="260"/>
      <c r="S97" s="44"/>
      <c r="T97" s="44"/>
      <c r="U97" s="44"/>
      <c r="V97" s="44"/>
      <c r="W97" s="44"/>
      <c r="X97" s="44"/>
      <c r="Y97" s="44"/>
      <c r="AA97" s="292"/>
    </row>
    <row r="98" spans="6:28" x14ac:dyDescent="0.35">
      <c r="P98" s="258"/>
      <c r="T98" s="44"/>
      <c r="U98" s="44"/>
      <c r="V98" s="44"/>
      <c r="W98" s="44"/>
      <c r="X98" s="44"/>
      <c r="Y98" s="44"/>
    </row>
    <row r="99" spans="6:28" ht="22.5" customHeight="1" x14ac:dyDescent="0.35">
      <c r="F99" s="516" t="s">
        <v>199</v>
      </c>
      <c r="G99" s="516"/>
      <c r="H99" s="516"/>
      <c r="I99" s="516"/>
      <c r="J99" s="516"/>
      <c r="K99" s="516"/>
      <c r="L99" s="516"/>
      <c r="M99" s="516"/>
      <c r="N99" s="516"/>
      <c r="O99" s="516"/>
      <c r="P99" s="516"/>
      <c r="Q99" s="516"/>
      <c r="R99" s="516"/>
      <c r="S99" s="516"/>
      <c r="T99" s="516"/>
      <c r="U99" s="516"/>
      <c r="V99" s="516"/>
      <c r="W99" s="516"/>
      <c r="X99" s="516"/>
      <c r="Y99" s="516"/>
    </row>
    <row r="100" spans="6:28" ht="9" customHeight="1" x14ac:dyDescent="0.35">
      <c r="F100" s="264"/>
      <c r="G100" s="264"/>
      <c r="H100" s="44"/>
      <c r="I100" s="44"/>
      <c r="J100" s="44"/>
      <c r="K100" s="44"/>
      <c r="L100" s="44"/>
      <c r="M100" s="44"/>
      <c r="N100" s="44"/>
      <c r="O100" s="264"/>
      <c r="P100" s="264"/>
      <c r="Q100" s="264"/>
      <c r="R100" s="264"/>
      <c r="S100" s="264"/>
      <c r="T100" s="264"/>
      <c r="U100" s="264"/>
      <c r="V100" s="264"/>
      <c r="W100" s="264"/>
      <c r="X100" s="264"/>
      <c r="Y100" s="264"/>
    </row>
    <row r="101" spans="6:28" x14ac:dyDescent="0.35">
      <c r="F101" s="84" t="s">
        <v>212</v>
      </c>
      <c r="P101" s="258"/>
    </row>
    <row r="102" spans="6:28" ht="20.149999999999999" customHeight="1" x14ac:dyDescent="0.35">
      <c r="F102" s="518" t="s">
        <v>69</v>
      </c>
      <c r="G102" s="518"/>
      <c r="H102" s="592" t="s">
        <v>70</v>
      </c>
      <c r="I102" s="593"/>
      <c r="J102" s="593"/>
      <c r="K102" s="593"/>
      <c r="L102" s="593"/>
      <c r="M102" s="593"/>
      <c r="N102" s="594"/>
      <c r="O102" s="598" t="s">
        <v>71</v>
      </c>
      <c r="P102" s="598" t="s">
        <v>72</v>
      </c>
      <c r="Q102" s="518" t="s">
        <v>173</v>
      </c>
      <c r="R102" s="518"/>
      <c r="S102" s="518"/>
      <c r="T102" s="518" t="s">
        <v>174</v>
      </c>
      <c r="U102" s="518"/>
      <c r="V102" s="518"/>
      <c r="W102" s="518"/>
      <c r="X102" s="518"/>
      <c r="Y102" s="518"/>
    </row>
    <row r="103" spans="6:28" ht="31.5" customHeight="1" x14ac:dyDescent="0.35">
      <c r="F103" s="518"/>
      <c r="G103" s="518"/>
      <c r="H103" s="595"/>
      <c r="I103" s="596"/>
      <c r="J103" s="596"/>
      <c r="K103" s="596"/>
      <c r="L103" s="596"/>
      <c r="M103" s="596"/>
      <c r="N103" s="597"/>
      <c r="O103" s="599"/>
      <c r="P103" s="599"/>
      <c r="Q103" s="261" t="s">
        <v>142</v>
      </c>
      <c r="R103" s="261" t="s">
        <v>143</v>
      </c>
      <c r="S103" s="261" t="s">
        <v>144</v>
      </c>
      <c r="T103" s="610" t="s">
        <v>2451</v>
      </c>
      <c r="U103" s="611"/>
      <c r="V103" s="612"/>
      <c r="W103" s="261" t="s">
        <v>143</v>
      </c>
      <c r="X103" s="566" t="s">
        <v>2464</v>
      </c>
      <c r="Y103" s="566"/>
    </row>
    <row r="104" spans="6:28" ht="26.15" customHeight="1" x14ac:dyDescent="0.35">
      <c r="F104" s="641" t="s">
        <v>73</v>
      </c>
      <c r="G104" s="642"/>
      <c r="H104" s="642"/>
      <c r="I104" s="642"/>
      <c r="J104" s="642"/>
      <c r="K104" s="642"/>
      <c r="L104" s="642"/>
      <c r="M104" s="642"/>
      <c r="N104" s="642"/>
      <c r="O104" s="642"/>
      <c r="P104" s="642"/>
      <c r="Q104" s="642"/>
      <c r="R104" s="642"/>
      <c r="S104" s="642"/>
      <c r="T104" s="642"/>
      <c r="U104" s="642"/>
      <c r="V104" s="642"/>
      <c r="W104" s="642"/>
      <c r="X104" s="642"/>
      <c r="Y104" s="643"/>
    </row>
    <row r="105" spans="6:28" ht="26.15" customHeight="1" x14ac:dyDescent="0.35">
      <c r="F105" s="538">
        <v>1</v>
      </c>
      <c r="G105" s="538"/>
      <c r="H105" s="540" t="str">
        <f>H76</f>
        <v>Pendidikan Agama</v>
      </c>
      <c r="I105" s="540"/>
      <c r="J105" s="540"/>
      <c r="K105" s="540"/>
      <c r="L105" s="540"/>
      <c r="M105" s="540"/>
      <c r="N105" s="540"/>
      <c r="O105" s="293">
        <f>O76</f>
        <v>2</v>
      </c>
      <c r="P105" s="293">
        <f>P76</f>
        <v>70</v>
      </c>
      <c r="Q105" s="293">
        <f>ROUND(AB105,0)</f>
        <v>80</v>
      </c>
      <c r="R105" s="303">
        <f>IF(Q105="","", IF(Q105=100,100, Q105+1))</f>
        <v>81</v>
      </c>
      <c r="S105" s="303">
        <f>IF(R105="","", IF(R105=100,100, R105+1))</f>
        <v>82</v>
      </c>
      <c r="T105" s="538" t="str">
        <f>IF(Q105=0,"",IF(Q105&gt;=79.1,"SB",IF(Q105&gt;=65.8,"B",IF(Q105&gt;=50.66,"C",IF(Q105&gt;=0.51,"D",)))))</f>
        <v>SB</v>
      </c>
      <c r="U105" s="538"/>
      <c r="V105" s="538"/>
      <c r="W105" s="293" t="str">
        <f>IF(R105=0,"",IF(R105&gt;=79.1,"SB",IF(R105&gt;=65.8,"B",IF(R105&gt;=50.66,"C",IF(R105&gt;=0.51,"D",)))))</f>
        <v>SB</v>
      </c>
      <c r="X105" s="538" t="str">
        <f>IF(S105=0,"",IF(S105&gt;=79.1,"SB",IF(S105&gt;=65.8,"B",IF(S105&gt;=50.66,"C",IF(S105&gt;=0.51,"D",)))))</f>
        <v>SB</v>
      </c>
      <c r="Y105" s="538"/>
      <c r="AA105" s="293">
        <f>VLOOKUP(N2,nilpels1,22,FALSE)</f>
        <v>79</v>
      </c>
      <c r="AB105" s="301" t="str">
        <f t="shared" ref="AB105:AB110" si="25">IF(AA105&lt;80,"80",AA105)</f>
        <v>80</v>
      </c>
    </row>
    <row r="106" spans="6:28" ht="36.75" customHeight="1" x14ac:dyDescent="0.35">
      <c r="F106" s="538">
        <v>2</v>
      </c>
      <c r="G106" s="538"/>
      <c r="H106" s="539" t="str">
        <f t="shared" ref="H106:H111" si="26">H77</f>
        <v>Pendidikan Pancasila dan Kewarganegaraan (PPKN)</v>
      </c>
      <c r="I106" s="539"/>
      <c r="J106" s="539"/>
      <c r="K106" s="539"/>
      <c r="L106" s="539"/>
      <c r="M106" s="539"/>
      <c r="N106" s="539"/>
      <c r="O106" s="293">
        <f t="shared" ref="O106:P106" si="27">O77</f>
        <v>2</v>
      </c>
      <c r="P106" s="293">
        <f t="shared" si="27"/>
        <v>70</v>
      </c>
      <c r="Q106" s="293">
        <f t="shared" ref="Q106:Q111" si="28">ROUND(AB106,0)</f>
        <v>80</v>
      </c>
      <c r="R106" s="303">
        <f t="shared" ref="R106:S106" si="29">IF(Q106="","", IF(Q106=100,100, Q106+1))</f>
        <v>81</v>
      </c>
      <c r="S106" s="303">
        <f t="shared" si="29"/>
        <v>82</v>
      </c>
      <c r="T106" s="538" t="str">
        <f t="shared" ref="T106:T111" si="30">IF(Q106=0,"",IF(Q106&gt;=79.1,"SB",IF(Q106&gt;=65.8,"B",IF(Q106&gt;=50.66,"C",IF(Q106&gt;=0.51,"D",)))))</f>
        <v>SB</v>
      </c>
      <c r="U106" s="538"/>
      <c r="V106" s="538"/>
      <c r="W106" s="293" t="str">
        <f t="shared" ref="W106:W111" si="31">IF(R106=0,"",IF(R106&gt;=79.1,"SB",IF(R106&gt;=65.8,"B",IF(R106&gt;=50.66,"C",IF(R106&gt;=0.51,"D",)))))</f>
        <v>SB</v>
      </c>
      <c r="X106" s="538" t="str">
        <f t="shared" ref="X106:X111" si="32">IF(S106=0,"",IF(S106&gt;=79.1,"SB",IF(S106&gt;=65.8,"B",IF(S106&gt;=50.66,"C",IF(S106&gt;=0.51,"D",)))))</f>
        <v>SB</v>
      </c>
      <c r="Y106" s="538"/>
      <c r="AA106" s="293">
        <f>VLOOKUP(N2,nilpels1,24,FALSE)</f>
        <v>59</v>
      </c>
      <c r="AB106" s="301" t="str">
        <f t="shared" si="25"/>
        <v>80</v>
      </c>
    </row>
    <row r="107" spans="6:28" ht="26.15" customHeight="1" x14ac:dyDescent="0.35">
      <c r="F107" s="538">
        <v>3</v>
      </c>
      <c r="G107" s="538"/>
      <c r="H107" s="540" t="str">
        <f t="shared" si="26"/>
        <v>Bahasa Indonesia</v>
      </c>
      <c r="I107" s="540"/>
      <c r="J107" s="540"/>
      <c r="K107" s="540"/>
      <c r="L107" s="540"/>
      <c r="M107" s="540"/>
      <c r="N107" s="540"/>
      <c r="O107" s="293">
        <f t="shared" ref="O107:P107" si="33">O78</f>
        <v>1</v>
      </c>
      <c r="P107" s="293">
        <f t="shared" si="33"/>
        <v>70</v>
      </c>
      <c r="Q107" s="293">
        <f t="shared" si="28"/>
        <v>80</v>
      </c>
      <c r="R107" s="303">
        <f t="shared" ref="R107:S107" si="34">IF(Q107="","", IF(Q107=100,100, Q107+1))</f>
        <v>81</v>
      </c>
      <c r="S107" s="303">
        <f t="shared" si="34"/>
        <v>82</v>
      </c>
      <c r="T107" s="538" t="str">
        <f t="shared" si="30"/>
        <v>SB</v>
      </c>
      <c r="U107" s="538"/>
      <c r="V107" s="538"/>
      <c r="W107" s="293" t="str">
        <f t="shared" si="31"/>
        <v>SB</v>
      </c>
      <c r="X107" s="538" t="str">
        <f t="shared" si="32"/>
        <v>SB</v>
      </c>
      <c r="Y107" s="538"/>
      <c r="AA107" s="293">
        <f>VLOOKUP(N2,nilpels1,26,FALSE)</f>
        <v>35</v>
      </c>
      <c r="AB107" s="301" t="str">
        <f t="shared" si="25"/>
        <v>80</v>
      </c>
    </row>
    <row r="108" spans="6:28" ht="26.15" customHeight="1" x14ac:dyDescent="0.35">
      <c r="F108" s="538">
        <v>4</v>
      </c>
      <c r="G108" s="538"/>
      <c r="H108" s="540" t="str">
        <f t="shared" si="26"/>
        <v>Bahasa Inggris</v>
      </c>
      <c r="I108" s="540"/>
      <c r="J108" s="540"/>
      <c r="K108" s="540"/>
      <c r="L108" s="540"/>
      <c r="M108" s="540"/>
      <c r="N108" s="540"/>
      <c r="O108" s="293">
        <f t="shared" ref="O108:P108" si="35">O79</f>
        <v>1</v>
      </c>
      <c r="P108" s="293">
        <f t="shared" si="35"/>
        <v>70</v>
      </c>
      <c r="Q108" s="293">
        <f t="shared" si="28"/>
        <v>80</v>
      </c>
      <c r="R108" s="303">
        <f t="shared" ref="R108:S108" si="36">IF(Q108="","", IF(Q108=100,100, Q108+1))</f>
        <v>81</v>
      </c>
      <c r="S108" s="303">
        <f t="shared" si="36"/>
        <v>82</v>
      </c>
      <c r="T108" s="538" t="str">
        <f t="shared" si="30"/>
        <v>SB</v>
      </c>
      <c r="U108" s="538"/>
      <c r="V108" s="538"/>
      <c r="W108" s="293" t="str">
        <f t="shared" si="31"/>
        <v>SB</v>
      </c>
      <c r="X108" s="538" t="str">
        <f t="shared" si="32"/>
        <v>SB</v>
      </c>
      <c r="Y108" s="538"/>
      <c r="AA108" s="293">
        <f>VLOOKUP(N2,nilpels1,28,FALSE)</f>
        <v>64</v>
      </c>
      <c r="AB108" s="301" t="str">
        <f t="shared" si="25"/>
        <v>80</v>
      </c>
    </row>
    <row r="109" spans="6:28" ht="26.15" customHeight="1" x14ac:dyDescent="0.35">
      <c r="F109" s="538">
        <v>5</v>
      </c>
      <c r="G109" s="538"/>
      <c r="H109" s="540" t="str">
        <f t="shared" si="26"/>
        <v>Matematika</v>
      </c>
      <c r="I109" s="540"/>
      <c r="J109" s="540"/>
      <c r="K109" s="540"/>
      <c r="L109" s="540"/>
      <c r="M109" s="540"/>
      <c r="N109" s="540"/>
      <c r="O109" s="293">
        <f t="shared" ref="O109:P109" si="37">O80</f>
        <v>1</v>
      </c>
      <c r="P109" s="293">
        <f t="shared" si="37"/>
        <v>70</v>
      </c>
      <c r="Q109" s="293">
        <f t="shared" si="28"/>
        <v>80</v>
      </c>
      <c r="R109" s="303">
        <f t="shared" ref="R109:S109" si="38">IF(Q109="","", IF(Q109=100,100, Q109+1))</f>
        <v>81</v>
      </c>
      <c r="S109" s="303">
        <f t="shared" si="38"/>
        <v>82</v>
      </c>
      <c r="T109" s="538" t="str">
        <f t="shared" si="30"/>
        <v>SB</v>
      </c>
      <c r="U109" s="538"/>
      <c r="V109" s="538"/>
      <c r="W109" s="293" t="str">
        <f t="shared" si="31"/>
        <v>SB</v>
      </c>
      <c r="X109" s="538" t="str">
        <f t="shared" si="32"/>
        <v>SB</v>
      </c>
      <c r="Y109" s="538"/>
      <c r="AA109" s="293">
        <f>VLOOKUP(N2,nilpels1,30,FALSE)</f>
        <v>50</v>
      </c>
      <c r="AB109" s="301" t="str">
        <f t="shared" si="25"/>
        <v>80</v>
      </c>
    </row>
    <row r="110" spans="6:28" ht="26.15" customHeight="1" x14ac:dyDescent="0.35">
      <c r="F110" s="538">
        <v>6</v>
      </c>
      <c r="G110" s="538"/>
      <c r="H110" s="540" t="str">
        <f t="shared" si="26"/>
        <v>Ilmu Pengetahuan Alam</v>
      </c>
      <c r="I110" s="540"/>
      <c r="J110" s="540"/>
      <c r="K110" s="540"/>
      <c r="L110" s="540"/>
      <c r="M110" s="540"/>
      <c r="N110" s="540"/>
      <c r="O110" s="293">
        <f t="shared" ref="O110:P110" si="39">O81</f>
        <v>1</v>
      </c>
      <c r="P110" s="293">
        <f t="shared" si="39"/>
        <v>70</v>
      </c>
      <c r="Q110" s="293">
        <f t="shared" si="28"/>
        <v>80</v>
      </c>
      <c r="R110" s="303">
        <f t="shared" ref="R110:S110" si="40">IF(Q110="","", IF(Q110=100,100, Q110+1))</f>
        <v>81</v>
      </c>
      <c r="S110" s="303">
        <f t="shared" si="40"/>
        <v>82</v>
      </c>
      <c r="T110" s="538" t="str">
        <f t="shared" si="30"/>
        <v>SB</v>
      </c>
      <c r="U110" s="538"/>
      <c r="V110" s="538"/>
      <c r="W110" s="293" t="str">
        <f t="shared" si="31"/>
        <v>SB</v>
      </c>
      <c r="X110" s="538" t="str">
        <f t="shared" si="32"/>
        <v>SB</v>
      </c>
      <c r="Y110" s="538"/>
      <c r="AA110" s="293">
        <f>VLOOKUP(N2,nilpels1,32,FALSE)</f>
        <v>58</v>
      </c>
      <c r="AB110" s="301" t="str">
        <f t="shared" si="25"/>
        <v>80</v>
      </c>
    </row>
    <row r="111" spans="6:28" ht="26.15" customHeight="1" x14ac:dyDescent="0.35">
      <c r="F111" s="538">
        <v>7</v>
      </c>
      <c r="G111" s="538"/>
      <c r="H111" s="540" t="str">
        <f t="shared" si="26"/>
        <v>Ilmu Pengetahuan Sosial</v>
      </c>
      <c r="I111" s="540"/>
      <c r="J111" s="540"/>
      <c r="K111" s="540"/>
      <c r="L111" s="540"/>
      <c r="M111" s="540"/>
      <c r="N111" s="540"/>
      <c r="O111" s="293">
        <f t="shared" ref="O111:P111" si="41">O82</f>
        <v>1</v>
      </c>
      <c r="P111" s="293">
        <f t="shared" si="41"/>
        <v>70</v>
      </c>
      <c r="Q111" s="293">
        <f t="shared" si="28"/>
        <v>80</v>
      </c>
      <c r="R111" s="303">
        <f t="shared" ref="R111:S111" si="42">IF(Q111="","", IF(Q111=100,100, Q111+1))</f>
        <v>81</v>
      </c>
      <c r="S111" s="303">
        <f t="shared" si="42"/>
        <v>82</v>
      </c>
      <c r="T111" s="538" t="str">
        <f t="shared" si="30"/>
        <v>SB</v>
      </c>
      <c r="U111" s="538"/>
      <c r="V111" s="538"/>
      <c r="W111" s="293" t="str">
        <f t="shared" si="31"/>
        <v>SB</v>
      </c>
      <c r="X111" s="538" t="str">
        <f t="shared" si="32"/>
        <v>SB</v>
      </c>
      <c r="Y111" s="538"/>
      <c r="AA111" s="375">
        <f>VLOOKUP(N2,nilpels1,33,FALSE)</f>
        <v>59</v>
      </c>
      <c r="AB111" s="301" t="str">
        <f t="shared" ref="AB111" si="43">IF(AA111&lt;80,"80",AA111)</f>
        <v>80</v>
      </c>
    </row>
    <row r="112" spans="6:28" ht="26.15" customHeight="1" x14ac:dyDescent="0.35">
      <c r="F112" s="542" t="s">
        <v>204</v>
      </c>
      <c r="G112" s="542"/>
      <c r="H112" s="542"/>
      <c r="I112" s="542"/>
      <c r="J112" s="542"/>
      <c r="K112" s="542"/>
      <c r="L112" s="542"/>
      <c r="M112" s="542"/>
      <c r="N112" s="542"/>
      <c r="O112" s="542"/>
      <c r="P112" s="542"/>
      <c r="Q112" s="542"/>
      <c r="R112" s="542"/>
      <c r="S112" s="542"/>
      <c r="T112" s="542"/>
      <c r="U112" s="542"/>
      <c r="V112" s="542"/>
      <c r="W112" s="542"/>
      <c r="X112" s="542"/>
      <c r="Y112" s="542"/>
      <c r="AA112" s="299"/>
      <c r="AB112" s="53"/>
    </row>
    <row r="113" spans="6:28" ht="26.15" customHeight="1" x14ac:dyDescent="0.35">
      <c r="F113" s="538">
        <v>8</v>
      </c>
      <c r="G113" s="538"/>
      <c r="H113" s="540" t="s">
        <v>205</v>
      </c>
      <c r="I113" s="540"/>
      <c r="J113" s="540"/>
      <c r="K113" s="540"/>
      <c r="L113" s="540"/>
      <c r="M113" s="540"/>
      <c r="N113" s="540"/>
      <c r="O113" s="540"/>
      <c r="P113" s="540"/>
      <c r="Q113" s="540"/>
      <c r="R113" s="540"/>
      <c r="S113" s="540"/>
      <c r="T113" s="540"/>
      <c r="U113" s="540"/>
      <c r="V113" s="540"/>
      <c r="W113" s="540"/>
      <c r="X113" s="540"/>
      <c r="Y113" s="540"/>
      <c r="AA113" s="299"/>
      <c r="AB113" s="53"/>
    </row>
    <row r="114" spans="6:28" ht="26.15" customHeight="1" x14ac:dyDescent="0.35">
      <c r="F114" s="538"/>
      <c r="G114" s="538"/>
      <c r="H114" s="540" t="str">
        <f>H85</f>
        <v>Tahfizh Al-Qur'an</v>
      </c>
      <c r="I114" s="540"/>
      <c r="J114" s="540"/>
      <c r="K114" s="540"/>
      <c r="L114" s="540"/>
      <c r="M114" s="540"/>
      <c r="N114" s="540"/>
      <c r="O114" s="293">
        <f>O85</f>
        <v>2</v>
      </c>
      <c r="P114" s="293">
        <f>P85</f>
        <v>70</v>
      </c>
      <c r="Q114" s="603">
        <f>ROUND(AB114,0)</f>
        <v>80</v>
      </c>
      <c r="R114" s="604"/>
      <c r="S114" s="605"/>
      <c r="T114" s="538" t="str">
        <f>IF(Q114=0,"",IF(Q114&gt;=79.1,"SB",IF(Q114&gt;=65.8,"B",IF(Q114&gt;=50.66,"C",IF(Q114&gt;=0.51,"D",)))))</f>
        <v>SB</v>
      </c>
      <c r="U114" s="538"/>
      <c r="V114" s="538"/>
      <c r="W114" s="538"/>
      <c r="X114" s="538"/>
      <c r="Y114" s="538"/>
      <c r="AA114" s="293">
        <f>VLOOKUP(N2,nilpels1,3,FALSE)</f>
        <v>59</v>
      </c>
      <c r="AB114" s="301" t="str">
        <f t="shared" ref="AB114:AB115" si="44">IF(AA114&lt;80,"80",AA114)</f>
        <v>80</v>
      </c>
    </row>
    <row r="115" spans="6:28" ht="26.15" customHeight="1" x14ac:dyDescent="0.35">
      <c r="F115" s="538"/>
      <c r="G115" s="538"/>
      <c r="H115" s="540" t="str">
        <f>H86</f>
        <v>Keasramaan</v>
      </c>
      <c r="I115" s="540"/>
      <c r="J115" s="540"/>
      <c r="K115" s="540"/>
      <c r="L115" s="540"/>
      <c r="M115" s="540"/>
      <c r="N115" s="540"/>
      <c r="O115" s="293">
        <f>O86</f>
        <v>1</v>
      </c>
      <c r="P115" s="293">
        <f>P86</f>
        <v>70</v>
      </c>
      <c r="Q115" s="603">
        <f>ROUND(AB115,0)</f>
        <v>85</v>
      </c>
      <c r="R115" s="604"/>
      <c r="S115" s="605"/>
      <c r="T115" s="538" t="str">
        <f>IF(Q115=0,"",IF(Q115&gt;=79.1,"SB",IF(Q115&gt;=65.8,"B",IF(Q115&gt;=50.66,"C",IF(Q115&gt;=0.51,"D",)))))</f>
        <v>SB</v>
      </c>
      <c r="U115" s="538"/>
      <c r="V115" s="538"/>
      <c r="W115" s="538"/>
      <c r="X115" s="538"/>
      <c r="Y115" s="538"/>
      <c r="AA115" s="293">
        <f>VLOOKUP(N2,nilpels1,4,FALSE)</f>
        <v>85</v>
      </c>
      <c r="AB115" s="301">
        <f t="shared" si="44"/>
        <v>85</v>
      </c>
    </row>
    <row r="116" spans="6:28" ht="26.15" customHeight="1" x14ac:dyDescent="0.35">
      <c r="F116" s="538">
        <v>9</v>
      </c>
      <c r="G116" s="538"/>
      <c r="H116" s="540" t="s">
        <v>206</v>
      </c>
      <c r="I116" s="540"/>
      <c r="J116" s="540"/>
      <c r="K116" s="540"/>
      <c r="L116" s="540"/>
      <c r="M116" s="540"/>
      <c r="N116" s="540"/>
      <c r="O116" s="540"/>
      <c r="P116" s="540"/>
      <c r="Q116" s="540"/>
      <c r="R116" s="540"/>
      <c r="S116" s="540"/>
      <c r="T116" s="540"/>
      <c r="U116" s="540"/>
      <c r="V116" s="540"/>
      <c r="W116" s="540"/>
      <c r="X116" s="540"/>
      <c r="Y116" s="540"/>
      <c r="AA116" s="299"/>
      <c r="AB116" s="293"/>
    </row>
    <row r="117" spans="6:28" ht="26.15" customHeight="1" x14ac:dyDescent="0.35">
      <c r="F117" s="538"/>
      <c r="G117" s="538"/>
      <c r="H117" s="540" t="str">
        <f>H88</f>
        <v>a. Keterampilan Wajib</v>
      </c>
      <c r="I117" s="540"/>
      <c r="J117" s="540"/>
      <c r="K117" s="540"/>
      <c r="L117" s="540"/>
      <c r="M117" s="540"/>
      <c r="N117" s="540"/>
      <c r="O117" s="293">
        <f>O88</f>
        <v>2</v>
      </c>
      <c r="P117" s="293">
        <f>P88</f>
        <v>70</v>
      </c>
      <c r="Q117" s="603">
        <f>ROUND(AB117,0)</f>
        <v>80</v>
      </c>
      <c r="R117" s="604"/>
      <c r="S117" s="605"/>
      <c r="T117" s="538" t="str">
        <f>IF(Q117=0,"",IF(Q117&gt;=79.1,"SB",IF(Q117&gt;=65.8,"B",IF(Q117&gt;=50.66,"C",IF(Q117&gt;=0.51,"D",)))))</f>
        <v>SB</v>
      </c>
      <c r="U117" s="538"/>
      <c r="V117" s="538"/>
      <c r="W117" s="538"/>
      <c r="X117" s="538"/>
      <c r="Y117" s="538"/>
      <c r="AA117" s="293">
        <f>VLOOKUP(N2,nilpels1,5,FALSE)</f>
        <v>79</v>
      </c>
      <c r="AB117" s="301" t="str">
        <f t="shared" ref="AB117:AB120" si="45">IF(AA117&lt;80,"80",AA117)</f>
        <v>80</v>
      </c>
    </row>
    <row r="118" spans="6:28" ht="26.15" customHeight="1" x14ac:dyDescent="0.35">
      <c r="F118" s="538"/>
      <c r="G118" s="538"/>
      <c r="H118" s="540" t="str">
        <f>H89</f>
        <v>b. Keterampilan Pilihan :</v>
      </c>
      <c r="I118" s="540"/>
      <c r="J118" s="540"/>
      <c r="K118" s="540"/>
      <c r="L118" s="540"/>
      <c r="M118" s="540"/>
      <c r="N118" s="540"/>
      <c r="O118" s="540"/>
      <c r="P118" s="540"/>
      <c r="Q118" s="540"/>
      <c r="R118" s="540"/>
      <c r="S118" s="540"/>
      <c r="T118" s="540"/>
      <c r="U118" s="540"/>
      <c r="V118" s="540"/>
      <c r="W118" s="540"/>
      <c r="X118" s="540"/>
      <c r="Y118" s="540"/>
      <c r="AA118" s="299"/>
      <c r="AB118" s="293"/>
    </row>
    <row r="119" spans="6:28" ht="26.15" customHeight="1" x14ac:dyDescent="0.35">
      <c r="F119" s="538"/>
      <c r="G119" s="538"/>
      <c r="H119" s="540" t="str">
        <f>H90</f>
        <v xml:space="preserve">    1) Public Speaking</v>
      </c>
      <c r="I119" s="540"/>
      <c r="J119" s="540"/>
      <c r="K119" s="540"/>
      <c r="L119" s="540"/>
      <c r="M119" s="540"/>
      <c r="N119" s="540"/>
      <c r="O119" s="293">
        <f>O90</f>
        <v>1</v>
      </c>
      <c r="P119" s="293">
        <f>P90</f>
        <v>70</v>
      </c>
      <c r="Q119" s="603">
        <f>ROUND(AB119,0)</f>
        <v>80</v>
      </c>
      <c r="R119" s="604"/>
      <c r="S119" s="605"/>
      <c r="T119" s="538" t="str">
        <f>IF(Q119=0,"",IF(Q119&gt;=79.1,"SB",IF(Q119&gt;=65.8,"B",IF(Q119&gt;=50.66,"C",IF(Q119&gt;=0.51,"D",)))))</f>
        <v>SB</v>
      </c>
      <c r="U119" s="538"/>
      <c r="V119" s="538"/>
      <c r="W119" s="538"/>
      <c r="X119" s="538"/>
      <c r="Y119" s="538"/>
      <c r="AA119" s="293">
        <f>VLOOKUP(N2,nilpels1,13,FALSE)</f>
        <v>80</v>
      </c>
      <c r="AB119" s="301">
        <f t="shared" si="45"/>
        <v>80</v>
      </c>
    </row>
    <row r="120" spans="6:28" ht="26.15" customHeight="1" x14ac:dyDescent="0.35">
      <c r="F120" s="538"/>
      <c r="G120" s="538"/>
      <c r="H120" s="540" t="str">
        <f>H91</f>
        <v xml:space="preserve">    2) Olahraga</v>
      </c>
      <c r="I120" s="540"/>
      <c r="J120" s="540"/>
      <c r="K120" s="540"/>
      <c r="L120" s="540"/>
      <c r="M120" s="540"/>
      <c r="N120" s="540"/>
      <c r="O120" s="293">
        <f>O91</f>
        <v>1</v>
      </c>
      <c r="P120" s="293">
        <f>P91</f>
        <v>70</v>
      </c>
      <c r="Q120" s="603">
        <f>ROUND(AB120,0)</f>
        <v>80</v>
      </c>
      <c r="R120" s="604"/>
      <c r="S120" s="605"/>
      <c r="T120" s="538" t="str">
        <f>IF(Q120=0,"",IF(Q120&gt;=79.1,"SB",IF(Q120&gt;=65.8,"B",IF(Q120&gt;=50.66,"C",IF(Q120&gt;=0.51,"D",)))))</f>
        <v>SB</v>
      </c>
      <c r="U120" s="538"/>
      <c r="V120" s="538"/>
      <c r="W120" s="538"/>
      <c r="X120" s="538"/>
      <c r="Y120" s="538"/>
      <c r="AA120" s="293">
        <f>VLOOKUP(N2,nilpels1,15,FALSE)</f>
        <v>64</v>
      </c>
      <c r="AB120" s="301" t="str">
        <f t="shared" si="45"/>
        <v>80</v>
      </c>
    </row>
    <row r="121" spans="6:28" ht="13.5" customHeight="1" x14ac:dyDescent="0.35">
      <c r="F121" s="264"/>
      <c r="G121" s="264"/>
      <c r="H121" s="44"/>
      <c r="I121" s="44"/>
      <c r="J121" s="44"/>
      <c r="K121" s="44"/>
      <c r="L121" s="44"/>
      <c r="M121" s="44"/>
      <c r="N121" s="44"/>
      <c r="O121" s="264"/>
      <c r="P121" s="264"/>
      <c r="Q121" s="264"/>
      <c r="R121" s="264"/>
      <c r="S121" s="264"/>
      <c r="T121" s="264"/>
      <c r="U121" s="264"/>
      <c r="V121" s="264"/>
      <c r="W121" s="264"/>
      <c r="X121" s="264"/>
      <c r="Y121" s="264"/>
    </row>
    <row r="122" spans="6:28" ht="26.15" customHeight="1" x14ac:dyDescent="0.35">
      <c r="F122" s="84" t="s">
        <v>2452</v>
      </c>
    </row>
    <row r="123" spans="6:28" ht="26.15" customHeight="1" x14ac:dyDescent="0.35">
      <c r="F123" s="518" t="s">
        <v>69</v>
      </c>
      <c r="G123" s="518"/>
      <c r="H123" s="519" t="s">
        <v>214</v>
      </c>
      <c r="I123" s="520"/>
      <c r="J123" s="520"/>
      <c r="K123" s="520"/>
      <c r="L123" s="520"/>
      <c r="M123" s="520"/>
      <c r="N123" s="520"/>
      <c r="O123" s="521"/>
      <c r="P123" s="624" t="s">
        <v>174</v>
      </c>
      <c r="Q123" s="625"/>
      <c r="R123" s="518" t="s">
        <v>170</v>
      </c>
      <c r="S123" s="518"/>
      <c r="T123" s="518"/>
      <c r="U123" s="518"/>
      <c r="V123" s="518"/>
      <c r="W123" s="518"/>
      <c r="X123" s="518"/>
      <c r="Y123" s="518"/>
    </row>
    <row r="124" spans="6:28" ht="26.15" customHeight="1" x14ac:dyDescent="0.35">
      <c r="F124" s="518">
        <v>1</v>
      </c>
      <c r="G124" s="518"/>
      <c r="H124" s="619" t="str">
        <f>VLOOKUP(N2,nilwks1,24,FALSE)</f>
        <v>Komputer</v>
      </c>
      <c r="I124" s="620"/>
      <c r="J124" s="620"/>
      <c r="K124" s="620"/>
      <c r="L124" s="620"/>
      <c r="M124" s="620"/>
      <c r="N124" s="620"/>
      <c r="O124" s="621"/>
      <c r="P124" s="622" t="str">
        <f>VLOOKUP(N2,nilwks1,25,FALSE)</f>
        <v>C</v>
      </c>
      <c r="Q124" s="623"/>
      <c r="R124" s="547">
        <f>VLOOKUP(N2,nilwks1,26,FALSE)</f>
        <v>0</v>
      </c>
      <c r="S124" s="547"/>
      <c r="T124" s="547"/>
      <c r="U124" s="547"/>
      <c r="V124" s="547"/>
      <c r="W124" s="547"/>
      <c r="X124" s="547"/>
      <c r="Y124" s="547"/>
    </row>
    <row r="125" spans="6:28" ht="26.15" customHeight="1" x14ac:dyDescent="0.35">
      <c r="F125" s="518">
        <v>2</v>
      </c>
      <c r="G125" s="518"/>
      <c r="H125" s="619">
        <f>VLOOKUP(N2,nilwks1,27,FALSE)</f>
        <v>0</v>
      </c>
      <c r="I125" s="620"/>
      <c r="J125" s="620"/>
      <c r="K125" s="620"/>
      <c r="L125" s="620"/>
      <c r="M125" s="620"/>
      <c r="N125" s="620"/>
      <c r="O125" s="621"/>
      <c r="P125" s="622">
        <f>VLOOKUP(N2,nilwks1,28,FALSE)</f>
        <v>0</v>
      </c>
      <c r="Q125" s="623"/>
      <c r="R125" s="547">
        <f>VLOOKUP(N2,nilwks1,29,FALSE)</f>
        <v>0</v>
      </c>
      <c r="S125" s="547"/>
      <c r="T125" s="547"/>
      <c r="U125" s="547"/>
      <c r="V125" s="547"/>
      <c r="W125" s="547"/>
      <c r="X125" s="547"/>
      <c r="Y125" s="547"/>
    </row>
    <row r="126" spans="6:28" ht="26.15" customHeight="1" x14ac:dyDescent="0.35">
      <c r="F126" s="518">
        <v>3</v>
      </c>
      <c r="G126" s="518"/>
      <c r="H126" s="622">
        <f>VLOOKUP(N2,nilwks1,30,FALSE)</f>
        <v>0</v>
      </c>
      <c r="I126" s="626"/>
      <c r="J126" s="626"/>
      <c r="K126" s="626"/>
      <c r="L126" s="626"/>
      <c r="M126" s="626"/>
      <c r="N126" s="626"/>
      <c r="O126" s="623"/>
      <c r="P126" s="622">
        <f>VLOOKUP(N2,nilwks1,31,FALSE)</f>
        <v>0</v>
      </c>
      <c r="Q126" s="623"/>
      <c r="R126" s="547">
        <f>VLOOKUP(N2,nilwks1,32,FALSE)</f>
        <v>0</v>
      </c>
      <c r="S126" s="547"/>
      <c r="T126" s="547"/>
      <c r="U126" s="547"/>
      <c r="V126" s="547"/>
      <c r="W126" s="547"/>
      <c r="X126" s="547"/>
      <c r="Y126" s="547"/>
    </row>
    <row r="127" spans="6:28" s="34" customFormat="1" ht="34.5" customHeight="1" x14ac:dyDescent="0.35">
      <c r="F127" s="87" t="s">
        <v>120</v>
      </c>
      <c r="G127" s="87"/>
      <c r="H127" s="87"/>
      <c r="I127" s="87"/>
      <c r="J127" s="88"/>
      <c r="K127" s="89"/>
      <c r="L127" s="89"/>
      <c r="M127" s="254" t="s">
        <v>1</v>
      </c>
      <c r="N127" s="262" t="str">
        <f>N92</f>
        <v>PKBM GENERASI BANGSA</v>
      </c>
      <c r="O127" s="44"/>
      <c r="P127" s="262"/>
      <c r="Q127" s="262"/>
      <c r="R127" s="588" t="s">
        <v>191</v>
      </c>
      <c r="S127" s="588"/>
      <c r="T127" s="588"/>
      <c r="U127" s="588"/>
      <c r="V127" s="588"/>
      <c r="W127" s="588"/>
      <c r="X127" s="588"/>
      <c r="Y127" s="588"/>
      <c r="AA127" s="292"/>
    </row>
    <row r="128" spans="6:28" s="34" customFormat="1" ht="17.25" customHeight="1" x14ac:dyDescent="0.35">
      <c r="F128" s="534" t="s">
        <v>192</v>
      </c>
      <c r="G128" s="534"/>
      <c r="H128" s="534"/>
      <c r="I128" s="534"/>
      <c r="J128" s="534"/>
      <c r="K128" s="534"/>
      <c r="L128" s="259"/>
      <c r="M128" s="544" t="s">
        <v>1</v>
      </c>
      <c r="N128" s="589" t="str">
        <f>N93</f>
        <v>Jl. Terusan Islamic Center - Sigempol KM 03 , Limbangan Wetan Brebes Jawa Tengah</v>
      </c>
      <c r="O128" s="589"/>
      <c r="P128" s="589"/>
      <c r="Q128" s="589"/>
      <c r="R128" s="590" t="s">
        <v>223</v>
      </c>
      <c r="S128" s="590"/>
      <c r="T128" s="590"/>
      <c r="U128" s="590"/>
      <c r="V128" s="254" t="s">
        <v>1</v>
      </c>
      <c r="W128" s="591" t="str">
        <f>W93</f>
        <v>3/VII</v>
      </c>
      <c r="X128" s="591"/>
      <c r="Y128" s="591"/>
      <c r="AA128" s="292"/>
    </row>
    <row r="129" spans="6:27" s="34" customFormat="1" ht="17.25" customHeight="1" x14ac:dyDescent="0.35">
      <c r="F129" s="534"/>
      <c r="G129" s="534"/>
      <c r="H129" s="534"/>
      <c r="I129" s="534"/>
      <c r="J129" s="534"/>
      <c r="K129" s="534"/>
      <c r="L129" s="259"/>
      <c r="M129" s="544"/>
      <c r="N129" s="589"/>
      <c r="O129" s="589"/>
      <c r="P129" s="589"/>
      <c r="Q129" s="589"/>
      <c r="R129" s="535" t="s">
        <v>193</v>
      </c>
      <c r="S129" s="535"/>
      <c r="T129" s="535"/>
      <c r="U129" s="535"/>
      <c r="V129" s="254" t="s">
        <v>1</v>
      </c>
      <c r="W129" s="591" t="str">
        <f t="shared" ref="W129:W130" si="46">W94</f>
        <v>3.1</v>
      </c>
      <c r="X129" s="591"/>
      <c r="Y129" s="591"/>
      <c r="AA129" s="292"/>
    </row>
    <row r="130" spans="6:27" s="34" customFormat="1" ht="17.25" customHeight="1" x14ac:dyDescent="0.35">
      <c r="F130" s="534"/>
      <c r="G130" s="534"/>
      <c r="H130" s="534"/>
      <c r="I130" s="534"/>
      <c r="J130" s="534"/>
      <c r="K130" s="534"/>
      <c r="L130" s="259"/>
      <c r="M130" s="544"/>
      <c r="N130" s="589"/>
      <c r="O130" s="589"/>
      <c r="P130" s="589"/>
      <c r="Q130" s="589"/>
      <c r="R130" s="535" t="s">
        <v>7</v>
      </c>
      <c r="S130" s="535"/>
      <c r="T130" s="535"/>
      <c r="U130" s="535"/>
      <c r="V130" s="254" t="s">
        <v>1</v>
      </c>
      <c r="W130" s="591" t="str">
        <f t="shared" si="46"/>
        <v>2022/2023</v>
      </c>
      <c r="X130" s="591"/>
      <c r="Y130" s="591"/>
      <c r="AA130" s="292"/>
    </row>
    <row r="131" spans="6:27" s="34" customFormat="1" ht="22.5" customHeight="1" x14ac:dyDescent="0.35">
      <c r="F131" s="87" t="s">
        <v>139</v>
      </c>
      <c r="G131" s="87"/>
      <c r="H131" s="87"/>
      <c r="I131" s="87"/>
      <c r="J131" s="88"/>
      <c r="K131" s="90"/>
      <c r="L131" s="90"/>
      <c r="M131" s="254" t="s">
        <v>1</v>
      </c>
      <c r="N131" s="262" t="str">
        <f>N96</f>
        <v>CHAIRUL AZZAM RAMADHAN</v>
      </c>
      <c r="O131" s="44"/>
      <c r="P131" s="263"/>
      <c r="Q131" s="260"/>
      <c r="R131" s="260"/>
      <c r="S131" s="44"/>
      <c r="T131" s="44"/>
      <c r="U131" s="44"/>
      <c r="V131" s="44"/>
      <c r="W131" s="44"/>
      <c r="X131" s="44"/>
      <c r="Y131" s="44"/>
      <c r="AA131" s="292"/>
    </row>
    <row r="132" spans="6:27" s="34" customFormat="1" ht="22.5" customHeight="1" x14ac:dyDescent="0.35">
      <c r="F132" s="87" t="s">
        <v>194</v>
      </c>
      <c r="G132" s="87"/>
      <c r="H132" s="87"/>
      <c r="I132" s="87"/>
      <c r="J132" s="88"/>
      <c r="K132" s="89"/>
      <c r="L132" s="89"/>
      <c r="M132" s="254" t="s">
        <v>1</v>
      </c>
      <c r="N132" s="44" t="str">
        <f>N97</f>
        <v>11.2022.0297/0093310219</v>
      </c>
      <c r="O132" s="44"/>
      <c r="P132" s="263"/>
      <c r="Q132" s="260"/>
      <c r="R132" s="260"/>
      <c r="S132" s="44"/>
      <c r="T132" s="44"/>
      <c r="U132" s="44"/>
      <c r="V132" s="44"/>
      <c r="W132" s="44"/>
      <c r="X132" s="44"/>
      <c r="Y132" s="44"/>
      <c r="AA132" s="292"/>
    </row>
    <row r="133" spans="6:27" x14ac:dyDescent="0.35">
      <c r="P133" s="258"/>
      <c r="T133" s="44"/>
      <c r="U133" s="44"/>
      <c r="V133" s="44"/>
      <c r="W133" s="44"/>
      <c r="X133" s="44"/>
      <c r="Y133" s="44"/>
    </row>
    <row r="134" spans="6:27" ht="21" customHeight="1" x14ac:dyDescent="0.35">
      <c r="F134" s="516" t="s">
        <v>199</v>
      </c>
      <c r="G134" s="516"/>
      <c r="H134" s="516"/>
      <c r="I134" s="516"/>
      <c r="J134" s="516"/>
      <c r="K134" s="516"/>
      <c r="L134" s="516"/>
      <c r="M134" s="516"/>
      <c r="N134" s="516"/>
      <c r="O134" s="516"/>
      <c r="P134" s="516"/>
      <c r="Q134" s="516"/>
      <c r="R134" s="516"/>
      <c r="S134" s="516"/>
      <c r="T134" s="516"/>
      <c r="U134" s="516"/>
      <c r="V134" s="516"/>
      <c r="W134" s="516"/>
      <c r="X134" s="516"/>
      <c r="Y134" s="516"/>
    </row>
    <row r="136" spans="6:27" ht="18.75" customHeight="1" x14ac:dyDescent="0.35">
      <c r="F136" s="84" t="s">
        <v>215</v>
      </c>
    </row>
    <row r="137" spans="6:27" s="34" customFormat="1" ht="24.75" customHeight="1" x14ac:dyDescent="0.35">
      <c r="F137" s="518" t="s">
        <v>69</v>
      </c>
      <c r="G137" s="518"/>
      <c r="H137" s="518" t="s">
        <v>216</v>
      </c>
      <c r="I137" s="518"/>
      <c r="J137" s="518"/>
      <c r="K137" s="518"/>
      <c r="L137" s="518"/>
      <c r="M137" s="518"/>
      <c r="N137" s="518"/>
      <c r="O137" s="518"/>
      <c r="P137" s="518"/>
      <c r="Q137" s="518" t="s">
        <v>167</v>
      </c>
      <c r="R137" s="518"/>
      <c r="S137" s="518"/>
      <c r="T137" s="518"/>
      <c r="U137" s="518"/>
      <c r="V137" s="518"/>
      <c r="W137" s="518"/>
      <c r="X137" s="518"/>
      <c r="Y137" s="518"/>
      <c r="AA137" s="292"/>
    </row>
    <row r="138" spans="6:27" s="34" customFormat="1" ht="24.75" customHeight="1" x14ac:dyDescent="0.35">
      <c r="F138" s="518">
        <v>1</v>
      </c>
      <c r="G138" s="518"/>
      <c r="H138" s="547">
        <f>VLOOKUP(N2,nilwks1,18,FALSE)</f>
        <v>0</v>
      </c>
      <c r="I138" s="547"/>
      <c r="J138" s="547"/>
      <c r="K138" s="547"/>
      <c r="L138" s="547"/>
      <c r="M138" s="547"/>
      <c r="N138" s="547"/>
      <c r="O138" s="547"/>
      <c r="P138" s="547"/>
      <c r="Q138" s="547">
        <f>VLOOKUP(N2,nilwks1,19,FALSE)</f>
        <v>0</v>
      </c>
      <c r="R138" s="547"/>
      <c r="S138" s="547"/>
      <c r="T138" s="547"/>
      <c r="U138" s="547"/>
      <c r="V138" s="547"/>
      <c r="W138" s="547"/>
      <c r="X138" s="547"/>
      <c r="Y138" s="547"/>
      <c r="AA138" s="292"/>
    </row>
    <row r="139" spans="6:27" s="34" customFormat="1" ht="24.75" customHeight="1" x14ac:dyDescent="0.35">
      <c r="F139" s="518">
        <v>2</v>
      </c>
      <c r="G139" s="518"/>
      <c r="H139" s="547">
        <f>VLOOKUP(N2,nilwks1,20,FALSE)</f>
        <v>0</v>
      </c>
      <c r="I139" s="547"/>
      <c r="J139" s="547"/>
      <c r="K139" s="547"/>
      <c r="L139" s="547"/>
      <c r="M139" s="547"/>
      <c r="N139" s="547"/>
      <c r="O139" s="547"/>
      <c r="P139" s="547"/>
      <c r="Q139" s="547">
        <f>VLOOKUP(N2,nilwks1,21,FALSE)</f>
        <v>0</v>
      </c>
      <c r="R139" s="547"/>
      <c r="S139" s="547"/>
      <c r="T139" s="547"/>
      <c r="U139" s="547"/>
      <c r="V139" s="547"/>
      <c r="W139" s="547"/>
      <c r="X139" s="547"/>
      <c r="Y139" s="547"/>
      <c r="AA139" s="292"/>
    </row>
    <row r="140" spans="6:27" s="34" customFormat="1" ht="24.75" customHeight="1" x14ac:dyDescent="0.35">
      <c r="F140" s="518">
        <v>3</v>
      </c>
      <c r="G140" s="518"/>
      <c r="H140" s="547">
        <f>VLOOKUP(N2,nilwks1,22,FALSE)</f>
        <v>0</v>
      </c>
      <c r="I140" s="547"/>
      <c r="J140" s="547"/>
      <c r="K140" s="547"/>
      <c r="L140" s="547"/>
      <c r="M140" s="547"/>
      <c r="N140" s="547"/>
      <c r="O140" s="547"/>
      <c r="P140" s="547"/>
      <c r="Q140" s="547">
        <f>VLOOKUP(N2,nilwks1,23,FALSE)</f>
        <v>0</v>
      </c>
      <c r="R140" s="547"/>
      <c r="S140" s="547"/>
      <c r="T140" s="547"/>
      <c r="U140" s="547"/>
      <c r="V140" s="547"/>
      <c r="W140" s="547"/>
      <c r="X140" s="547"/>
      <c r="Y140" s="547"/>
      <c r="AA140" s="292"/>
    </row>
    <row r="141" spans="6:27" s="34" customFormat="1" ht="18" customHeight="1" x14ac:dyDescent="0.35">
      <c r="P141" s="149"/>
      <c r="AA141" s="292"/>
    </row>
    <row r="142" spans="6:27" s="34" customFormat="1" ht="27" customHeight="1" x14ac:dyDescent="0.35">
      <c r="F142" s="84" t="s">
        <v>217</v>
      </c>
      <c r="P142" s="149"/>
      <c r="AA142" s="292"/>
    </row>
    <row r="143" spans="6:27" ht="64.5" customHeight="1" x14ac:dyDescent="0.35">
      <c r="F143" s="551" t="str">
        <f>VLOOKUP(N2,nilwks1,9,FALSE)</f>
        <v>Alhamdulillah, Semoga ilmu yang dipelajari bermanfaat dan terus istiqomah dalam mengamalkan ilmu</v>
      </c>
      <c r="G143" s="551"/>
      <c r="H143" s="551"/>
      <c r="I143" s="551"/>
      <c r="J143" s="551"/>
      <c r="K143" s="551"/>
      <c r="L143" s="551"/>
      <c r="M143" s="551"/>
      <c r="N143" s="551"/>
      <c r="O143" s="551"/>
      <c r="P143" s="551"/>
      <c r="Q143" s="551"/>
      <c r="R143" s="551"/>
      <c r="S143" s="551"/>
      <c r="T143" s="551"/>
      <c r="U143" s="551"/>
      <c r="V143" s="551"/>
      <c r="W143" s="551"/>
      <c r="X143" s="551"/>
      <c r="Y143" s="551"/>
    </row>
    <row r="145" spans="3:26" ht="27.75" customHeight="1" x14ac:dyDescent="0.35">
      <c r="F145" s="84" t="s">
        <v>218</v>
      </c>
    </row>
    <row r="146" spans="3:26" ht="59.25" customHeight="1" x14ac:dyDescent="0.35">
      <c r="F146" s="552"/>
      <c r="G146" s="552"/>
      <c r="H146" s="552"/>
      <c r="I146" s="552"/>
      <c r="J146" s="552"/>
      <c r="K146" s="552"/>
      <c r="L146" s="552"/>
      <c r="M146" s="552"/>
      <c r="N146" s="552"/>
      <c r="O146" s="552"/>
      <c r="P146" s="552"/>
      <c r="Q146" s="552"/>
      <c r="R146" s="552"/>
      <c r="S146" s="552"/>
      <c r="T146" s="552"/>
      <c r="U146" s="552"/>
      <c r="V146" s="552"/>
      <c r="W146" s="552"/>
      <c r="X146" s="552"/>
      <c r="Y146" s="552"/>
    </row>
    <row r="147" spans="3:26" ht="18" customHeight="1" x14ac:dyDescent="0.35"/>
    <row r="148" spans="3:26" ht="24" customHeight="1" x14ac:dyDescent="0.35">
      <c r="S148" s="553" t="str">
        <f>'set-dakol'!M25</f>
        <v>Brebes, 17 Desember 2022</v>
      </c>
      <c r="T148" s="553"/>
      <c r="U148" s="553"/>
      <c r="V148" s="553"/>
      <c r="W148" s="553"/>
      <c r="X148" s="553"/>
      <c r="Y148" s="553"/>
    </row>
    <row r="149" spans="3:26" ht="21.75" customHeight="1" x14ac:dyDescent="0.35">
      <c r="F149" s="550" t="s">
        <v>220</v>
      </c>
      <c r="G149" s="550"/>
      <c r="H149" s="550"/>
      <c r="I149" s="550"/>
      <c r="J149" s="550"/>
      <c r="K149" s="550"/>
      <c r="L149" s="550"/>
      <c r="M149" s="550"/>
      <c r="N149" s="550"/>
      <c r="O149" s="550"/>
      <c r="P149" s="550"/>
      <c r="Q149" s="27"/>
      <c r="R149" s="27"/>
      <c r="S149" s="550" t="s">
        <v>219</v>
      </c>
      <c r="T149" s="550"/>
      <c r="U149" s="550"/>
      <c r="V149" s="550"/>
      <c r="W149" s="550"/>
      <c r="X149" s="550"/>
      <c r="Y149" s="550"/>
    </row>
    <row r="150" spans="3:26" ht="52.5" customHeight="1" x14ac:dyDescent="0.35">
      <c r="F150" s="27"/>
      <c r="G150" s="27"/>
      <c r="H150" s="27"/>
      <c r="I150" s="27"/>
      <c r="J150" s="27"/>
      <c r="K150" s="27"/>
      <c r="L150" s="27"/>
      <c r="M150" s="27"/>
      <c r="N150" s="27"/>
      <c r="O150" s="27"/>
      <c r="P150" s="147"/>
      <c r="Q150" s="27"/>
      <c r="R150" s="27"/>
      <c r="S150" s="27"/>
      <c r="T150" s="27"/>
      <c r="U150" s="27"/>
      <c r="V150" s="27"/>
      <c r="W150" s="27"/>
      <c r="X150" s="27"/>
      <c r="Y150" s="27"/>
    </row>
    <row r="151" spans="3:26" x14ac:dyDescent="0.35">
      <c r="F151" s="550" t="s">
        <v>221</v>
      </c>
      <c r="G151" s="550"/>
      <c r="H151" s="550"/>
      <c r="I151" s="550"/>
      <c r="J151" s="550"/>
      <c r="K151" s="550"/>
      <c r="L151" s="550"/>
      <c r="M151" s="550"/>
      <c r="N151" s="550"/>
      <c r="O151" s="550"/>
      <c r="P151" s="550"/>
      <c r="Q151" s="27"/>
      <c r="R151" s="27"/>
      <c r="S151" s="549" t="str">
        <f>'set-dakol'!L21</f>
        <v>Mustain Billah, S.Si</v>
      </c>
      <c r="T151" s="549"/>
      <c r="U151" s="549"/>
      <c r="V151" s="549"/>
      <c r="W151" s="549"/>
      <c r="X151" s="549"/>
      <c r="Y151" s="549"/>
    </row>
    <row r="152" spans="3:26" x14ac:dyDescent="0.35">
      <c r="F152" s="257"/>
      <c r="G152" s="257"/>
      <c r="H152" s="257"/>
      <c r="I152" s="257"/>
      <c r="J152" s="257"/>
      <c r="K152" s="257"/>
      <c r="L152" s="257"/>
      <c r="M152" s="257"/>
      <c r="N152" s="257"/>
      <c r="O152" s="257"/>
      <c r="P152" s="257"/>
      <c r="Q152" s="27"/>
      <c r="R152" s="27"/>
      <c r="S152" s="256"/>
      <c r="T152" s="256"/>
      <c r="U152" s="256"/>
      <c r="V152" s="256"/>
      <c r="W152" s="256"/>
      <c r="X152" s="256"/>
      <c r="Y152" s="256"/>
    </row>
    <row r="153" spans="3:26" x14ac:dyDescent="0.35">
      <c r="F153" s="257"/>
      <c r="G153" s="257"/>
      <c r="H153" s="257"/>
      <c r="I153" s="257"/>
      <c r="J153" s="257"/>
      <c r="K153" s="257"/>
      <c r="L153" s="257"/>
      <c r="M153" s="257"/>
      <c r="N153" s="257"/>
      <c r="O153" s="257"/>
      <c r="P153" s="257"/>
      <c r="Q153" s="27"/>
      <c r="R153" s="27"/>
      <c r="S153" s="256"/>
      <c r="T153" s="256"/>
      <c r="U153" s="256"/>
      <c r="V153" s="256"/>
      <c r="W153" s="256"/>
      <c r="X153" s="256"/>
      <c r="Y153" s="256"/>
    </row>
    <row r="154" spans="3:26" x14ac:dyDescent="0.35">
      <c r="F154" s="550" t="s">
        <v>162</v>
      </c>
      <c r="G154" s="550"/>
      <c r="H154" s="550"/>
      <c r="I154" s="550"/>
      <c r="J154" s="550"/>
      <c r="K154" s="550"/>
      <c r="L154" s="550"/>
      <c r="M154" s="550"/>
      <c r="N154" s="550"/>
      <c r="O154" s="550"/>
      <c r="P154" s="550"/>
      <c r="Q154" s="550"/>
      <c r="R154" s="550"/>
      <c r="S154" s="550"/>
      <c r="T154" s="550"/>
      <c r="U154" s="550"/>
      <c r="V154" s="550"/>
      <c r="W154" s="550"/>
      <c r="X154" s="550"/>
      <c r="Y154" s="550"/>
    </row>
    <row r="155" spans="3:26" ht="21.75" customHeight="1" x14ac:dyDescent="0.35">
      <c r="F155" s="549" t="str">
        <f>'set-dakol'!N3</f>
        <v>Ketua PKBM GENERASI BANGSA</v>
      </c>
      <c r="G155" s="549"/>
      <c r="H155" s="549"/>
      <c r="I155" s="549"/>
      <c r="J155" s="549"/>
      <c r="K155" s="549"/>
      <c r="L155" s="549"/>
      <c r="M155" s="549"/>
      <c r="N155" s="549"/>
      <c r="O155" s="549"/>
      <c r="P155" s="549"/>
      <c r="Q155" s="549"/>
      <c r="R155" s="549"/>
      <c r="S155" s="549"/>
      <c r="T155" s="549"/>
      <c r="U155" s="549"/>
      <c r="V155" s="549"/>
      <c r="W155" s="549"/>
      <c r="X155" s="549"/>
      <c r="Y155" s="549"/>
    </row>
    <row r="156" spans="3:26" x14ac:dyDescent="0.35">
      <c r="H156" s="27"/>
      <c r="I156" s="27"/>
      <c r="J156" s="27"/>
      <c r="K156" s="27"/>
      <c r="L156" s="27"/>
      <c r="M156" s="27"/>
      <c r="N156" s="27"/>
      <c r="O156" s="27"/>
      <c r="P156" s="147"/>
      <c r="Q156" s="27"/>
      <c r="R156" s="96"/>
    </row>
    <row r="157" spans="3:26" ht="47.25" customHeight="1" x14ac:dyDescent="0.35">
      <c r="F157" s="27"/>
      <c r="G157" s="27"/>
      <c r="H157" s="27"/>
      <c r="I157" s="27"/>
      <c r="J157" s="27"/>
      <c r="K157" s="27"/>
      <c r="L157" s="27"/>
      <c r="M157" s="27"/>
      <c r="N157" s="27"/>
      <c r="O157" s="27"/>
      <c r="P157" s="147"/>
      <c r="Q157" s="27"/>
      <c r="R157" s="97"/>
      <c r="S157" s="27"/>
      <c r="T157" s="27"/>
      <c r="U157" s="27"/>
      <c r="V157" s="27"/>
      <c r="W157" s="27"/>
      <c r="X157" s="27"/>
      <c r="Y157" s="27"/>
    </row>
    <row r="158" spans="3:26" ht="18.75" customHeight="1" x14ac:dyDescent="0.35">
      <c r="F158" s="549" t="str">
        <f>'set-dakol'!H13</f>
        <v>Arini Intan Rustriana, S.Pd., M.M.</v>
      </c>
      <c r="G158" s="549"/>
      <c r="H158" s="549"/>
      <c r="I158" s="549"/>
      <c r="J158" s="549"/>
      <c r="K158" s="549"/>
      <c r="L158" s="549"/>
      <c r="M158" s="549"/>
      <c r="N158" s="549"/>
      <c r="O158" s="549"/>
      <c r="P158" s="549"/>
      <c r="Q158" s="549"/>
      <c r="R158" s="549"/>
      <c r="S158" s="549"/>
      <c r="T158" s="549"/>
      <c r="U158" s="549"/>
      <c r="V158" s="549"/>
      <c r="W158" s="549"/>
      <c r="X158" s="549"/>
      <c r="Y158" s="549"/>
    </row>
    <row r="159" spans="3:26" x14ac:dyDescent="0.35">
      <c r="C159" s="38"/>
      <c r="D159" s="38"/>
      <c r="E159" s="38"/>
      <c r="Z159" s="38"/>
    </row>
    <row r="160" spans="3:26" x14ac:dyDescent="0.35">
      <c r="C160" s="38"/>
      <c r="D160" s="38"/>
      <c r="E160" s="38"/>
      <c r="Z160" s="38"/>
    </row>
    <row r="161" spans="3:26" x14ac:dyDescent="0.35">
      <c r="C161" s="38"/>
      <c r="D161" s="38"/>
      <c r="E161" s="38"/>
      <c r="Z161" s="38"/>
    </row>
    <row r="162" spans="3:26" x14ac:dyDescent="0.35">
      <c r="C162" s="38"/>
      <c r="D162" s="38"/>
      <c r="E162" s="38"/>
      <c r="Z162" s="38"/>
    </row>
    <row r="163" spans="3:26" x14ac:dyDescent="0.35">
      <c r="C163" s="38"/>
      <c r="D163" s="38"/>
      <c r="E163" s="38"/>
      <c r="Z163" s="38"/>
    </row>
    <row r="164" spans="3:26" x14ac:dyDescent="0.35">
      <c r="C164" s="38"/>
      <c r="D164" s="38"/>
      <c r="E164" s="38"/>
      <c r="Z164" s="38"/>
    </row>
    <row r="165" spans="3:26" x14ac:dyDescent="0.35">
      <c r="C165" s="38"/>
      <c r="D165" s="38"/>
      <c r="E165" s="38"/>
      <c r="Z165" s="38"/>
    </row>
    <row r="166" spans="3:26" x14ac:dyDescent="0.35">
      <c r="C166" s="38"/>
      <c r="D166" s="38"/>
      <c r="E166" s="38"/>
      <c r="Z166" s="38"/>
    </row>
    <row r="167" spans="3:26" x14ac:dyDescent="0.35">
      <c r="C167" s="38"/>
      <c r="D167" s="38"/>
      <c r="E167" s="38"/>
      <c r="Z167" s="38"/>
    </row>
    <row r="168" spans="3:26" x14ac:dyDescent="0.35">
      <c r="C168" s="38"/>
      <c r="D168" s="38"/>
      <c r="E168" s="38"/>
      <c r="Z168" s="38"/>
    </row>
  </sheetData>
  <mergeCells count="335">
    <mergeCell ref="F108:G108"/>
    <mergeCell ref="H108:N108"/>
    <mergeCell ref="R92:Y92"/>
    <mergeCell ref="R39:V39"/>
    <mergeCell ref="R40:V40"/>
    <mergeCell ref="R41:V41"/>
    <mergeCell ref="F42:H42"/>
    <mergeCell ref="I42:P42"/>
    <mergeCell ref="X106:Y106"/>
    <mergeCell ref="F99:Y99"/>
    <mergeCell ref="F102:G103"/>
    <mergeCell ref="F107:G107"/>
    <mergeCell ref="H107:N107"/>
    <mergeCell ref="Q85:S85"/>
    <mergeCell ref="Q86:S86"/>
    <mergeCell ref="Q88:S88"/>
    <mergeCell ref="Q90:S90"/>
    <mergeCell ref="Q91:S91"/>
    <mergeCell ref="H85:N85"/>
    <mergeCell ref="H86:N86"/>
    <mergeCell ref="H88:N88"/>
    <mergeCell ref="O39:P39"/>
    <mergeCell ref="L40:N40"/>
    <mergeCell ref="O40:P40"/>
    <mergeCell ref="H90:N90"/>
    <mergeCell ref="H91:N91"/>
    <mergeCell ref="F104:Y104"/>
    <mergeCell ref="F105:G105"/>
    <mergeCell ref="H105:N105"/>
    <mergeCell ref="T105:V105"/>
    <mergeCell ref="X105:Y105"/>
    <mergeCell ref="O73:O74"/>
    <mergeCell ref="H73:N74"/>
    <mergeCell ref="H76:N76"/>
    <mergeCell ref="H78:N78"/>
    <mergeCell ref="H79:N79"/>
    <mergeCell ref="H80:N80"/>
    <mergeCell ref="H81:N81"/>
    <mergeCell ref="H82:N82"/>
    <mergeCell ref="T73:Y73"/>
    <mergeCell ref="T76:V76"/>
    <mergeCell ref="T77:V77"/>
    <mergeCell ref="T78:V78"/>
    <mergeCell ref="T79:V79"/>
    <mergeCell ref="T80:V80"/>
    <mergeCell ref="T81:V81"/>
    <mergeCell ref="T82:V82"/>
    <mergeCell ref="X76:Y76"/>
    <mergeCell ref="T107:V107"/>
    <mergeCell ref="X107:Y107"/>
    <mergeCell ref="T103:V103"/>
    <mergeCell ref="X103:Y103"/>
    <mergeCell ref="N93:Q95"/>
    <mergeCell ref="R93:U93"/>
    <mergeCell ref="W93:Y93"/>
    <mergeCell ref="R94:U94"/>
    <mergeCell ref="W94:Y94"/>
    <mergeCell ref="R95:U95"/>
    <mergeCell ref="W95:Y95"/>
    <mergeCell ref="H102:N103"/>
    <mergeCell ref="O102:O103"/>
    <mergeCell ref="P102:P103"/>
    <mergeCell ref="Q102:S102"/>
    <mergeCell ref="F93:K95"/>
    <mergeCell ref="M93:M95"/>
    <mergeCell ref="F106:G106"/>
    <mergeCell ref="H106:N106"/>
    <mergeCell ref="Q115:S115"/>
    <mergeCell ref="Q117:S117"/>
    <mergeCell ref="Q119:S119"/>
    <mergeCell ref="Q120:S120"/>
    <mergeCell ref="F118:G118"/>
    <mergeCell ref="H118:Y118"/>
    <mergeCell ref="F119:G119"/>
    <mergeCell ref="T119:Y119"/>
    <mergeCell ref="F109:G109"/>
    <mergeCell ref="H109:N109"/>
    <mergeCell ref="T109:V109"/>
    <mergeCell ref="X109:Y109"/>
    <mergeCell ref="F117:G117"/>
    <mergeCell ref="T117:Y117"/>
    <mergeCell ref="F110:G110"/>
    <mergeCell ref="H110:N110"/>
    <mergeCell ref="T110:V110"/>
    <mergeCell ref="X110:Y110"/>
    <mergeCell ref="T111:V111"/>
    <mergeCell ref="X111:Y111"/>
    <mergeCell ref="F112:Y112"/>
    <mergeCell ref="Q114:S114"/>
    <mergeCell ref="F111:G111"/>
    <mergeCell ref="H111:N111"/>
    <mergeCell ref="F146:Y146"/>
    <mergeCell ref="H123:O123"/>
    <mergeCell ref="H124:O124"/>
    <mergeCell ref="H125:O125"/>
    <mergeCell ref="H126:O126"/>
    <mergeCell ref="F149:P149"/>
    <mergeCell ref="S149:Y149"/>
    <mergeCell ref="F151:P151"/>
    <mergeCell ref="S151:Y151"/>
    <mergeCell ref="F137:G137"/>
    <mergeCell ref="H137:P137"/>
    <mergeCell ref="F140:G140"/>
    <mergeCell ref="H140:P140"/>
    <mergeCell ref="Q137:Y137"/>
    <mergeCell ref="Q140:Y140"/>
    <mergeCell ref="F138:G138"/>
    <mergeCell ref="F139:G139"/>
    <mergeCell ref="H138:P138"/>
    <mergeCell ref="H139:P139"/>
    <mergeCell ref="Q138:Y138"/>
    <mergeCell ref="Q139:Y139"/>
    <mergeCell ref="S148:Y148"/>
    <mergeCell ref="R43:V43"/>
    <mergeCell ref="W43:Y43"/>
    <mergeCell ref="W41:Y41"/>
    <mergeCell ref="R42:Y42"/>
    <mergeCell ref="F38:K38"/>
    <mergeCell ref="L38:P38"/>
    <mergeCell ref="W130:Y130"/>
    <mergeCell ref="R123:Y123"/>
    <mergeCell ref="F124:G124"/>
    <mergeCell ref="F120:G120"/>
    <mergeCell ref="T120:Y120"/>
    <mergeCell ref="F113:G113"/>
    <mergeCell ref="H113:Y113"/>
    <mergeCell ref="F114:G114"/>
    <mergeCell ref="T114:Y114"/>
    <mergeCell ref="F115:G115"/>
    <mergeCell ref="T115:Y115"/>
    <mergeCell ref="F116:G116"/>
    <mergeCell ref="H116:Y116"/>
    <mergeCell ref="H114:N114"/>
    <mergeCell ref="H117:N117"/>
    <mergeCell ref="H119:N119"/>
    <mergeCell ref="H120:N120"/>
    <mergeCell ref="H115:N115"/>
    <mergeCell ref="F48:O48"/>
    <mergeCell ref="F61:Y61"/>
    <mergeCell ref="F55:K57"/>
    <mergeCell ref="M55:M57"/>
    <mergeCell ref="W55:Y55"/>
    <mergeCell ref="W56:Y56"/>
    <mergeCell ref="W57:Y57"/>
    <mergeCell ref="N55:Q57"/>
    <mergeCell ref="R55:U55"/>
    <mergeCell ref="R56:U56"/>
    <mergeCell ref="R57:U57"/>
    <mergeCell ref="R54:Y54"/>
    <mergeCell ref="S48:Y48"/>
    <mergeCell ref="S49:Y49"/>
    <mergeCell ref="S53:Y53"/>
    <mergeCell ref="F22:G22"/>
    <mergeCell ref="H22:M22"/>
    <mergeCell ref="F26:G26"/>
    <mergeCell ref="F23:G23"/>
    <mergeCell ref="H23:M23"/>
    <mergeCell ref="T23:X23"/>
    <mergeCell ref="F24:G24"/>
    <mergeCell ref="L41:N41"/>
    <mergeCell ref="T24:X24"/>
    <mergeCell ref="O41:P41"/>
    <mergeCell ref="F39:K39"/>
    <mergeCell ref="F40:K40"/>
    <mergeCell ref="F41:K41"/>
    <mergeCell ref="T25:X25"/>
    <mergeCell ref="F27:G27"/>
    <mergeCell ref="H27:M27"/>
    <mergeCell ref="T27:X27"/>
    <mergeCell ref="F30:G30"/>
    <mergeCell ref="H30:M30"/>
    <mergeCell ref="R38:Y38"/>
    <mergeCell ref="W39:Y39"/>
    <mergeCell ref="H37:P37"/>
    <mergeCell ref="Q37:X37"/>
    <mergeCell ref="W40:Y40"/>
    <mergeCell ref="H24:M24"/>
    <mergeCell ref="T34:Y34"/>
    <mergeCell ref="T35:Y35"/>
    <mergeCell ref="T36:Y36"/>
    <mergeCell ref="H14:M15"/>
    <mergeCell ref="F2:M3"/>
    <mergeCell ref="O2:P3"/>
    <mergeCell ref="O4:P5"/>
    <mergeCell ref="T14:X15"/>
    <mergeCell ref="T17:X17"/>
    <mergeCell ref="Q16:X16"/>
    <mergeCell ref="F18:G18"/>
    <mergeCell ref="H18:M18"/>
    <mergeCell ref="T18:X18"/>
    <mergeCell ref="F19:G19"/>
    <mergeCell ref="H19:M19"/>
    <mergeCell ref="F17:G17"/>
    <mergeCell ref="F21:G21"/>
    <mergeCell ref="H21:M21"/>
    <mergeCell ref="T21:X21"/>
    <mergeCell ref="F20:G20"/>
    <mergeCell ref="H20:M20"/>
    <mergeCell ref="T20:X20"/>
    <mergeCell ref="T22:X22"/>
    <mergeCell ref="Q4:Q5"/>
    <mergeCell ref="Q2:Q3"/>
    <mergeCell ref="N2:N3"/>
    <mergeCell ref="F7:Y7"/>
    <mergeCell ref="F8:Y8"/>
    <mergeCell ref="T19:X19"/>
    <mergeCell ref="U11:U12"/>
    <mergeCell ref="S11:T12"/>
    <mergeCell ref="W11:Y12"/>
    <mergeCell ref="N14:N15"/>
    <mergeCell ref="O14:O15"/>
    <mergeCell ref="P14:P15"/>
    <mergeCell ref="Q14:Q15"/>
    <mergeCell ref="R14:R15"/>
    <mergeCell ref="S14:S15"/>
    <mergeCell ref="Y14:Y15"/>
    <mergeCell ref="H16:P16"/>
    <mergeCell ref="H17:M17"/>
    <mergeCell ref="F14:G15"/>
    <mergeCell ref="X78:Y78"/>
    <mergeCell ref="X79:Y79"/>
    <mergeCell ref="H28:P28"/>
    <mergeCell ref="Q28:X28"/>
    <mergeCell ref="F25:G25"/>
    <mergeCell ref="H25:M25"/>
    <mergeCell ref="W44:Y44"/>
    <mergeCell ref="F46:Y46"/>
    <mergeCell ref="F75:Y75"/>
    <mergeCell ref="Q73:S73"/>
    <mergeCell ref="T74:V74"/>
    <mergeCell ref="N34:P34"/>
    <mergeCell ref="N35:P35"/>
    <mergeCell ref="F28:G28"/>
    <mergeCell ref="H26:M26"/>
    <mergeCell ref="F43:H43"/>
    <mergeCell ref="F44:H44"/>
    <mergeCell ref="I43:P43"/>
    <mergeCell ref="I44:P44"/>
    <mergeCell ref="F49:O49"/>
    <mergeCell ref="F76:G76"/>
    <mergeCell ref="T30:X30"/>
    <mergeCell ref="L39:N39"/>
    <mergeCell ref="R44:V44"/>
    <mergeCell ref="X108:Y108"/>
    <mergeCell ref="T106:V106"/>
    <mergeCell ref="T102:Y102"/>
    <mergeCell ref="T85:Y85"/>
    <mergeCell ref="T86:Y86"/>
    <mergeCell ref="T88:Y88"/>
    <mergeCell ref="H45:P45"/>
    <mergeCell ref="Q45:X45"/>
    <mergeCell ref="F69:K69"/>
    <mergeCell ref="F70:K70"/>
    <mergeCell ref="L65:Y65"/>
    <mergeCell ref="L66:Y66"/>
    <mergeCell ref="L69:Y69"/>
    <mergeCell ref="L70:Y70"/>
    <mergeCell ref="P73:P74"/>
    <mergeCell ref="F64:K64"/>
    <mergeCell ref="F65:K65"/>
    <mergeCell ref="F66:K66"/>
    <mergeCell ref="F68:K68"/>
    <mergeCell ref="F53:O53"/>
    <mergeCell ref="F73:G74"/>
    <mergeCell ref="X81:Y81"/>
    <mergeCell ref="X74:Y74"/>
    <mergeCell ref="X77:Y77"/>
    <mergeCell ref="F154:Y154"/>
    <mergeCell ref="F77:G77"/>
    <mergeCell ref="F78:G78"/>
    <mergeCell ref="F79:G79"/>
    <mergeCell ref="H77:N77"/>
    <mergeCell ref="P123:Q123"/>
    <mergeCell ref="P124:Q124"/>
    <mergeCell ref="P125:Q125"/>
    <mergeCell ref="P126:Q126"/>
    <mergeCell ref="F126:G126"/>
    <mergeCell ref="R127:Y127"/>
    <mergeCell ref="F128:K130"/>
    <mergeCell ref="M128:M130"/>
    <mergeCell ref="N128:Q130"/>
    <mergeCell ref="R128:U128"/>
    <mergeCell ref="W128:Y128"/>
    <mergeCell ref="R129:U129"/>
    <mergeCell ref="W129:Y129"/>
    <mergeCell ref="R130:U130"/>
    <mergeCell ref="X80:Y80"/>
    <mergeCell ref="R124:Y124"/>
    <mergeCell ref="R125:Y125"/>
    <mergeCell ref="T90:Y90"/>
    <mergeCell ref="T108:V108"/>
    <mergeCell ref="F155:Y155"/>
    <mergeCell ref="F158:Y158"/>
    <mergeCell ref="F80:G80"/>
    <mergeCell ref="F85:G85"/>
    <mergeCell ref="F86:G86"/>
    <mergeCell ref="F83:Y83"/>
    <mergeCell ref="F84:G84"/>
    <mergeCell ref="F81:G81"/>
    <mergeCell ref="F82:G82"/>
    <mergeCell ref="H84:Y84"/>
    <mergeCell ref="H87:Y87"/>
    <mergeCell ref="F90:G90"/>
    <mergeCell ref="F91:G91"/>
    <mergeCell ref="F87:G87"/>
    <mergeCell ref="F88:G88"/>
    <mergeCell ref="F89:G89"/>
    <mergeCell ref="F134:Y134"/>
    <mergeCell ref="F125:G125"/>
    <mergeCell ref="H89:Y89"/>
    <mergeCell ref="T91:Y91"/>
    <mergeCell ref="R126:Y126"/>
    <mergeCell ref="F123:G123"/>
    <mergeCell ref="F143:Y143"/>
    <mergeCell ref="X82:Y82"/>
    <mergeCell ref="F33:G33"/>
    <mergeCell ref="H33:M33"/>
    <mergeCell ref="T33:X33"/>
    <mergeCell ref="Q34:S34"/>
    <mergeCell ref="Q35:S35"/>
    <mergeCell ref="Q36:S36"/>
    <mergeCell ref="F34:M34"/>
    <mergeCell ref="F35:M35"/>
    <mergeCell ref="F36:M36"/>
    <mergeCell ref="N36:P36"/>
    <mergeCell ref="T26:X26"/>
    <mergeCell ref="F31:G31"/>
    <mergeCell ref="H31:M31"/>
    <mergeCell ref="T31:X31"/>
    <mergeCell ref="F29:G29"/>
    <mergeCell ref="H29:M29"/>
    <mergeCell ref="T29:X29"/>
    <mergeCell ref="F32:G32"/>
    <mergeCell ref="H32:M32"/>
    <mergeCell ref="T32:X32"/>
  </mergeCells>
  <pageMargins left="0.41" right="0.39370078740157483" top="0.27559055118110237" bottom="0.15748031496062992" header="0.15748031496062992" footer="0.11811023622047245"/>
  <pageSetup paperSize="9" orientation="portrait" horizontalDpi="0" verticalDpi="0" r:id="rId1"/>
  <ignoredErrors>
    <ignoredError sqref="AC43:AC4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from>
                    <xdr:col>5</xdr:col>
                    <xdr:colOff>12700</xdr:colOff>
                    <xdr:row>3</xdr:row>
                    <xdr:rowOff>12700</xdr:rowOff>
                  </from>
                  <to>
                    <xdr:col>13</xdr:col>
                    <xdr:colOff>438150</xdr:colOff>
                    <xdr:row>4</xdr:row>
                    <xdr:rowOff>184150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A1:B2088"/>
  <sheetViews>
    <sheetView workbookViewId="0">
      <selection activeCell="F7" sqref="F7"/>
    </sheetView>
  </sheetViews>
  <sheetFormatPr defaultRowHeight="14.5" x14ac:dyDescent="0.35"/>
  <cols>
    <col min="1" max="1" width="8.453125" customWidth="1"/>
    <col min="2" max="2" width="28.54296875" customWidth="1"/>
  </cols>
  <sheetData>
    <row r="1" spans="1:2" x14ac:dyDescent="0.35">
      <c r="A1" s="166" t="s">
        <v>269</v>
      </c>
      <c r="B1" s="166" t="s">
        <v>270</v>
      </c>
    </row>
    <row r="2" spans="1:2" x14ac:dyDescent="0.35">
      <c r="A2" s="166">
        <v>1</v>
      </c>
      <c r="B2" s="166">
        <v>2</v>
      </c>
    </row>
    <row r="3" spans="1:2" x14ac:dyDescent="0.35">
      <c r="A3" s="167">
        <v>0</v>
      </c>
      <c r="B3" s="167" t="s">
        <v>297</v>
      </c>
    </row>
    <row r="4" spans="1:2" x14ac:dyDescent="0.35">
      <c r="A4" s="167">
        <v>1</v>
      </c>
      <c r="B4" s="167" t="s">
        <v>298</v>
      </c>
    </row>
    <row r="5" spans="1:2" x14ac:dyDescent="0.35">
      <c r="A5" s="167">
        <v>2</v>
      </c>
      <c r="B5" s="167" t="s">
        <v>299</v>
      </c>
    </row>
    <row r="6" spans="1:2" x14ac:dyDescent="0.35">
      <c r="A6" s="167">
        <v>3</v>
      </c>
      <c r="B6" s="167" t="s">
        <v>300</v>
      </c>
    </row>
    <row r="7" spans="1:2" x14ac:dyDescent="0.35">
      <c r="A7" s="167">
        <v>4</v>
      </c>
      <c r="B7" s="167" t="s">
        <v>301</v>
      </c>
    </row>
    <row r="8" spans="1:2" x14ac:dyDescent="0.35">
      <c r="A8" s="167">
        <v>5</v>
      </c>
      <c r="B8" s="167" t="s">
        <v>302</v>
      </c>
    </row>
    <row r="9" spans="1:2" x14ac:dyDescent="0.35">
      <c r="A9" s="167">
        <v>6</v>
      </c>
      <c r="B9" s="167" t="s">
        <v>303</v>
      </c>
    </row>
    <row r="10" spans="1:2" x14ac:dyDescent="0.35">
      <c r="A10" s="167">
        <v>7</v>
      </c>
      <c r="B10" s="167" t="s">
        <v>304</v>
      </c>
    </row>
    <row r="11" spans="1:2" x14ac:dyDescent="0.35">
      <c r="A11" s="167">
        <v>8</v>
      </c>
      <c r="B11" s="167" t="s">
        <v>305</v>
      </c>
    </row>
    <row r="12" spans="1:2" x14ac:dyDescent="0.35">
      <c r="A12" s="167">
        <v>9</v>
      </c>
      <c r="B12" s="167" t="s">
        <v>306</v>
      </c>
    </row>
    <row r="13" spans="1:2" x14ac:dyDescent="0.35">
      <c r="A13" s="167">
        <v>10</v>
      </c>
      <c r="B13" s="167" t="s">
        <v>307</v>
      </c>
    </row>
    <row r="14" spans="1:2" x14ac:dyDescent="0.35">
      <c r="A14" s="167">
        <v>11</v>
      </c>
      <c r="B14" s="167" t="s">
        <v>308</v>
      </c>
    </row>
    <row r="15" spans="1:2" x14ac:dyDescent="0.35">
      <c r="A15" s="167">
        <v>12</v>
      </c>
      <c r="B15" s="167" t="s">
        <v>309</v>
      </c>
    </row>
    <row r="16" spans="1:2" x14ac:dyDescent="0.35">
      <c r="A16" s="167">
        <v>13</v>
      </c>
      <c r="B16" s="167" t="s">
        <v>310</v>
      </c>
    </row>
    <row r="17" spans="1:2" x14ac:dyDescent="0.35">
      <c r="A17" s="167">
        <v>14</v>
      </c>
      <c r="B17" s="167" t="s">
        <v>311</v>
      </c>
    </row>
    <row r="18" spans="1:2" x14ac:dyDescent="0.35">
      <c r="A18" s="167">
        <v>15</v>
      </c>
      <c r="B18" s="167" t="s">
        <v>312</v>
      </c>
    </row>
    <row r="19" spans="1:2" x14ac:dyDescent="0.35">
      <c r="A19" s="167">
        <v>16</v>
      </c>
      <c r="B19" s="167" t="s">
        <v>313</v>
      </c>
    </row>
    <row r="20" spans="1:2" x14ac:dyDescent="0.35">
      <c r="A20" s="167">
        <v>17</v>
      </c>
      <c r="B20" s="167" t="s">
        <v>314</v>
      </c>
    </row>
    <row r="21" spans="1:2" x14ac:dyDescent="0.35">
      <c r="A21" s="167">
        <v>18</v>
      </c>
      <c r="B21" s="167" t="s">
        <v>315</v>
      </c>
    </row>
    <row r="22" spans="1:2" x14ac:dyDescent="0.35">
      <c r="A22" s="167">
        <v>19</v>
      </c>
      <c r="B22" s="167" t="s">
        <v>316</v>
      </c>
    </row>
    <row r="23" spans="1:2" x14ac:dyDescent="0.35">
      <c r="A23" s="167">
        <v>20</v>
      </c>
      <c r="B23" s="167" t="s">
        <v>317</v>
      </c>
    </row>
    <row r="24" spans="1:2" x14ac:dyDescent="0.35">
      <c r="A24" s="167">
        <v>21</v>
      </c>
      <c r="B24" s="167" t="s">
        <v>318</v>
      </c>
    </row>
    <row r="25" spans="1:2" x14ac:dyDescent="0.35">
      <c r="A25" s="167">
        <v>22</v>
      </c>
      <c r="B25" s="167" t="s">
        <v>319</v>
      </c>
    </row>
    <row r="26" spans="1:2" x14ac:dyDescent="0.35">
      <c r="A26" s="167">
        <v>23</v>
      </c>
      <c r="B26" s="167" t="s">
        <v>320</v>
      </c>
    </row>
    <row r="27" spans="1:2" x14ac:dyDescent="0.35">
      <c r="A27" s="167">
        <v>24</v>
      </c>
      <c r="B27" s="167" t="s">
        <v>321</v>
      </c>
    </row>
    <row r="28" spans="1:2" x14ac:dyDescent="0.35">
      <c r="A28" s="167">
        <v>25</v>
      </c>
      <c r="B28" s="167" t="s">
        <v>322</v>
      </c>
    </row>
    <row r="29" spans="1:2" x14ac:dyDescent="0.35">
      <c r="A29" s="167">
        <v>26</v>
      </c>
      <c r="B29" s="167" t="s">
        <v>323</v>
      </c>
    </row>
    <row r="30" spans="1:2" x14ac:dyDescent="0.35">
      <c r="A30" s="167">
        <v>27</v>
      </c>
      <c r="B30" s="167" t="s">
        <v>324</v>
      </c>
    </row>
    <row r="31" spans="1:2" x14ac:dyDescent="0.35">
      <c r="A31" s="167">
        <v>28</v>
      </c>
      <c r="B31" s="167" t="s">
        <v>325</v>
      </c>
    </row>
    <row r="32" spans="1:2" x14ac:dyDescent="0.35">
      <c r="A32" s="167">
        <v>29</v>
      </c>
      <c r="B32" s="167" t="s">
        <v>326</v>
      </c>
    </row>
    <row r="33" spans="1:2" x14ac:dyDescent="0.35">
      <c r="A33" s="167">
        <v>30</v>
      </c>
      <c r="B33" s="167" t="s">
        <v>327</v>
      </c>
    </row>
    <row r="34" spans="1:2" x14ac:dyDescent="0.35">
      <c r="A34" s="167">
        <v>31</v>
      </c>
      <c r="B34" s="167" t="s">
        <v>328</v>
      </c>
    </row>
    <row r="35" spans="1:2" x14ac:dyDescent="0.35">
      <c r="A35" s="167">
        <v>32</v>
      </c>
      <c r="B35" s="167" t="s">
        <v>329</v>
      </c>
    </row>
    <row r="36" spans="1:2" x14ac:dyDescent="0.35">
      <c r="A36" s="167">
        <v>33</v>
      </c>
      <c r="B36" s="167" t="s">
        <v>330</v>
      </c>
    </row>
    <row r="37" spans="1:2" x14ac:dyDescent="0.35">
      <c r="A37" s="167">
        <v>34</v>
      </c>
      <c r="B37" s="167" t="s">
        <v>331</v>
      </c>
    </row>
    <row r="38" spans="1:2" x14ac:dyDescent="0.35">
      <c r="A38" s="167">
        <v>35</v>
      </c>
      <c r="B38" s="167" t="s">
        <v>332</v>
      </c>
    </row>
    <row r="39" spans="1:2" x14ac:dyDescent="0.35">
      <c r="A39" s="167">
        <v>36</v>
      </c>
      <c r="B39" s="167" t="s">
        <v>333</v>
      </c>
    </row>
    <row r="40" spans="1:2" x14ac:dyDescent="0.35">
      <c r="A40" s="167">
        <v>37</v>
      </c>
      <c r="B40" s="167" t="s">
        <v>334</v>
      </c>
    </row>
    <row r="41" spans="1:2" x14ac:dyDescent="0.35">
      <c r="A41" s="167">
        <v>38</v>
      </c>
      <c r="B41" s="167" t="s">
        <v>335</v>
      </c>
    </row>
    <row r="42" spans="1:2" x14ac:dyDescent="0.35">
      <c r="A42" s="167">
        <v>39</v>
      </c>
      <c r="B42" s="167" t="s">
        <v>336</v>
      </c>
    </row>
    <row r="43" spans="1:2" x14ac:dyDescent="0.35">
      <c r="A43" s="167">
        <v>40</v>
      </c>
      <c r="B43" s="167" t="s">
        <v>337</v>
      </c>
    </row>
    <row r="44" spans="1:2" x14ac:dyDescent="0.35">
      <c r="A44" s="167">
        <v>41</v>
      </c>
      <c r="B44" s="167" t="s">
        <v>338</v>
      </c>
    </row>
    <row r="45" spans="1:2" x14ac:dyDescent="0.35">
      <c r="A45" s="167">
        <v>42</v>
      </c>
      <c r="B45" s="167" t="s">
        <v>339</v>
      </c>
    </row>
    <row r="46" spans="1:2" x14ac:dyDescent="0.35">
      <c r="A46" s="167">
        <v>43</v>
      </c>
      <c r="B46" s="167" t="s">
        <v>340</v>
      </c>
    </row>
    <row r="47" spans="1:2" x14ac:dyDescent="0.35">
      <c r="A47" s="167">
        <v>44</v>
      </c>
      <c r="B47" s="167" t="s">
        <v>341</v>
      </c>
    </row>
    <row r="48" spans="1:2" x14ac:dyDescent="0.35">
      <c r="A48" s="167">
        <v>45</v>
      </c>
      <c r="B48" s="167" t="s">
        <v>342</v>
      </c>
    </row>
    <row r="49" spans="1:2" x14ac:dyDescent="0.35">
      <c r="A49" s="167">
        <v>46</v>
      </c>
      <c r="B49" s="167" t="s">
        <v>343</v>
      </c>
    </row>
    <row r="50" spans="1:2" x14ac:dyDescent="0.35">
      <c r="A50" s="167">
        <v>47</v>
      </c>
      <c r="B50" s="167" t="s">
        <v>344</v>
      </c>
    </row>
    <row r="51" spans="1:2" x14ac:dyDescent="0.35">
      <c r="A51" s="167">
        <v>48</v>
      </c>
      <c r="B51" s="167" t="s">
        <v>345</v>
      </c>
    </row>
    <row r="52" spans="1:2" x14ac:dyDescent="0.35">
      <c r="A52" s="167">
        <v>49</v>
      </c>
      <c r="B52" s="167" t="s">
        <v>346</v>
      </c>
    </row>
    <row r="53" spans="1:2" x14ac:dyDescent="0.35">
      <c r="A53" s="167">
        <v>50</v>
      </c>
      <c r="B53" s="167" t="s">
        <v>347</v>
      </c>
    </row>
    <row r="54" spans="1:2" x14ac:dyDescent="0.35">
      <c r="A54" s="167">
        <v>51</v>
      </c>
      <c r="B54" s="167" t="s">
        <v>348</v>
      </c>
    </row>
    <row r="55" spans="1:2" x14ac:dyDescent="0.35">
      <c r="A55" s="167">
        <v>52</v>
      </c>
      <c r="B55" s="167" t="s">
        <v>349</v>
      </c>
    </row>
    <row r="56" spans="1:2" x14ac:dyDescent="0.35">
      <c r="A56" s="167">
        <v>53</v>
      </c>
      <c r="B56" s="167" t="s">
        <v>350</v>
      </c>
    </row>
    <row r="57" spans="1:2" x14ac:dyDescent="0.35">
      <c r="A57" s="167">
        <v>54</v>
      </c>
      <c r="B57" s="167" t="s">
        <v>351</v>
      </c>
    </row>
    <row r="58" spans="1:2" x14ac:dyDescent="0.35">
      <c r="A58" s="167">
        <v>55</v>
      </c>
      <c r="B58" s="167" t="s">
        <v>352</v>
      </c>
    </row>
    <row r="59" spans="1:2" x14ac:dyDescent="0.35">
      <c r="A59" s="167">
        <v>56</v>
      </c>
      <c r="B59" s="167" t="s">
        <v>353</v>
      </c>
    </row>
    <row r="60" spans="1:2" x14ac:dyDescent="0.35">
      <c r="A60" s="167">
        <v>57</v>
      </c>
      <c r="B60" s="167" t="s">
        <v>354</v>
      </c>
    </row>
    <row r="61" spans="1:2" x14ac:dyDescent="0.35">
      <c r="A61" s="167">
        <v>58</v>
      </c>
      <c r="B61" s="167" t="s">
        <v>355</v>
      </c>
    </row>
    <row r="62" spans="1:2" x14ac:dyDescent="0.35">
      <c r="A62" s="167">
        <v>59</v>
      </c>
      <c r="B62" s="167" t="s">
        <v>356</v>
      </c>
    </row>
    <row r="63" spans="1:2" x14ac:dyDescent="0.35">
      <c r="A63" s="167">
        <v>60</v>
      </c>
      <c r="B63" s="167" t="s">
        <v>357</v>
      </c>
    </row>
    <row r="64" spans="1:2" x14ac:dyDescent="0.35">
      <c r="A64" s="167">
        <v>61</v>
      </c>
      <c r="B64" s="167" t="s">
        <v>358</v>
      </c>
    </row>
    <row r="65" spans="1:2" x14ac:dyDescent="0.35">
      <c r="A65" s="167">
        <v>62</v>
      </c>
      <c r="B65" s="167" t="s">
        <v>359</v>
      </c>
    </row>
    <row r="66" spans="1:2" x14ac:dyDescent="0.35">
      <c r="A66" s="167">
        <v>63</v>
      </c>
      <c r="B66" s="167" t="s">
        <v>360</v>
      </c>
    </row>
    <row r="67" spans="1:2" x14ac:dyDescent="0.35">
      <c r="A67" s="167">
        <v>64</v>
      </c>
      <c r="B67" s="167" t="s">
        <v>361</v>
      </c>
    </row>
    <row r="68" spans="1:2" x14ac:dyDescent="0.35">
      <c r="A68" s="167">
        <v>65</v>
      </c>
      <c r="B68" s="167" t="s">
        <v>362</v>
      </c>
    </row>
    <row r="69" spans="1:2" x14ac:dyDescent="0.35">
      <c r="A69" s="167">
        <v>66</v>
      </c>
      <c r="B69" s="167" t="s">
        <v>363</v>
      </c>
    </row>
    <row r="70" spans="1:2" x14ac:dyDescent="0.35">
      <c r="A70" s="167">
        <v>67</v>
      </c>
      <c r="B70" s="167" t="s">
        <v>364</v>
      </c>
    </row>
    <row r="71" spans="1:2" x14ac:dyDescent="0.35">
      <c r="A71" s="167">
        <v>68</v>
      </c>
      <c r="B71" s="167" t="s">
        <v>365</v>
      </c>
    </row>
    <row r="72" spans="1:2" x14ac:dyDescent="0.35">
      <c r="A72" s="167">
        <v>69</v>
      </c>
      <c r="B72" s="167" t="s">
        <v>366</v>
      </c>
    </row>
    <row r="73" spans="1:2" x14ac:dyDescent="0.35">
      <c r="A73" s="167">
        <v>70</v>
      </c>
      <c r="B73" s="167" t="s">
        <v>367</v>
      </c>
    </row>
    <row r="74" spans="1:2" x14ac:dyDescent="0.35">
      <c r="A74" s="167">
        <v>71</v>
      </c>
      <c r="B74" s="167" t="s">
        <v>368</v>
      </c>
    </row>
    <row r="75" spans="1:2" x14ac:dyDescent="0.35">
      <c r="A75" s="167">
        <v>72</v>
      </c>
      <c r="B75" s="167" t="s">
        <v>369</v>
      </c>
    </row>
    <row r="76" spans="1:2" x14ac:dyDescent="0.35">
      <c r="A76" s="167">
        <v>73</v>
      </c>
      <c r="B76" s="167" t="s">
        <v>370</v>
      </c>
    </row>
    <row r="77" spans="1:2" x14ac:dyDescent="0.35">
      <c r="A77" s="167">
        <v>74</v>
      </c>
      <c r="B77" s="167" t="s">
        <v>371</v>
      </c>
    </row>
    <row r="78" spans="1:2" x14ac:dyDescent="0.35">
      <c r="A78" s="167">
        <v>75</v>
      </c>
      <c r="B78" s="167" t="s">
        <v>372</v>
      </c>
    </row>
    <row r="79" spans="1:2" x14ac:dyDescent="0.35">
      <c r="A79" s="167">
        <v>76</v>
      </c>
      <c r="B79" s="167" t="s">
        <v>373</v>
      </c>
    </row>
    <row r="80" spans="1:2" x14ac:dyDescent="0.35">
      <c r="A80" s="167">
        <v>77</v>
      </c>
      <c r="B80" s="167" t="s">
        <v>374</v>
      </c>
    </row>
    <row r="81" spans="1:2" x14ac:dyDescent="0.35">
      <c r="A81" s="167">
        <v>78</v>
      </c>
      <c r="B81" s="167" t="s">
        <v>375</v>
      </c>
    </row>
    <row r="82" spans="1:2" x14ac:dyDescent="0.35">
      <c r="A82" s="167">
        <v>79</v>
      </c>
      <c r="B82" s="167" t="s">
        <v>376</v>
      </c>
    </row>
    <row r="83" spans="1:2" x14ac:dyDescent="0.35">
      <c r="A83" s="167">
        <v>80</v>
      </c>
      <c r="B83" s="167" t="s">
        <v>377</v>
      </c>
    </row>
    <row r="84" spans="1:2" x14ac:dyDescent="0.35">
      <c r="A84" s="167">
        <v>81</v>
      </c>
      <c r="B84" s="167" t="s">
        <v>378</v>
      </c>
    </row>
    <row r="85" spans="1:2" x14ac:dyDescent="0.35">
      <c r="A85" s="167">
        <v>82</v>
      </c>
      <c r="B85" s="167" t="s">
        <v>379</v>
      </c>
    </row>
    <row r="86" spans="1:2" x14ac:dyDescent="0.35">
      <c r="A86" s="167">
        <v>83</v>
      </c>
      <c r="B86" s="167" t="s">
        <v>380</v>
      </c>
    </row>
    <row r="87" spans="1:2" x14ac:dyDescent="0.35">
      <c r="A87" s="167">
        <v>84</v>
      </c>
      <c r="B87" s="167" t="s">
        <v>381</v>
      </c>
    </row>
    <row r="88" spans="1:2" x14ac:dyDescent="0.35">
      <c r="A88" s="167">
        <v>85</v>
      </c>
      <c r="B88" s="167" t="s">
        <v>382</v>
      </c>
    </row>
    <row r="89" spans="1:2" x14ac:dyDescent="0.35">
      <c r="A89" s="167">
        <v>86</v>
      </c>
      <c r="B89" s="167" t="s">
        <v>383</v>
      </c>
    </row>
    <row r="90" spans="1:2" x14ac:dyDescent="0.35">
      <c r="A90" s="167">
        <v>87</v>
      </c>
      <c r="B90" s="167" t="s">
        <v>384</v>
      </c>
    </row>
    <row r="91" spans="1:2" x14ac:dyDescent="0.35">
      <c r="A91" s="167">
        <v>88</v>
      </c>
      <c r="B91" s="167" t="s">
        <v>385</v>
      </c>
    </row>
    <row r="92" spans="1:2" x14ac:dyDescent="0.35">
      <c r="A92" s="167">
        <v>89</v>
      </c>
      <c r="B92" s="167" t="s">
        <v>386</v>
      </c>
    </row>
    <row r="93" spans="1:2" x14ac:dyDescent="0.35">
      <c r="A93" s="167">
        <v>90</v>
      </c>
      <c r="B93" s="167" t="s">
        <v>387</v>
      </c>
    </row>
    <row r="94" spans="1:2" x14ac:dyDescent="0.35">
      <c r="A94" s="167">
        <v>91</v>
      </c>
      <c r="B94" s="167" t="s">
        <v>388</v>
      </c>
    </row>
    <row r="95" spans="1:2" x14ac:dyDescent="0.35">
      <c r="A95" s="167">
        <v>92</v>
      </c>
      <c r="B95" s="167" t="s">
        <v>389</v>
      </c>
    </row>
    <row r="96" spans="1:2" x14ac:dyDescent="0.35">
      <c r="A96" s="167">
        <v>93</v>
      </c>
      <c r="B96" s="167" t="s">
        <v>390</v>
      </c>
    </row>
    <row r="97" spans="1:2" x14ac:dyDescent="0.35">
      <c r="A97" s="167">
        <v>94</v>
      </c>
      <c r="B97" s="167" t="s">
        <v>391</v>
      </c>
    </row>
    <row r="98" spans="1:2" x14ac:dyDescent="0.35">
      <c r="A98" s="167">
        <v>95</v>
      </c>
      <c r="B98" s="167" t="s">
        <v>392</v>
      </c>
    </row>
    <row r="99" spans="1:2" x14ac:dyDescent="0.35">
      <c r="A99" s="167">
        <v>96</v>
      </c>
      <c r="B99" s="167" t="s">
        <v>393</v>
      </c>
    </row>
    <row r="100" spans="1:2" x14ac:dyDescent="0.35">
      <c r="A100" s="167">
        <v>97</v>
      </c>
      <c r="B100" s="167" t="s">
        <v>394</v>
      </c>
    </row>
    <row r="101" spans="1:2" x14ac:dyDescent="0.35">
      <c r="A101" s="167">
        <v>98</v>
      </c>
      <c r="B101" s="167" t="s">
        <v>395</v>
      </c>
    </row>
    <row r="102" spans="1:2" x14ac:dyDescent="0.35">
      <c r="A102" s="167">
        <v>99</v>
      </c>
      <c r="B102" s="167" t="s">
        <v>396</v>
      </c>
    </row>
    <row r="103" spans="1:2" x14ac:dyDescent="0.35">
      <c r="A103" s="167">
        <v>100</v>
      </c>
      <c r="B103" s="167" t="s">
        <v>397</v>
      </c>
    </row>
    <row r="104" spans="1:2" x14ac:dyDescent="0.35">
      <c r="A104" s="168">
        <v>101</v>
      </c>
      <c r="B104" s="169" t="s">
        <v>398</v>
      </c>
    </row>
    <row r="105" spans="1:2" x14ac:dyDescent="0.35">
      <c r="A105" s="168">
        <v>102</v>
      </c>
      <c r="B105" s="169" t="s">
        <v>399</v>
      </c>
    </row>
    <row r="106" spans="1:2" x14ac:dyDescent="0.35">
      <c r="A106" s="168">
        <v>103</v>
      </c>
      <c r="B106" s="169" t="s">
        <v>400</v>
      </c>
    </row>
    <row r="107" spans="1:2" x14ac:dyDescent="0.35">
      <c r="A107" s="168">
        <v>104</v>
      </c>
      <c r="B107" s="169" t="s">
        <v>401</v>
      </c>
    </row>
    <row r="108" spans="1:2" x14ac:dyDescent="0.35">
      <c r="A108" s="168">
        <v>105</v>
      </c>
      <c r="B108" s="169" t="s">
        <v>402</v>
      </c>
    </row>
    <row r="109" spans="1:2" x14ac:dyDescent="0.35">
      <c r="A109" s="168">
        <v>106</v>
      </c>
      <c r="B109" s="169" t="s">
        <v>403</v>
      </c>
    </row>
    <row r="110" spans="1:2" x14ac:dyDescent="0.35">
      <c r="A110" s="168">
        <v>107</v>
      </c>
      <c r="B110" s="169" t="s">
        <v>404</v>
      </c>
    </row>
    <row r="111" spans="1:2" x14ac:dyDescent="0.35">
      <c r="A111" s="168">
        <v>108</v>
      </c>
      <c r="B111" s="169" t="s">
        <v>405</v>
      </c>
    </row>
    <row r="112" spans="1:2" x14ac:dyDescent="0.35">
      <c r="A112" s="168">
        <v>109</v>
      </c>
      <c r="B112" s="169" t="s">
        <v>406</v>
      </c>
    </row>
    <row r="113" spans="1:2" x14ac:dyDescent="0.35">
      <c r="A113" s="168">
        <v>110</v>
      </c>
      <c r="B113" s="169" t="s">
        <v>407</v>
      </c>
    </row>
    <row r="114" spans="1:2" x14ac:dyDescent="0.35">
      <c r="A114" s="168">
        <v>111</v>
      </c>
      <c r="B114" s="169" t="s">
        <v>408</v>
      </c>
    </row>
    <row r="115" spans="1:2" x14ac:dyDescent="0.35">
      <c r="A115" s="168">
        <v>112</v>
      </c>
      <c r="B115" s="169" t="s">
        <v>409</v>
      </c>
    </row>
    <row r="116" spans="1:2" x14ac:dyDescent="0.35">
      <c r="A116" s="168">
        <v>113</v>
      </c>
      <c r="B116" s="169" t="s">
        <v>410</v>
      </c>
    </row>
    <row r="117" spans="1:2" x14ac:dyDescent="0.35">
      <c r="A117" s="168">
        <v>114</v>
      </c>
      <c r="B117" s="169" t="s">
        <v>411</v>
      </c>
    </row>
    <row r="118" spans="1:2" x14ac:dyDescent="0.35">
      <c r="A118" s="168">
        <v>115</v>
      </c>
      <c r="B118" s="169" t="s">
        <v>412</v>
      </c>
    </row>
    <row r="119" spans="1:2" x14ac:dyDescent="0.35">
      <c r="A119" s="168">
        <v>116</v>
      </c>
      <c r="B119" s="169" t="s">
        <v>413</v>
      </c>
    </row>
    <row r="120" spans="1:2" x14ac:dyDescent="0.35">
      <c r="A120" s="168">
        <v>117</v>
      </c>
      <c r="B120" s="169" t="s">
        <v>414</v>
      </c>
    </row>
    <row r="121" spans="1:2" x14ac:dyDescent="0.35">
      <c r="A121" s="168">
        <v>118</v>
      </c>
      <c r="B121" s="169" t="s">
        <v>415</v>
      </c>
    </row>
    <row r="122" spans="1:2" x14ac:dyDescent="0.35">
      <c r="A122" s="168">
        <v>119</v>
      </c>
      <c r="B122" s="169" t="s">
        <v>416</v>
      </c>
    </row>
    <row r="123" spans="1:2" x14ac:dyDescent="0.35">
      <c r="A123" s="168">
        <v>120</v>
      </c>
      <c r="B123" s="169" t="s">
        <v>417</v>
      </c>
    </row>
    <row r="124" spans="1:2" x14ac:dyDescent="0.35">
      <c r="A124" s="168">
        <v>121</v>
      </c>
      <c r="B124" s="169" t="s">
        <v>418</v>
      </c>
    </row>
    <row r="125" spans="1:2" x14ac:dyDescent="0.35">
      <c r="A125" s="168">
        <v>122</v>
      </c>
      <c r="B125" s="169" t="s">
        <v>419</v>
      </c>
    </row>
    <row r="126" spans="1:2" x14ac:dyDescent="0.35">
      <c r="A126" s="168">
        <v>123</v>
      </c>
      <c r="B126" s="169" t="s">
        <v>420</v>
      </c>
    </row>
    <row r="127" spans="1:2" x14ac:dyDescent="0.35">
      <c r="A127" s="168">
        <v>124</v>
      </c>
      <c r="B127" s="169" t="s">
        <v>421</v>
      </c>
    </row>
    <row r="128" spans="1:2" x14ac:dyDescent="0.35">
      <c r="A128" s="168">
        <v>125</v>
      </c>
      <c r="B128" s="169" t="s">
        <v>422</v>
      </c>
    </row>
    <row r="129" spans="1:2" x14ac:dyDescent="0.35">
      <c r="A129" s="168">
        <v>126</v>
      </c>
      <c r="B129" s="169" t="s">
        <v>423</v>
      </c>
    </row>
    <row r="130" spans="1:2" x14ac:dyDescent="0.35">
      <c r="A130" s="168">
        <v>127</v>
      </c>
      <c r="B130" s="169" t="s">
        <v>424</v>
      </c>
    </row>
    <row r="131" spans="1:2" x14ac:dyDescent="0.35">
      <c r="A131" s="168">
        <v>128</v>
      </c>
      <c r="B131" s="169" t="s">
        <v>425</v>
      </c>
    </row>
    <row r="132" spans="1:2" x14ac:dyDescent="0.35">
      <c r="A132" s="168">
        <v>129</v>
      </c>
      <c r="B132" s="169" t="s">
        <v>426</v>
      </c>
    </row>
    <row r="133" spans="1:2" x14ac:dyDescent="0.35">
      <c r="A133" s="168">
        <v>130</v>
      </c>
      <c r="B133" s="169" t="s">
        <v>427</v>
      </c>
    </row>
    <row r="134" spans="1:2" x14ac:dyDescent="0.35">
      <c r="A134" s="168">
        <v>131</v>
      </c>
      <c r="B134" s="169" t="s">
        <v>428</v>
      </c>
    </row>
    <row r="135" spans="1:2" x14ac:dyDescent="0.35">
      <c r="A135" s="168">
        <v>132</v>
      </c>
      <c r="B135" s="169" t="s">
        <v>429</v>
      </c>
    </row>
    <row r="136" spans="1:2" x14ac:dyDescent="0.35">
      <c r="A136" s="168">
        <v>133</v>
      </c>
      <c r="B136" s="169" t="s">
        <v>430</v>
      </c>
    </row>
    <row r="137" spans="1:2" x14ac:dyDescent="0.35">
      <c r="A137" s="168">
        <v>134</v>
      </c>
      <c r="B137" s="169" t="s">
        <v>431</v>
      </c>
    </row>
    <row r="138" spans="1:2" x14ac:dyDescent="0.35">
      <c r="A138" s="168">
        <v>135</v>
      </c>
      <c r="B138" s="169" t="s">
        <v>432</v>
      </c>
    </row>
    <row r="139" spans="1:2" x14ac:dyDescent="0.35">
      <c r="A139" s="168">
        <v>136</v>
      </c>
      <c r="B139" s="169" t="s">
        <v>433</v>
      </c>
    </row>
    <row r="140" spans="1:2" x14ac:dyDescent="0.35">
      <c r="A140" s="168">
        <v>137</v>
      </c>
      <c r="B140" s="169" t="s">
        <v>434</v>
      </c>
    </row>
    <row r="141" spans="1:2" x14ac:dyDescent="0.35">
      <c r="A141" s="168">
        <v>138</v>
      </c>
      <c r="B141" s="169" t="s">
        <v>435</v>
      </c>
    </row>
    <row r="142" spans="1:2" x14ac:dyDescent="0.35">
      <c r="A142" s="168">
        <v>139</v>
      </c>
      <c r="B142" s="169" t="s">
        <v>436</v>
      </c>
    </row>
    <row r="143" spans="1:2" x14ac:dyDescent="0.35">
      <c r="A143" s="168">
        <v>140</v>
      </c>
      <c r="B143" s="169" t="s">
        <v>437</v>
      </c>
    </row>
    <row r="144" spans="1:2" x14ac:dyDescent="0.35">
      <c r="A144" s="168">
        <v>141</v>
      </c>
      <c r="B144" s="169" t="s">
        <v>438</v>
      </c>
    </row>
    <row r="145" spans="1:2" x14ac:dyDescent="0.35">
      <c r="A145" s="168">
        <v>142</v>
      </c>
      <c r="B145" s="169" t="s">
        <v>439</v>
      </c>
    </row>
    <row r="146" spans="1:2" x14ac:dyDescent="0.35">
      <c r="A146" s="168">
        <v>143</v>
      </c>
      <c r="B146" s="169" t="s">
        <v>440</v>
      </c>
    </row>
    <row r="147" spans="1:2" x14ac:dyDescent="0.35">
      <c r="A147" s="168">
        <v>144</v>
      </c>
      <c r="B147" s="169" t="s">
        <v>441</v>
      </c>
    </row>
    <row r="148" spans="1:2" x14ac:dyDescent="0.35">
      <c r="A148" s="168">
        <v>145</v>
      </c>
      <c r="B148" s="169" t="s">
        <v>442</v>
      </c>
    </row>
    <row r="149" spans="1:2" x14ac:dyDescent="0.35">
      <c r="A149" s="168">
        <v>146</v>
      </c>
      <c r="B149" s="169" t="s">
        <v>443</v>
      </c>
    </row>
    <row r="150" spans="1:2" x14ac:dyDescent="0.35">
      <c r="A150" s="168">
        <v>147</v>
      </c>
      <c r="B150" s="169" t="s">
        <v>444</v>
      </c>
    </row>
    <row r="151" spans="1:2" x14ac:dyDescent="0.35">
      <c r="A151" s="168">
        <v>148</v>
      </c>
      <c r="B151" s="169" t="s">
        <v>445</v>
      </c>
    </row>
    <row r="152" spans="1:2" x14ac:dyDescent="0.35">
      <c r="A152" s="168">
        <v>149</v>
      </c>
      <c r="B152" s="169" t="s">
        <v>446</v>
      </c>
    </row>
    <row r="153" spans="1:2" x14ac:dyDescent="0.35">
      <c r="A153" s="168">
        <v>150</v>
      </c>
      <c r="B153" s="169" t="s">
        <v>447</v>
      </c>
    </row>
    <row r="154" spans="1:2" x14ac:dyDescent="0.35">
      <c r="A154" s="168">
        <v>151</v>
      </c>
      <c r="B154" s="169" t="s">
        <v>448</v>
      </c>
    </row>
    <row r="155" spans="1:2" x14ac:dyDescent="0.35">
      <c r="A155" s="168">
        <v>152</v>
      </c>
      <c r="B155" s="169" t="s">
        <v>449</v>
      </c>
    </row>
    <row r="156" spans="1:2" x14ac:dyDescent="0.35">
      <c r="A156" s="168">
        <v>153</v>
      </c>
      <c r="B156" s="169" t="s">
        <v>450</v>
      </c>
    </row>
    <row r="157" spans="1:2" x14ac:dyDescent="0.35">
      <c r="A157" s="168">
        <v>154</v>
      </c>
      <c r="B157" s="169" t="s">
        <v>451</v>
      </c>
    </row>
    <row r="158" spans="1:2" x14ac:dyDescent="0.35">
      <c r="A158" s="168">
        <v>155</v>
      </c>
      <c r="B158" s="169" t="s">
        <v>452</v>
      </c>
    </row>
    <row r="159" spans="1:2" x14ac:dyDescent="0.35">
      <c r="A159" s="168">
        <v>156</v>
      </c>
      <c r="B159" s="169" t="s">
        <v>453</v>
      </c>
    </row>
    <row r="160" spans="1:2" x14ac:dyDescent="0.35">
      <c r="A160" s="168">
        <v>157</v>
      </c>
      <c r="B160" s="169" t="s">
        <v>454</v>
      </c>
    </row>
    <row r="161" spans="1:2" x14ac:dyDescent="0.35">
      <c r="A161" s="168">
        <v>158</v>
      </c>
      <c r="B161" s="169" t="s">
        <v>455</v>
      </c>
    </row>
    <row r="162" spans="1:2" x14ac:dyDescent="0.35">
      <c r="A162" s="168">
        <v>159</v>
      </c>
      <c r="B162" s="169" t="s">
        <v>456</v>
      </c>
    </row>
    <row r="163" spans="1:2" x14ac:dyDescent="0.35">
      <c r="A163" s="168">
        <v>160</v>
      </c>
      <c r="B163" s="169" t="s">
        <v>457</v>
      </c>
    </row>
    <row r="164" spans="1:2" x14ac:dyDescent="0.35">
      <c r="A164" s="168">
        <v>161</v>
      </c>
      <c r="B164" s="169" t="s">
        <v>458</v>
      </c>
    </row>
    <row r="165" spans="1:2" x14ac:dyDescent="0.35">
      <c r="A165" s="168">
        <v>162</v>
      </c>
      <c r="B165" s="169" t="s">
        <v>459</v>
      </c>
    </row>
    <row r="166" spans="1:2" x14ac:dyDescent="0.35">
      <c r="A166" s="168">
        <v>163</v>
      </c>
      <c r="B166" s="169" t="s">
        <v>460</v>
      </c>
    </row>
    <row r="167" spans="1:2" x14ac:dyDescent="0.35">
      <c r="A167" s="168">
        <v>164</v>
      </c>
      <c r="B167" s="169" t="s">
        <v>461</v>
      </c>
    </row>
    <row r="168" spans="1:2" x14ac:dyDescent="0.35">
      <c r="A168" s="168">
        <v>165</v>
      </c>
      <c r="B168" s="169" t="s">
        <v>462</v>
      </c>
    </row>
    <row r="169" spans="1:2" x14ac:dyDescent="0.35">
      <c r="A169" s="168">
        <v>166</v>
      </c>
      <c r="B169" s="169" t="s">
        <v>463</v>
      </c>
    </row>
    <row r="170" spans="1:2" x14ac:dyDescent="0.35">
      <c r="A170" s="168">
        <v>167</v>
      </c>
      <c r="B170" s="169" t="s">
        <v>464</v>
      </c>
    </row>
    <row r="171" spans="1:2" x14ac:dyDescent="0.35">
      <c r="A171" s="168">
        <v>168</v>
      </c>
      <c r="B171" s="169" t="s">
        <v>465</v>
      </c>
    </row>
    <row r="172" spans="1:2" x14ac:dyDescent="0.35">
      <c r="A172" s="168">
        <v>169</v>
      </c>
      <c r="B172" s="169" t="s">
        <v>466</v>
      </c>
    </row>
    <row r="173" spans="1:2" x14ac:dyDescent="0.35">
      <c r="A173" s="168">
        <v>170</v>
      </c>
      <c r="B173" s="169" t="s">
        <v>467</v>
      </c>
    </row>
    <row r="174" spans="1:2" x14ac:dyDescent="0.35">
      <c r="A174" s="168">
        <v>171</v>
      </c>
      <c r="B174" s="169" t="s">
        <v>468</v>
      </c>
    </row>
    <row r="175" spans="1:2" x14ac:dyDescent="0.35">
      <c r="A175" s="168">
        <v>172</v>
      </c>
      <c r="B175" s="169" t="s">
        <v>469</v>
      </c>
    </row>
    <row r="176" spans="1:2" x14ac:dyDescent="0.35">
      <c r="A176" s="168">
        <v>173</v>
      </c>
      <c r="B176" s="169" t="s">
        <v>470</v>
      </c>
    </row>
    <row r="177" spans="1:2" x14ac:dyDescent="0.35">
      <c r="A177" s="168">
        <v>174</v>
      </c>
      <c r="B177" s="169" t="s">
        <v>471</v>
      </c>
    </row>
    <row r="178" spans="1:2" x14ac:dyDescent="0.35">
      <c r="A178" s="168">
        <v>175</v>
      </c>
      <c r="B178" s="169" t="s">
        <v>472</v>
      </c>
    </row>
    <row r="179" spans="1:2" x14ac:dyDescent="0.35">
      <c r="A179" s="168">
        <v>176</v>
      </c>
      <c r="B179" s="169" t="s">
        <v>473</v>
      </c>
    </row>
    <row r="180" spans="1:2" x14ac:dyDescent="0.35">
      <c r="A180" s="168">
        <v>177</v>
      </c>
      <c r="B180" s="169" t="s">
        <v>474</v>
      </c>
    </row>
    <row r="181" spans="1:2" x14ac:dyDescent="0.35">
      <c r="A181" s="168">
        <v>178</v>
      </c>
      <c r="B181" s="169" t="s">
        <v>475</v>
      </c>
    </row>
    <row r="182" spans="1:2" x14ac:dyDescent="0.35">
      <c r="A182" s="168">
        <v>179</v>
      </c>
      <c r="B182" s="169" t="s">
        <v>476</v>
      </c>
    </row>
    <row r="183" spans="1:2" x14ac:dyDescent="0.35">
      <c r="A183" s="168">
        <v>180</v>
      </c>
      <c r="B183" s="169" t="s">
        <v>477</v>
      </c>
    </row>
    <row r="184" spans="1:2" x14ac:dyDescent="0.35">
      <c r="A184" s="168">
        <v>181</v>
      </c>
      <c r="B184" s="169" t="s">
        <v>478</v>
      </c>
    </row>
    <row r="185" spans="1:2" x14ac:dyDescent="0.35">
      <c r="A185" s="168">
        <v>182</v>
      </c>
      <c r="B185" s="169" t="s">
        <v>479</v>
      </c>
    </row>
    <row r="186" spans="1:2" x14ac:dyDescent="0.35">
      <c r="A186" s="168">
        <v>183</v>
      </c>
      <c r="B186" s="169" t="s">
        <v>480</v>
      </c>
    </row>
    <row r="187" spans="1:2" x14ac:dyDescent="0.35">
      <c r="A187" s="168">
        <v>184</v>
      </c>
      <c r="B187" s="169" t="s">
        <v>481</v>
      </c>
    </row>
    <row r="188" spans="1:2" x14ac:dyDescent="0.35">
      <c r="A188" s="168">
        <v>185</v>
      </c>
      <c r="B188" s="169" t="s">
        <v>482</v>
      </c>
    </row>
    <row r="189" spans="1:2" x14ac:dyDescent="0.35">
      <c r="A189" s="168">
        <v>186</v>
      </c>
      <c r="B189" s="169" t="s">
        <v>483</v>
      </c>
    </row>
    <row r="190" spans="1:2" x14ac:dyDescent="0.35">
      <c r="A190" s="168">
        <v>187</v>
      </c>
      <c r="B190" s="169" t="s">
        <v>484</v>
      </c>
    </row>
    <row r="191" spans="1:2" x14ac:dyDescent="0.35">
      <c r="A191" s="168">
        <v>188</v>
      </c>
      <c r="B191" s="169" t="s">
        <v>485</v>
      </c>
    </row>
    <row r="192" spans="1:2" x14ac:dyDescent="0.35">
      <c r="A192" s="168">
        <v>189</v>
      </c>
      <c r="B192" s="169" t="s">
        <v>486</v>
      </c>
    </row>
    <row r="193" spans="1:2" x14ac:dyDescent="0.35">
      <c r="A193" s="168">
        <v>190</v>
      </c>
      <c r="B193" s="169" t="s">
        <v>487</v>
      </c>
    </row>
    <row r="194" spans="1:2" x14ac:dyDescent="0.35">
      <c r="A194" s="168">
        <v>191</v>
      </c>
      <c r="B194" s="169" t="s">
        <v>488</v>
      </c>
    </row>
    <row r="195" spans="1:2" x14ac:dyDescent="0.35">
      <c r="A195" s="168">
        <v>192</v>
      </c>
      <c r="B195" s="169" t="s">
        <v>489</v>
      </c>
    </row>
    <row r="196" spans="1:2" x14ac:dyDescent="0.35">
      <c r="A196" s="168">
        <v>193</v>
      </c>
      <c r="B196" s="169" t="s">
        <v>490</v>
      </c>
    </row>
    <row r="197" spans="1:2" x14ac:dyDescent="0.35">
      <c r="A197" s="168">
        <v>194</v>
      </c>
      <c r="B197" s="169" t="s">
        <v>491</v>
      </c>
    </row>
    <row r="198" spans="1:2" x14ac:dyDescent="0.35">
      <c r="A198" s="168">
        <v>195</v>
      </c>
      <c r="B198" s="169" t="s">
        <v>492</v>
      </c>
    </row>
    <row r="199" spans="1:2" x14ac:dyDescent="0.35">
      <c r="A199" s="168">
        <v>196</v>
      </c>
      <c r="B199" s="169" t="s">
        <v>493</v>
      </c>
    </row>
    <row r="200" spans="1:2" x14ac:dyDescent="0.35">
      <c r="A200" s="168">
        <v>197</v>
      </c>
      <c r="B200" s="169" t="s">
        <v>494</v>
      </c>
    </row>
    <row r="201" spans="1:2" x14ac:dyDescent="0.35">
      <c r="A201" s="168">
        <v>198</v>
      </c>
      <c r="B201" s="169" t="s">
        <v>495</v>
      </c>
    </row>
    <row r="202" spans="1:2" x14ac:dyDescent="0.35">
      <c r="A202" s="168">
        <v>199</v>
      </c>
      <c r="B202" s="169" t="s">
        <v>496</v>
      </c>
    </row>
    <row r="203" spans="1:2" x14ac:dyDescent="0.35">
      <c r="A203" s="168">
        <v>200</v>
      </c>
      <c r="B203" s="169" t="s">
        <v>497</v>
      </c>
    </row>
    <row r="204" spans="1:2" x14ac:dyDescent="0.35">
      <c r="A204" s="168">
        <v>201</v>
      </c>
      <c r="B204" s="169" t="s">
        <v>498</v>
      </c>
    </row>
    <row r="205" spans="1:2" x14ac:dyDescent="0.35">
      <c r="A205" s="168">
        <v>202</v>
      </c>
      <c r="B205" s="169" t="s">
        <v>499</v>
      </c>
    </row>
    <row r="206" spans="1:2" x14ac:dyDescent="0.35">
      <c r="A206" s="168">
        <v>203</v>
      </c>
      <c r="B206" s="169" t="s">
        <v>500</v>
      </c>
    </row>
    <row r="207" spans="1:2" x14ac:dyDescent="0.35">
      <c r="A207" s="168">
        <v>204</v>
      </c>
      <c r="B207" s="169" t="s">
        <v>501</v>
      </c>
    </row>
    <row r="208" spans="1:2" x14ac:dyDescent="0.35">
      <c r="A208" s="168">
        <v>205</v>
      </c>
      <c r="B208" s="169" t="s">
        <v>502</v>
      </c>
    </row>
    <row r="209" spans="1:2" x14ac:dyDescent="0.35">
      <c r="A209" s="168">
        <v>206</v>
      </c>
      <c r="B209" s="169" t="s">
        <v>503</v>
      </c>
    </row>
    <row r="210" spans="1:2" x14ac:dyDescent="0.35">
      <c r="A210" s="168">
        <v>207</v>
      </c>
      <c r="B210" s="169" t="s">
        <v>504</v>
      </c>
    </row>
    <row r="211" spans="1:2" x14ac:dyDescent="0.35">
      <c r="A211" s="168">
        <v>208</v>
      </c>
      <c r="B211" s="169" t="s">
        <v>505</v>
      </c>
    </row>
    <row r="212" spans="1:2" x14ac:dyDescent="0.35">
      <c r="A212" s="168">
        <v>209</v>
      </c>
      <c r="B212" s="169" t="s">
        <v>506</v>
      </c>
    </row>
    <row r="213" spans="1:2" x14ac:dyDescent="0.35">
      <c r="A213" s="168">
        <v>210</v>
      </c>
      <c r="B213" s="169" t="s">
        <v>507</v>
      </c>
    </row>
    <row r="214" spans="1:2" x14ac:dyDescent="0.35">
      <c r="A214" s="168">
        <v>211</v>
      </c>
      <c r="B214" s="169" t="s">
        <v>508</v>
      </c>
    </row>
    <row r="215" spans="1:2" x14ac:dyDescent="0.35">
      <c r="A215" s="168">
        <v>212</v>
      </c>
      <c r="B215" s="169" t="s">
        <v>509</v>
      </c>
    </row>
    <row r="216" spans="1:2" x14ac:dyDescent="0.35">
      <c r="A216" s="168">
        <v>213</v>
      </c>
      <c r="B216" s="169" t="s">
        <v>510</v>
      </c>
    </row>
    <row r="217" spans="1:2" x14ac:dyDescent="0.35">
      <c r="A217" s="168">
        <v>214</v>
      </c>
      <c r="B217" s="169" t="s">
        <v>511</v>
      </c>
    </row>
    <row r="218" spans="1:2" x14ac:dyDescent="0.35">
      <c r="A218" s="168">
        <v>215</v>
      </c>
      <c r="B218" s="169" t="s">
        <v>512</v>
      </c>
    </row>
    <row r="219" spans="1:2" x14ac:dyDescent="0.35">
      <c r="A219" s="168">
        <v>216</v>
      </c>
      <c r="B219" s="169" t="s">
        <v>513</v>
      </c>
    </row>
    <row r="220" spans="1:2" x14ac:dyDescent="0.35">
      <c r="A220" s="168">
        <v>217</v>
      </c>
      <c r="B220" s="169" t="s">
        <v>514</v>
      </c>
    </row>
    <row r="221" spans="1:2" x14ac:dyDescent="0.35">
      <c r="A221" s="168">
        <v>218</v>
      </c>
      <c r="B221" s="169" t="s">
        <v>515</v>
      </c>
    </row>
    <row r="222" spans="1:2" x14ac:dyDescent="0.35">
      <c r="A222" s="168">
        <v>219</v>
      </c>
      <c r="B222" s="169" t="s">
        <v>516</v>
      </c>
    </row>
    <row r="223" spans="1:2" x14ac:dyDescent="0.35">
      <c r="A223" s="168">
        <v>220</v>
      </c>
      <c r="B223" s="169" t="s">
        <v>517</v>
      </c>
    </row>
    <row r="224" spans="1:2" x14ac:dyDescent="0.35">
      <c r="A224" s="168">
        <v>221</v>
      </c>
      <c r="B224" s="169" t="s">
        <v>518</v>
      </c>
    </row>
    <row r="225" spans="1:2" x14ac:dyDescent="0.35">
      <c r="A225" s="168">
        <v>222</v>
      </c>
      <c r="B225" s="169" t="s">
        <v>519</v>
      </c>
    </row>
    <row r="226" spans="1:2" x14ac:dyDescent="0.35">
      <c r="A226" s="168">
        <v>223</v>
      </c>
      <c r="B226" s="169" t="s">
        <v>520</v>
      </c>
    </row>
    <row r="227" spans="1:2" x14ac:dyDescent="0.35">
      <c r="A227" s="168">
        <v>224</v>
      </c>
      <c r="B227" s="169" t="s">
        <v>521</v>
      </c>
    </row>
    <row r="228" spans="1:2" x14ac:dyDescent="0.35">
      <c r="A228" s="168">
        <v>225</v>
      </c>
      <c r="B228" s="169" t="s">
        <v>522</v>
      </c>
    </row>
    <row r="229" spans="1:2" x14ac:dyDescent="0.35">
      <c r="A229" s="168">
        <v>226</v>
      </c>
      <c r="B229" s="169" t="s">
        <v>523</v>
      </c>
    </row>
    <row r="230" spans="1:2" x14ac:dyDescent="0.35">
      <c r="A230" s="168">
        <v>227</v>
      </c>
      <c r="B230" s="169" t="s">
        <v>524</v>
      </c>
    </row>
    <row r="231" spans="1:2" x14ac:dyDescent="0.35">
      <c r="A231" s="168">
        <v>228</v>
      </c>
      <c r="B231" s="169" t="s">
        <v>525</v>
      </c>
    </row>
    <row r="232" spans="1:2" x14ac:dyDescent="0.35">
      <c r="A232" s="168">
        <v>229</v>
      </c>
      <c r="B232" s="169" t="s">
        <v>526</v>
      </c>
    </row>
    <row r="233" spans="1:2" x14ac:dyDescent="0.35">
      <c r="A233" s="168">
        <v>230</v>
      </c>
      <c r="B233" s="169" t="s">
        <v>527</v>
      </c>
    </row>
    <row r="234" spans="1:2" x14ac:dyDescent="0.35">
      <c r="A234" s="168">
        <v>231</v>
      </c>
      <c r="B234" s="169" t="s">
        <v>528</v>
      </c>
    </row>
    <row r="235" spans="1:2" x14ac:dyDescent="0.35">
      <c r="A235" s="168">
        <v>232</v>
      </c>
      <c r="B235" s="169" t="s">
        <v>529</v>
      </c>
    </row>
    <row r="236" spans="1:2" x14ac:dyDescent="0.35">
      <c r="A236" s="168">
        <v>233</v>
      </c>
      <c r="B236" s="169" t="s">
        <v>530</v>
      </c>
    </row>
    <row r="237" spans="1:2" x14ac:dyDescent="0.35">
      <c r="A237" s="168">
        <v>234</v>
      </c>
      <c r="B237" s="169" t="s">
        <v>531</v>
      </c>
    </row>
    <row r="238" spans="1:2" x14ac:dyDescent="0.35">
      <c r="A238" s="168">
        <v>235</v>
      </c>
      <c r="B238" s="169" t="s">
        <v>532</v>
      </c>
    </row>
    <row r="239" spans="1:2" x14ac:dyDescent="0.35">
      <c r="A239" s="168">
        <v>236</v>
      </c>
      <c r="B239" s="169" t="s">
        <v>533</v>
      </c>
    </row>
    <row r="240" spans="1:2" x14ac:dyDescent="0.35">
      <c r="A240" s="168">
        <v>237</v>
      </c>
      <c r="B240" s="169" t="s">
        <v>534</v>
      </c>
    </row>
    <row r="241" spans="1:2" x14ac:dyDescent="0.35">
      <c r="A241" s="168">
        <v>238</v>
      </c>
      <c r="B241" s="169" t="s">
        <v>535</v>
      </c>
    </row>
    <row r="242" spans="1:2" x14ac:dyDescent="0.35">
      <c r="A242" s="168">
        <v>239</v>
      </c>
      <c r="B242" s="169" t="s">
        <v>536</v>
      </c>
    </row>
    <row r="243" spans="1:2" x14ac:dyDescent="0.35">
      <c r="A243" s="168">
        <v>240</v>
      </c>
      <c r="B243" s="169" t="s">
        <v>537</v>
      </c>
    </row>
    <row r="244" spans="1:2" x14ac:dyDescent="0.35">
      <c r="A244" s="168">
        <v>241</v>
      </c>
      <c r="B244" s="169" t="s">
        <v>538</v>
      </c>
    </row>
    <row r="245" spans="1:2" x14ac:dyDescent="0.35">
      <c r="A245" s="168">
        <v>242</v>
      </c>
      <c r="B245" s="169" t="s">
        <v>539</v>
      </c>
    </row>
    <row r="246" spans="1:2" x14ac:dyDescent="0.35">
      <c r="A246" s="168">
        <v>243</v>
      </c>
      <c r="B246" s="169" t="s">
        <v>540</v>
      </c>
    </row>
    <row r="247" spans="1:2" x14ac:dyDescent="0.35">
      <c r="A247" s="168">
        <v>244</v>
      </c>
      <c r="B247" s="169" t="s">
        <v>541</v>
      </c>
    </row>
    <row r="248" spans="1:2" x14ac:dyDescent="0.35">
      <c r="A248" s="168">
        <v>245</v>
      </c>
      <c r="B248" s="169" t="s">
        <v>542</v>
      </c>
    </row>
    <row r="249" spans="1:2" x14ac:dyDescent="0.35">
      <c r="A249" s="168">
        <v>246</v>
      </c>
      <c r="B249" s="169" t="s">
        <v>543</v>
      </c>
    </row>
    <row r="250" spans="1:2" x14ac:dyDescent="0.35">
      <c r="A250" s="168">
        <v>247</v>
      </c>
      <c r="B250" s="169" t="s">
        <v>544</v>
      </c>
    </row>
    <row r="251" spans="1:2" x14ac:dyDescent="0.35">
      <c r="A251" s="168">
        <v>248</v>
      </c>
      <c r="B251" s="169" t="s">
        <v>545</v>
      </c>
    </row>
    <row r="252" spans="1:2" x14ac:dyDescent="0.35">
      <c r="A252" s="168">
        <v>249</v>
      </c>
      <c r="B252" s="169" t="s">
        <v>546</v>
      </c>
    </row>
    <row r="253" spans="1:2" x14ac:dyDescent="0.35">
      <c r="A253" s="168">
        <v>250</v>
      </c>
      <c r="B253" s="169" t="s">
        <v>547</v>
      </c>
    </row>
    <row r="254" spans="1:2" x14ac:dyDescent="0.35">
      <c r="A254" s="168">
        <v>251</v>
      </c>
      <c r="B254" s="169" t="s">
        <v>548</v>
      </c>
    </row>
    <row r="255" spans="1:2" x14ac:dyDescent="0.35">
      <c r="A255" s="168">
        <v>252</v>
      </c>
      <c r="B255" s="169" t="s">
        <v>549</v>
      </c>
    </row>
    <row r="256" spans="1:2" x14ac:dyDescent="0.35">
      <c r="A256" s="168">
        <v>253</v>
      </c>
      <c r="B256" s="169" t="s">
        <v>550</v>
      </c>
    </row>
    <row r="257" spans="1:2" x14ac:dyDescent="0.35">
      <c r="A257" s="168">
        <v>254</v>
      </c>
      <c r="B257" s="169" t="s">
        <v>551</v>
      </c>
    </row>
    <row r="258" spans="1:2" x14ac:dyDescent="0.35">
      <c r="A258" s="168">
        <v>255</v>
      </c>
      <c r="B258" s="169" t="s">
        <v>552</v>
      </c>
    </row>
    <row r="259" spans="1:2" x14ac:dyDescent="0.35">
      <c r="A259" s="168">
        <v>256</v>
      </c>
      <c r="B259" s="169" t="s">
        <v>553</v>
      </c>
    </row>
    <row r="260" spans="1:2" x14ac:dyDescent="0.35">
      <c r="A260" s="168">
        <v>257</v>
      </c>
      <c r="B260" s="169" t="s">
        <v>554</v>
      </c>
    </row>
    <row r="261" spans="1:2" x14ac:dyDescent="0.35">
      <c r="A261" s="168">
        <v>258</v>
      </c>
      <c r="B261" s="169" t="s">
        <v>555</v>
      </c>
    </row>
    <row r="262" spans="1:2" x14ac:dyDescent="0.35">
      <c r="A262" s="168">
        <v>259</v>
      </c>
      <c r="B262" s="169" t="s">
        <v>556</v>
      </c>
    </row>
    <row r="263" spans="1:2" x14ac:dyDescent="0.35">
      <c r="A263" s="168">
        <v>260</v>
      </c>
      <c r="B263" s="169" t="s">
        <v>557</v>
      </c>
    </row>
    <row r="264" spans="1:2" x14ac:dyDescent="0.35">
      <c r="A264" s="168">
        <v>261</v>
      </c>
      <c r="B264" s="169" t="s">
        <v>558</v>
      </c>
    </row>
    <row r="265" spans="1:2" x14ac:dyDescent="0.35">
      <c r="A265" s="168">
        <v>262</v>
      </c>
      <c r="B265" s="169" t="s">
        <v>559</v>
      </c>
    </row>
    <row r="266" spans="1:2" x14ac:dyDescent="0.35">
      <c r="A266" s="168">
        <v>263</v>
      </c>
      <c r="B266" s="169" t="s">
        <v>560</v>
      </c>
    </row>
    <row r="267" spans="1:2" x14ac:dyDescent="0.35">
      <c r="A267" s="168">
        <v>264</v>
      </c>
      <c r="B267" s="169" t="s">
        <v>561</v>
      </c>
    </row>
    <row r="268" spans="1:2" x14ac:dyDescent="0.35">
      <c r="A268" s="168">
        <v>265</v>
      </c>
      <c r="B268" s="169" t="s">
        <v>562</v>
      </c>
    </row>
    <row r="269" spans="1:2" x14ac:dyDescent="0.35">
      <c r="A269" s="168">
        <v>266</v>
      </c>
      <c r="B269" s="169" t="s">
        <v>563</v>
      </c>
    </row>
    <row r="270" spans="1:2" x14ac:dyDescent="0.35">
      <c r="A270" s="168">
        <v>267</v>
      </c>
      <c r="B270" s="169" t="s">
        <v>564</v>
      </c>
    </row>
    <row r="271" spans="1:2" x14ac:dyDescent="0.35">
      <c r="A271" s="168">
        <v>268</v>
      </c>
      <c r="B271" s="169" t="s">
        <v>565</v>
      </c>
    </row>
    <row r="272" spans="1:2" x14ac:dyDescent="0.35">
      <c r="A272" s="168">
        <v>269</v>
      </c>
      <c r="B272" s="169" t="s">
        <v>566</v>
      </c>
    </row>
    <row r="273" spans="1:2" x14ac:dyDescent="0.35">
      <c r="A273" s="168">
        <v>270</v>
      </c>
      <c r="B273" s="169" t="s">
        <v>567</v>
      </c>
    </row>
    <row r="274" spans="1:2" x14ac:dyDescent="0.35">
      <c r="A274" s="168">
        <v>271</v>
      </c>
      <c r="B274" s="169" t="s">
        <v>568</v>
      </c>
    </row>
    <row r="275" spans="1:2" x14ac:dyDescent="0.35">
      <c r="A275" s="168">
        <v>272</v>
      </c>
      <c r="B275" s="169" t="s">
        <v>569</v>
      </c>
    </row>
    <row r="276" spans="1:2" x14ac:dyDescent="0.35">
      <c r="A276" s="168">
        <v>273</v>
      </c>
      <c r="B276" s="169" t="s">
        <v>570</v>
      </c>
    </row>
    <row r="277" spans="1:2" x14ac:dyDescent="0.35">
      <c r="A277" s="168">
        <v>274</v>
      </c>
      <c r="B277" s="169" t="s">
        <v>571</v>
      </c>
    </row>
    <row r="278" spans="1:2" x14ac:dyDescent="0.35">
      <c r="A278" s="168">
        <v>275</v>
      </c>
      <c r="B278" s="169" t="s">
        <v>572</v>
      </c>
    </row>
    <row r="279" spans="1:2" x14ac:dyDescent="0.35">
      <c r="A279" s="168">
        <v>276</v>
      </c>
      <c r="B279" s="169" t="s">
        <v>573</v>
      </c>
    </row>
    <row r="280" spans="1:2" x14ac:dyDescent="0.35">
      <c r="A280" s="168">
        <v>277</v>
      </c>
      <c r="B280" s="169" t="s">
        <v>574</v>
      </c>
    </row>
    <row r="281" spans="1:2" x14ac:dyDescent="0.35">
      <c r="A281" s="168">
        <v>278</v>
      </c>
      <c r="B281" s="169" t="s">
        <v>575</v>
      </c>
    </row>
    <row r="282" spans="1:2" x14ac:dyDescent="0.35">
      <c r="A282" s="168">
        <v>279</v>
      </c>
      <c r="B282" s="169" t="s">
        <v>576</v>
      </c>
    </row>
    <row r="283" spans="1:2" x14ac:dyDescent="0.35">
      <c r="A283" s="168">
        <v>280</v>
      </c>
      <c r="B283" s="169" t="s">
        <v>577</v>
      </c>
    </row>
    <row r="284" spans="1:2" x14ac:dyDescent="0.35">
      <c r="A284" s="168">
        <v>281</v>
      </c>
      <c r="B284" s="169" t="s">
        <v>578</v>
      </c>
    </row>
    <row r="285" spans="1:2" x14ac:dyDescent="0.35">
      <c r="A285" s="168">
        <v>282</v>
      </c>
      <c r="B285" s="169" t="s">
        <v>579</v>
      </c>
    </row>
    <row r="286" spans="1:2" x14ac:dyDescent="0.35">
      <c r="A286" s="168">
        <v>283</v>
      </c>
      <c r="B286" s="169" t="s">
        <v>580</v>
      </c>
    </row>
    <row r="287" spans="1:2" x14ac:dyDescent="0.35">
      <c r="A287" s="168">
        <v>284</v>
      </c>
      <c r="B287" s="169" t="s">
        <v>581</v>
      </c>
    </row>
    <row r="288" spans="1:2" x14ac:dyDescent="0.35">
      <c r="A288" s="168">
        <v>285</v>
      </c>
      <c r="B288" s="169" t="s">
        <v>582</v>
      </c>
    </row>
    <row r="289" spans="1:2" x14ac:dyDescent="0.35">
      <c r="A289" s="168">
        <v>286</v>
      </c>
      <c r="B289" s="169" t="s">
        <v>583</v>
      </c>
    </row>
    <row r="290" spans="1:2" x14ac:dyDescent="0.35">
      <c r="A290" s="168">
        <v>287</v>
      </c>
      <c r="B290" s="169" t="s">
        <v>584</v>
      </c>
    </row>
    <row r="291" spans="1:2" x14ac:dyDescent="0.35">
      <c r="A291" s="168">
        <v>288</v>
      </c>
      <c r="B291" s="169" t="s">
        <v>585</v>
      </c>
    </row>
    <row r="292" spans="1:2" x14ac:dyDescent="0.35">
      <c r="A292" s="168">
        <v>289</v>
      </c>
      <c r="B292" s="169" t="s">
        <v>586</v>
      </c>
    </row>
    <row r="293" spans="1:2" x14ac:dyDescent="0.35">
      <c r="A293" s="168">
        <v>290</v>
      </c>
      <c r="B293" s="169" t="s">
        <v>587</v>
      </c>
    </row>
    <row r="294" spans="1:2" x14ac:dyDescent="0.35">
      <c r="A294" s="168">
        <v>291</v>
      </c>
      <c r="B294" s="169" t="s">
        <v>588</v>
      </c>
    </row>
    <row r="295" spans="1:2" x14ac:dyDescent="0.35">
      <c r="A295" s="168">
        <v>292</v>
      </c>
      <c r="B295" s="169" t="s">
        <v>589</v>
      </c>
    </row>
    <row r="296" spans="1:2" x14ac:dyDescent="0.35">
      <c r="A296" s="168">
        <v>293</v>
      </c>
      <c r="B296" s="169" t="s">
        <v>590</v>
      </c>
    </row>
    <row r="297" spans="1:2" x14ac:dyDescent="0.35">
      <c r="A297" s="168">
        <v>294</v>
      </c>
      <c r="B297" s="169" t="s">
        <v>591</v>
      </c>
    </row>
    <row r="298" spans="1:2" x14ac:dyDescent="0.35">
      <c r="A298" s="168">
        <v>295</v>
      </c>
      <c r="B298" s="169" t="s">
        <v>592</v>
      </c>
    </row>
    <row r="299" spans="1:2" x14ac:dyDescent="0.35">
      <c r="A299" s="168">
        <v>296</v>
      </c>
      <c r="B299" s="169" t="s">
        <v>593</v>
      </c>
    </row>
    <row r="300" spans="1:2" x14ac:dyDescent="0.35">
      <c r="A300" s="168">
        <v>297</v>
      </c>
      <c r="B300" s="169" t="s">
        <v>594</v>
      </c>
    </row>
    <row r="301" spans="1:2" x14ac:dyDescent="0.35">
      <c r="A301" s="168">
        <v>298</v>
      </c>
      <c r="B301" s="169" t="s">
        <v>595</v>
      </c>
    </row>
    <row r="302" spans="1:2" x14ac:dyDescent="0.35">
      <c r="A302" s="168">
        <v>299</v>
      </c>
      <c r="B302" s="169" t="s">
        <v>596</v>
      </c>
    </row>
    <row r="303" spans="1:2" x14ac:dyDescent="0.35">
      <c r="A303" s="168">
        <v>300</v>
      </c>
      <c r="B303" s="169" t="s">
        <v>597</v>
      </c>
    </row>
    <row r="304" spans="1:2" x14ac:dyDescent="0.35">
      <c r="A304" s="168">
        <v>301</v>
      </c>
      <c r="B304" s="169" t="s">
        <v>598</v>
      </c>
    </row>
    <row r="305" spans="1:2" x14ac:dyDescent="0.35">
      <c r="A305" s="168">
        <v>302</v>
      </c>
      <c r="B305" s="169" t="s">
        <v>599</v>
      </c>
    </row>
    <row r="306" spans="1:2" x14ac:dyDescent="0.35">
      <c r="A306" s="168">
        <v>303</v>
      </c>
      <c r="B306" s="169" t="s">
        <v>600</v>
      </c>
    </row>
    <row r="307" spans="1:2" x14ac:dyDescent="0.35">
      <c r="A307" s="168">
        <v>304</v>
      </c>
      <c r="B307" s="169" t="s">
        <v>601</v>
      </c>
    </row>
    <row r="308" spans="1:2" x14ac:dyDescent="0.35">
      <c r="A308" s="168">
        <v>305</v>
      </c>
      <c r="B308" s="169" t="s">
        <v>602</v>
      </c>
    </row>
    <row r="309" spans="1:2" x14ac:dyDescent="0.35">
      <c r="A309" s="168">
        <v>306</v>
      </c>
      <c r="B309" s="169" t="s">
        <v>603</v>
      </c>
    </row>
    <row r="310" spans="1:2" x14ac:dyDescent="0.35">
      <c r="A310" s="168">
        <v>307</v>
      </c>
      <c r="B310" s="169" t="s">
        <v>604</v>
      </c>
    </row>
    <row r="311" spans="1:2" x14ac:dyDescent="0.35">
      <c r="A311" s="168">
        <v>308</v>
      </c>
      <c r="B311" s="169" t="s">
        <v>605</v>
      </c>
    </row>
    <row r="312" spans="1:2" x14ac:dyDescent="0.35">
      <c r="A312" s="168">
        <v>309</v>
      </c>
      <c r="B312" s="169" t="s">
        <v>606</v>
      </c>
    </row>
    <row r="313" spans="1:2" x14ac:dyDescent="0.35">
      <c r="A313" s="168">
        <v>310</v>
      </c>
      <c r="B313" s="169" t="s">
        <v>607</v>
      </c>
    </row>
    <row r="314" spans="1:2" x14ac:dyDescent="0.35">
      <c r="A314" s="168">
        <v>311</v>
      </c>
      <c r="B314" s="169" t="s">
        <v>608</v>
      </c>
    </row>
    <row r="315" spans="1:2" x14ac:dyDescent="0.35">
      <c r="A315" s="168">
        <v>312</v>
      </c>
      <c r="B315" s="169" t="s">
        <v>609</v>
      </c>
    </row>
    <row r="316" spans="1:2" x14ac:dyDescent="0.35">
      <c r="A316" s="168">
        <v>313</v>
      </c>
      <c r="B316" s="169" t="s">
        <v>610</v>
      </c>
    </row>
    <row r="317" spans="1:2" x14ac:dyDescent="0.35">
      <c r="A317" s="168">
        <v>314</v>
      </c>
      <c r="B317" s="169" t="s">
        <v>611</v>
      </c>
    </row>
    <row r="318" spans="1:2" x14ac:dyDescent="0.35">
      <c r="A318" s="168">
        <v>315</v>
      </c>
      <c r="B318" s="169" t="s">
        <v>612</v>
      </c>
    </row>
    <row r="319" spans="1:2" x14ac:dyDescent="0.35">
      <c r="A319" s="168">
        <v>316</v>
      </c>
      <c r="B319" s="169" t="s">
        <v>613</v>
      </c>
    </row>
    <row r="320" spans="1:2" x14ac:dyDescent="0.35">
      <c r="A320" s="168">
        <v>317</v>
      </c>
      <c r="B320" s="169" t="s">
        <v>614</v>
      </c>
    </row>
    <row r="321" spans="1:2" x14ac:dyDescent="0.35">
      <c r="A321" s="168">
        <v>318</v>
      </c>
      <c r="B321" s="169" t="s">
        <v>615</v>
      </c>
    </row>
    <row r="322" spans="1:2" x14ac:dyDescent="0.35">
      <c r="A322" s="168">
        <v>319</v>
      </c>
      <c r="B322" s="169" t="s">
        <v>616</v>
      </c>
    </row>
    <row r="323" spans="1:2" x14ac:dyDescent="0.35">
      <c r="A323" s="168">
        <v>320</v>
      </c>
      <c r="B323" s="169" t="s">
        <v>617</v>
      </c>
    </row>
    <row r="324" spans="1:2" x14ac:dyDescent="0.35">
      <c r="A324" s="168">
        <v>321</v>
      </c>
      <c r="B324" s="169" t="s">
        <v>618</v>
      </c>
    </row>
    <row r="325" spans="1:2" x14ac:dyDescent="0.35">
      <c r="A325" s="168">
        <v>322</v>
      </c>
      <c r="B325" s="169" t="s">
        <v>619</v>
      </c>
    </row>
    <row r="326" spans="1:2" x14ac:dyDescent="0.35">
      <c r="A326" s="168">
        <v>323</v>
      </c>
      <c r="B326" s="169" t="s">
        <v>620</v>
      </c>
    </row>
    <row r="327" spans="1:2" x14ac:dyDescent="0.35">
      <c r="A327" s="168">
        <v>324</v>
      </c>
      <c r="B327" s="169" t="s">
        <v>621</v>
      </c>
    </row>
    <row r="328" spans="1:2" x14ac:dyDescent="0.35">
      <c r="A328" s="168">
        <v>325</v>
      </c>
      <c r="B328" s="169" t="s">
        <v>622</v>
      </c>
    </row>
    <row r="329" spans="1:2" x14ac:dyDescent="0.35">
      <c r="A329" s="168">
        <v>326</v>
      </c>
      <c r="B329" s="169" t="s">
        <v>623</v>
      </c>
    </row>
    <row r="330" spans="1:2" x14ac:dyDescent="0.35">
      <c r="A330" s="168">
        <v>327</v>
      </c>
      <c r="B330" s="169" t="s">
        <v>624</v>
      </c>
    </row>
    <row r="331" spans="1:2" x14ac:dyDescent="0.35">
      <c r="A331" s="168">
        <v>328</v>
      </c>
      <c r="B331" s="169" t="s">
        <v>625</v>
      </c>
    </row>
    <row r="332" spans="1:2" x14ac:dyDescent="0.35">
      <c r="A332" s="168">
        <v>329</v>
      </c>
      <c r="B332" s="169" t="s">
        <v>626</v>
      </c>
    </row>
    <row r="333" spans="1:2" x14ac:dyDescent="0.35">
      <c r="A333" s="168">
        <v>330</v>
      </c>
      <c r="B333" s="169" t="s">
        <v>627</v>
      </c>
    </row>
    <row r="334" spans="1:2" x14ac:dyDescent="0.35">
      <c r="A334" s="168">
        <v>331</v>
      </c>
      <c r="B334" s="169" t="s">
        <v>628</v>
      </c>
    </row>
    <row r="335" spans="1:2" x14ac:dyDescent="0.35">
      <c r="A335" s="168">
        <v>332</v>
      </c>
      <c r="B335" s="169" t="s">
        <v>629</v>
      </c>
    </row>
    <row r="336" spans="1:2" x14ac:dyDescent="0.35">
      <c r="A336" s="168">
        <v>333</v>
      </c>
      <c r="B336" s="169" t="s">
        <v>630</v>
      </c>
    </row>
    <row r="337" spans="1:2" x14ac:dyDescent="0.35">
      <c r="A337" s="168">
        <v>334</v>
      </c>
      <c r="B337" s="169" t="s">
        <v>631</v>
      </c>
    </row>
    <row r="338" spans="1:2" x14ac:dyDescent="0.35">
      <c r="A338" s="168">
        <v>335</v>
      </c>
      <c r="B338" s="169" t="s">
        <v>632</v>
      </c>
    </row>
    <row r="339" spans="1:2" x14ac:dyDescent="0.35">
      <c r="A339" s="168">
        <v>336</v>
      </c>
      <c r="B339" s="169" t="s">
        <v>633</v>
      </c>
    </row>
    <row r="340" spans="1:2" x14ac:dyDescent="0.35">
      <c r="A340" s="168">
        <v>337</v>
      </c>
      <c r="B340" s="169" t="s">
        <v>634</v>
      </c>
    </row>
    <row r="341" spans="1:2" x14ac:dyDescent="0.35">
      <c r="A341" s="168">
        <v>338</v>
      </c>
      <c r="B341" s="169" t="s">
        <v>635</v>
      </c>
    </row>
    <row r="342" spans="1:2" x14ac:dyDescent="0.35">
      <c r="A342" s="168">
        <v>339</v>
      </c>
      <c r="B342" s="169" t="s">
        <v>636</v>
      </c>
    </row>
    <row r="343" spans="1:2" x14ac:dyDescent="0.35">
      <c r="A343" s="168">
        <v>340</v>
      </c>
      <c r="B343" s="169" t="s">
        <v>637</v>
      </c>
    </row>
    <row r="344" spans="1:2" x14ac:dyDescent="0.35">
      <c r="A344" s="168">
        <v>341</v>
      </c>
      <c r="B344" s="169" t="s">
        <v>638</v>
      </c>
    </row>
    <row r="345" spans="1:2" x14ac:dyDescent="0.35">
      <c r="A345" s="168">
        <v>342</v>
      </c>
      <c r="B345" s="169" t="s">
        <v>639</v>
      </c>
    </row>
    <row r="346" spans="1:2" x14ac:dyDescent="0.35">
      <c r="A346" s="168">
        <v>343</v>
      </c>
      <c r="B346" s="169" t="s">
        <v>640</v>
      </c>
    </row>
    <row r="347" spans="1:2" x14ac:dyDescent="0.35">
      <c r="A347" s="168">
        <v>344</v>
      </c>
      <c r="B347" s="169" t="s">
        <v>641</v>
      </c>
    </row>
    <row r="348" spans="1:2" x14ac:dyDescent="0.35">
      <c r="A348" s="168">
        <v>345</v>
      </c>
      <c r="B348" s="169" t="s">
        <v>642</v>
      </c>
    </row>
    <row r="349" spans="1:2" x14ac:dyDescent="0.35">
      <c r="A349" s="168">
        <v>346</v>
      </c>
      <c r="B349" s="169" t="s">
        <v>643</v>
      </c>
    </row>
    <row r="350" spans="1:2" x14ac:dyDescent="0.35">
      <c r="A350" s="168">
        <v>347</v>
      </c>
      <c r="B350" s="169" t="s">
        <v>644</v>
      </c>
    </row>
    <row r="351" spans="1:2" x14ac:dyDescent="0.35">
      <c r="A351" s="168">
        <v>348</v>
      </c>
      <c r="B351" s="169" t="s">
        <v>645</v>
      </c>
    </row>
    <row r="352" spans="1:2" x14ac:dyDescent="0.35">
      <c r="A352" s="168">
        <v>349</v>
      </c>
      <c r="B352" s="169" t="s">
        <v>646</v>
      </c>
    </row>
    <row r="353" spans="1:2" x14ac:dyDescent="0.35">
      <c r="A353" s="168">
        <v>350</v>
      </c>
      <c r="B353" s="169" t="s">
        <v>647</v>
      </c>
    </row>
    <row r="354" spans="1:2" x14ac:dyDescent="0.35">
      <c r="A354" s="168">
        <v>351</v>
      </c>
      <c r="B354" s="169" t="s">
        <v>648</v>
      </c>
    </row>
    <row r="355" spans="1:2" x14ac:dyDescent="0.35">
      <c r="A355" s="168">
        <v>352</v>
      </c>
      <c r="B355" s="169" t="s">
        <v>649</v>
      </c>
    </row>
    <row r="356" spans="1:2" x14ac:dyDescent="0.35">
      <c r="A356" s="168">
        <v>353</v>
      </c>
      <c r="B356" s="169" t="s">
        <v>650</v>
      </c>
    </row>
    <row r="357" spans="1:2" x14ac:dyDescent="0.35">
      <c r="A357" s="168">
        <v>354</v>
      </c>
      <c r="B357" s="169" t="s">
        <v>651</v>
      </c>
    </row>
    <row r="358" spans="1:2" x14ac:dyDescent="0.35">
      <c r="A358" s="168">
        <v>355</v>
      </c>
      <c r="B358" s="169" t="s">
        <v>652</v>
      </c>
    </row>
    <row r="359" spans="1:2" x14ac:dyDescent="0.35">
      <c r="A359" s="168">
        <v>356</v>
      </c>
      <c r="B359" s="169" t="s">
        <v>653</v>
      </c>
    </row>
    <row r="360" spans="1:2" x14ac:dyDescent="0.35">
      <c r="A360" s="168">
        <v>357</v>
      </c>
      <c r="B360" s="169" t="s">
        <v>654</v>
      </c>
    </row>
    <row r="361" spans="1:2" x14ac:dyDescent="0.35">
      <c r="A361" s="168">
        <v>358</v>
      </c>
      <c r="B361" s="169" t="s">
        <v>655</v>
      </c>
    </row>
    <row r="362" spans="1:2" x14ac:dyDescent="0.35">
      <c r="A362" s="168">
        <v>359</v>
      </c>
      <c r="B362" s="169" t="s">
        <v>656</v>
      </c>
    </row>
    <row r="363" spans="1:2" x14ac:dyDescent="0.35">
      <c r="A363" s="168">
        <v>360</v>
      </c>
      <c r="B363" s="169" t="s">
        <v>657</v>
      </c>
    </row>
    <row r="364" spans="1:2" x14ac:dyDescent="0.35">
      <c r="A364" s="168">
        <v>361</v>
      </c>
      <c r="B364" s="169" t="s">
        <v>658</v>
      </c>
    </row>
    <row r="365" spans="1:2" x14ac:dyDescent="0.35">
      <c r="A365" s="168">
        <v>362</v>
      </c>
      <c r="B365" s="169" t="s">
        <v>659</v>
      </c>
    </row>
    <row r="366" spans="1:2" x14ac:dyDescent="0.35">
      <c r="A366" s="168">
        <v>363</v>
      </c>
      <c r="B366" s="169" t="s">
        <v>660</v>
      </c>
    </row>
    <row r="367" spans="1:2" x14ac:dyDescent="0.35">
      <c r="A367" s="168">
        <v>364</v>
      </c>
      <c r="B367" s="169" t="s">
        <v>661</v>
      </c>
    </row>
    <row r="368" spans="1:2" x14ac:dyDescent="0.35">
      <c r="A368" s="168">
        <v>365</v>
      </c>
      <c r="B368" s="169" t="s">
        <v>662</v>
      </c>
    </row>
    <row r="369" spans="1:2" x14ac:dyDescent="0.35">
      <c r="A369" s="168">
        <v>366</v>
      </c>
      <c r="B369" s="169" t="s">
        <v>663</v>
      </c>
    </row>
    <row r="370" spans="1:2" x14ac:dyDescent="0.35">
      <c r="A370" s="168">
        <v>367</v>
      </c>
      <c r="B370" s="169" t="s">
        <v>664</v>
      </c>
    </row>
    <row r="371" spans="1:2" x14ac:dyDescent="0.35">
      <c r="A371" s="168">
        <v>368</v>
      </c>
      <c r="B371" s="169" t="s">
        <v>665</v>
      </c>
    </row>
    <row r="372" spans="1:2" x14ac:dyDescent="0.35">
      <c r="A372" s="168">
        <v>369</v>
      </c>
      <c r="B372" s="169" t="s">
        <v>666</v>
      </c>
    </row>
    <row r="373" spans="1:2" x14ac:dyDescent="0.35">
      <c r="A373" s="168">
        <v>370</v>
      </c>
      <c r="B373" s="169" t="s">
        <v>667</v>
      </c>
    </row>
    <row r="374" spans="1:2" x14ac:dyDescent="0.35">
      <c r="A374" s="168">
        <v>371</v>
      </c>
      <c r="B374" s="169" t="s">
        <v>668</v>
      </c>
    </row>
    <row r="375" spans="1:2" x14ac:dyDescent="0.35">
      <c r="A375" s="168">
        <v>372</v>
      </c>
      <c r="B375" s="169" t="s">
        <v>669</v>
      </c>
    </row>
    <row r="376" spans="1:2" x14ac:dyDescent="0.35">
      <c r="A376" s="168">
        <v>373</v>
      </c>
      <c r="B376" s="169" t="s">
        <v>670</v>
      </c>
    </row>
    <row r="377" spans="1:2" x14ac:dyDescent="0.35">
      <c r="A377" s="168">
        <v>374</v>
      </c>
      <c r="B377" s="169" t="s">
        <v>671</v>
      </c>
    </row>
    <row r="378" spans="1:2" x14ac:dyDescent="0.35">
      <c r="A378" s="168">
        <v>375</v>
      </c>
      <c r="B378" s="169" t="s">
        <v>672</v>
      </c>
    </row>
    <row r="379" spans="1:2" x14ac:dyDescent="0.35">
      <c r="A379" s="168">
        <v>376</v>
      </c>
      <c r="B379" s="169" t="s">
        <v>673</v>
      </c>
    </row>
    <row r="380" spans="1:2" x14ac:dyDescent="0.35">
      <c r="A380" s="168">
        <v>377</v>
      </c>
      <c r="B380" s="169" t="s">
        <v>674</v>
      </c>
    </row>
    <row r="381" spans="1:2" x14ac:dyDescent="0.35">
      <c r="A381" s="168">
        <v>378</v>
      </c>
      <c r="B381" s="169" t="s">
        <v>675</v>
      </c>
    </row>
    <row r="382" spans="1:2" x14ac:dyDescent="0.35">
      <c r="A382" s="168">
        <v>379</v>
      </c>
      <c r="B382" s="169" t="s">
        <v>676</v>
      </c>
    </row>
    <row r="383" spans="1:2" x14ac:dyDescent="0.35">
      <c r="A383" s="168">
        <v>380</v>
      </c>
      <c r="B383" s="169" t="s">
        <v>677</v>
      </c>
    </row>
    <row r="384" spans="1:2" x14ac:dyDescent="0.35">
      <c r="A384" s="168">
        <v>381</v>
      </c>
      <c r="B384" s="169" t="s">
        <v>678</v>
      </c>
    </row>
    <row r="385" spans="1:2" x14ac:dyDescent="0.35">
      <c r="A385" s="168">
        <v>382</v>
      </c>
      <c r="B385" s="169" t="s">
        <v>679</v>
      </c>
    </row>
    <row r="386" spans="1:2" x14ac:dyDescent="0.35">
      <c r="A386" s="168">
        <v>383</v>
      </c>
      <c r="B386" s="169" t="s">
        <v>680</v>
      </c>
    </row>
    <row r="387" spans="1:2" x14ac:dyDescent="0.35">
      <c r="A387" s="168">
        <v>384</v>
      </c>
      <c r="B387" s="169" t="s">
        <v>681</v>
      </c>
    </row>
    <row r="388" spans="1:2" x14ac:dyDescent="0.35">
      <c r="A388" s="168">
        <v>385</v>
      </c>
      <c r="B388" s="169" t="s">
        <v>682</v>
      </c>
    </row>
    <row r="389" spans="1:2" x14ac:dyDescent="0.35">
      <c r="A389" s="168">
        <v>386</v>
      </c>
      <c r="B389" s="169" t="s">
        <v>683</v>
      </c>
    </row>
    <row r="390" spans="1:2" x14ac:dyDescent="0.35">
      <c r="A390" s="168">
        <v>387</v>
      </c>
      <c r="B390" s="169" t="s">
        <v>684</v>
      </c>
    </row>
    <row r="391" spans="1:2" x14ac:dyDescent="0.35">
      <c r="A391" s="168">
        <v>388</v>
      </c>
      <c r="B391" s="169" t="s">
        <v>685</v>
      </c>
    </row>
    <row r="392" spans="1:2" x14ac:dyDescent="0.35">
      <c r="A392" s="168">
        <v>389</v>
      </c>
      <c r="B392" s="169" t="s">
        <v>686</v>
      </c>
    </row>
    <row r="393" spans="1:2" x14ac:dyDescent="0.35">
      <c r="A393" s="168">
        <v>390</v>
      </c>
      <c r="B393" s="169" t="s">
        <v>687</v>
      </c>
    </row>
    <row r="394" spans="1:2" x14ac:dyDescent="0.35">
      <c r="A394" s="168">
        <v>391</v>
      </c>
      <c r="B394" s="169" t="s">
        <v>688</v>
      </c>
    </row>
    <row r="395" spans="1:2" x14ac:dyDescent="0.35">
      <c r="A395" s="168">
        <v>392</v>
      </c>
      <c r="B395" s="169" t="s">
        <v>689</v>
      </c>
    </row>
    <row r="396" spans="1:2" x14ac:dyDescent="0.35">
      <c r="A396" s="168">
        <v>393</v>
      </c>
      <c r="B396" s="169" t="s">
        <v>690</v>
      </c>
    </row>
    <row r="397" spans="1:2" x14ac:dyDescent="0.35">
      <c r="A397" s="168">
        <v>394</v>
      </c>
      <c r="B397" s="169" t="s">
        <v>691</v>
      </c>
    </row>
    <row r="398" spans="1:2" x14ac:dyDescent="0.35">
      <c r="A398" s="168">
        <v>395</v>
      </c>
      <c r="B398" s="169" t="s">
        <v>692</v>
      </c>
    </row>
    <row r="399" spans="1:2" x14ac:dyDescent="0.35">
      <c r="A399" s="168">
        <v>396</v>
      </c>
      <c r="B399" s="169" t="s">
        <v>693</v>
      </c>
    </row>
    <row r="400" spans="1:2" x14ac:dyDescent="0.35">
      <c r="A400" s="168">
        <v>397</v>
      </c>
      <c r="B400" s="169" t="s">
        <v>694</v>
      </c>
    </row>
    <row r="401" spans="1:2" x14ac:dyDescent="0.35">
      <c r="A401" s="168">
        <v>398</v>
      </c>
      <c r="B401" s="169" t="s">
        <v>695</v>
      </c>
    </row>
    <row r="402" spans="1:2" x14ac:dyDescent="0.35">
      <c r="A402" s="168">
        <v>399</v>
      </c>
      <c r="B402" s="169" t="s">
        <v>696</v>
      </c>
    </row>
    <row r="403" spans="1:2" x14ac:dyDescent="0.35">
      <c r="A403" s="168">
        <v>400</v>
      </c>
      <c r="B403" s="169" t="s">
        <v>697</v>
      </c>
    </row>
    <row r="404" spans="1:2" x14ac:dyDescent="0.35">
      <c r="A404" s="168">
        <v>401</v>
      </c>
      <c r="B404" s="169" t="s">
        <v>698</v>
      </c>
    </row>
    <row r="405" spans="1:2" x14ac:dyDescent="0.35">
      <c r="A405" s="168">
        <v>402</v>
      </c>
      <c r="B405" s="169" t="s">
        <v>699</v>
      </c>
    </row>
    <row r="406" spans="1:2" x14ac:dyDescent="0.35">
      <c r="A406" s="168">
        <v>403</v>
      </c>
      <c r="B406" s="169" t="s">
        <v>700</v>
      </c>
    </row>
    <row r="407" spans="1:2" x14ac:dyDescent="0.35">
      <c r="A407" s="168">
        <v>404</v>
      </c>
      <c r="B407" s="169" t="s">
        <v>701</v>
      </c>
    </row>
    <row r="408" spans="1:2" x14ac:dyDescent="0.35">
      <c r="A408" s="168">
        <v>405</v>
      </c>
      <c r="B408" s="169" t="s">
        <v>702</v>
      </c>
    </row>
    <row r="409" spans="1:2" x14ac:dyDescent="0.35">
      <c r="A409" s="168">
        <v>406</v>
      </c>
      <c r="B409" s="169" t="s">
        <v>703</v>
      </c>
    </row>
    <row r="410" spans="1:2" x14ac:dyDescent="0.35">
      <c r="A410" s="168">
        <v>407</v>
      </c>
      <c r="B410" s="169" t="s">
        <v>704</v>
      </c>
    </row>
    <row r="411" spans="1:2" x14ac:dyDescent="0.35">
      <c r="A411" s="168">
        <v>408</v>
      </c>
      <c r="B411" s="169" t="s">
        <v>705</v>
      </c>
    </row>
    <row r="412" spans="1:2" x14ac:dyDescent="0.35">
      <c r="A412" s="168">
        <v>409</v>
      </c>
      <c r="B412" s="169" t="s">
        <v>706</v>
      </c>
    </row>
    <row r="413" spans="1:2" x14ac:dyDescent="0.35">
      <c r="A413" s="168">
        <v>410</v>
      </c>
      <c r="B413" s="169" t="s">
        <v>707</v>
      </c>
    </row>
    <row r="414" spans="1:2" x14ac:dyDescent="0.35">
      <c r="A414" s="168">
        <v>411</v>
      </c>
      <c r="B414" s="169" t="s">
        <v>708</v>
      </c>
    </row>
    <row r="415" spans="1:2" x14ac:dyDescent="0.35">
      <c r="A415" s="168">
        <v>412</v>
      </c>
      <c r="B415" s="169" t="s">
        <v>709</v>
      </c>
    </row>
    <row r="416" spans="1:2" x14ac:dyDescent="0.35">
      <c r="A416" s="168">
        <v>413</v>
      </c>
      <c r="B416" s="169" t="s">
        <v>710</v>
      </c>
    </row>
    <row r="417" spans="1:2" x14ac:dyDescent="0.35">
      <c r="A417" s="168">
        <v>414</v>
      </c>
      <c r="B417" s="169" t="s">
        <v>711</v>
      </c>
    </row>
    <row r="418" spans="1:2" x14ac:dyDescent="0.35">
      <c r="A418" s="168">
        <v>415</v>
      </c>
      <c r="B418" s="169" t="s">
        <v>712</v>
      </c>
    </row>
    <row r="419" spans="1:2" x14ac:dyDescent="0.35">
      <c r="A419" s="168">
        <v>416</v>
      </c>
      <c r="B419" s="169" t="s">
        <v>713</v>
      </c>
    </row>
    <row r="420" spans="1:2" x14ac:dyDescent="0.35">
      <c r="A420" s="168">
        <v>417</v>
      </c>
      <c r="B420" s="169" t="s">
        <v>714</v>
      </c>
    </row>
    <row r="421" spans="1:2" x14ac:dyDescent="0.35">
      <c r="A421" s="168">
        <v>418</v>
      </c>
      <c r="B421" s="169" t="s">
        <v>715</v>
      </c>
    </row>
    <row r="422" spans="1:2" x14ac:dyDescent="0.35">
      <c r="A422" s="168">
        <v>419</v>
      </c>
      <c r="B422" s="169" t="s">
        <v>716</v>
      </c>
    </row>
    <row r="423" spans="1:2" x14ac:dyDescent="0.35">
      <c r="A423" s="168">
        <v>420</v>
      </c>
      <c r="B423" s="169" t="s">
        <v>717</v>
      </c>
    </row>
    <row r="424" spans="1:2" x14ac:dyDescent="0.35">
      <c r="A424" s="168">
        <v>421</v>
      </c>
      <c r="B424" s="169" t="s">
        <v>718</v>
      </c>
    </row>
    <row r="425" spans="1:2" x14ac:dyDescent="0.35">
      <c r="A425" s="168">
        <v>422</v>
      </c>
      <c r="B425" s="169" t="s">
        <v>719</v>
      </c>
    </row>
    <row r="426" spans="1:2" x14ac:dyDescent="0.35">
      <c r="A426" s="168">
        <v>423</v>
      </c>
      <c r="B426" s="169" t="s">
        <v>720</v>
      </c>
    </row>
    <row r="427" spans="1:2" x14ac:dyDescent="0.35">
      <c r="A427" s="168">
        <v>424</v>
      </c>
      <c r="B427" s="169" t="s">
        <v>721</v>
      </c>
    </row>
    <row r="428" spans="1:2" x14ac:dyDescent="0.35">
      <c r="A428" s="168">
        <v>425</v>
      </c>
      <c r="B428" s="169" t="s">
        <v>722</v>
      </c>
    </row>
    <row r="429" spans="1:2" x14ac:dyDescent="0.35">
      <c r="A429" s="168">
        <v>426</v>
      </c>
      <c r="B429" s="169" t="s">
        <v>723</v>
      </c>
    </row>
    <row r="430" spans="1:2" x14ac:dyDescent="0.35">
      <c r="A430" s="168">
        <v>427</v>
      </c>
      <c r="B430" s="169" t="s">
        <v>724</v>
      </c>
    </row>
    <row r="431" spans="1:2" x14ac:dyDescent="0.35">
      <c r="A431" s="168">
        <v>428</v>
      </c>
      <c r="B431" s="169" t="s">
        <v>725</v>
      </c>
    </row>
    <row r="432" spans="1:2" x14ac:dyDescent="0.35">
      <c r="A432" s="168">
        <v>429</v>
      </c>
      <c r="B432" s="169" t="s">
        <v>726</v>
      </c>
    </row>
    <row r="433" spans="1:2" x14ac:dyDescent="0.35">
      <c r="A433" s="168">
        <v>430</v>
      </c>
      <c r="B433" s="169" t="s">
        <v>727</v>
      </c>
    </row>
    <row r="434" spans="1:2" x14ac:dyDescent="0.35">
      <c r="A434" s="168">
        <v>431</v>
      </c>
      <c r="B434" s="169" t="s">
        <v>728</v>
      </c>
    </row>
    <row r="435" spans="1:2" x14ac:dyDescent="0.35">
      <c r="A435" s="168">
        <v>432</v>
      </c>
      <c r="B435" s="169" t="s">
        <v>729</v>
      </c>
    </row>
    <row r="436" spans="1:2" x14ac:dyDescent="0.35">
      <c r="A436" s="168">
        <v>433</v>
      </c>
      <c r="B436" s="169" t="s">
        <v>730</v>
      </c>
    </row>
    <row r="437" spans="1:2" x14ac:dyDescent="0.35">
      <c r="A437" s="168">
        <v>434</v>
      </c>
      <c r="B437" s="169" t="s">
        <v>731</v>
      </c>
    </row>
    <row r="438" spans="1:2" x14ac:dyDescent="0.35">
      <c r="A438" s="168">
        <v>435</v>
      </c>
      <c r="B438" s="169" t="s">
        <v>732</v>
      </c>
    </row>
    <row r="439" spans="1:2" x14ac:dyDescent="0.35">
      <c r="A439" s="168">
        <v>436</v>
      </c>
      <c r="B439" s="169" t="s">
        <v>733</v>
      </c>
    </row>
    <row r="440" spans="1:2" x14ac:dyDescent="0.35">
      <c r="A440" s="168">
        <v>437</v>
      </c>
      <c r="B440" s="169" t="s">
        <v>734</v>
      </c>
    </row>
    <row r="441" spans="1:2" x14ac:dyDescent="0.35">
      <c r="A441" s="168">
        <v>438</v>
      </c>
      <c r="B441" s="169" t="s">
        <v>735</v>
      </c>
    </row>
    <row r="442" spans="1:2" x14ac:dyDescent="0.35">
      <c r="A442" s="168">
        <v>439</v>
      </c>
      <c r="B442" s="169" t="s">
        <v>736</v>
      </c>
    </row>
    <row r="443" spans="1:2" x14ac:dyDescent="0.35">
      <c r="A443" s="168">
        <v>440</v>
      </c>
      <c r="B443" s="169" t="s">
        <v>737</v>
      </c>
    </row>
    <row r="444" spans="1:2" x14ac:dyDescent="0.35">
      <c r="A444" s="168">
        <v>441</v>
      </c>
      <c r="B444" s="169" t="s">
        <v>738</v>
      </c>
    </row>
    <row r="445" spans="1:2" x14ac:dyDescent="0.35">
      <c r="A445" s="168">
        <v>442</v>
      </c>
      <c r="B445" s="169" t="s">
        <v>739</v>
      </c>
    </row>
    <row r="446" spans="1:2" x14ac:dyDescent="0.35">
      <c r="A446" s="168">
        <v>443</v>
      </c>
      <c r="B446" s="169" t="s">
        <v>740</v>
      </c>
    </row>
    <row r="447" spans="1:2" x14ac:dyDescent="0.35">
      <c r="A447" s="168">
        <v>444</v>
      </c>
      <c r="B447" s="169" t="s">
        <v>741</v>
      </c>
    </row>
    <row r="448" spans="1:2" x14ac:dyDescent="0.35">
      <c r="A448" s="168">
        <v>445</v>
      </c>
      <c r="B448" s="169" t="s">
        <v>742</v>
      </c>
    </row>
    <row r="449" spans="1:2" x14ac:dyDescent="0.35">
      <c r="A449" s="168">
        <v>446</v>
      </c>
      <c r="B449" s="169" t="s">
        <v>743</v>
      </c>
    </row>
    <row r="450" spans="1:2" x14ac:dyDescent="0.35">
      <c r="A450" s="168">
        <v>447</v>
      </c>
      <c r="B450" s="169" t="s">
        <v>744</v>
      </c>
    </row>
    <row r="451" spans="1:2" x14ac:dyDescent="0.35">
      <c r="A451" s="168">
        <v>448</v>
      </c>
      <c r="B451" s="169" t="s">
        <v>745</v>
      </c>
    </row>
    <row r="452" spans="1:2" x14ac:dyDescent="0.35">
      <c r="A452" s="168">
        <v>449</v>
      </c>
      <c r="B452" s="169" t="s">
        <v>746</v>
      </c>
    </row>
    <row r="453" spans="1:2" x14ac:dyDescent="0.35">
      <c r="A453" s="168">
        <v>450</v>
      </c>
      <c r="B453" s="169" t="s">
        <v>747</v>
      </c>
    </row>
    <row r="454" spans="1:2" x14ac:dyDescent="0.35">
      <c r="A454" s="168">
        <v>451</v>
      </c>
      <c r="B454" s="169" t="s">
        <v>748</v>
      </c>
    </row>
    <row r="455" spans="1:2" x14ac:dyDescent="0.35">
      <c r="A455" s="168">
        <v>452</v>
      </c>
      <c r="B455" s="169" t="s">
        <v>749</v>
      </c>
    </row>
    <row r="456" spans="1:2" x14ac:dyDescent="0.35">
      <c r="A456" s="168">
        <v>453</v>
      </c>
      <c r="B456" s="169" t="s">
        <v>750</v>
      </c>
    </row>
    <row r="457" spans="1:2" x14ac:dyDescent="0.35">
      <c r="A457" s="168">
        <v>454</v>
      </c>
      <c r="B457" s="169" t="s">
        <v>751</v>
      </c>
    </row>
    <row r="458" spans="1:2" x14ac:dyDescent="0.35">
      <c r="A458" s="168">
        <v>455</v>
      </c>
      <c r="B458" s="169" t="s">
        <v>752</v>
      </c>
    </row>
    <row r="459" spans="1:2" x14ac:dyDescent="0.35">
      <c r="A459" s="168">
        <v>456</v>
      </c>
      <c r="B459" s="169" t="s">
        <v>753</v>
      </c>
    </row>
    <row r="460" spans="1:2" x14ac:dyDescent="0.35">
      <c r="A460" s="168">
        <v>457</v>
      </c>
      <c r="B460" s="169" t="s">
        <v>754</v>
      </c>
    </row>
    <row r="461" spans="1:2" x14ac:dyDescent="0.35">
      <c r="A461" s="168">
        <v>458</v>
      </c>
      <c r="B461" s="169" t="s">
        <v>755</v>
      </c>
    </row>
    <row r="462" spans="1:2" x14ac:dyDescent="0.35">
      <c r="A462" s="168">
        <v>459</v>
      </c>
      <c r="B462" s="169" t="s">
        <v>756</v>
      </c>
    </row>
    <row r="463" spans="1:2" x14ac:dyDescent="0.35">
      <c r="A463" s="168">
        <v>460</v>
      </c>
      <c r="B463" s="169" t="s">
        <v>757</v>
      </c>
    </row>
    <row r="464" spans="1:2" x14ac:dyDescent="0.35">
      <c r="A464" s="168">
        <v>461</v>
      </c>
      <c r="B464" s="169" t="s">
        <v>758</v>
      </c>
    </row>
    <row r="465" spans="1:2" x14ac:dyDescent="0.35">
      <c r="A465" s="168">
        <v>462</v>
      </c>
      <c r="B465" s="169" t="s">
        <v>759</v>
      </c>
    </row>
    <row r="466" spans="1:2" x14ac:dyDescent="0.35">
      <c r="A466" s="168">
        <v>463</v>
      </c>
      <c r="B466" s="169" t="s">
        <v>760</v>
      </c>
    </row>
    <row r="467" spans="1:2" x14ac:dyDescent="0.35">
      <c r="A467" s="168">
        <v>464</v>
      </c>
      <c r="B467" s="169" t="s">
        <v>761</v>
      </c>
    </row>
    <row r="468" spans="1:2" x14ac:dyDescent="0.35">
      <c r="A468" s="168">
        <v>465</v>
      </c>
      <c r="B468" s="169" t="s">
        <v>762</v>
      </c>
    </row>
    <row r="469" spans="1:2" x14ac:dyDescent="0.35">
      <c r="A469" s="168">
        <v>466</v>
      </c>
      <c r="B469" s="169" t="s">
        <v>763</v>
      </c>
    </row>
    <row r="470" spans="1:2" x14ac:dyDescent="0.35">
      <c r="A470" s="168">
        <v>467</v>
      </c>
      <c r="B470" s="169" t="s">
        <v>764</v>
      </c>
    </row>
    <row r="471" spans="1:2" x14ac:dyDescent="0.35">
      <c r="A471" s="168">
        <v>468</v>
      </c>
      <c r="B471" s="169" t="s">
        <v>765</v>
      </c>
    </row>
    <row r="472" spans="1:2" x14ac:dyDescent="0.35">
      <c r="A472" s="168">
        <v>469</v>
      </c>
      <c r="B472" s="169" t="s">
        <v>766</v>
      </c>
    </row>
    <row r="473" spans="1:2" x14ac:dyDescent="0.35">
      <c r="A473" s="168">
        <v>470</v>
      </c>
      <c r="B473" s="169" t="s">
        <v>767</v>
      </c>
    </row>
    <row r="474" spans="1:2" x14ac:dyDescent="0.35">
      <c r="A474" s="168">
        <v>471</v>
      </c>
      <c r="B474" s="169" t="s">
        <v>768</v>
      </c>
    </row>
    <row r="475" spans="1:2" x14ac:dyDescent="0.35">
      <c r="A475" s="168">
        <v>472</v>
      </c>
      <c r="B475" s="169" t="s">
        <v>769</v>
      </c>
    </row>
    <row r="476" spans="1:2" x14ac:dyDescent="0.35">
      <c r="A476" s="168">
        <v>473</v>
      </c>
      <c r="B476" s="169" t="s">
        <v>770</v>
      </c>
    </row>
    <row r="477" spans="1:2" x14ac:dyDescent="0.35">
      <c r="A477" s="168">
        <v>474</v>
      </c>
      <c r="B477" s="169" t="s">
        <v>771</v>
      </c>
    </row>
    <row r="478" spans="1:2" x14ac:dyDescent="0.35">
      <c r="A478" s="168">
        <v>475</v>
      </c>
      <c r="B478" s="169" t="s">
        <v>772</v>
      </c>
    </row>
    <row r="479" spans="1:2" x14ac:dyDescent="0.35">
      <c r="A479" s="168">
        <v>476</v>
      </c>
      <c r="B479" s="169" t="s">
        <v>773</v>
      </c>
    </row>
    <row r="480" spans="1:2" x14ac:dyDescent="0.35">
      <c r="A480" s="168">
        <v>477</v>
      </c>
      <c r="B480" s="169" t="s">
        <v>774</v>
      </c>
    </row>
    <row r="481" spans="1:2" x14ac:dyDescent="0.35">
      <c r="A481" s="168">
        <v>478</v>
      </c>
      <c r="B481" s="169" t="s">
        <v>775</v>
      </c>
    </row>
    <row r="482" spans="1:2" x14ac:dyDescent="0.35">
      <c r="A482" s="168">
        <v>479</v>
      </c>
      <c r="B482" s="169" t="s">
        <v>776</v>
      </c>
    </row>
    <row r="483" spans="1:2" x14ac:dyDescent="0.35">
      <c r="A483" s="168">
        <v>480</v>
      </c>
      <c r="B483" s="169" t="s">
        <v>777</v>
      </c>
    </row>
    <row r="484" spans="1:2" x14ac:dyDescent="0.35">
      <c r="A484" s="168">
        <v>481</v>
      </c>
      <c r="B484" s="169" t="s">
        <v>778</v>
      </c>
    </row>
    <row r="485" spans="1:2" x14ac:dyDescent="0.35">
      <c r="A485" s="168">
        <v>482</v>
      </c>
      <c r="B485" s="169" t="s">
        <v>779</v>
      </c>
    </row>
    <row r="486" spans="1:2" x14ac:dyDescent="0.35">
      <c r="A486" s="168">
        <v>483</v>
      </c>
      <c r="B486" s="169" t="s">
        <v>780</v>
      </c>
    </row>
    <row r="487" spans="1:2" x14ac:dyDescent="0.35">
      <c r="A487" s="168">
        <v>484</v>
      </c>
      <c r="B487" s="169" t="s">
        <v>781</v>
      </c>
    </row>
    <row r="488" spans="1:2" x14ac:dyDescent="0.35">
      <c r="A488" s="168">
        <v>485</v>
      </c>
      <c r="B488" s="169" t="s">
        <v>782</v>
      </c>
    </row>
    <row r="489" spans="1:2" x14ac:dyDescent="0.35">
      <c r="A489" s="168">
        <v>486</v>
      </c>
      <c r="B489" s="169" t="s">
        <v>783</v>
      </c>
    </row>
    <row r="490" spans="1:2" x14ac:dyDescent="0.35">
      <c r="A490" s="168">
        <v>487</v>
      </c>
      <c r="B490" s="169" t="s">
        <v>784</v>
      </c>
    </row>
    <row r="491" spans="1:2" x14ac:dyDescent="0.35">
      <c r="A491" s="168">
        <v>488</v>
      </c>
      <c r="B491" s="169" t="s">
        <v>785</v>
      </c>
    </row>
    <row r="492" spans="1:2" x14ac:dyDescent="0.35">
      <c r="A492" s="168">
        <v>489</v>
      </c>
      <c r="B492" s="169" t="s">
        <v>786</v>
      </c>
    </row>
    <row r="493" spans="1:2" x14ac:dyDescent="0.35">
      <c r="A493" s="168">
        <v>490</v>
      </c>
      <c r="B493" s="169" t="s">
        <v>787</v>
      </c>
    </row>
    <row r="494" spans="1:2" x14ac:dyDescent="0.35">
      <c r="A494" s="168">
        <v>491</v>
      </c>
      <c r="B494" s="169" t="s">
        <v>788</v>
      </c>
    </row>
    <row r="495" spans="1:2" x14ac:dyDescent="0.35">
      <c r="A495" s="168">
        <v>492</v>
      </c>
      <c r="B495" s="169" t="s">
        <v>789</v>
      </c>
    </row>
    <row r="496" spans="1:2" x14ac:dyDescent="0.35">
      <c r="A496" s="168">
        <v>493</v>
      </c>
      <c r="B496" s="169" t="s">
        <v>790</v>
      </c>
    </row>
    <row r="497" spans="1:2" x14ac:dyDescent="0.35">
      <c r="A497" s="168">
        <v>494</v>
      </c>
      <c r="B497" s="169" t="s">
        <v>791</v>
      </c>
    </row>
    <row r="498" spans="1:2" x14ac:dyDescent="0.35">
      <c r="A498" s="168">
        <v>495</v>
      </c>
      <c r="B498" s="169" t="s">
        <v>792</v>
      </c>
    </row>
    <row r="499" spans="1:2" x14ac:dyDescent="0.35">
      <c r="A499" s="168">
        <v>496</v>
      </c>
      <c r="B499" s="169" t="s">
        <v>793</v>
      </c>
    </row>
    <row r="500" spans="1:2" x14ac:dyDescent="0.35">
      <c r="A500" s="168">
        <v>497</v>
      </c>
      <c r="B500" s="169" t="s">
        <v>794</v>
      </c>
    </row>
    <row r="501" spans="1:2" x14ac:dyDescent="0.35">
      <c r="A501" s="168">
        <v>498</v>
      </c>
      <c r="B501" s="169" t="s">
        <v>795</v>
      </c>
    </row>
    <row r="502" spans="1:2" x14ac:dyDescent="0.35">
      <c r="A502" s="168">
        <v>499</v>
      </c>
      <c r="B502" s="169" t="s">
        <v>796</v>
      </c>
    </row>
    <row r="503" spans="1:2" x14ac:dyDescent="0.35">
      <c r="A503" s="168">
        <v>500</v>
      </c>
      <c r="B503" s="169" t="s">
        <v>797</v>
      </c>
    </row>
    <row r="504" spans="1:2" x14ac:dyDescent="0.35">
      <c r="A504" s="168">
        <v>501</v>
      </c>
      <c r="B504" s="169" t="s">
        <v>798</v>
      </c>
    </row>
    <row r="505" spans="1:2" x14ac:dyDescent="0.35">
      <c r="A505" s="168">
        <v>502</v>
      </c>
      <c r="B505" s="169" t="s">
        <v>799</v>
      </c>
    </row>
    <row r="506" spans="1:2" x14ac:dyDescent="0.35">
      <c r="A506" s="168">
        <v>503</v>
      </c>
      <c r="B506" s="169" t="s">
        <v>800</v>
      </c>
    </row>
    <row r="507" spans="1:2" x14ac:dyDescent="0.35">
      <c r="A507" s="168">
        <v>504</v>
      </c>
      <c r="B507" s="169" t="s">
        <v>801</v>
      </c>
    </row>
    <row r="508" spans="1:2" x14ac:dyDescent="0.35">
      <c r="A508" s="168">
        <v>505</v>
      </c>
      <c r="B508" s="169" t="s">
        <v>802</v>
      </c>
    </row>
    <row r="509" spans="1:2" x14ac:dyDescent="0.35">
      <c r="A509" s="168">
        <v>506</v>
      </c>
      <c r="B509" s="169" t="s">
        <v>803</v>
      </c>
    </row>
    <row r="510" spans="1:2" x14ac:dyDescent="0.35">
      <c r="A510" s="168">
        <v>507</v>
      </c>
      <c r="B510" s="169" t="s">
        <v>804</v>
      </c>
    </row>
    <row r="511" spans="1:2" x14ac:dyDescent="0.35">
      <c r="A511" s="168">
        <v>508</v>
      </c>
      <c r="B511" s="169" t="s">
        <v>805</v>
      </c>
    </row>
    <row r="512" spans="1:2" x14ac:dyDescent="0.35">
      <c r="A512" s="168">
        <v>509</v>
      </c>
      <c r="B512" s="169" t="s">
        <v>806</v>
      </c>
    </row>
    <row r="513" spans="1:2" x14ac:dyDescent="0.35">
      <c r="A513" s="168">
        <v>510</v>
      </c>
      <c r="B513" s="169" t="s">
        <v>807</v>
      </c>
    </row>
    <row r="514" spans="1:2" x14ac:dyDescent="0.35">
      <c r="A514" s="168">
        <v>511</v>
      </c>
      <c r="B514" s="169" t="s">
        <v>808</v>
      </c>
    </row>
    <row r="515" spans="1:2" x14ac:dyDescent="0.35">
      <c r="A515" s="168">
        <v>512</v>
      </c>
      <c r="B515" s="169" t="s">
        <v>809</v>
      </c>
    </row>
    <row r="516" spans="1:2" x14ac:dyDescent="0.35">
      <c r="A516" s="168">
        <v>513</v>
      </c>
      <c r="B516" s="169" t="s">
        <v>810</v>
      </c>
    </row>
    <row r="517" spans="1:2" x14ac:dyDescent="0.35">
      <c r="A517" s="168">
        <v>514</v>
      </c>
      <c r="B517" s="169" t="s">
        <v>811</v>
      </c>
    </row>
    <row r="518" spans="1:2" x14ac:dyDescent="0.35">
      <c r="A518" s="168">
        <v>515</v>
      </c>
      <c r="B518" s="169" t="s">
        <v>812</v>
      </c>
    </row>
    <row r="519" spans="1:2" x14ac:dyDescent="0.35">
      <c r="A519" s="168">
        <v>516</v>
      </c>
      <c r="B519" s="169" t="s">
        <v>813</v>
      </c>
    </row>
    <row r="520" spans="1:2" x14ac:dyDescent="0.35">
      <c r="A520" s="168">
        <v>517</v>
      </c>
      <c r="B520" s="169" t="s">
        <v>814</v>
      </c>
    </row>
    <row r="521" spans="1:2" x14ac:dyDescent="0.35">
      <c r="A521" s="168">
        <v>518</v>
      </c>
      <c r="B521" s="169" t="s">
        <v>815</v>
      </c>
    </row>
    <row r="522" spans="1:2" x14ac:dyDescent="0.35">
      <c r="A522" s="168">
        <v>519</v>
      </c>
      <c r="B522" s="169" t="s">
        <v>816</v>
      </c>
    </row>
    <row r="523" spans="1:2" x14ac:dyDescent="0.35">
      <c r="A523" s="168">
        <v>520</v>
      </c>
      <c r="B523" s="169" t="s">
        <v>817</v>
      </c>
    </row>
    <row r="524" spans="1:2" x14ac:dyDescent="0.35">
      <c r="A524" s="168">
        <v>521</v>
      </c>
      <c r="B524" s="169" t="s">
        <v>818</v>
      </c>
    </row>
    <row r="525" spans="1:2" x14ac:dyDescent="0.35">
      <c r="A525" s="168">
        <v>522</v>
      </c>
      <c r="B525" s="169" t="s">
        <v>819</v>
      </c>
    </row>
    <row r="526" spans="1:2" x14ac:dyDescent="0.35">
      <c r="A526" s="168">
        <v>523</v>
      </c>
      <c r="B526" s="169" t="s">
        <v>820</v>
      </c>
    </row>
    <row r="527" spans="1:2" x14ac:dyDescent="0.35">
      <c r="A527" s="168">
        <v>524</v>
      </c>
      <c r="B527" s="169" t="s">
        <v>821</v>
      </c>
    </row>
    <row r="528" spans="1:2" x14ac:dyDescent="0.35">
      <c r="A528" s="168">
        <v>525</v>
      </c>
      <c r="B528" s="169" t="s">
        <v>822</v>
      </c>
    </row>
    <row r="529" spans="1:2" x14ac:dyDescent="0.35">
      <c r="A529" s="168">
        <v>526</v>
      </c>
      <c r="B529" s="169" t="s">
        <v>823</v>
      </c>
    </row>
    <row r="530" spans="1:2" x14ac:dyDescent="0.35">
      <c r="A530" s="168">
        <v>527</v>
      </c>
      <c r="B530" s="169" t="s">
        <v>824</v>
      </c>
    </row>
    <row r="531" spans="1:2" x14ac:dyDescent="0.35">
      <c r="A531" s="168">
        <v>528</v>
      </c>
      <c r="B531" s="169" t="s">
        <v>825</v>
      </c>
    </row>
    <row r="532" spans="1:2" x14ac:dyDescent="0.35">
      <c r="A532" s="168">
        <v>529</v>
      </c>
      <c r="B532" s="169" t="s">
        <v>826</v>
      </c>
    </row>
    <row r="533" spans="1:2" x14ac:dyDescent="0.35">
      <c r="A533" s="168">
        <v>530</v>
      </c>
      <c r="B533" s="169" t="s">
        <v>827</v>
      </c>
    </row>
    <row r="534" spans="1:2" x14ac:dyDescent="0.35">
      <c r="A534" s="168">
        <v>531</v>
      </c>
      <c r="B534" s="169" t="s">
        <v>828</v>
      </c>
    </row>
    <row r="535" spans="1:2" x14ac:dyDescent="0.35">
      <c r="A535" s="168">
        <v>532</v>
      </c>
      <c r="B535" s="169" t="s">
        <v>829</v>
      </c>
    </row>
    <row r="536" spans="1:2" x14ac:dyDescent="0.35">
      <c r="A536" s="168">
        <v>533</v>
      </c>
      <c r="B536" s="169" t="s">
        <v>830</v>
      </c>
    </row>
    <row r="537" spans="1:2" x14ac:dyDescent="0.35">
      <c r="A537" s="168">
        <v>534</v>
      </c>
      <c r="B537" s="169" t="s">
        <v>831</v>
      </c>
    </row>
    <row r="538" spans="1:2" x14ac:dyDescent="0.35">
      <c r="A538" s="168">
        <v>535</v>
      </c>
      <c r="B538" s="169" t="s">
        <v>832</v>
      </c>
    </row>
    <row r="539" spans="1:2" x14ac:dyDescent="0.35">
      <c r="A539" s="168">
        <v>536</v>
      </c>
      <c r="B539" s="169" t="s">
        <v>833</v>
      </c>
    </row>
    <row r="540" spans="1:2" x14ac:dyDescent="0.35">
      <c r="A540" s="168">
        <v>537</v>
      </c>
      <c r="B540" s="169" t="s">
        <v>834</v>
      </c>
    </row>
    <row r="541" spans="1:2" x14ac:dyDescent="0.35">
      <c r="A541" s="168">
        <v>538</v>
      </c>
      <c r="B541" s="169" t="s">
        <v>835</v>
      </c>
    </row>
    <row r="542" spans="1:2" x14ac:dyDescent="0.35">
      <c r="A542" s="168">
        <v>539</v>
      </c>
      <c r="B542" s="169" t="s">
        <v>836</v>
      </c>
    </row>
    <row r="543" spans="1:2" x14ac:dyDescent="0.35">
      <c r="A543" s="168">
        <v>540</v>
      </c>
      <c r="B543" s="169" t="s">
        <v>837</v>
      </c>
    </row>
    <row r="544" spans="1:2" x14ac:dyDescent="0.35">
      <c r="A544" s="168">
        <v>541</v>
      </c>
      <c r="B544" s="169" t="s">
        <v>838</v>
      </c>
    </row>
    <row r="545" spans="1:2" x14ac:dyDescent="0.35">
      <c r="A545" s="168">
        <v>542</v>
      </c>
      <c r="B545" s="169" t="s">
        <v>839</v>
      </c>
    </row>
    <row r="546" spans="1:2" x14ac:dyDescent="0.35">
      <c r="A546" s="168">
        <v>543</v>
      </c>
      <c r="B546" s="169" t="s">
        <v>840</v>
      </c>
    </row>
    <row r="547" spans="1:2" x14ac:dyDescent="0.35">
      <c r="A547" s="168">
        <v>544</v>
      </c>
      <c r="B547" s="169" t="s">
        <v>841</v>
      </c>
    </row>
    <row r="548" spans="1:2" x14ac:dyDescent="0.35">
      <c r="A548" s="168">
        <v>545</v>
      </c>
      <c r="B548" s="169" t="s">
        <v>842</v>
      </c>
    </row>
    <row r="549" spans="1:2" x14ac:dyDescent="0.35">
      <c r="A549" s="168">
        <v>546</v>
      </c>
      <c r="B549" s="169" t="s">
        <v>843</v>
      </c>
    </row>
    <row r="550" spans="1:2" x14ac:dyDescent="0.35">
      <c r="A550" s="168">
        <v>547</v>
      </c>
      <c r="B550" s="169" t="s">
        <v>844</v>
      </c>
    </row>
    <row r="551" spans="1:2" x14ac:dyDescent="0.35">
      <c r="A551" s="168">
        <v>548</v>
      </c>
      <c r="B551" s="169" t="s">
        <v>845</v>
      </c>
    </row>
    <row r="552" spans="1:2" x14ac:dyDescent="0.35">
      <c r="A552" s="168">
        <v>549</v>
      </c>
      <c r="B552" s="169" t="s">
        <v>846</v>
      </c>
    </row>
    <row r="553" spans="1:2" x14ac:dyDescent="0.35">
      <c r="A553" s="168">
        <v>550</v>
      </c>
      <c r="B553" s="169" t="s">
        <v>847</v>
      </c>
    </row>
    <row r="554" spans="1:2" x14ac:dyDescent="0.35">
      <c r="A554" s="168">
        <v>551</v>
      </c>
      <c r="B554" s="169" t="s">
        <v>848</v>
      </c>
    </row>
    <row r="555" spans="1:2" x14ac:dyDescent="0.35">
      <c r="A555" s="168">
        <v>552</v>
      </c>
      <c r="B555" s="169" t="s">
        <v>849</v>
      </c>
    </row>
    <row r="556" spans="1:2" x14ac:dyDescent="0.35">
      <c r="A556" s="168">
        <v>553</v>
      </c>
      <c r="B556" s="169" t="s">
        <v>850</v>
      </c>
    </row>
    <row r="557" spans="1:2" x14ac:dyDescent="0.35">
      <c r="A557" s="168">
        <v>554</v>
      </c>
      <c r="B557" s="169" t="s">
        <v>851</v>
      </c>
    </row>
    <row r="558" spans="1:2" x14ac:dyDescent="0.35">
      <c r="A558" s="168">
        <v>555</v>
      </c>
      <c r="B558" s="169" t="s">
        <v>852</v>
      </c>
    </row>
    <row r="559" spans="1:2" x14ac:dyDescent="0.35">
      <c r="A559" s="168">
        <v>556</v>
      </c>
      <c r="B559" s="169" t="s">
        <v>853</v>
      </c>
    </row>
    <row r="560" spans="1:2" x14ac:dyDescent="0.35">
      <c r="A560" s="168">
        <v>557</v>
      </c>
      <c r="B560" s="169" t="s">
        <v>854</v>
      </c>
    </row>
    <row r="561" spans="1:2" x14ac:dyDescent="0.35">
      <c r="A561" s="168">
        <v>558</v>
      </c>
      <c r="B561" s="169" t="s">
        <v>855</v>
      </c>
    </row>
    <row r="562" spans="1:2" x14ac:dyDescent="0.35">
      <c r="A562" s="168">
        <v>559</v>
      </c>
      <c r="B562" s="169" t="s">
        <v>856</v>
      </c>
    </row>
    <row r="563" spans="1:2" x14ac:dyDescent="0.35">
      <c r="A563" s="168">
        <v>560</v>
      </c>
      <c r="B563" s="169" t="s">
        <v>857</v>
      </c>
    </row>
    <row r="564" spans="1:2" x14ac:dyDescent="0.35">
      <c r="A564" s="168">
        <v>561</v>
      </c>
      <c r="B564" s="169" t="s">
        <v>858</v>
      </c>
    </row>
    <row r="565" spans="1:2" x14ac:dyDescent="0.35">
      <c r="A565" s="168">
        <v>562</v>
      </c>
      <c r="B565" s="169" t="s">
        <v>859</v>
      </c>
    </row>
    <row r="566" spans="1:2" x14ac:dyDescent="0.35">
      <c r="A566" s="168">
        <v>563</v>
      </c>
      <c r="B566" s="169" t="s">
        <v>860</v>
      </c>
    </row>
    <row r="567" spans="1:2" x14ac:dyDescent="0.35">
      <c r="A567" s="168">
        <v>564</v>
      </c>
      <c r="B567" s="169" t="s">
        <v>861</v>
      </c>
    </row>
    <row r="568" spans="1:2" x14ac:dyDescent="0.35">
      <c r="A568" s="168">
        <v>565</v>
      </c>
      <c r="B568" s="169" t="s">
        <v>862</v>
      </c>
    </row>
    <row r="569" spans="1:2" x14ac:dyDescent="0.35">
      <c r="A569" s="168">
        <v>566</v>
      </c>
      <c r="B569" s="169" t="s">
        <v>863</v>
      </c>
    </row>
    <row r="570" spans="1:2" x14ac:dyDescent="0.35">
      <c r="A570" s="168">
        <v>567</v>
      </c>
      <c r="B570" s="169" t="s">
        <v>864</v>
      </c>
    </row>
    <row r="571" spans="1:2" x14ac:dyDescent="0.35">
      <c r="A571" s="168">
        <v>568</v>
      </c>
      <c r="B571" s="169" t="s">
        <v>865</v>
      </c>
    </row>
    <row r="572" spans="1:2" x14ac:dyDescent="0.35">
      <c r="A572" s="168">
        <v>569</v>
      </c>
      <c r="B572" s="169" t="s">
        <v>866</v>
      </c>
    </row>
    <row r="573" spans="1:2" x14ac:dyDescent="0.35">
      <c r="A573" s="168">
        <v>570</v>
      </c>
      <c r="B573" s="169" t="s">
        <v>867</v>
      </c>
    </row>
    <row r="574" spans="1:2" x14ac:dyDescent="0.35">
      <c r="A574" s="168">
        <v>571</v>
      </c>
      <c r="B574" s="169" t="s">
        <v>868</v>
      </c>
    </row>
    <row r="575" spans="1:2" x14ac:dyDescent="0.35">
      <c r="A575" s="168">
        <v>572</v>
      </c>
      <c r="B575" s="169" t="s">
        <v>869</v>
      </c>
    </row>
    <row r="576" spans="1:2" x14ac:dyDescent="0.35">
      <c r="A576" s="168">
        <v>573</v>
      </c>
      <c r="B576" s="169" t="s">
        <v>870</v>
      </c>
    </row>
    <row r="577" spans="1:2" x14ac:dyDescent="0.35">
      <c r="A577" s="168">
        <v>574</v>
      </c>
      <c r="B577" s="169" t="s">
        <v>871</v>
      </c>
    </row>
    <row r="578" spans="1:2" x14ac:dyDescent="0.35">
      <c r="A578" s="168">
        <v>575</v>
      </c>
      <c r="B578" s="169" t="s">
        <v>872</v>
      </c>
    </row>
    <row r="579" spans="1:2" x14ac:dyDescent="0.35">
      <c r="A579" s="168">
        <v>576</v>
      </c>
      <c r="B579" s="169" t="s">
        <v>873</v>
      </c>
    </row>
    <row r="580" spans="1:2" x14ac:dyDescent="0.35">
      <c r="A580" s="168">
        <v>577</v>
      </c>
      <c r="B580" s="169" t="s">
        <v>874</v>
      </c>
    </row>
    <row r="581" spans="1:2" x14ac:dyDescent="0.35">
      <c r="A581" s="168">
        <v>578</v>
      </c>
      <c r="B581" s="169" t="s">
        <v>875</v>
      </c>
    </row>
    <row r="582" spans="1:2" x14ac:dyDescent="0.35">
      <c r="A582" s="168">
        <v>579</v>
      </c>
      <c r="B582" s="169" t="s">
        <v>876</v>
      </c>
    </row>
    <row r="583" spans="1:2" x14ac:dyDescent="0.35">
      <c r="A583" s="168">
        <v>580</v>
      </c>
      <c r="B583" s="169" t="s">
        <v>877</v>
      </c>
    </row>
    <row r="584" spans="1:2" x14ac:dyDescent="0.35">
      <c r="A584" s="168">
        <v>581</v>
      </c>
      <c r="B584" s="169" t="s">
        <v>878</v>
      </c>
    </row>
    <row r="585" spans="1:2" x14ac:dyDescent="0.35">
      <c r="A585" s="168">
        <v>582</v>
      </c>
      <c r="B585" s="169" t="s">
        <v>879</v>
      </c>
    </row>
    <row r="586" spans="1:2" x14ac:dyDescent="0.35">
      <c r="A586" s="168">
        <v>583</v>
      </c>
      <c r="B586" s="169" t="s">
        <v>880</v>
      </c>
    </row>
    <row r="587" spans="1:2" x14ac:dyDescent="0.35">
      <c r="A587" s="168">
        <v>584</v>
      </c>
      <c r="B587" s="169" t="s">
        <v>881</v>
      </c>
    </row>
    <row r="588" spans="1:2" x14ac:dyDescent="0.35">
      <c r="A588" s="168">
        <v>585</v>
      </c>
      <c r="B588" s="169" t="s">
        <v>882</v>
      </c>
    </row>
    <row r="589" spans="1:2" x14ac:dyDescent="0.35">
      <c r="A589" s="168">
        <v>586</v>
      </c>
      <c r="B589" s="169" t="s">
        <v>883</v>
      </c>
    </row>
    <row r="590" spans="1:2" x14ac:dyDescent="0.35">
      <c r="A590" s="168">
        <v>587</v>
      </c>
      <c r="B590" s="169" t="s">
        <v>884</v>
      </c>
    </row>
    <row r="591" spans="1:2" x14ac:dyDescent="0.35">
      <c r="A591" s="168">
        <v>588</v>
      </c>
      <c r="B591" s="169" t="s">
        <v>885</v>
      </c>
    </row>
    <row r="592" spans="1:2" x14ac:dyDescent="0.35">
      <c r="A592" s="168">
        <v>589</v>
      </c>
      <c r="B592" s="169" t="s">
        <v>886</v>
      </c>
    </row>
    <row r="593" spans="1:2" x14ac:dyDescent="0.35">
      <c r="A593" s="168">
        <v>590</v>
      </c>
      <c r="B593" s="169" t="s">
        <v>887</v>
      </c>
    </row>
    <row r="594" spans="1:2" x14ac:dyDescent="0.35">
      <c r="A594" s="168">
        <v>591</v>
      </c>
      <c r="B594" s="169" t="s">
        <v>888</v>
      </c>
    </row>
    <row r="595" spans="1:2" x14ac:dyDescent="0.35">
      <c r="A595" s="168">
        <v>592</v>
      </c>
      <c r="B595" s="169" t="s">
        <v>889</v>
      </c>
    </row>
    <row r="596" spans="1:2" x14ac:dyDescent="0.35">
      <c r="A596" s="168">
        <v>593</v>
      </c>
      <c r="B596" s="169" t="s">
        <v>890</v>
      </c>
    </row>
    <row r="597" spans="1:2" x14ac:dyDescent="0.35">
      <c r="A597" s="168">
        <v>594</v>
      </c>
      <c r="B597" s="169" t="s">
        <v>891</v>
      </c>
    </row>
    <row r="598" spans="1:2" x14ac:dyDescent="0.35">
      <c r="A598" s="168">
        <v>595</v>
      </c>
      <c r="B598" s="169" t="s">
        <v>892</v>
      </c>
    </row>
    <row r="599" spans="1:2" x14ac:dyDescent="0.35">
      <c r="A599" s="168">
        <v>596</v>
      </c>
      <c r="B599" s="169" t="s">
        <v>893</v>
      </c>
    </row>
    <row r="600" spans="1:2" x14ac:dyDescent="0.35">
      <c r="A600" s="168">
        <v>597</v>
      </c>
      <c r="B600" s="169" t="s">
        <v>894</v>
      </c>
    </row>
    <row r="601" spans="1:2" x14ac:dyDescent="0.35">
      <c r="A601" s="168">
        <v>598</v>
      </c>
      <c r="B601" s="169" t="s">
        <v>895</v>
      </c>
    </row>
    <row r="602" spans="1:2" x14ac:dyDescent="0.35">
      <c r="A602" s="168">
        <v>599</v>
      </c>
      <c r="B602" s="169" t="s">
        <v>896</v>
      </c>
    </row>
    <row r="603" spans="1:2" x14ac:dyDescent="0.35">
      <c r="A603" s="168">
        <v>600</v>
      </c>
      <c r="B603" s="169" t="s">
        <v>897</v>
      </c>
    </row>
    <row r="604" spans="1:2" x14ac:dyDescent="0.35">
      <c r="A604" s="168">
        <v>601</v>
      </c>
      <c r="B604" s="169" t="s">
        <v>898</v>
      </c>
    </row>
    <row r="605" spans="1:2" x14ac:dyDescent="0.35">
      <c r="A605" s="168">
        <v>602</v>
      </c>
      <c r="B605" s="169" t="s">
        <v>899</v>
      </c>
    </row>
    <row r="606" spans="1:2" x14ac:dyDescent="0.35">
      <c r="A606" s="168">
        <v>603</v>
      </c>
      <c r="B606" s="169" t="s">
        <v>900</v>
      </c>
    </row>
    <row r="607" spans="1:2" x14ac:dyDescent="0.35">
      <c r="A607" s="168">
        <v>604</v>
      </c>
      <c r="B607" s="169" t="s">
        <v>901</v>
      </c>
    </row>
    <row r="608" spans="1:2" x14ac:dyDescent="0.35">
      <c r="A608" s="168">
        <v>605</v>
      </c>
      <c r="B608" s="169" t="s">
        <v>902</v>
      </c>
    </row>
    <row r="609" spans="1:2" x14ac:dyDescent="0.35">
      <c r="A609" s="168">
        <v>606</v>
      </c>
      <c r="B609" s="169" t="s">
        <v>903</v>
      </c>
    </row>
    <row r="610" spans="1:2" x14ac:dyDescent="0.35">
      <c r="A610" s="168">
        <v>607</v>
      </c>
      <c r="B610" s="169" t="s">
        <v>904</v>
      </c>
    </row>
    <row r="611" spans="1:2" x14ac:dyDescent="0.35">
      <c r="A611" s="168">
        <v>608</v>
      </c>
      <c r="B611" s="169" t="s">
        <v>905</v>
      </c>
    </row>
    <row r="612" spans="1:2" x14ac:dyDescent="0.35">
      <c r="A612" s="168">
        <v>609</v>
      </c>
      <c r="B612" s="169" t="s">
        <v>906</v>
      </c>
    </row>
    <row r="613" spans="1:2" x14ac:dyDescent="0.35">
      <c r="A613" s="168">
        <v>610</v>
      </c>
      <c r="B613" s="169" t="s">
        <v>907</v>
      </c>
    </row>
    <row r="614" spans="1:2" x14ac:dyDescent="0.35">
      <c r="A614" s="168">
        <v>611</v>
      </c>
      <c r="B614" s="169" t="s">
        <v>908</v>
      </c>
    </row>
    <row r="615" spans="1:2" x14ac:dyDescent="0.35">
      <c r="A615" s="168">
        <v>612</v>
      </c>
      <c r="B615" s="169" t="s">
        <v>909</v>
      </c>
    </row>
    <row r="616" spans="1:2" x14ac:dyDescent="0.35">
      <c r="A616" s="168">
        <v>613</v>
      </c>
      <c r="B616" s="169" t="s">
        <v>910</v>
      </c>
    </row>
    <row r="617" spans="1:2" x14ac:dyDescent="0.35">
      <c r="A617" s="168">
        <v>614</v>
      </c>
      <c r="B617" s="169" t="s">
        <v>911</v>
      </c>
    </row>
    <row r="618" spans="1:2" x14ac:dyDescent="0.35">
      <c r="A618" s="168">
        <v>615</v>
      </c>
      <c r="B618" s="169" t="s">
        <v>912</v>
      </c>
    </row>
    <row r="619" spans="1:2" x14ac:dyDescent="0.35">
      <c r="A619" s="168">
        <v>616</v>
      </c>
      <c r="B619" s="169" t="s">
        <v>913</v>
      </c>
    </row>
    <row r="620" spans="1:2" x14ac:dyDescent="0.35">
      <c r="A620" s="168">
        <v>617</v>
      </c>
      <c r="B620" s="169" t="s">
        <v>914</v>
      </c>
    </row>
    <row r="621" spans="1:2" x14ac:dyDescent="0.35">
      <c r="A621" s="168">
        <v>618</v>
      </c>
      <c r="B621" s="169" t="s">
        <v>915</v>
      </c>
    </row>
    <row r="622" spans="1:2" x14ac:dyDescent="0.35">
      <c r="A622" s="168">
        <v>619</v>
      </c>
      <c r="B622" s="169" t="s">
        <v>916</v>
      </c>
    </row>
    <row r="623" spans="1:2" x14ac:dyDescent="0.35">
      <c r="A623" s="168">
        <v>620</v>
      </c>
      <c r="B623" s="169" t="s">
        <v>917</v>
      </c>
    </row>
    <row r="624" spans="1:2" x14ac:dyDescent="0.35">
      <c r="A624" s="168">
        <v>621</v>
      </c>
      <c r="B624" s="169" t="s">
        <v>918</v>
      </c>
    </row>
    <row r="625" spans="1:2" x14ac:dyDescent="0.35">
      <c r="A625" s="168">
        <v>622</v>
      </c>
      <c r="B625" s="169" t="s">
        <v>919</v>
      </c>
    </row>
    <row r="626" spans="1:2" x14ac:dyDescent="0.35">
      <c r="A626" s="168">
        <v>623</v>
      </c>
      <c r="B626" s="169" t="s">
        <v>920</v>
      </c>
    </row>
    <row r="627" spans="1:2" x14ac:dyDescent="0.35">
      <c r="A627" s="168">
        <v>624</v>
      </c>
      <c r="B627" s="169" t="s">
        <v>921</v>
      </c>
    </row>
    <row r="628" spans="1:2" x14ac:dyDescent="0.35">
      <c r="A628" s="168">
        <v>625</v>
      </c>
      <c r="B628" s="169" t="s">
        <v>922</v>
      </c>
    </row>
    <row r="629" spans="1:2" x14ac:dyDescent="0.35">
      <c r="A629" s="168">
        <v>626</v>
      </c>
      <c r="B629" s="169" t="s">
        <v>923</v>
      </c>
    </row>
    <row r="630" spans="1:2" x14ac:dyDescent="0.35">
      <c r="A630" s="168">
        <v>627</v>
      </c>
      <c r="B630" s="169" t="s">
        <v>924</v>
      </c>
    </row>
    <row r="631" spans="1:2" x14ac:dyDescent="0.35">
      <c r="A631" s="168">
        <v>628</v>
      </c>
      <c r="B631" s="169" t="s">
        <v>925</v>
      </c>
    </row>
    <row r="632" spans="1:2" x14ac:dyDescent="0.35">
      <c r="A632" s="168">
        <v>629</v>
      </c>
      <c r="B632" s="169" t="s">
        <v>926</v>
      </c>
    </row>
    <row r="633" spans="1:2" x14ac:dyDescent="0.35">
      <c r="A633" s="168">
        <v>630</v>
      </c>
      <c r="B633" s="169" t="s">
        <v>927</v>
      </c>
    </row>
    <row r="634" spans="1:2" x14ac:dyDescent="0.35">
      <c r="A634" s="168">
        <v>631</v>
      </c>
      <c r="B634" s="169" t="s">
        <v>928</v>
      </c>
    </row>
    <row r="635" spans="1:2" x14ac:dyDescent="0.35">
      <c r="A635" s="168">
        <v>632</v>
      </c>
      <c r="B635" s="169" t="s">
        <v>929</v>
      </c>
    </row>
    <row r="636" spans="1:2" x14ac:dyDescent="0.35">
      <c r="A636" s="168">
        <v>633</v>
      </c>
      <c r="B636" s="169" t="s">
        <v>930</v>
      </c>
    </row>
    <row r="637" spans="1:2" x14ac:dyDescent="0.35">
      <c r="A637" s="168">
        <v>634</v>
      </c>
      <c r="B637" s="169" t="s">
        <v>931</v>
      </c>
    </row>
    <row r="638" spans="1:2" x14ac:dyDescent="0.35">
      <c r="A638" s="168">
        <v>635</v>
      </c>
      <c r="B638" s="169" t="s">
        <v>932</v>
      </c>
    </row>
    <row r="639" spans="1:2" x14ac:dyDescent="0.35">
      <c r="A639" s="168">
        <v>636</v>
      </c>
      <c r="B639" s="169" t="s">
        <v>933</v>
      </c>
    </row>
    <row r="640" spans="1:2" x14ac:dyDescent="0.35">
      <c r="A640" s="168">
        <v>637</v>
      </c>
      <c r="B640" s="169" t="s">
        <v>934</v>
      </c>
    </row>
    <row r="641" spans="1:2" x14ac:dyDescent="0.35">
      <c r="A641" s="168">
        <v>638</v>
      </c>
      <c r="B641" s="169" t="s">
        <v>935</v>
      </c>
    </row>
    <row r="642" spans="1:2" x14ac:dyDescent="0.35">
      <c r="A642" s="168">
        <v>639</v>
      </c>
      <c r="B642" s="169" t="s">
        <v>936</v>
      </c>
    </row>
    <row r="643" spans="1:2" x14ac:dyDescent="0.35">
      <c r="A643" s="168">
        <v>640</v>
      </c>
      <c r="B643" s="169" t="s">
        <v>937</v>
      </c>
    </row>
    <row r="644" spans="1:2" x14ac:dyDescent="0.35">
      <c r="A644" s="168">
        <v>641</v>
      </c>
      <c r="B644" s="169" t="s">
        <v>938</v>
      </c>
    </row>
    <row r="645" spans="1:2" x14ac:dyDescent="0.35">
      <c r="A645" s="168">
        <v>642</v>
      </c>
      <c r="B645" s="169" t="s">
        <v>939</v>
      </c>
    </row>
    <row r="646" spans="1:2" x14ac:dyDescent="0.35">
      <c r="A646" s="168">
        <v>643</v>
      </c>
      <c r="B646" s="169" t="s">
        <v>940</v>
      </c>
    </row>
    <row r="647" spans="1:2" x14ac:dyDescent="0.35">
      <c r="A647" s="168">
        <v>644</v>
      </c>
      <c r="B647" s="169" t="s">
        <v>941</v>
      </c>
    </row>
    <row r="648" spans="1:2" x14ac:dyDescent="0.35">
      <c r="A648" s="168">
        <v>645</v>
      </c>
      <c r="B648" s="169" t="s">
        <v>942</v>
      </c>
    </row>
    <row r="649" spans="1:2" x14ac:dyDescent="0.35">
      <c r="A649" s="168">
        <v>646</v>
      </c>
      <c r="B649" s="169" t="s">
        <v>943</v>
      </c>
    </row>
    <row r="650" spans="1:2" x14ac:dyDescent="0.35">
      <c r="A650" s="168">
        <v>647</v>
      </c>
      <c r="B650" s="169" t="s">
        <v>944</v>
      </c>
    </row>
    <row r="651" spans="1:2" x14ac:dyDescent="0.35">
      <c r="A651" s="168">
        <v>648</v>
      </c>
      <c r="B651" s="169" t="s">
        <v>945</v>
      </c>
    </row>
    <row r="652" spans="1:2" x14ac:dyDescent="0.35">
      <c r="A652" s="168">
        <v>649</v>
      </c>
      <c r="B652" s="169" t="s">
        <v>946</v>
      </c>
    </row>
    <row r="653" spans="1:2" x14ac:dyDescent="0.35">
      <c r="A653" s="168">
        <v>650</v>
      </c>
      <c r="B653" s="169" t="s">
        <v>947</v>
      </c>
    </row>
    <row r="654" spans="1:2" x14ac:dyDescent="0.35">
      <c r="A654" s="168">
        <v>651</v>
      </c>
      <c r="B654" s="169" t="s">
        <v>948</v>
      </c>
    </row>
    <row r="655" spans="1:2" x14ac:dyDescent="0.35">
      <c r="A655" s="168">
        <v>652</v>
      </c>
      <c r="B655" s="169" t="s">
        <v>949</v>
      </c>
    </row>
    <row r="656" spans="1:2" x14ac:dyDescent="0.35">
      <c r="A656" s="168">
        <v>653</v>
      </c>
      <c r="B656" s="169" t="s">
        <v>950</v>
      </c>
    </row>
    <row r="657" spans="1:2" x14ac:dyDescent="0.35">
      <c r="A657" s="168">
        <v>654</v>
      </c>
      <c r="B657" s="169" t="s">
        <v>951</v>
      </c>
    </row>
    <row r="658" spans="1:2" x14ac:dyDescent="0.35">
      <c r="A658" s="168">
        <v>655</v>
      </c>
      <c r="B658" s="169" t="s">
        <v>952</v>
      </c>
    </row>
    <row r="659" spans="1:2" x14ac:dyDescent="0.35">
      <c r="A659" s="168">
        <v>656</v>
      </c>
      <c r="B659" s="169" t="s">
        <v>953</v>
      </c>
    </row>
    <row r="660" spans="1:2" x14ac:dyDescent="0.35">
      <c r="A660" s="168">
        <v>657</v>
      </c>
      <c r="B660" s="169" t="s">
        <v>954</v>
      </c>
    </row>
    <row r="661" spans="1:2" x14ac:dyDescent="0.35">
      <c r="A661" s="168">
        <v>658</v>
      </c>
      <c r="B661" s="169" t="s">
        <v>955</v>
      </c>
    </row>
    <row r="662" spans="1:2" x14ac:dyDescent="0.35">
      <c r="A662" s="168">
        <v>659</v>
      </c>
      <c r="B662" s="169" t="s">
        <v>956</v>
      </c>
    </row>
    <row r="663" spans="1:2" x14ac:dyDescent="0.35">
      <c r="A663" s="168">
        <v>660</v>
      </c>
      <c r="B663" s="169" t="s">
        <v>957</v>
      </c>
    </row>
    <row r="664" spans="1:2" x14ac:dyDescent="0.35">
      <c r="A664" s="168">
        <v>661</v>
      </c>
      <c r="B664" s="169" t="s">
        <v>958</v>
      </c>
    </row>
    <row r="665" spans="1:2" x14ac:dyDescent="0.35">
      <c r="A665" s="168">
        <v>662</v>
      </c>
      <c r="B665" s="169" t="s">
        <v>959</v>
      </c>
    </row>
    <row r="666" spans="1:2" x14ac:dyDescent="0.35">
      <c r="A666" s="168">
        <v>663</v>
      </c>
      <c r="B666" s="169" t="s">
        <v>960</v>
      </c>
    </row>
    <row r="667" spans="1:2" x14ac:dyDescent="0.35">
      <c r="A667" s="168">
        <v>664</v>
      </c>
      <c r="B667" s="169" t="s">
        <v>961</v>
      </c>
    </row>
    <row r="668" spans="1:2" x14ac:dyDescent="0.35">
      <c r="A668" s="168">
        <v>665</v>
      </c>
      <c r="B668" s="169" t="s">
        <v>962</v>
      </c>
    </row>
    <row r="669" spans="1:2" x14ac:dyDescent="0.35">
      <c r="A669" s="168">
        <v>666</v>
      </c>
      <c r="B669" s="169" t="s">
        <v>963</v>
      </c>
    </row>
    <row r="670" spans="1:2" x14ac:dyDescent="0.35">
      <c r="A670" s="168">
        <v>667</v>
      </c>
      <c r="B670" s="169" t="s">
        <v>964</v>
      </c>
    </row>
    <row r="671" spans="1:2" x14ac:dyDescent="0.35">
      <c r="A671" s="168">
        <v>668</v>
      </c>
      <c r="B671" s="169" t="s">
        <v>965</v>
      </c>
    </row>
    <row r="672" spans="1:2" x14ac:dyDescent="0.35">
      <c r="A672" s="168">
        <v>669</v>
      </c>
      <c r="B672" s="169" t="s">
        <v>966</v>
      </c>
    </row>
    <row r="673" spans="1:2" x14ac:dyDescent="0.35">
      <c r="A673" s="168">
        <v>670</v>
      </c>
      <c r="B673" s="169" t="s">
        <v>967</v>
      </c>
    </row>
    <row r="674" spans="1:2" x14ac:dyDescent="0.35">
      <c r="A674" s="168">
        <v>671</v>
      </c>
      <c r="B674" s="169" t="s">
        <v>968</v>
      </c>
    </row>
    <row r="675" spans="1:2" x14ac:dyDescent="0.35">
      <c r="A675" s="168">
        <v>672</v>
      </c>
      <c r="B675" s="169" t="s">
        <v>969</v>
      </c>
    </row>
    <row r="676" spans="1:2" x14ac:dyDescent="0.35">
      <c r="A676" s="168">
        <v>673</v>
      </c>
      <c r="B676" s="169" t="s">
        <v>970</v>
      </c>
    </row>
    <row r="677" spans="1:2" x14ac:dyDescent="0.35">
      <c r="A677" s="168">
        <v>674</v>
      </c>
      <c r="B677" s="169" t="s">
        <v>971</v>
      </c>
    </row>
    <row r="678" spans="1:2" x14ac:dyDescent="0.35">
      <c r="A678" s="168">
        <v>675</v>
      </c>
      <c r="B678" s="169" t="s">
        <v>972</v>
      </c>
    </row>
    <row r="679" spans="1:2" x14ac:dyDescent="0.35">
      <c r="A679" s="168">
        <v>676</v>
      </c>
      <c r="B679" s="169" t="s">
        <v>973</v>
      </c>
    </row>
    <row r="680" spans="1:2" x14ac:dyDescent="0.35">
      <c r="A680" s="168">
        <v>677</v>
      </c>
      <c r="B680" s="169" t="s">
        <v>974</v>
      </c>
    </row>
    <row r="681" spans="1:2" x14ac:dyDescent="0.35">
      <c r="A681" s="168">
        <v>678</v>
      </c>
      <c r="B681" s="169" t="s">
        <v>975</v>
      </c>
    </row>
    <row r="682" spans="1:2" x14ac:dyDescent="0.35">
      <c r="A682" s="168">
        <v>679</v>
      </c>
      <c r="B682" s="169" t="s">
        <v>976</v>
      </c>
    </row>
    <row r="683" spans="1:2" x14ac:dyDescent="0.35">
      <c r="A683" s="168">
        <v>680</v>
      </c>
      <c r="B683" s="169" t="s">
        <v>977</v>
      </c>
    </row>
    <row r="684" spans="1:2" x14ac:dyDescent="0.35">
      <c r="A684" s="168">
        <v>681</v>
      </c>
      <c r="B684" s="169" t="s">
        <v>978</v>
      </c>
    </row>
    <row r="685" spans="1:2" x14ac:dyDescent="0.35">
      <c r="A685" s="168">
        <v>682</v>
      </c>
      <c r="B685" s="169" t="s">
        <v>979</v>
      </c>
    </row>
    <row r="686" spans="1:2" x14ac:dyDescent="0.35">
      <c r="A686" s="168">
        <v>683</v>
      </c>
      <c r="B686" s="169" t="s">
        <v>980</v>
      </c>
    </row>
    <row r="687" spans="1:2" x14ac:dyDescent="0.35">
      <c r="A687" s="168">
        <v>684</v>
      </c>
      <c r="B687" s="169" t="s">
        <v>981</v>
      </c>
    </row>
    <row r="688" spans="1:2" x14ac:dyDescent="0.35">
      <c r="A688" s="168">
        <v>685</v>
      </c>
      <c r="B688" s="169" t="s">
        <v>982</v>
      </c>
    </row>
    <row r="689" spans="1:2" x14ac:dyDescent="0.35">
      <c r="A689" s="168">
        <v>686</v>
      </c>
      <c r="B689" s="169" t="s">
        <v>983</v>
      </c>
    </row>
    <row r="690" spans="1:2" x14ac:dyDescent="0.35">
      <c r="A690" s="168">
        <v>687</v>
      </c>
      <c r="B690" s="169" t="s">
        <v>984</v>
      </c>
    </row>
    <row r="691" spans="1:2" x14ac:dyDescent="0.35">
      <c r="A691" s="168">
        <v>688</v>
      </c>
      <c r="B691" s="169" t="s">
        <v>985</v>
      </c>
    </row>
    <row r="692" spans="1:2" x14ac:dyDescent="0.35">
      <c r="A692" s="168">
        <v>689</v>
      </c>
      <c r="B692" s="169" t="s">
        <v>986</v>
      </c>
    </row>
    <row r="693" spans="1:2" x14ac:dyDescent="0.35">
      <c r="A693" s="168">
        <v>690</v>
      </c>
      <c r="B693" s="169" t="s">
        <v>987</v>
      </c>
    </row>
    <row r="694" spans="1:2" x14ac:dyDescent="0.35">
      <c r="A694" s="168">
        <v>691</v>
      </c>
      <c r="B694" s="169" t="s">
        <v>988</v>
      </c>
    </row>
    <row r="695" spans="1:2" x14ac:dyDescent="0.35">
      <c r="A695" s="168">
        <v>692</v>
      </c>
      <c r="B695" s="169" t="s">
        <v>989</v>
      </c>
    </row>
    <row r="696" spans="1:2" x14ac:dyDescent="0.35">
      <c r="A696" s="168">
        <v>693</v>
      </c>
      <c r="B696" s="169" t="s">
        <v>990</v>
      </c>
    </row>
    <row r="697" spans="1:2" x14ac:dyDescent="0.35">
      <c r="A697" s="168">
        <v>694</v>
      </c>
      <c r="B697" s="169" t="s">
        <v>991</v>
      </c>
    </row>
    <row r="698" spans="1:2" x14ac:dyDescent="0.35">
      <c r="A698" s="168">
        <v>695</v>
      </c>
      <c r="B698" s="169" t="s">
        <v>992</v>
      </c>
    </row>
    <row r="699" spans="1:2" x14ac:dyDescent="0.35">
      <c r="A699" s="168">
        <v>696</v>
      </c>
      <c r="B699" s="169" t="s">
        <v>993</v>
      </c>
    </row>
    <row r="700" spans="1:2" x14ac:dyDescent="0.35">
      <c r="A700" s="168">
        <v>697</v>
      </c>
      <c r="B700" s="169" t="s">
        <v>994</v>
      </c>
    </row>
    <row r="701" spans="1:2" x14ac:dyDescent="0.35">
      <c r="A701" s="168">
        <v>698</v>
      </c>
      <c r="B701" s="169" t="s">
        <v>995</v>
      </c>
    </row>
    <row r="702" spans="1:2" x14ac:dyDescent="0.35">
      <c r="A702" s="168">
        <v>699</v>
      </c>
      <c r="B702" s="169" t="s">
        <v>996</v>
      </c>
    </row>
    <row r="703" spans="1:2" x14ac:dyDescent="0.35">
      <c r="A703" s="168">
        <v>700</v>
      </c>
      <c r="B703" s="169" t="s">
        <v>997</v>
      </c>
    </row>
    <row r="704" spans="1:2" x14ac:dyDescent="0.35">
      <c r="A704" s="168">
        <v>701</v>
      </c>
      <c r="B704" s="169" t="s">
        <v>998</v>
      </c>
    </row>
    <row r="705" spans="1:2" x14ac:dyDescent="0.35">
      <c r="A705" s="168">
        <v>702</v>
      </c>
      <c r="B705" s="169" t="s">
        <v>999</v>
      </c>
    </row>
    <row r="706" spans="1:2" x14ac:dyDescent="0.35">
      <c r="A706" s="168">
        <v>703</v>
      </c>
      <c r="B706" s="169" t="s">
        <v>1000</v>
      </c>
    </row>
    <row r="707" spans="1:2" x14ac:dyDescent="0.35">
      <c r="A707" s="168">
        <v>704</v>
      </c>
      <c r="B707" s="169" t="s">
        <v>1001</v>
      </c>
    </row>
    <row r="708" spans="1:2" x14ac:dyDescent="0.35">
      <c r="A708" s="168">
        <v>705</v>
      </c>
      <c r="B708" s="169" t="s">
        <v>1002</v>
      </c>
    </row>
    <row r="709" spans="1:2" x14ac:dyDescent="0.35">
      <c r="A709" s="168">
        <v>706</v>
      </c>
      <c r="B709" s="169" t="s">
        <v>1003</v>
      </c>
    </row>
    <row r="710" spans="1:2" x14ac:dyDescent="0.35">
      <c r="A710" s="168">
        <v>707</v>
      </c>
      <c r="B710" s="169" t="s">
        <v>1004</v>
      </c>
    </row>
    <row r="711" spans="1:2" x14ac:dyDescent="0.35">
      <c r="A711" s="168">
        <v>708</v>
      </c>
      <c r="B711" s="169" t="s">
        <v>1005</v>
      </c>
    </row>
    <row r="712" spans="1:2" x14ac:dyDescent="0.35">
      <c r="A712" s="168">
        <v>709</v>
      </c>
      <c r="B712" s="169" t="s">
        <v>1006</v>
      </c>
    </row>
    <row r="713" spans="1:2" x14ac:dyDescent="0.35">
      <c r="A713" s="168">
        <v>710</v>
      </c>
      <c r="B713" s="169" t="s">
        <v>1007</v>
      </c>
    </row>
    <row r="714" spans="1:2" x14ac:dyDescent="0.35">
      <c r="A714" s="168">
        <v>711</v>
      </c>
      <c r="B714" s="169" t="s">
        <v>1008</v>
      </c>
    </row>
    <row r="715" spans="1:2" x14ac:dyDescent="0.35">
      <c r="A715" s="168">
        <v>712</v>
      </c>
      <c r="B715" s="169" t="s">
        <v>1009</v>
      </c>
    </row>
    <row r="716" spans="1:2" x14ac:dyDescent="0.35">
      <c r="A716" s="168">
        <v>713</v>
      </c>
      <c r="B716" s="169" t="s">
        <v>1010</v>
      </c>
    </row>
    <row r="717" spans="1:2" x14ac:dyDescent="0.35">
      <c r="A717" s="168">
        <v>714</v>
      </c>
      <c r="B717" s="169" t="s">
        <v>1011</v>
      </c>
    </row>
    <row r="718" spans="1:2" x14ac:dyDescent="0.35">
      <c r="A718" s="168">
        <v>715</v>
      </c>
      <c r="B718" s="169" t="s">
        <v>1012</v>
      </c>
    </row>
    <row r="719" spans="1:2" x14ac:dyDescent="0.35">
      <c r="A719" s="168">
        <v>716</v>
      </c>
      <c r="B719" s="169" t="s">
        <v>1013</v>
      </c>
    </row>
    <row r="720" spans="1:2" x14ac:dyDescent="0.35">
      <c r="A720" s="168">
        <v>717</v>
      </c>
      <c r="B720" s="169" t="s">
        <v>1014</v>
      </c>
    </row>
    <row r="721" spans="1:2" x14ac:dyDescent="0.35">
      <c r="A721" s="168">
        <v>718</v>
      </c>
      <c r="B721" s="169" t="s">
        <v>1015</v>
      </c>
    </row>
    <row r="722" spans="1:2" x14ac:dyDescent="0.35">
      <c r="A722" s="168">
        <v>719</v>
      </c>
      <c r="B722" s="169" t="s">
        <v>1016</v>
      </c>
    </row>
    <row r="723" spans="1:2" x14ac:dyDescent="0.35">
      <c r="A723" s="168">
        <v>720</v>
      </c>
      <c r="B723" s="169" t="s">
        <v>1017</v>
      </c>
    </row>
    <row r="724" spans="1:2" x14ac:dyDescent="0.35">
      <c r="A724" s="168">
        <v>721</v>
      </c>
      <c r="B724" s="169" t="s">
        <v>1018</v>
      </c>
    </row>
    <row r="725" spans="1:2" x14ac:dyDescent="0.35">
      <c r="A725" s="168">
        <v>722</v>
      </c>
      <c r="B725" s="169" t="s">
        <v>1019</v>
      </c>
    </row>
    <row r="726" spans="1:2" x14ac:dyDescent="0.35">
      <c r="A726" s="168">
        <v>723</v>
      </c>
      <c r="B726" s="169" t="s">
        <v>1020</v>
      </c>
    </row>
    <row r="727" spans="1:2" x14ac:dyDescent="0.35">
      <c r="A727" s="168">
        <v>724</v>
      </c>
      <c r="B727" s="169" t="s">
        <v>1021</v>
      </c>
    </row>
    <row r="728" spans="1:2" x14ac:dyDescent="0.35">
      <c r="A728" s="168">
        <v>725</v>
      </c>
      <c r="B728" s="169" t="s">
        <v>1022</v>
      </c>
    </row>
    <row r="729" spans="1:2" x14ac:dyDescent="0.35">
      <c r="A729" s="168">
        <v>726</v>
      </c>
      <c r="B729" s="169" t="s">
        <v>1023</v>
      </c>
    </row>
    <row r="730" spans="1:2" x14ac:dyDescent="0.35">
      <c r="A730" s="168">
        <v>727</v>
      </c>
      <c r="B730" s="169" t="s">
        <v>1024</v>
      </c>
    </row>
    <row r="731" spans="1:2" x14ac:dyDescent="0.35">
      <c r="A731" s="168">
        <v>728</v>
      </c>
      <c r="B731" s="169" t="s">
        <v>1025</v>
      </c>
    </row>
    <row r="732" spans="1:2" x14ac:dyDescent="0.35">
      <c r="A732" s="168">
        <v>729</v>
      </c>
      <c r="B732" s="169" t="s">
        <v>1026</v>
      </c>
    </row>
    <row r="733" spans="1:2" x14ac:dyDescent="0.35">
      <c r="A733" s="168">
        <v>730</v>
      </c>
      <c r="B733" s="169" t="s">
        <v>1027</v>
      </c>
    </row>
    <row r="734" spans="1:2" x14ac:dyDescent="0.35">
      <c r="A734" s="168">
        <v>731</v>
      </c>
      <c r="B734" s="169" t="s">
        <v>1028</v>
      </c>
    </row>
    <row r="735" spans="1:2" x14ac:dyDescent="0.35">
      <c r="A735" s="168">
        <v>732</v>
      </c>
      <c r="B735" s="169" t="s">
        <v>1029</v>
      </c>
    </row>
    <row r="736" spans="1:2" x14ac:dyDescent="0.35">
      <c r="A736" s="168">
        <v>733</v>
      </c>
      <c r="B736" s="169" t="s">
        <v>1030</v>
      </c>
    </row>
    <row r="737" spans="1:2" x14ac:dyDescent="0.35">
      <c r="A737" s="168">
        <v>734</v>
      </c>
      <c r="B737" s="169" t="s">
        <v>1031</v>
      </c>
    </row>
    <row r="738" spans="1:2" x14ac:dyDescent="0.35">
      <c r="A738" s="168">
        <v>735</v>
      </c>
      <c r="B738" s="169" t="s">
        <v>1032</v>
      </c>
    </row>
    <row r="739" spans="1:2" x14ac:dyDescent="0.35">
      <c r="A739" s="168">
        <v>736</v>
      </c>
      <c r="B739" s="169" t="s">
        <v>1033</v>
      </c>
    </row>
    <row r="740" spans="1:2" x14ac:dyDescent="0.35">
      <c r="A740" s="168">
        <v>737</v>
      </c>
      <c r="B740" s="169" t="s">
        <v>1034</v>
      </c>
    </row>
    <row r="741" spans="1:2" x14ac:dyDescent="0.35">
      <c r="A741" s="168">
        <v>738</v>
      </c>
      <c r="B741" s="169" t="s">
        <v>1035</v>
      </c>
    </row>
    <row r="742" spans="1:2" x14ac:dyDescent="0.35">
      <c r="A742" s="168">
        <v>739</v>
      </c>
      <c r="B742" s="169" t="s">
        <v>1036</v>
      </c>
    </row>
    <row r="743" spans="1:2" x14ac:dyDescent="0.35">
      <c r="A743" s="168">
        <v>740</v>
      </c>
      <c r="B743" s="169" t="s">
        <v>1037</v>
      </c>
    </row>
    <row r="744" spans="1:2" x14ac:dyDescent="0.35">
      <c r="A744" s="168">
        <v>741</v>
      </c>
      <c r="B744" s="169" t="s">
        <v>1038</v>
      </c>
    </row>
    <row r="745" spans="1:2" x14ac:dyDescent="0.35">
      <c r="A745" s="168">
        <v>742</v>
      </c>
      <c r="B745" s="169" t="s">
        <v>1039</v>
      </c>
    </row>
    <row r="746" spans="1:2" x14ac:dyDescent="0.35">
      <c r="A746" s="168">
        <v>743</v>
      </c>
      <c r="B746" s="169" t="s">
        <v>1040</v>
      </c>
    </row>
    <row r="747" spans="1:2" x14ac:dyDescent="0.35">
      <c r="A747" s="168">
        <v>744</v>
      </c>
      <c r="B747" s="169" t="s">
        <v>1041</v>
      </c>
    </row>
    <row r="748" spans="1:2" x14ac:dyDescent="0.35">
      <c r="A748" s="168">
        <v>745</v>
      </c>
      <c r="B748" s="169" t="s">
        <v>1042</v>
      </c>
    </row>
    <row r="749" spans="1:2" x14ac:dyDescent="0.35">
      <c r="A749" s="168">
        <v>746</v>
      </c>
      <c r="B749" s="169" t="s">
        <v>1043</v>
      </c>
    </row>
    <row r="750" spans="1:2" x14ac:dyDescent="0.35">
      <c r="A750" s="168">
        <v>747</v>
      </c>
      <c r="B750" s="169" t="s">
        <v>1044</v>
      </c>
    </row>
    <row r="751" spans="1:2" x14ac:dyDescent="0.35">
      <c r="A751" s="168">
        <v>748</v>
      </c>
      <c r="B751" s="169" t="s">
        <v>1045</v>
      </c>
    </row>
    <row r="752" spans="1:2" x14ac:dyDescent="0.35">
      <c r="A752" s="168">
        <v>749</v>
      </c>
      <c r="B752" s="169" t="s">
        <v>1046</v>
      </c>
    </row>
    <row r="753" spans="1:2" x14ac:dyDescent="0.35">
      <c r="A753" s="168">
        <v>750</v>
      </c>
      <c r="B753" s="169" t="s">
        <v>1047</v>
      </c>
    </row>
    <row r="754" spans="1:2" x14ac:dyDescent="0.35">
      <c r="A754" s="168">
        <v>751</v>
      </c>
      <c r="B754" s="169" t="s">
        <v>1048</v>
      </c>
    </row>
    <row r="755" spans="1:2" x14ac:dyDescent="0.35">
      <c r="A755" s="168">
        <v>752</v>
      </c>
      <c r="B755" s="169" t="s">
        <v>1049</v>
      </c>
    </row>
    <row r="756" spans="1:2" x14ac:dyDescent="0.35">
      <c r="A756" s="168">
        <v>753</v>
      </c>
      <c r="B756" s="169" t="s">
        <v>1050</v>
      </c>
    </row>
    <row r="757" spans="1:2" x14ac:dyDescent="0.35">
      <c r="A757" s="168">
        <v>754</v>
      </c>
      <c r="B757" s="169" t="s">
        <v>1051</v>
      </c>
    </row>
    <row r="758" spans="1:2" x14ac:dyDescent="0.35">
      <c r="A758" s="168">
        <v>755</v>
      </c>
      <c r="B758" s="169" t="s">
        <v>1052</v>
      </c>
    </row>
    <row r="759" spans="1:2" x14ac:dyDescent="0.35">
      <c r="A759" s="168">
        <v>756</v>
      </c>
      <c r="B759" s="169" t="s">
        <v>1053</v>
      </c>
    </row>
    <row r="760" spans="1:2" x14ac:dyDescent="0.35">
      <c r="A760" s="168">
        <v>757</v>
      </c>
      <c r="B760" s="169" t="s">
        <v>1054</v>
      </c>
    </row>
    <row r="761" spans="1:2" x14ac:dyDescent="0.35">
      <c r="A761" s="168">
        <v>758</v>
      </c>
      <c r="B761" s="169" t="s">
        <v>1055</v>
      </c>
    </row>
    <row r="762" spans="1:2" x14ac:dyDescent="0.35">
      <c r="A762" s="168">
        <v>759</v>
      </c>
      <c r="B762" s="169" t="s">
        <v>1056</v>
      </c>
    </row>
    <row r="763" spans="1:2" x14ac:dyDescent="0.35">
      <c r="A763" s="168">
        <v>760</v>
      </c>
      <c r="B763" s="169" t="s">
        <v>1057</v>
      </c>
    </row>
    <row r="764" spans="1:2" x14ac:dyDescent="0.35">
      <c r="A764" s="168">
        <v>761</v>
      </c>
      <c r="B764" s="169" t="s">
        <v>1058</v>
      </c>
    </row>
    <row r="765" spans="1:2" x14ac:dyDescent="0.35">
      <c r="A765" s="168">
        <v>762</v>
      </c>
      <c r="B765" s="169" t="s">
        <v>1059</v>
      </c>
    </row>
    <row r="766" spans="1:2" x14ac:dyDescent="0.35">
      <c r="A766" s="168">
        <v>763</v>
      </c>
      <c r="B766" s="169" t="s">
        <v>1060</v>
      </c>
    </row>
    <row r="767" spans="1:2" x14ac:dyDescent="0.35">
      <c r="A767" s="168">
        <v>764</v>
      </c>
      <c r="B767" s="169" t="s">
        <v>1061</v>
      </c>
    </row>
    <row r="768" spans="1:2" x14ac:dyDescent="0.35">
      <c r="A768" s="168">
        <v>765</v>
      </c>
      <c r="B768" s="169" t="s">
        <v>1062</v>
      </c>
    </row>
    <row r="769" spans="1:2" x14ac:dyDescent="0.35">
      <c r="A769" s="168">
        <v>766</v>
      </c>
      <c r="B769" s="169" t="s">
        <v>1063</v>
      </c>
    </row>
    <row r="770" spans="1:2" x14ac:dyDescent="0.35">
      <c r="A770" s="168">
        <v>767</v>
      </c>
      <c r="B770" s="169" t="s">
        <v>1064</v>
      </c>
    </row>
    <row r="771" spans="1:2" x14ac:dyDescent="0.35">
      <c r="A771" s="168">
        <v>768</v>
      </c>
      <c r="B771" s="169" t="s">
        <v>1065</v>
      </c>
    </row>
    <row r="772" spans="1:2" x14ac:dyDescent="0.35">
      <c r="A772" s="168">
        <v>769</v>
      </c>
      <c r="B772" s="169" t="s">
        <v>1066</v>
      </c>
    </row>
    <row r="773" spans="1:2" x14ac:dyDescent="0.35">
      <c r="A773" s="168">
        <v>770</v>
      </c>
      <c r="B773" s="169" t="s">
        <v>1067</v>
      </c>
    </row>
    <row r="774" spans="1:2" x14ac:dyDescent="0.35">
      <c r="A774" s="168">
        <v>771</v>
      </c>
      <c r="B774" s="169" t="s">
        <v>1068</v>
      </c>
    </row>
    <row r="775" spans="1:2" x14ac:dyDescent="0.35">
      <c r="A775" s="168">
        <v>772</v>
      </c>
      <c r="B775" s="169" t="s">
        <v>1069</v>
      </c>
    </row>
    <row r="776" spans="1:2" x14ac:dyDescent="0.35">
      <c r="A776" s="168">
        <v>773</v>
      </c>
      <c r="B776" s="169" t="s">
        <v>1070</v>
      </c>
    </row>
    <row r="777" spans="1:2" x14ac:dyDescent="0.35">
      <c r="A777" s="168">
        <v>774</v>
      </c>
      <c r="B777" s="169" t="s">
        <v>1071</v>
      </c>
    </row>
    <row r="778" spans="1:2" x14ac:dyDescent="0.35">
      <c r="A778" s="168">
        <v>775</v>
      </c>
      <c r="B778" s="169" t="s">
        <v>1072</v>
      </c>
    </row>
    <row r="779" spans="1:2" x14ac:dyDescent="0.35">
      <c r="A779" s="168">
        <v>776</v>
      </c>
      <c r="B779" s="169" t="s">
        <v>1073</v>
      </c>
    </row>
    <row r="780" spans="1:2" x14ac:dyDescent="0.35">
      <c r="A780" s="168">
        <v>777</v>
      </c>
      <c r="B780" s="169" t="s">
        <v>1074</v>
      </c>
    </row>
    <row r="781" spans="1:2" x14ac:dyDescent="0.35">
      <c r="A781" s="168">
        <v>778</v>
      </c>
      <c r="B781" s="169" t="s">
        <v>1075</v>
      </c>
    </row>
    <row r="782" spans="1:2" x14ac:dyDescent="0.35">
      <c r="A782" s="168">
        <v>779</v>
      </c>
      <c r="B782" s="169" t="s">
        <v>1076</v>
      </c>
    </row>
    <row r="783" spans="1:2" x14ac:dyDescent="0.35">
      <c r="A783" s="168">
        <v>780</v>
      </c>
      <c r="B783" s="169" t="s">
        <v>1077</v>
      </c>
    </row>
    <row r="784" spans="1:2" x14ac:dyDescent="0.35">
      <c r="A784" s="168">
        <v>781</v>
      </c>
      <c r="B784" s="169" t="s">
        <v>1078</v>
      </c>
    </row>
    <row r="785" spans="1:2" x14ac:dyDescent="0.35">
      <c r="A785" s="168">
        <v>782</v>
      </c>
      <c r="B785" s="169" t="s">
        <v>1079</v>
      </c>
    </row>
    <row r="786" spans="1:2" x14ac:dyDescent="0.35">
      <c r="A786" s="168">
        <v>783</v>
      </c>
      <c r="B786" s="169" t="s">
        <v>1080</v>
      </c>
    </row>
    <row r="787" spans="1:2" x14ac:dyDescent="0.35">
      <c r="A787" s="168">
        <v>784</v>
      </c>
      <c r="B787" s="169" t="s">
        <v>1081</v>
      </c>
    </row>
    <row r="788" spans="1:2" x14ac:dyDescent="0.35">
      <c r="A788" s="168">
        <v>785</v>
      </c>
      <c r="B788" s="169" t="s">
        <v>1082</v>
      </c>
    </row>
    <row r="789" spans="1:2" x14ac:dyDescent="0.35">
      <c r="A789" s="168">
        <v>786</v>
      </c>
      <c r="B789" s="169" t="s">
        <v>1083</v>
      </c>
    </row>
    <row r="790" spans="1:2" x14ac:dyDescent="0.35">
      <c r="A790" s="168">
        <v>787</v>
      </c>
      <c r="B790" s="169" t="s">
        <v>1084</v>
      </c>
    </row>
    <row r="791" spans="1:2" x14ac:dyDescent="0.35">
      <c r="A791" s="168">
        <v>788</v>
      </c>
      <c r="B791" s="169" t="s">
        <v>1085</v>
      </c>
    </row>
    <row r="792" spans="1:2" x14ac:dyDescent="0.35">
      <c r="A792" s="168">
        <v>789</v>
      </c>
      <c r="B792" s="169" t="s">
        <v>1086</v>
      </c>
    </row>
    <row r="793" spans="1:2" x14ac:dyDescent="0.35">
      <c r="A793" s="168">
        <v>790</v>
      </c>
      <c r="B793" s="169" t="s">
        <v>1087</v>
      </c>
    </row>
    <row r="794" spans="1:2" x14ac:dyDescent="0.35">
      <c r="A794" s="168">
        <v>791</v>
      </c>
      <c r="B794" s="169" t="s">
        <v>1088</v>
      </c>
    </row>
    <row r="795" spans="1:2" x14ac:dyDescent="0.35">
      <c r="A795" s="168">
        <v>792</v>
      </c>
      <c r="B795" s="169" t="s">
        <v>1089</v>
      </c>
    </row>
    <row r="796" spans="1:2" x14ac:dyDescent="0.35">
      <c r="A796" s="168">
        <v>793</v>
      </c>
      <c r="B796" s="169" t="s">
        <v>1090</v>
      </c>
    </row>
    <row r="797" spans="1:2" x14ac:dyDescent="0.35">
      <c r="A797" s="168">
        <v>794</v>
      </c>
      <c r="B797" s="169" t="s">
        <v>1091</v>
      </c>
    </row>
    <row r="798" spans="1:2" x14ac:dyDescent="0.35">
      <c r="A798" s="168">
        <v>795</v>
      </c>
      <c r="B798" s="169" t="s">
        <v>1092</v>
      </c>
    </row>
    <row r="799" spans="1:2" x14ac:dyDescent="0.35">
      <c r="A799" s="168">
        <v>796</v>
      </c>
      <c r="B799" s="169" t="s">
        <v>1093</v>
      </c>
    </row>
    <row r="800" spans="1:2" x14ac:dyDescent="0.35">
      <c r="A800" s="168">
        <v>797</v>
      </c>
      <c r="B800" s="169" t="s">
        <v>1094</v>
      </c>
    </row>
    <row r="801" spans="1:2" x14ac:dyDescent="0.35">
      <c r="A801" s="168">
        <v>798</v>
      </c>
      <c r="B801" s="169" t="s">
        <v>1095</v>
      </c>
    </row>
    <row r="802" spans="1:2" x14ac:dyDescent="0.35">
      <c r="A802" s="168">
        <v>799</v>
      </c>
      <c r="B802" s="169" t="s">
        <v>1096</v>
      </c>
    </row>
    <row r="803" spans="1:2" x14ac:dyDescent="0.35">
      <c r="A803" s="168">
        <v>800</v>
      </c>
      <c r="B803" s="169" t="s">
        <v>1097</v>
      </c>
    </row>
    <row r="804" spans="1:2" x14ac:dyDescent="0.35">
      <c r="A804" s="168">
        <v>801</v>
      </c>
      <c r="B804" s="169" t="s">
        <v>1098</v>
      </c>
    </row>
    <row r="805" spans="1:2" x14ac:dyDescent="0.35">
      <c r="A805" s="168">
        <v>802</v>
      </c>
      <c r="B805" s="169" t="s">
        <v>1099</v>
      </c>
    </row>
    <row r="806" spans="1:2" x14ac:dyDescent="0.35">
      <c r="A806" s="168">
        <v>803</v>
      </c>
      <c r="B806" s="169" t="s">
        <v>1100</v>
      </c>
    </row>
    <row r="807" spans="1:2" x14ac:dyDescent="0.35">
      <c r="A807" s="168">
        <v>804</v>
      </c>
      <c r="B807" s="169" t="s">
        <v>1101</v>
      </c>
    </row>
    <row r="808" spans="1:2" x14ac:dyDescent="0.35">
      <c r="A808" s="168">
        <v>805</v>
      </c>
      <c r="B808" s="169" t="s">
        <v>1102</v>
      </c>
    </row>
    <row r="809" spans="1:2" x14ac:dyDescent="0.35">
      <c r="A809" s="168">
        <v>806</v>
      </c>
      <c r="B809" s="169" t="s">
        <v>1103</v>
      </c>
    </row>
    <row r="810" spans="1:2" x14ac:dyDescent="0.35">
      <c r="A810" s="168">
        <v>807</v>
      </c>
      <c r="B810" s="169" t="s">
        <v>1104</v>
      </c>
    </row>
    <row r="811" spans="1:2" x14ac:dyDescent="0.35">
      <c r="A811" s="168">
        <v>808</v>
      </c>
      <c r="B811" s="169" t="s">
        <v>1105</v>
      </c>
    </row>
    <row r="812" spans="1:2" x14ac:dyDescent="0.35">
      <c r="A812" s="168">
        <v>809</v>
      </c>
      <c r="B812" s="169" t="s">
        <v>1106</v>
      </c>
    </row>
    <row r="813" spans="1:2" x14ac:dyDescent="0.35">
      <c r="A813" s="168">
        <v>810</v>
      </c>
      <c r="B813" s="169" t="s">
        <v>1107</v>
      </c>
    </row>
    <row r="814" spans="1:2" x14ac:dyDescent="0.35">
      <c r="A814" s="168">
        <v>811</v>
      </c>
      <c r="B814" s="169" t="s">
        <v>1108</v>
      </c>
    </row>
    <row r="815" spans="1:2" x14ac:dyDescent="0.35">
      <c r="A815" s="168">
        <v>812</v>
      </c>
      <c r="B815" s="169" t="s">
        <v>1109</v>
      </c>
    </row>
    <row r="816" spans="1:2" x14ac:dyDescent="0.35">
      <c r="A816" s="168">
        <v>813</v>
      </c>
      <c r="B816" s="169" t="s">
        <v>1110</v>
      </c>
    </row>
    <row r="817" spans="1:2" x14ac:dyDescent="0.35">
      <c r="A817" s="168">
        <v>814</v>
      </c>
      <c r="B817" s="169" t="s">
        <v>1111</v>
      </c>
    </row>
    <row r="818" spans="1:2" x14ac:dyDescent="0.35">
      <c r="A818" s="168">
        <v>815</v>
      </c>
      <c r="B818" s="169" t="s">
        <v>1112</v>
      </c>
    </row>
    <row r="819" spans="1:2" x14ac:dyDescent="0.35">
      <c r="A819" s="168">
        <v>816</v>
      </c>
      <c r="B819" s="169" t="s">
        <v>1113</v>
      </c>
    </row>
    <row r="820" spans="1:2" x14ac:dyDescent="0.35">
      <c r="A820" s="168">
        <v>817</v>
      </c>
      <c r="B820" s="169" t="s">
        <v>1114</v>
      </c>
    </row>
    <row r="821" spans="1:2" x14ac:dyDescent="0.35">
      <c r="A821" s="168">
        <v>818</v>
      </c>
      <c r="B821" s="169" t="s">
        <v>1115</v>
      </c>
    </row>
    <row r="822" spans="1:2" x14ac:dyDescent="0.35">
      <c r="A822" s="168">
        <v>819</v>
      </c>
      <c r="B822" s="169" t="s">
        <v>1116</v>
      </c>
    </row>
    <row r="823" spans="1:2" x14ac:dyDescent="0.35">
      <c r="A823" s="168">
        <v>820</v>
      </c>
      <c r="B823" s="169" t="s">
        <v>1117</v>
      </c>
    </row>
    <row r="824" spans="1:2" x14ac:dyDescent="0.35">
      <c r="A824" s="168">
        <v>821</v>
      </c>
      <c r="B824" s="169" t="s">
        <v>1118</v>
      </c>
    </row>
    <row r="825" spans="1:2" x14ac:dyDescent="0.35">
      <c r="A825" s="168">
        <v>822</v>
      </c>
      <c r="B825" s="169" t="s">
        <v>1119</v>
      </c>
    </row>
    <row r="826" spans="1:2" x14ac:dyDescent="0.35">
      <c r="A826" s="168">
        <v>823</v>
      </c>
      <c r="B826" s="169" t="s">
        <v>1120</v>
      </c>
    </row>
    <row r="827" spans="1:2" x14ac:dyDescent="0.35">
      <c r="A827" s="168">
        <v>824</v>
      </c>
      <c r="B827" s="169" t="s">
        <v>1121</v>
      </c>
    </row>
    <row r="828" spans="1:2" x14ac:dyDescent="0.35">
      <c r="A828" s="168">
        <v>825</v>
      </c>
      <c r="B828" s="169" t="s">
        <v>1122</v>
      </c>
    </row>
    <row r="829" spans="1:2" x14ac:dyDescent="0.35">
      <c r="A829" s="168">
        <v>826</v>
      </c>
      <c r="B829" s="169" t="s">
        <v>1123</v>
      </c>
    </row>
    <row r="830" spans="1:2" x14ac:dyDescent="0.35">
      <c r="A830" s="168">
        <v>827</v>
      </c>
      <c r="B830" s="169" t="s">
        <v>1124</v>
      </c>
    </row>
    <row r="831" spans="1:2" x14ac:dyDescent="0.35">
      <c r="A831" s="168">
        <v>828</v>
      </c>
      <c r="B831" s="169" t="s">
        <v>1125</v>
      </c>
    </row>
    <row r="832" spans="1:2" x14ac:dyDescent="0.35">
      <c r="A832" s="168">
        <v>829</v>
      </c>
      <c r="B832" s="169" t="s">
        <v>1126</v>
      </c>
    </row>
    <row r="833" spans="1:2" x14ac:dyDescent="0.35">
      <c r="A833" s="168">
        <v>830</v>
      </c>
      <c r="B833" s="169" t="s">
        <v>1127</v>
      </c>
    </row>
    <row r="834" spans="1:2" x14ac:dyDescent="0.35">
      <c r="A834" s="168">
        <v>831</v>
      </c>
      <c r="B834" s="169" t="s">
        <v>1128</v>
      </c>
    </row>
    <row r="835" spans="1:2" x14ac:dyDescent="0.35">
      <c r="A835" s="168">
        <v>832</v>
      </c>
      <c r="B835" s="169" t="s">
        <v>1129</v>
      </c>
    </row>
    <row r="836" spans="1:2" x14ac:dyDescent="0.35">
      <c r="A836" s="168">
        <v>833</v>
      </c>
      <c r="B836" s="169" t="s">
        <v>1130</v>
      </c>
    </row>
    <row r="837" spans="1:2" x14ac:dyDescent="0.35">
      <c r="A837" s="168">
        <v>834</v>
      </c>
      <c r="B837" s="169" t="s">
        <v>1131</v>
      </c>
    </row>
    <row r="838" spans="1:2" x14ac:dyDescent="0.35">
      <c r="A838" s="168">
        <v>835</v>
      </c>
      <c r="B838" s="169" t="s">
        <v>1132</v>
      </c>
    </row>
    <row r="839" spans="1:2" x14ac:dyDescent="0.35">
      <c r="A839" s="168">
        <v>836</v>
      </c>
      <c r="B839" s="169" t="s">
        <v>1133</v>
      </c>
    </row>
    <row r="840" spans="1:2" x14ac:dyDescent="0.35">
      <c r="A840" s="168">
        <v>837</v>
      </c>
      <c r="B840" s="169" t="s">
        <v>1134</v>
      </c>
    </row>
    <row r="841" spans="1:2" x14ac:dyDescent="0.35">
      <c r="A841" s="168">
        <v>838</v>
      </c>
      <c r="B841" s="169" t="s">
        <v>1135</v>
      </c>
    </row>
    <row r="842" spans="1:2" x14ac:dyDescent="0.35">
      <c r="A842" s="168">
        <v>839</v>
      </c>
      <c r="B842" s="169" t="s">
        <v>1136</v>
      </c>
    </row>
    <row r="843" spans="1:2" x14ac:dyDescent="0.35">
      <c r="A843" s="168">
        <v>840</v>
      </c>
      <c r="B843" s="169" t="s">
        <v>1137</v>
      </c>
    </row>
    <row r="844" spans="1:2" x14ac:dyDescent="0.35">
      <c r="A844" s="168">
        <v>841</v>
      </c>
      <c r="B844" s="169" t="s">
        <v>1138</v>
      </c>
    </row>
    <row r="845" spans="1:2" x14ac:dyDescent="0.35">
      <c r="A845" s="168">
        <v>842</v>
      </c>
      <c r="B845" s="169" t="s">
        <v>1139</v>
      </c>
    </row>
    <row r="846" spans="1:2" x14ac:dyDescent="0.35">
      <c r="A846" s="168">
        <v>843</v>
      </c>
      <c r="B846" s="169" t="s">
        <v>1140</v>
      </c>
    </row>
    <row r="847" spans="1:2" x14ac:dyDescent="0.35">
      <c r="A847" s="168">
        <v>844</v>
      </c>
      <c r="B847" s="169" t="s">
        <v>1141</v>
      </c>
    </row>
    <row r="848" spans="1:2" x14ac:dyDescent="0.35">
      <c r="A848" s="168">
        <v>845</v>
      </c>
      <c r="B848" s="169" t="s">
        <v>1142</v>
      </c>
    </row>
    <row r="849" spans="1:2" x14ac:dyDescent="0.35">
      <c r="A849" s="168">
        <v>846</v>
      </c>
      <c r="B849" s="169" t="s">
        <v>1143</v>
      </c>
    </row>
    <row r="850" spans="1:2" x14ac:dyDescent="0.35">
      <c r="A850" s="168">
        <v>847</v>
      </c>
      <c r="B850" s="169" t="s">
        <v>1144</v>
      </c>
    </row>
    <row r="851" spans="1:2" x14ac:dyDescent="0.35">
      <c r="A851" s="168">
        <v>848</v>
      </c>
      <c r="B851" s="169" t="s">
        <v>1145</v>
      </c>
    </row>
    <row r="852" spans="1:2" x14ac:dyDescent="0.35">
      <c r="A852" s="168">
        <v>849</v>
      </c>
      <c r="B852" s="169" t="s">
        <v>1146</v>
      </c>
    </row>
    <row r="853" spans="1:2" x14ac:dyDescent="0.35">
      <c r="A853" s="168">
        <v>850</v>
      </c>
      <c r="B853" s="169" t="s">
        <v>1147</v>
      </c>
    </row>
    <row r="854" spans="1:2" x14ac:dyDescent="0.35">
      <c r="A854" s="168">
        <v>851</v>
      </c>
      <c r="B854" s="169" t="s">
        <v>1148</v>
      </c>
    </row>
    <row r="855" spans="1:2" x14ac:dyDescent="0.35">
      <c r="A855" s="168">
        <v>852</v>
      </c>
      <c r="B855" s="169" t="s">
        <v>1149</v>
      </c>
    </row>
    <row r="856" spans="1:2" x14ac:dyDescent="0.35">
      <c r="A856" s="168">
        <v>853</v>
      </c>
      <c r="B856" s="169" t="s">
        <v>1150</v>
      </c>
    </row>
    <row r="857" spans="1:2" x14ac:dyDescent="0.35">
      <c r="A857" s="168">
        <v>854</v>
      </c>
      <c r="B857" s="169" t="s">
        <v>1151</v>
      </c>
    </row>
    <row r="858" spans="1:2" x14ac:dyDescent="0.35">
      <c r="A858" s="168">
        <v>855</v>
      </c>
      <c r="B858" s="169" t="s">
        <v>1152</v>
      </c>
    </row>
    <row r="859" spans="1:2" x14ac:dyDescent="0.35">
      <c r="A859" s="168">
        <v>856</v>
      </c>
      <c r="B859" s="169" t="s">
        <v>1153</v>
      </c>
    </row>
    <row r="860" spans="1:2" x14ac:dyDescent="0.35">
      <c r="A860" s="168">
        <v>857</v>
      </c>
      <c r="B860" s="169" t="s">
        <v>1154</v>
      </c>
    </row>
    <row r="861" spans="1:2" x14ac:dyDescent="0.35">
      <c r="A861" s="168">
        <v>858</v>
      </c>
      <c r="B861" s="169" t="s">
        <v>1155</v>
      </c>
    </row>
    <row r="862" spans="1:2" x14ac:dyDescent="0.35">
      <c r="A862" s="168">
        <v>859</v>
      </c>
      <c r="B862" s="169" t="s">
        <v>1156</v>
      </c>
    </row>
    <row r="863" spans="1:2" x14ac:dyDescent="0.35">
      <c r="A863" s="168">
        <v>860</v>
      </c>
      <c r="B863" s="169" t="s">
        <v>1157</v>
      </c>
    </row>
    <row r="864" spans="1:2" x14ac:dyDescent="0.35">
      <c r="A864" s="168">
        <v>861</v>
      </c>
      <c r="B864" s="169" t="s">
        <v>1158</v>
      </c>
    </row>
    <row r="865" spans="1:2" x14ac:dyDescent="0.35">
      <c r="A865" s="168">
        <v>862</v>
      </c>
      <c r="B865" s="169" t="s">
        <v>1159</v>
      </c>
    </row>
    <row r="866" spans="1:2" x14ac:dyDescent="0.35">
      <c r="A866" s="168">
        <v>863</v>
      </c>
      <c r="B866" s="169" t="s">
        <v>1160</v>
      </c>
    </row>
    <row r="867" spans="1:2" x14ac:dyDescent="0.35">
      <c r="A867" s="168">
        <v>864</v>
      </c>
      <c r="B867" s="169" t="s">
        <v>1161</v>
      </c>
    </row>
    <row r="868" spans="1:2" x14ac:dyDescent="0.35">
      <c r="A868" s="168">
        <v>865</v>
      </c>
      <c r="B868" s="169" t="s">
        <v>1162</v>
      </c>
    </row>
    <row r="869" spans="1:2" x14ac:dyDescent="0.35">
      <c r="A869" s="168">
        <v>866</v>
      </c>
      <c r="B869" s="169" t="s">
        <v>1163</v>
      </c>
    </row>
    <row r="870" spans="1:2" x14ac:dyDescent="0.35">
      <c r="A870" s="168">
        <v>867</v>
      </c>
      <c r="B870" s="169" t="s">
        <v>1164</v>
      </c>
    </row>
    <row r="871" spans="1:2" x14ac:dyDescent="0.35">
      <c r="A871" s="168">
        <v>868</v>
      </c>
      <c r="B871" s="169" t="s">
        <v>1165</v>
      </c>
    </row>
    <row r="872" spans="1:2" x14ac:dyDescent="0.35">
      <c r="A872" s="168">
        <v>869</v>
      </c>
      <c r="B872" s="169" t="s">
        <v>1166</v>
      </c>
    </row>
    <row r="873" spans="1:2" x14ac:dyDescent="0.35">
      <c r="A873" s="168">
        <v>870</v>
      </c>
      <c r="B873" s="169" t="s">
        <v>1167</v>
      </c>
    </row>
    <row r="874" spans="1:2" x14ac:dyDescent="0.35">
      <c r="A874" s="168">
        <v>871</v>
      </c>
      <c r="B874" s="169" t="s">
        <v>1168</v>
      </c>
    </row>
    <row r="875" spans="1:2" x14ac:dyDescent="0.35">
      <c r="A875" s="168">
        <v>872</v>
      </c>
      <c r="B875" s="169" t="s">
        <v>1169</v>
      </c>
    </row>
    <row r="876" spans="1:2" x14ac:dyDescent="0.35">
      <c r="A876" s="168">
        <v>873</v>
      </c>
      <c r="B876" s="169" t="s">
        <v>1170</v>
      </c>
    </row>
    <row r="877" spans="1:2" x14ac:dyDescent="0.35">
      <c r="A877" s="168">
        <v>874</v>
      </c>
      <c r="B877" s="169" t="s">
        <v>1171</v>
      </c>
    </row>
    <row r="878" spans="1:2" x14ac:dyDescent="0.35">
      <c r="A878" s="168">
        <v>875</v>
      </c>
      <c r="B878" s="169" t="s">
        <v>1172</v>
      </c>
    </row>
    <row r="879" spans="1:2" x14ac:dyDescent="0.35">
      <c r="A879" s="168">
        <v>876</v>
      </c>
      <c r="B879" s="169" t="s">
        <v>1173</v>
      </c>
    </row>
    <row r="880" spans="1:2" x14ac:dyDescent="0.35">
      <c r="A880" s="168">
        <v>877</v>
      </c>
      <c r="B880" s="169" t="s">
        <v>1174</v>
      </c>
    </row>
    <row r="881" spans="1:2" x14ac:dyDescent="0.35">
      <c r="A881" s="168">
        <v>878</v>
      </c>
      <c r="B881" s="169" t="s">
        <v>1175</v>
      </c>
    </row>
    <row r="882" spans="1:2" x14ac:dyDescent="0.35">
      <c r="A882" s="168">
        <v>879</v>
      </c>
      <c r="B882" s="169" t="s">
        <v>1176</v>
      </c>
    </row>
    <row r="883" spans="1:2" x14ac:dyDescent="0.35">
      <c r="A883" s="168">
        <v>880</v>
      </c>
      <c r="B883" s="169" t="s">
        <v>1177</v>
      </c>
    </row>
    <row r="884" spans="1:2" x14ac:dyDescent="0.35">
      <c r="A884" s="168">
        <v>881</v>
      </c>
      <c r="B884" s="169" t="s">
        <v>1178</v>
      </c>
    </row>
    <row r="885" spans="1:2" x14ac:dyDescent="0.35">
      <c r="A885" s="168">
        <v>882</v>
      </c>
      <c r="B885" s="169" t="s">
        <v>1179</v>
      </c>
    </row>
    <row r="886" spans="1:2" x14ac:dyDescent="0.35">
      <c r="A886" s="168">
        <v>883</v>
      </c>
      <c r="B886" s="169" t="s">
        <v>1180</v>
      </c>
    </row>
    <row r="887" spans="1:2" x14ac:dyDescent="0.35">
      <c r="A887" s="168">
        <v>884</v>
      </c>
      <c r="B887" s="169" t="s">
        <v>1181</v>
      </c>
    </row>
    <row r="888" spans="1:2" x14ac:dyDescent="0.35">
      <c r="A888" s="168">
        <v>885</v>
      </c>
      <c r="B888" s="169" t="s">
        <v>1182</v>
      </c>
    </row>
    <row r="889" spans="1:2" x14ac:dyDescent="0.35">
      <c r="A889" s="168">
        <v>886</v>
      </c>
      <c r="B889" s="169" t="s">
        <v>1183</v>
      </c>
    </row>
    <row r="890" spans="1:2" x14ac:dyDescent="0.35">
      <c r="A890" s="168">
        <v>887</v>
      </c>
      <c r="B890" s="169" t="s">
        <v>1184</v>
      </c>
    </row>
    <row r="891" spans="1:2" x14ac:dyDescent="0.35">
      <c r="A891" s="168">
        <v>888</v>
      </c>
      <c r="B891" s="169" t="s">
        <v>1185</v>
      </c>
    </row>
    <row r="892" spans="1:2" x14ac:dyDescent="0.35">
      <c r="A892" s="168">
        <v>889</v>
      </c>
      <c r="B892" s="169" t="s">
        <v>1186</v>
      </c>
    </row>
    <row r="893" spans="1:2" x14ac:dyDescent="0.35">
      <c r="A893" s="168">
        <v>890</v>
      </c>
      <c r="B893" s="169" t="s">
        <v>1187</v>
      </c>
    </row>
    <row r="894" spans="1:2" x14ac:dyDescent="0.35">
      <c r="A894" s="168">
        <v>891</v>
      </c>
      <c r="B894" s="169" t="s">
        <v>1188</v>
      </c>
    </row>
    <row r="895" spans="1:2" x14ac:dyDescent="0.35">
      <c r="A895" s="168">
        <v>892</v>
      </c>
      <c r="B895" s="169" t="s">
        <v>1189</v>
      </c>
    </row>
    <row r="896" spans="1:2" x14ac:dyDescent="0.35">
      <c r="A896" s="168">
        <v>893</v>
      </c>
      <c r="B896" s="169" t="s">
        <v>1190</v>
      </c>
    </row>
    <row r="897" spans="1:2" x14ac:dyDescent="0.35">
      <c r="A897" s="168">
        <v>894</v>
      </c>
      <c r="B897" s="169" t="s">
        <v>1191</v>
      </c>
    </row>
    <row r="898" spans="1:2" x14ac:dyDescent="0.35">
      <c r="A898" s="168">
        <v>895</v>
      </c>
      <c r="B898" s="169" t="s">
        <v>1192</v>
      </c>
    </row>
    <row r="899" spans="1:2" x14ac:dyDescent="0.35">
      <c r="A899" s="168">
        <v>896</v>
      </c>
      <c r="B899" s="169" t="s">
        <v>1193</v>
      </c>
    </row>
    <row r="900" spans="1:2" x14ac:dyDescent="0.35">
      <c r="A900" s="168">
        <v>897</v>
      </c>
      <c r="B900" s="169" t="s">
        <v>1194</v>
      </c>
    </row>
    <row r="901" spans="1:2" x14ac:dyDescent="0.35">
      <c r="A901" s="168">
        <v>898</v>
      </c>
      <c r="B901" s="169" t="s">
        <v>1195</v>
      </c>
    </row>
    <row r="902" spans="1:2" x14ac:dyDescent="0.35">
      <c r="A902" s="168">
        <v>899</v>
      </c>
      <c r="B902" s="169" t="s">
        <v>1196</v>
      </c>
    </row>
    <row r="903" spans="1:2" x14ac:dyDescent="0.35">
      <c r="A903" s="168">
        <v>900</v>
      </c>
      <c r="B903" s="169" t="s">
        <v>1197</v>
      </c>
    </row>
    <row r="904" spans="1:2" x14ac:dyDescent="0.35">
      <c r="A904" s="168">
        <v>901</v>
      </c>
      <c r="B904" s="169" t="s">
        <v>1198</v>
      </c>
    </row>
    <row r="905" spans="1:2" x14ac:dyDescent="0.35">
      <c r="A905" s="168">
        <v>902</v>
      </c>
      <c r="B905" s="169" t="s">
        <v>1199</v>
      </c>
    </row>
    <row r="906" spans="1:2" x14ac:dyDescent="0.35">
      <c r="A906" s="168">
        <v>903</v>
      </c>
      <c r="B906" s="169" t="s">
        <v>1200</v>
      </c>
    </row>
    <row r="907" spans="1:2" x14ac:dyDescent="0.35">
      <c r="A907" s="168">
        <v>904</v>
      </c>
      <c r="B907" s="169" t="s">
        <v>1201</v>
      </c>
    </row>
    <row r="908" spans="1:2" x14ac:dyDescent="0.35">
      <c r="A908" s="168">
        <v>905</v>
      </c>
      <c r="B908" s="169" t="s">
        <v>1202</v>
      </c>
    </row>
    <row r="909" spans="1:2" x14ac:dyDescent="0.35">
      <c r="A909" s="168">
        <v>906</v>
      </c>
      <c r="B909" s="169" t="s">
        <v>1203</v>
      </c>
    </row>
    <row r="910" spans="1:2" x14ac:dyDescent="0.35">
      <c r="A910" s="168">
        <v>907</v>
      </c>
      <c r="B910" s="169" t="s">
        <v>1204</v>
      </c>
    </row>
    <row r="911" spans="1:2" x14ac:dyDescent="0.35">
      <c r="A911" s="168">
        <v>908</v>
      </c>
      <c r="B911" s="169" t="s">
        <v>1205</v>
      </c>
    </row>
    <row r="912" spans="1:2" x14ac:dyDescent="0.35">
      <c r="A912" s="168">
        <v>909</v>
      </c>
      <c r="B912" s="169" t="s">
        <v>1206</v>
      </c>
    </row>
    <row r="913" spans="1:2" x14ac:dyDescent="0.35">
      <c r="A913" s="168">
        <v>910</v>
      </c>
      <c r="B913" s="169" t="s">
        <v>1207</v>
      </c>
    </row>
    <row r="914" spans="1:2" x14ac:dyDescent="0.35">
      <c r="A914" s="168">
        <v>911</v>
      </c>
      <c r="B914" s="169" t="s">
        <v>1208</v>
      </c>
    </row>
    <row r="915" spans="1:2" x14ac:dyDescent="0.35">
      <c r="A915" s="168">
        <v>912</v>
      </c>
      <c r="B915" s="169" t="s">
        <v>1209</v>
      </c>
    </row>
    <row r="916" spans="1:2" x14ac:dyDescent="0.35">
      <c r="A916" s="168">
        <v>913</v>
      </c>
      <c r="B916" s="169" t="s">
        <v>1210</v>
      </c>
    </row>
    <row r="917" spans="1:2" x14ac:dyDescent="0.35">
      <c r="A917" s="168">
        <v>914</v>
      </c>
      <c r="B917" s="169" t="s">
        <v>1211</v>
      </c>
    </row>
    <row r="918" spans="1:2" x14ac:dyDescent="0.35">
      <c r="A918" s="168">
        <v>915</v>
      </c>
      <c r="B918" s="169" t="s">
        <v>1212</v>
      </c>
    </row>
    <row r="919" spans="1:2" x14ac:dyDescent="0.35">
      <c r="A919" s="168">
        <v>916</v>
      </c>
      <c r="B919" s="169" t="s">
        <v>1213</v>
      </c>
    </row>
    <row r="920" spans="1:2" x14ac:dyDescent="0.35">
      <c r="A920" s="168">
        <v>917</v>
      </c>
      <c r="B920" s="169" t="s">
        <v>1214</v>
      </c>
    </row>
    <row r="921" spans="1:2" x14ac:dyDescent="0.35">
      <c r="A921" s="168">
        <v>918</v>
      </c>
      <c r="B921" s="169" t="s">
        <v>1215</v>
      </c>
    </row>
    <row r="922" spans="1:2" x14ac:dyDescent="0.35">
      <c r="A922" s="168">
        <v>919</v>
      </c>
      <c r="B922" s="169" t="s">
        <v>1216</v>
      </c>
    </row>
    <row r="923" spans="1:2" x14ac:dyDescent="0.35">
      <c r="A923" s="168">
        <v>920</v>
      </c>
      <c r="B923" s="169" t="s">
        <v>1217</v>
      </c>
    </row>
    <row r="924" spans="1:2" x14ac:dyDescent="0.35">
      <c r="A924" s="168">
        <v>921</v>
      </c>
      <c r="B924" s="169" t="s">
        <v>1218</v>
      </c>
    </row>
    <row r="925" spans="1:2" x14ac:dyDescent="0.35">
      <c r="A925" s="168">
        <v>922</v>
      </c>
      <c r="B925" s="169" t="s">
        <v>1219</v>
      </c>
    </row>
    <row r="926" spans="1:2" x14ac:dyDescent="0.35">
      <c r="A926" s="168">
        <v>923</v>
      </c>
      <c r="B926" s="169" t="s">
        <v>1220</v>
      </c>
    </row>
    <row r="927" spans="1:2" x14ac:dyDescent="0.35">
      <c r="A927" s="168">
        <v>924</v>
      </c>
      <c r="B927" s="169" t="s">
        <v>1221</v>
      </c>
    </row>
    <row r="928" spans="1:2" x14ac:dyDescent="0.35">
      <c r="A928" s="168">
        <v>925</v>
      </c>
      <c r="B928" s="169" t="s">
        <v>1222</v>
      </c>
    </row>
    <row r="929" spans="1:2" x14ac:dyDescent="0.35">
      <c r="A929" s="168">
        <v>926</v>
      </c>
      <c r="B929" s="169" t="s">
        <v>1223</v>
      </c>
    </row>
    <row r="930" spans="1:2" x14ac:dyDescent="0.35">
      <c r="A930" s="168">
        <v>927</v>
      </c>
      <c r="B930" s="169" t="s">
        <v>1224</v>
      </c>
    </row>
    <row r="931" spans="1:2" x14ac:dyDescent="0.35">
      <c r="A931" s="168">
        <v>928</v>
      </c>
      <c r="B931" s="169" t="s">
        <v>1225</v>
      </c>
    </row>
    <row r="932" spans="1:2" x14ac:dyDescent="0.35">
      <c r="A932" s="168">
        <v>929</v>
      </c>
      <c r="B932" s="169" t="s">
        <v>1226</v>
      </c>
    </row>
    <row r="933" spans="1:2" x14ac:dyDescent="0.35">
      <c r="A933" s="168">
        <v>930</v>
      </c>
      <c r="B933" s="169" t="s">
        <v>1227</v>
      </c>
    </row>
    <row r="934" spans="1:2" x14ac:dyDescent="0.35">
      <c r="A934" s="168">
        <v>931</v>
      </c>
      <c r="B934" s="169" t="s">
        <v>1228</v>
      </c>
    </row>
    <row r="935" spans="1:2" x14ac:dyDescent="0.35">
      <c r="A935" s="168">
        <v>932</v>
      </c>
      <c r="B935" s="169" t="s">
        <v>1229</v>
      </c>
    </row>
    <row r="936" spans="1:2" x14ac:dyDescent="0.35">
      <c r="A936" s="168">
        <v>933</v>
      </c>
      <c r="B936" s="169" t="s">
        <v>1230</v>
      </c>
    </row>
    <row r="937" spans="1:2" x14ac:dyDescent="0.35">
      <c r="A937" s="168">
        <v>934</v>
      </c>
      <c r="B937" s="169" t="s">
        <v>1231</v>
      </c>
    </row>
    <row r="938" spans="1:2" x14ac:dyDescent="0.35">
      <c r="A938" s="168">
        <v>935</v>
      </c>
      <c r="B938" s="169" t="s">
        <v>1232</v>
      </c>
    </row>
    <row r="939" spans="1:2" x14ac:dyDescent="0.35">
      <c r="A939" s="168">
        <v>936</v>
      </c>
      <c r="B939" s="169" t="s">
        <v>1233</v>
      </c>
    </row>
    <row r="940" spans="1:2" x14ac:dyDescent="0.35">
      <c r="A940" s="168">
        <v>937</v>
      </c>
      <c r="B940" s="169" t="s">
        <v>1234</v>
      </c>
    </row>
    <row r="941" spans="1:2" x14ac:dyDescent="0.35">
      <c r="A941" s="168">
        <v>938</v>
      </c>
      <c r="B941" s="169" t="s">
        <v>1235</v>
      </c>
    </row>
    <row r="942" spans="1:2" x14ac:dyDescent="0.35">
      <c r="A942" s="168">
        <v>939</v>
      </c>
      <c r="B942" s="169" t="s">
        <v>1236</v>
      </c>
    </row>
    <row r="943" spans="1:2" x14ac:dyDescent="0.35">
      <c r="A943" s="168">
        <v>940</v>
      </c>
      <c r="B943" s="169" t="s">
        <v>1237</v>
      </c>
    </row>
    <row r="944" spans="1:2" x14ac:dyDescent="0.35">
      <c r="A944" s="168">
        <v>941</v>
      </c>
      <c r="B944" s="169" t="s">
        <v>1238</v>
      </c>
    </row>
    <row r="945" spans="1:2" x14ac:dyDescent="0.35">
      <c r="A945" s="168">
        <v>942</v>
      </c>
      <c r="B945" s="169" t="s">
        <v>1239</v>
      </c>
    </row>
    <row r="946" spans="1:2" x14ac:dyDescent="0.35">
      <c r="A946" s="168">
        <v>943</v>
      </c>
      <c r="B946" s="169" t="s">
        <v>1240</v>
      </c>
    </row>
    <row r="947" spans="1:2" x14ac:dyDescent="0.35">
      <c r="A947" s="168">
        <v>944</v>
      </c>
      <c r="B947" s="169" t="s">
        <v>1241</v>
      </c>
    </row>
    <row r="948" spans="1:2" x14ac:dyDescent="0.35">
      <c r="A948" s="168">
        <v>945</v>
      </c>
      <c r="B948" s="169" t="s">
        <v>1242</v>
      </c>
    </row>
    <row r="949" spans="1:2" x14ac:dyDescent="0.35">
      <c r="A949" s="168">
        <v>946</v>
      </c>
      <c r="B949" s="169" t="s">
        <v>1243</v>
      </c>
    </row>
    <row r="950" spans="1:2" x14ac:dyDescent="0.35">
      <c r="A950" s="168">
        <v>947</v>
      </c>
      <c r="B950" s="169" t="s">
        <v>1244</v>
      </c>
    </row>
    <row r="951" spans="1:2" x14ac:dyDescent="0.35">
      <c r="A951" s="168">
        <v>948</v>
      </c>
      <c r="B951" s="169" t="s">
        <v>1245</v>
      </c>
    </row>
    <row r="952" spans="1:2" x14ac:dyDescent="0.35">
      <c r="A952" s="168">
        <v>949</v>
      </c>
      <c r="B952" s="169" t="s">
        <v>1246</v>
      </c>
    </row>
    <row r="953" spans="1:2" x14ac:dyDescent="0.35">
      <c r="A953" s="168">
        <v>950</v>
      </c>
      <c r="B953" s="169" t="s">
        <v>1247</v>
      </c>
    </row>
    <row r="954" spans="1:2" x14ac:dyDescent="0.35">
      <c r="A954" s="168">
        <v>951</v>
      </c>
      <c r="B954" s="169" t="s">
        <v>1248</v>
      </c>
    </row>
    <row r="955" spans="1:2" x14ac:dyDescent="0.35">
      <c r="A955" s="168">
        <v>952</v>
      </c>
      <c r="B955" s="169" t="s">
        <v>1249</v>
      </c>
    </row>
    <row r="956" spans="1:2" x14ac:dyDescent="0.35">
      <c r="A956" s="168">
        <v>953</v>
      </c>
      <c r="B956" s="169" t="s">
        <v>1250</v>
      </c>
    </row>
    <row r="957" spans="1:2" x14ac:dyDescent="0.35">
      <c r="A957" s="168">
        <v>954</v>
      </c>
      <c r="B957" s="169" t="s">
        <v>1251</v>
      </c>
    </row>
    <row r="958" spans="1:2" x14ac:dyDescent="0.35">
      <c r="A958" s="168">
        <v>955</v>
      </c>
      <c r="B958" s="169" t="s">
        <v>1252</v>
      </c>
    </row>
    <row r="959" spans="1:2" x14ac:dyDescent="0.35">
      <c r="A959" s="168">
        <v>956</v>
      </c>
      <c r="B959" s="169" t="s">
        <v>1253</v>
      </c>
    </row>
    <row r="960" spans="1:2" x14ac:dyDescent="0.35">
      <c r="A960" s="168">
        <v>957</v>
      </c>
      <c r="B960" s="169" t="s">
        <v>1254</v>
      </c>
    </row>
    <row r="961" spans="1:2" x14ac:dyDescent="0.35">
      <c r="A961" s="168">
        <v>958</v>
      </c>
      <c r="B961" s="169" t="s">
        <v>1255</v>
      </c>
    </row>
    <row r="962" spans="1:2" x14ac:dyDescent="0.35">
      <c r="A962" s="168">
        <v>959</v>
      </c>
      <c r="B962" s="169" t="s">
        <v>1256</v>
      </c>
    </row>
    <row r="963" spans="1:2" x14ac:dyDescent="0.35">
      <c r="A963" s="168">
        <v>960</v>
      </c>
      <c r="B963" s="169" t="s">
        <v>1257</v>
      </c>
    </row>
    <row r="964" spans="1:2" x14ac:dyDescent="0.35">
      <c r="A964" s="168">
        <v>961</v>
      </c>
      <c r="B964" s="169" t="s">
        <v>1258</v>
      </c>
    </row>
    <row r="965" spans="1:2" x14ac:dyDescent="0.35">
      <c r="A965" s="168">
        <v>962</v>
      </c>
      <c r="B965" s="169" t="s">
        <v>1259</v>
      </c>
    </row>
    <row r="966" spans="1:2" x14ac:dyDescent="0.35">
      <c r="A966" s="168">
        <v>963</v>
      </c>
      <c r="B966" s="169" t="s">
        <v>1260</v>
      </c>
    </row>
    <row r="967" spans="1:2" x14ac:dyDescent="0.35">
      <c r="A967" s="168">
        <v>964</v>
      </c>
      <c r="B967" s="169" t="s">
        <v>1261</v>
      </c>
    </row>
    <row r="968" spans="1:2" x14ac:dyDescent="0.35">
      <c r="A968" s="168">
        <v>965</v>
      </c>
      <c r="B968" s="169" t="s">
        <v>1262</v>
      </c>
    </row>
    <row r="969" spans="1:2" x14ac:dyDescent="0.35">
      <c r="A969" s="168">
        <v>966</v>
      </c>
      <c r="B969" s="169" t="s">
        <v>1263</v>
      </c>
    </row>
    <row r="970" spans="1:2" x14ac:dyDescent="0.35">
      <c r="A970" s="168">
        <v>967</v>
      </c>
      <c r="B970" s="169" t="s">
        <v>1264</v>
      </c>
    </row>
    <row r="971" spans="1:2" x14ac:dyDescent="0.35">
      <c r="A971" s="168">
        <v>968</v>
      </c>
      <c r="B971" s="169" t="s">
        <v>1265</v>
      </c>
    </row>
    <row r="972" spans="1:2" x14ac:dyDescent="0.35">
      <c r="A972" s="168">
        <v>969</v>
      </c>
      <c r="B972" s="169" t="s">
        <v>1266</v>
      </c>
    </row>
    <row r="973" spans="1:2" x14ac:dyDescent="0.35">
      <c r="A973" s="168">
        <v>970</v>
      </c>
      <c r="B973" s="169" t="s">
        <v>1267</v>
      </c>
    </row>
    <row r="974" spans="1:2" x14ac:dyDescent="0.35">
      <c r="A974" s="168">
        <v>971</v>
      </c>
      <c r="B974" s="169" t="s">
        <v>1268</v>
      </c>
    </row>
    <row r="975" spans="1:2" x14ac:dyDescent="0.35">
      <c r="A975" s="168">
        <v>972</v>
      </c>
      <c r="B975" s="169" t="s">
        <v>1269</v>
      </c>
    </row>
    <row r="976" spans="1:2" x14ac:dyDescent="0.35">
      <c r="A976" s="168">
        <v>973</v>
      </c>
      <c r="B976" s="169" t="s">
        <v>1270</v>
      </c>
    </row>
    <row r="977" spans="1:2" x14ac:dyDescent="0.35">
      <c r="A977" s="168">
        <v>974</v>
      </c>
      <c r="B977" s="169" t="s">
        <v>1271</v>
      </c>
    </row>
    <row r="978" spans="1:2" x14ac:dyDescent="0.35">
      <c r="A978" s="168">
        <v>975</v>
      </c>
      <c r="B978" s="169" t="s">
        <v>1272</v>
      </c>
    </row>
    <row r="979" spans="1:2" x14ac:dyDescent="0.35">
      <c r="A979" s="168">
        <v>976</v>
      </c>
      <c r="B979" s="169" t="s">
        <v>1273</v>
      </c>
    </row>
    <row r="980" spans="1:2" x14ac:dyDescent="0.35">
      <c r="A980" s="168">
        <v>977</v>
      </c>
      <c r="B980" s="169" t="s">
        <v>1274</v>
      </c>
    </row>
    <row r="981" spans="1:2" x14ac:dyDescent="0.35">
      <c r="A981" s="168">
        <v>978</v>
      </c>
      <c r="B981" s="169" t="s">
        <v>1275</v>
      </c>
    </row>
    <row r="982" spans="1:2" x14ac:dyDescent="0.35">
      <c r="A982" s="168">
        <v>979</v>
      </c>
      <c r="B982" s="169" t="s">
        <v>1276</v>
      </c>
    </row>
    <row r="983" spans="1:2" x14ac:dyDescent="0.35">
      <c r="A983" s="168">
        <v>980</v>
      </c>
      <c r="B983" s="169" t="s">
        <v>1277</v>
      </c>
    </row>
    <row r="984" spans="1:2" x14ac:dyDescent="0.35">
      <c r="A984" s="168">
        <v>981</v>
      </c>
      <c r="B984" s="169" t="s">
        <v>1278</v>
      </c>
    </row>
    <row r="985" spans="1:2" x14ac:dyDescent="0.35">
      <c r="A985" s="168">
        <v>982</v>
      </c>
      <c r="B985" s="169" t="s">
        <v>1279</v>
      </c>
    </row>
    <row r="986" spans="1:2" x14ac:dyDescent="0.35">
      <c r="A986" s="168">
        <v>983</v>
      </c>
      <c r="B986" s="169" t="s">
        <v>1280</v>
      </c>
    </row>
    <row r="987" spans="1:2" x14ac:dyDescent="0.35">
      <c r="A987" s="168">
        <v>984</v>
      </c>
      <c r="B987" s="169" t="s">
        <v>1281</v>
      </c>
    </row>
    <row r="988" spans="1:2" x14ac:dyDescent="0.35">
      <c r="A988" s="168">
        <v>985</v>
      </c>
      <c r="B988" s="169" t="s">
        <v>1282</v>
      </c>
    </row>
    <row r="989" spans="1:2" x14ac:dyDescent="0.35">
      <c r="A989" s="168">
        <v>986</v>
      </c>
      <c r="B989" s="169" t="s">
        <v>1283</v>
      </c>
    </row>
    <row r="990" spans="1:2" x14ac:dyDescent="0.35">
      <c r="A990" s="168">
        <v>987</v>
      </c>
      <c r="B990" s="169" t="s">
        <v>1284</v>
      </c>
    </row>
    <row r="991" spans="1:2" x14ac:dyDescent="0.35">
      <c r="A991" s="168">
        <v>988</v>
      </c>
      <c r="B991" s="169" t="s">
        <v>1285</v>
      </c>
    </row>
    <row r="992" spans="1:2" x14ac:dyDescent="0.35">
      <c r="A992" s="168">
        <v>989</v>
      </c>
      <c r="B992" s="169" t="s">
        <v>1286</v>
      </c>
    </row>
    <row r="993" spans="1:2" x14ac:dyDescent="0.35">
      <c r="A993" s="168">
        <v>990</v>
      </c>
      <c r="B993" s="169" t="s">
        <v>1287</v>
      </c>
    </row>
    <row r="994" spans="1:2" x14ac:dyDescent="0.35">
      <c r="A994" s="168">
        <v>991</v>
      </c>
      <c r="B994" s="169" t="s">
        <v>1288</v>
      </c>
    </row>
    <row r="995" spans="1:2" x14ac:dyDescent="0.35">
      <c r="A995" s="168">
        <v>992</v>
      </c>
      <c r="B995" s="169" t="s">
        <v>1289</v>
      </c>
    </row>
    <row r="996" spans="1:2" x14ac:dyDescent="0.35">
      <c r="A996" s="168">
        <v>993</v>
      </c>
      <c r="B996" s="169" t="s">
        <v>1290</v>
      </c>
    </row>
    <row r="997" spans="1:2" x14ac:dyDescent="0.35">
      <c r="A997" s="168">
        <v>994</v>
      </c>
      <c r="B997" s="169" t="s">
        <v>1291</v>
      </c>
    </row>
    <row r="998" spans="1:2" x14ac:dyDescent="0.35">
      <c r="A998" s="168">
        <v>995</v>
      </c>
      <c r="B998" s="169" t="s">
        <v>1292</v>
      </c>
    </row>
    <row r="999" spans="1:2" x14ac:dyDescent="0.35">
      <c r="A999" s="168">
        <v>996</v>
      </c>
      <c r="B999" s="169" t="s">
        <v>1293</v>
      </c>
    </row>
    <row r="1000" spans="1:2" x14ac:dyDescent="0.35">
      <c r="A1000" s="168">
        <v>997</v>
      </c>
      <c r="B1000" s="169" t="s">
        <v>1294</v>
      </c>
    </row>
    <row r="1001" spans="1:2" x14ac:dyDescent="0.35">
      <c r="A1001" s="168">
        <v>998</v>
      </c>
      <c r="B1001" s="169" t="s">
        <v>1295</v>
      </c>
    </row>
    <row r="1002" spans="1:2" x14ac:dyDescent="0.35">
      <c r="A1002" s="168">
        <v>999</v>
      </c>
      <c r="B1002" s="169" t="s">
        <v>1296</v>
      </c>
    </row>
    <row r="1003" spans="1:2" x14ac:dyDescent="0.35">
      <c r="A1003" s="168">
        <v>1000</v>
      </c>
      <c r="B1003" s="169" t="s">
        <v>1297</v>
      </c>
    </row>
    <row r="1004" spans="1:2" x14ac:dyDescent="0.35">
      <c r="A1004" s="168">
        <v>1001</v>
      </c>
      <c r="B1004" s="169" t="s">
        <v>1298</v>
      </c>
    </row>
    <row r="1005" spans="1:2" x14ac:dyDescent="0.35">
      <c r="A1005" s="168">
        <v>1002</v>
      </c>
      <c r="B1005" s="169" t="s">
        <v>1299</v>
      </c>
    </row>
    <row r="1006" spans="1:2" x14ac:dyDescent="0.35">
      <c r="A1006" s="168">
        <v>1003</v>
      </c>
      <c r="B1006" s="169" t="s">
        <v>1300</v>
      </c>
    </row>
    <row r="1007" spans="1:2" x14ac:dyDescent="0.35">
      <c r="A1007" s="168">
        <v>1004</v>
      </c>
      <c r="B1007" s="169" t="s">
        <v>1301</v>
      </c>
    </row>
    <row r="1008" spans="1:2" x14ac:dyDescent="0.35">
      <c r="A1008" s="168">
        <v>1005</v>
      </c>
      <c r="B1008" s="169" t="s">
        <v>1302</v>
      </c>
    </row>
    <row r="1009" spans="1:2" x14ac:dyDescent="0.35">
      <c r="A1009" s="168">
        <v>1006</v>
      </c>
      <c r="B1009" s="169" t="s">
        <v>1303</v>
      </c>
    </row>
    <row r="1010" spans="1:2" x14ac:dyDescent="0.35">
      <c r="A1010" s="168">
        <v>1007</v>
      </c>
      <c r="B1010" s="169" t="s">
        <v>1304</v>
      </c>
    </row>
    <row r="1011" spans="1:2" x14ac:dyDescent="0.35">
      <c r="A1011" s="168">
        <v>1008</v>
      </c>
      <c r="B1011" s="169" t="s">
        <v>1305</v>
      </c>
    </row>
    <row r="1012" spans="1:2" x14ac:dyDescent="0.35">
      <c r="A1012" s="168">
        <v>1009</v>
      </c>
      <c r="B1012" s="169" t="s">
        <v>1306</v>
      </c>
    </row>
    <row r="1013" spans="1:2" x14ac:dyDescent="0.35">
      <c r="A1013" s="168">
        <v>1010</v>
      </c>
      <c r="B1013" s="169" t="s">
        <v>1307</v>
      </c>
    </row>
    <row r="1014" spans="1:2" x14ac:dyDescent="0.35">
      <c r="A1014" s="168">
        <v>1011</v>
      </c>
      <c r="B1014" s="169" t="s">
        <v>1308</v>
      </c>
    </row>
    <row r="1015" spans="1:2" x14ac:dyDescent="0.35">
      <c r="A1015" s="168">
        <v>1012</v>
      </c>
      <c r="B1015" s="169" t="s">
        <v>1309</v>
      </c>
    </row>
    <row r="1016" spans="1:2" x14ac:dyDescent="0.35">
      <c r="A1016" s="168">
        <v>1013</v>
      </c>
      <c r="B1016" s="169" t="s">
        <v>1310</v>
      </c>
    </row>
    <row r="1017" spans="1:2" x14ac:dyDescent="0.35">
      <c r="A1017" s="168">
        <v>1014</v>
      </c>
      <c r="B1017" s="169" t="s">
        <v>1311</v>
      </c>
    </row>
    <row r="1018" spans="1:2" x14ac:dyDescent="0.35">
      <c r="A1018" s="168">
        <v>1015</v>
      </c>
      <c r="B1018" s="169" t="s">
        <v>1312</v>
      </c>
    </row>
    <row r="1019" spans="1:2" x14ac:dyDescent="0.35">
      <c r="A1019" s="168">
        <v>1016</v>
      </c>
      <c r="B1019" s="169" t="s">
        <v>1313</v>
      </c>
    </row>
    <row r="1020" spans="1:2" x14ac:dyDescent="0.35">
      <c r="A1020" s="168">
        <v>1017</v>
      </c>
      <c r="B1020" s="169" t="s">
        <v>1314</v>
      </c>
    </row>
    <row r="1021" spans="1:2" x14ac:dyDescent="0.35">
      <c r="A1021" s="168">
        <v>1018</v>
      </c>
      <c r="B1021" s="169" t="s">
        <v>1315</v>
      </c>
    </row>
    <row r="1022" spans="1:2" x14ac:dyDescent="0.35">
      <c r="A1022" s="168">
        <v>1019</v>
      </c>
      <c r="B1022" s="169" t="s">
        <v>1316</v>
      </c>
    </row>
    <row r="1023" spans="1:2" x14ac:dyDescent="0.35">
      <c r="A1023" s="168">
        <v>1020</v>
      </c>
      <c r="B1023" s="169" t="s">
        <v>1317</v>
      </c>
    </row>
    <row r="1024" spans="1:2" x14ac:dyDescent="0.35">
      <c r="A1024" s="168">
        <v>1021</v>
      </c>
      <c r="B1024" s="169" t="s">
        <v>1318</v>
      </c>
    </row>
    <row r="1025" spans="1:2" x14ac:dyDescent="0.35">
      <c r="A1025" s="168">
        <v>1022</v>
      </c>
      <c r="B1025" s="169" t="s">
        <v>1319</v>
      </c>
    </row>
    <row r="1026" spans="1:2" x14ac:dyDescent="0.35">
      <c r="A1026" s="168">
        <v>1023</v>
      </c>
      <c r="B1026" s="169" t="s">
        <v>1320</v>
      </c>
    </row>
    <row r="1027" spans="1:2" x14ac:dyDescent="0.35">
      <c r="A1027" s="168">
        <v>1024</v>
      </c>
      <c r="B1027" s="169" t="s">
        <v>1321</v>
      </c>
    </row>
    <row r="1028" spans="1:2" x14ac:dyDescent="0.35">
      <c r="A1028" s="168">
        <v>1025</v>
      </c>
      <c r="B1028" s="169" t="s">
        <v>1322</v>
      </c>
    </row>
    <row r="1029" spans="1:2" x14ac:dyDescent="0.35">
      <c r="A1029" s="168">
        <v>1026</v>
      </c>
      <c r="B1029" s="169" t="s">
        <v>1323</v>
      </c>
    </row>
    <row r="1030" spans="1:2" x14ac:dyDescent="0.35">
      <c r="A1030" s="168">
        <v>1027</v>
      </c>
      <c r="B1030" s="169" t="s">
        <v>1324</v>
      </c>
    </row>
    <row r="1031" spans="1:2" x14ac:dyDescent="0.35">
      <c r="A1031" s="168">
        <v>1028</v>
      </c>
      <c r="B1031" s="169" t="s">
        <v>1325</v>
      </c>
    </row>
    <row r="1032" spans="1:2" x14ac:dyDescent="0.35">
      <c r="A1032" s="168">
        <v>1029</v>
      </c>
      <c r="B1032" s="169" t="s">
        <v>1326</v>
      </c>
    </row>
    <row r="1033" spans="1:2" x14ac:dyDescent="0.35">
      <c r="A1033" s="168">
        <v>1030</v>
      </c>
      <c r="B1033" s="169" t="s">
        <v>1327</v>
      </c>
    </row>
    <row r="1034" spans="1:2" x14ac:dyDescent="0.35">
      <c r="A1034" s="168">
        <v>1031</v>
      </c>
      <c r="B1034" s="169" t="s">
        <v>1328</v>
      </c>
    </row>
    <row r="1035" spans="1:2" x14ac:dyDescent="0.35">
      <c r="A1035" s="168">
        <v>1032</v>
      </c>
      <c r="B1035" s="169" t="s">
        <v>1329</v>
      </c>
    </row>
    <row r="1036" spans="1:2" x14ac:dyDescent="0.35">
      <c r="A1036" s="168">
        <v>1033</v>
      </c>
      <c r="B1036" s="169" t="s">
        <v>1330</v>
      </c>
    </row>
    <row r="1037" spans="1:2" x14ac:dyDescent="0.35">
      <c r="A1037" s="168">
        <v>1034</v>
      </c>
      <c r="B1037" s="169" t="s">
        <v>1331</v>
      </c>
    </row>
    <row r="1038" spans="1:2" x14ac:dyDescent="0.35">
      <c r="A1038" s="168">
        <v>1035</v>
      </c>
      <c r="B1038" s="169" t="s">
        <v>1332</v>
      </c>
    </row>
    <row r="1039" spans="1:2" x14ac:dyDescent="0.35">
      <c r="A1039" s="168">
        <v>1036</v>
      </c>
      <c r="B1039" s="169" t="s">
        <v>1333</v>
      </c>
    </row>
    <row r="1040" spans="1:2" x14ac:dyDescent="0.35">
      <c r="A1040" s="168">
        <v>1037</v>
      </c>
      <c r="B1040" s="169" t="s">
        <v>1334</v>
      </c>
    </row>
    <row r="1041" spans="1:2" x14ac:dyDescent="0.35">
      <c r="A1041" s="168">
        <v>1038</v>
      </c>
      <c r="B1041" s="169" t="s">
        <v>1335</v>
      </c>
    </row>
    <row r="1042" spans="1:2" x14ac:dyDescent="0.35">
      <c r="A1042" s="168">
        <v>1039</v>
      </c>
      <c r="B1042" s="169" t="s">
        <v>1336</v>
      </c>
    </row>
    <row r="1043" spans="1:2" x14ac:dyDescent="0.35">
      <c r="A1043" s="168">
        <v>1040</v>
      </c>
      <c r="B1043" s="169" t="s">
        <v>1337</v>
      </c>
    </row>
    <row r="1044" spans="1:2" x14ac:dyDescent="0.35">
      <c r="A1044" s="168">
        <v>1041</v>
      </c>
      <c r="B1044" s="169" t="s">
        <v>1338</v>
      </c>
    </row>
    <row r="1045" spans="1:2" x14ac:dyDescent="0.35">
      <c r="A1045" s="168">
        <v>1042</v>
      </c>
      <c r="B1045" s="169" t="s">
        <v>1339</v>
      </c>
    </row>
    <row r="1046" spans="1:2" x14ac:dyDescent="0.35">
      <c r="A1046" s="168">
        <v>1043</v>
      </c>
      <c r="B1046" s="169" t="s">
        <v>1340</v>
      </c>
    </row>
    <row r="1047" spans="1:2" x14ac:dyDescent="0.35">
      <c r="A1047" s="168">
        <v>1044</v>
      </c>
      <c r="B1047" s="169" t="s">
        <v>1341</v>
      </c>
    </row>
    <row r="1048" spans="1:2" x14ac:dyDescent="0.35">
      <c r="A1048" s="168">
        <v>1045</v>
      </c>
      <c r="B1048" s="169" t="s">
        <v>1342</v>
      </c>
    </row>
    <row r="1049" spans="1:2" x14ac:dyDescent="0.35">
      <c r="A1049" s="168">
        <v>1046</v>
      </c>
      <c r="B1049" s="169" t="s">
        <v>1343</v>
      </c>
    </row>
    <row r="1050" spans="1:2" x14ac:dyDescent="0.35">
      <c r="A1050" s="168">
        <v>1047</v>
      </c>
      <c r="B1050" s="169" t="s">
        <v>1344</v>
      </c>
    </row>
    <row r="1051" spans="1:2" x14ac:dyDescent="0.35">
      <c r="A1051" s="168">
        <v>1048</v>
      </c>
      <c r="B1051" s="169" t="s">
        <v>1345</v>
      </c>
    </row>
    <row r="1052" spans="1:2" x14ac:dyDescent="0.35">
      <c r="A1052" s="168">
        <v>1049</v>
      </c>
      <c r="B1052" s="169" t="s">
        <v>1346</v>
      </c>
    </row>
    <row r="1053" spans="1:2" x14ac:dyDescent="0.35">
      <c r="A1053" s="168">
        <v>1050</v>
      </c>
      <c r="B1053" s="169" t="s">
        <v>1347</v>
      </c>
    </row>
    <row r="1054" spans="1:2" x14ac:dyDescent="0.35">
      <c r="A1054" s="168">
        <v>1051</v>
      </c>
      <c r="B1054" s="169" t="s">
        <v>1348</v>
      </c>
    </row>
    <row r="1055" spans="1:2" x14ac:dyDescent="0.35">
      <c r="A1055" s="168">
        <v>1052</v>
      </c>
      <c r="B1055" s="169" t="s">
        <v>1349</v>
      </c>
    </row>
    <row r="1056" spans="1:2" x14ac:dyDescent="0.35">
      <c r="A1056" s="168">
        <v>1053</v>
      </c>
      <c r="B1056" s="169" t="s">
        <v>1350</v>
      </c>
    </row>
    <row r="1057" spans="1:2" x14ac:dyDescent="0.35">
      <c r="A1057" s="168">
        <v>1054</v>
      </c>
      <c r="B1057" s="169" t="s">
        <v>1351</v>
      </c>
    </row>
    <row r="1058" spans="1:2" x14ac:dyDescent="0.35">
      <c r="A1058" s="168">
        <v>1055</v>
      </c>
      <c r="B1058" s="169" t="s">
        <v>1352</v>
      </c>
    </row>
    <row r="1059" spans="1:2" x14ac:dyDescent="0.35">
      <c r="A1059" s="168">
        <v>1056</v>
      </c>
      <c r="B1059" s="169" t="s">
        <v>1353</v>
      </c>
    </row>
    <row r="1060" spans="1:2" x14ac:dyDescent="0.35">
      <c r="A1060" s="168">
        <v>1057</v>
      </c>
      <c r="B1060" s="169" t="s">
        <v>1354</v>
      </c>
    </row>
    <row r="1061" spans="1:2" x14ac:dyDescent="0.35">
      <c r="A1061" s="168">
        <v>1058</v>
      </c>
      <c r="B1061" s="169" t="s">
        <v>1355</v>
      </c>
    </row>
    <row r="1062" spans="1:2" x14ac:dyDescent="0.35">
      <c r="A1062" s="168">
        <v>1059</v>
      </c>
      <c r="B1062" s="169" t="s">
        <v>1356</v>
      </c>
    </row>
    <row r="1063" spans="1:2" x14ac:dyDescent="0.35">
      <c r="A1063" s="168">
        <v>1060</v>
      </c>
      <c r="B1063" s="169" t="s">
        <v>1357</v>
      </c>
    </row>
    <row r="1064" spans="1:2" x14ac:dyDescent="0.35">
      <c r="A1064" s="168">
        <v>1061</v>
      </c>
      <c r="B1064" s="169" t="s">
        <v>1358</v>
      </c>
    </row>
    <row r="1065" spans="1:2" x14ac:dyDescent="0.35">
      <c r="A1065" s="168">
        <v>1062</v>
      </c>
      <c r="B1065" s="169" t="s">
        <v>1359</v>
      </c>
    </row>
    <row r="1066" spans="1:2" x14ac:dyDescent="0.35">
      <c r="A1066" s="168">
        <v>1063</v>
      </c>
      <c r="B1066" s="169" t="s">
        <v>1360</v>
      </c>
    </row>
    <row r="1067" spans="1:2" x14ac:dyDescent="0.35">
      <c r="A1067" s="168">
        <v>1064</v>
      </c>
      <c r="B1067" s="169" t="s">
        <v>1361</v>
      </c>
    </row>
    <row r="1068" spans="1:2" x14ac:dyDescent="0.35">
      <c r="A1068" s="168">
        <v>1065</v>
      </c>
      <c r="B1068" s="169" t="s">
        <v>1362</v>
      </c>
    </row>
    <row r="1069" spans="1:2" x14ac:dyDescent="0.35">
      <c r="A1069" s="168">
        <v>1066</v>
      </c>
      <c r="B1069" s="169" t="s">
        <v>1363</v>
      </c>
    </row>
    <row r="1070" spans="1:2" x14ac:dyDescent="0.35">
      <c r="A1070" s="168">
        <v>1067</v>
      </c>
      <c r="B1070" s="169" t="s">
        <v>1364</v>
      </c>
    </row>
    <row r="1071" spans="1:2" x14ac:dyDescent="0.35">
      <c r="A1071" s="168">
        <v>1068</v>
      </c>
      <c r="B1071" s="169" t="s">
        <v>1365</v>
      </c>
    </row>
    <row r="1072" spans="1:2" x14ac:dyDescent="0.35">
      <c r="A1072" s="168">
        <v>1069</v>
      </c>
      <c r="B1072" s="169" t="s">
        <v>1366</v>
      </c>
    </row>
    <row r="1073" spans="1:2" x14ac:dyDescent="0.35">
      <c r="A1073" s="168">
        <v>1070</v>
      </c>
      <c r="B1073" s="169" t="s">
        <v>1367</v>
      </c>
    </row>
    <row r="1074" spans="1:2" x14ac:dyDescent="0.35">
      <c r="A1074" s="168">
        <v>1071</v>
      </c>
      <c r="B1074" s="169" t="s">
        <v>1368</v>
      </c>
    </row>
    <row r="1075" spans="1:2" x14ac:dyDescent="0.35">
      <c r="A1075" s="168">
        <v>1072</v>
      </c>
      <c r="B1075" s="169" t="s">
        <v>1369</v>
      </c>
    </row>
    <row r="1076" spans="1:2" x14ac:dyDescent="0.35">
      <c r="A1076" s="168">
        <v>1073</v>
      </c>
      <c r="B1076" s="169" t="s">
        <v>1370</v>
      </c>
    </row>
    <row r="1077" spans="1:2" x14ac:dyDescent="0.35">
      <c r="A1077" s="168">
        <v>1074</v>
      </c>
      <c r="B1077" s="169" t="s">
        <v>1371</v>
      </c>
    </row>
    <row r="1078" spans="1:2" x14ac:dyDescent="0.35">
      <c r="A1078" s="168">
        <v>1075</v>
      </c>
      <c r="B1078" s="169" t="s">
        <v>1372</v>
      </c>
    </row>
    <row r="1079" spans="1:2" x14ac:dyDescent="0.35">
      <c r="A1079" s="168">
        <v>1076</v>
      </c>
      <c r="B1079" s="169" t="s">
        <v>1373</v>
      </c>
    </row>
    <row r="1080" spans="1:2" x14ac:dyDescent="0.35">
      <c r="A1080" s="168">
        <v>1077</v>
      </c>
      <c r="B1080" s="169" t="s">
        <v>1374</v>
      </c>
    </row>
    <row r="1081" spans="1:2" x14ac:dyDescent="0.35">
      <c r="A1081" s="168">
        <v>1078</v>
      </c>
      <c r="B1081" s="169" t="s">
        <v>1375</v>
      </c>
    </row>
    <row r="1082" spans="1:2" x14ac:dyDescent="0.35">
      <c r="A1082" s="168">
        <v>1079</v>
      </c>
      <c r="B1082" s="169" t="s">
        <v>1376</v>
      </c>
    </row>
    <row r="1083" spans="1:2" x14ac:dyDescent="0.35">
      <c r="A1083" s="168">
        <v>1080</v>
      </c>
      <c r="B1083" s="169" t="s">
        <v>1377</v>
      </c>
    </row>
    <row r="1084" spans="1:2" x14ac:dyDescent="0.35">
      <c r="A1084" s="168">
        <v>1081</v>
      </c>
      <c r="B1084" s="169" t="s">
        <v>1378</v>
      </c>
    </row>
    <row r="1085" spans="1:2" x14ac:dyDescent="0.35">
      <c r="A1085" s="168">
        <v>1082</v>
      </c>
      <c r="B1085" s="169" t="s">
        <v>1379</v>
      </c>
    </row>
    <row r="1086" spans="1:2" x14ac:dyDescent="0.35">
      <c r="A1086" s="168">
        <v>1083</v>
      </c>
      <c r="B1086" s="169" t="s">
        <v>1380</v>
      </c>
    </row>
    <row r="1087" spans="1:2" x14ac:dyDescent="0.35">
      <c r="A1087" s="168">
        <v>1084</v>
      </c>
      <c r="B1087" s="169" t="s">
        <v>1381</v>
      </c>
    </row>
    <row r="1088" spans="1:2" x14ac:dyDescent="0.35">
      <c r="A1088" s="168">
        <v>1085</v>
      </c>
      <c r="B1088" s="169" t="s">
        <v>1382</v>
      </c>
    </row>
    <row r="1089" spans="1:2" x14ac:dyDescent="0.35">
      <c r="A1089" s="168">
        <v>1086</v>
      </c>
      <c r="B1089" s="169" t="s">
        <v>1383</v>
      </c>
    </row>
    <row r="1090" spans="1:2" x14ac:dyDescent="0.35">
      <c r="A1090" s="168">
        <v>1087</v>
      </c>
      <c r="B1090" s="169" t="s">
        <v>1384</v>
      </c>
    </row>
    <row r="1091" spans="1:2" x14ac:dyDescent="0.35">
      <c r="A1091" s="168">
        <v>1088</v>
      </c>
      <c r="B1091" s="169" t="s">
        <v>1385</v>
      </c>
    </row>
    <row r="1092" spans="1:2" x14ac:dyDescent="0.35">
      <c r="A1092" s="168">
        <v>1089</v>
      </c>
      <c r="B1092" s="169" t="s">
        <v>1386</v>
      </c>
    </row>
    <row r="1093" spans="1:2" x14ac:dyDescent="0.35">
      <c r="A1093" s="168">
        <v>1090</v>
      </c>
      <c r="B1093" s="169" t="s">
        <v>1387</v>
      </c>
    </row>
    <row r="1094" spans="1:2" x14ac:dyDescent="0.35">
      <c r="A1094" s="168">
        <v>1091</v>
      </c>
      <c r="B1094" s="169" t="s">
        <v>1388</v>
      </c>
    </row>
    <row r="1095" spans="1:2" x14ac:dyDescent="0.35">
      <c r="A1095" s="168">
        <v>1092</v>
      </c>
      <c r="B1095" s="169" t="s">
        <v>1389</v>
      </c>
    </row>
    <row r="1096" spans="1:2" x14ac:dyDescent="0.35">
      <c r="A1096" s="168">
        <v>1093</v>
      </c>
      <c r="B1096" s="169" t="s">
        <v>1390</v>
      </c>
    </row>
    <row r="1097" spans="1:2" x14ac:dyDescent="0.35">
      <c r="A1097" s="168">
        <v>1094</v>
      </c>
      <c r="B1097" s="169" t="s">
        <v>1391</v>
      </c>
    </row>
    <row r="1098" spans="1:2" x14ac:dyDescent="0.35">
      <c r="A1098" s="168">
        <v>1095</v>
      </c>
      <c r="B1098" s="169" t="s">
        <v>1392</v>
      </c>
    </row>
    <row r="1099" spans="1:2" x14ac:dyDescent="0.35">
      <c r="A1099" s="168">
        <v>1096</v>
      </c>
      <c r="B1099" s="169" t="s">
        <v>1393</v>
      </c>
    </row>
    <row r="1100" spans="1:2" x14ac:dyDescent="0.35">
      <c r="A1100" s="168">
        <v>1097</v>
      </c>
      <c r="B1100" s="169" t="s">
        <v>1394</v>
      </c>
    </row>
    <row r="1101" spans="1:2" x14ac:dyDescent="0.35">
      <c r="A1101" s="168">
        <v>1098</v>
      </c>
      <c r="B1101" s="169" t="s">
        <v>1395</v>
      </c>
    </row>
    <row r="1102" spans="1:2" x14ac:dyDescent="0.35">
      <c r="A1102" s="168">
        <v>1099</v>
      </c>
      <c r="B1102" s="169" t="s">
        <v>1396</v>
      </c>
    </row>
    <row r="1103" spans="1:2" x14ac:dyDescent="0.35">
      <c r="A1103" s="168">
        <v>1100</v>
      </c>
      <c r="B1103" s="169" t="s">
        <v>1397</v>
      </c>
    </row>
    <row r="1104" spans="1:2" x14ac:dyDescent="0.35">
      <c r="A1104" s="168">
        <v>1101</v>
      </c>
      <c r="B1104" s="169" t="s">
        <v>1398</v>
      </c>
    </row>
    <row r="1105" spans="1:2" x14ac:dyDescent="0.35">
      <c r="A1105" s="168">
        <v>1102</v>
      </c>
      <c r="B1105" s="169" t="s">
        <v>1399</v>
      </c>
    </row>
    <row r="1106" spans="1:2" x14ac:dyDescent="0.35">
      <c r="A1106" s="168">
        <v>1103</v>
      </c>
      <c r="B1106" s="169" t="s">
        <v>1400</v>
      </c>
    </row>
    <row r="1107" spans="1:2" x14ac:dyDescent="0.35">
      <c r="A1107" s="168">
        <v>1104</v>
      </c>
      <c r="B1107" s="169" t="s">
        <v>1401</v>
      </c>
    </row>
    <row r="1108" spans="1:2" x14ac:dyDescent="0.35">
      <c r="A1108" s="168">
        <v>1105</v>
      </c>
      <c r="B1108" s="169" t="s">
        <v>1402</v>
      </c>
    </row>
    <row r="1109" spans="1:2" x14ac:dyDescent="0.35">
      <c r="A1109" s="168">
        <v>1106</v>
      </c>
      <c r="B1109" s="169" t="s">
        <v>1403</v>
      </c>
    </row>
    <row r="1110" spans="1:2" x14ac:dyDescent="0.35">
      <c r="A1110" s="168">
        <v>1107</v>
      </c>
      <c r="B1110" s="169" t="s">
        <v>1404</v>
      </c>
    </row>
    <row r="1111" spans="1:2" x14ac:dyDescent="0.35">
      <c r="A1111" s="168">
        <v>1108</v>
      </c>
      <c r="B1111" s="169" t="s">
        <v>1405</v>
      </c>
    </row>
    <row r="1112" spans="1:2" x14ac:dyDescent="0.35">
      <c r="A1112" s="168">
        <v>1109</v>
      </c>
      <c r="B1112" s="169" t="s">
        <v>1406</v>
      </c>
    </row>
    <row r="1113" spans="1:2" x14ac:dyDescent="0.35">
      <c r="A1113" s="168">
        <v>1110</v>
      </c>
      <c r="B1113" s="169" t="s">
        <v>1407</v>
      </c>
    </row>
    <row r="1114" spans="1:2" x14ac:dyDescent="0.35">
      <c r="A1114" s="168">
        <v>1111</v>
      </c>
      <c r="B1114" s="169" t="s">
        <v>1408</v>
      </c>
    </row>
    <row r="1115" spans="1:2" x14ac:dyDescent="0.35">
      <c r="A1115" s="168">
        <v>1112</v>
      </c>
      <c r="B1115" s="169" t="s">
        <v>1409</v>
      </c>
    </row>
    <row r="1116" spans="1:2" x14ac:dyDescent="0.35">
      <c r="A1116" s="168">
        <v>1113</v>
      </c>
      <c r="B1116" s="169" t="s">
        <v>1410</v>
      </c>
    </row>
    <row r="1117" spans="1:2" x14ac:dyDescent="0.35">
      <c r="A1117" s="168">
        <v>1114</v>
      </c>
      <c r="B1117" s="169" t="s">
        <v>1411</v>
      </c>
    </row>
    <row r="1118" spans="1:2" x14ac:dyDescent="0.35">
      <c r="A1118" s="168">
        <v>1115</v>
      </c>
      <c r="B1118" s="169" t="s">
        <v>1412</v>
      </c>
    </row>
    <row r="1119" spans="1:2" x14ac:dyDescent="0.35">
      <c r="A1119" s="168">
        <v>1116</v>
      </c>
      <c r="B1119" s="169" t="s">
        <v>1413</v>
      </c>
    </row>
    <row r="1120" spans="1:2" x14ac:dyDescent="0.35">
      <c r="A1120" s="168">
        <v>1117</v>
      </c>
      <c r="B1120" s="169" t="s">
        <v>1414</v>
      </c>
    </row>
    <row r="1121" spans="1:2" x14ac:dyDescent="0.35">
      <c r="A1121" s="168">
        <v>1118</v>
      </c>
      <c r="B1121" s="169" t="s">
        <v>1415</v>
      </c>
    </row>
    <row r="1122" spans="1:2" x14ac:dyDescent="0.35">
      <c r="A1122" s="168">
        <v>1119</v>
      </c>
      <c r="B1122" s="169" t="s">
        <v>1416</v>
      </c>
    </row>
    <row r="1123" spans="1:2" x14ac:dyDescent="0.35">
      <c r="A1123" s="168">
        <v>1120</v>
      </c>
      <c r="B1123" s="169" t="s">
        <v>1417</v>
      </c>
    </row>
    <row r="1124" spans="1:2" x14ac:dyDescent="0.35">
      <c r="A1124" s="168">
        <v>1121</v>
      </c>
      <c r="B1124" s="169" t="s">
        <v>1418</v>
      </c>
    </row>
    <row r="1125" spans="1:2" x14ac:dyDescent="0.35">
      <c r="A1125" s="168">
        <v>1122</v>
      </c>
      <c r="B1125" s="169" t="s">
        <v>1419</v>
      </c>
    </row>
    <row r="1126" spans="1:2" x14ac:dyDescent="0.35">
      <c r="A1126" s="168">
        <v>1123</v>
      </c>
      <c r="B1126" s="169" t="s">
        <v>1420</v>
      </c>
    </row>
    <row r="1127" spans="1:2" x14ac:dyDescent="0.35">
      <c r="A1127" s="168">
        <v>1124</v>
      </c>
      <c r="B1127" s="169" t="s">
        <v>1421</v>
      </c>
    </row>
    <row r="1128" spans="1:2" x14ac:dyDescent="0.35">
      <c r="A1128" s="168">
        <v>1125</v>
      </c>
      <c r="B1128" s="169" t="s">
        <v>1422</v>
      </c>
    </row>
    <row r="1129" spans="1:2" x14ac:dyDescent="0.35">
      <c r="A1129" s="168">
        <v>1126</v>
      </c>
      <c r="B1129" s="169" t="s">
        <v>1423</v>
      </c>
    </row>
    <row r="1130" spans="1:2" x14ac:dyDescent="0.35">
      <c r="A1130" s="168">
        <v>1127</v>
      </c>
      <c r="B1130" s="169" t="s">
        <v>1424</v>
      </c>
    </row>
    <row r="1131" spans="1:2" x14ac:dyDescent="0.35">
      <c r="A1131" s="168">
        <v>1128</v>
      </c>
      <c r="B1131" s="169" t="s">
        <v>1425</v>
      </c>
    </row>
    <row r="1132" spans="1:2" x14ac:dyDescent="0.35">
      <c r="A1132" s="168">
        <v>1129</v>
      </c>
      <c r="B1132" s="169" t="s">
        <v>1426</v>
      </c>
    </row>
    <row r="1133" spans="1:2" x14ac:dyDescent="0.35">
      <c r="A1133" s="168">
        <v>1130</v>
      </c>
      <c r="B1133" s="169" t="s">
        <v>1427</v>
      </c>
    </row>
    <row r="1134" spans="1:2" x14ac:dyDescent="0.35">
      <c r="A1134" s="168">
        <v>1131</v>
      </c>
      <c r="B1134" s="169" t="s">
        <v>1428</v>
      </c>
    </row>
    <row r="1135" spans="1:2" x14ac:dyDescent="0.35">
      <c r="A1135" s="168">
        <v>1132</v>
      </c>
      <c r="B1135" s="169" t="s">
        <v>1429</v>
      </c>
    </row>
    <row r="1136" spans="1:2" x14ac:dyDescent="0.35">
      <c r="A1136" s="168">
        <v>1133</v>
      </c>
      <c r="B1136" s="169" t="s">
        <v>1430</v>
      </c>
    </row>
    <row r="1137" spans="1:2" x14ac:dyDescent="0.35">
      <c r="A1137" s="168">
        <v>1134</v>
      </c>
      <c r="B1137" s="169" t="s">
        <v>1431</v>
      </c>
    </row>
    <row r="1138" spans="1:2" x14ac:dyDescent="0.35">
      <c r="A1138" s="168">
        <v>1135</v>
      </c>
      <c r="B1138" s="169" t="s">
        <v>1432</v>
      </c>
    </row>
    <row r="1139" spans="1:2" x14ac:dyDescent="0.35">
      <c r="A1139" s="168">
        <v>1136</v>
      </c>
      <c r="B1139" s="169" t="s">
        <v>1433</v>
      </c>
    </row>
    <row r="1140" spans="1:2" x14ac:dyDescent="0.35">
      <c r="A1140" s="168">
        <v>1137</v>
      </c>
      <c r="B1140" s="169" t="s">
        <v>1434</v>
      </c>
    </row>
    <row r="1141" spans="1:2" x14ac:dyDescent="0.35">
      <c r="A1141" s="168">
        <v>1138</v>
      </c>
      <c r="B1141" s="169" t="s">
        <v>1435</v>
      </c>
    </row>
    <row r="1142" spans="1:2" x14ac:dyDescent="0.35">
      <c r="A1142" s="168">
        <v>1139</v>
      </c>
      <c r="B1142" s="169" t="s">
        <v>1436</v>
      </c>
    </row>
    <row r="1143" spans="1:2" x14ac:dyDescent="0.35">
      <c r="A1143" s="168">
        <v>1140</v>
      </c>
      <c r="B1143" s="169" t="s">
        <v>1437</v>
      </c>
    </row>
    <row r="1144" spans="1:2" x14ac:dyDescent="0.35">
      <c r="A1144" s="168">
        <v>1141</v>
      </c>
      <c r="B1144" s="169" t="s">
        <v>1438</v>
      </c>
    </row>
    <row r="1145" spans="1:2" x14ac:dyDescent="0.35">
      <c r="A1145" s="168">
        <v>1142</v>
      </c>
      <c r="B1145" s="169" t="s">
        <v>1439</v>
      </c>
    </row>
    <row r="1146" spans="1:2" x14ac:dyDescent="0.35">
      <c r="A1146" s="168">
        <v>1143</v>
      </c>
      <c r="B1146" s="169" t="s">
        <v>1440</v>
      </c>
    </row>
    <row r="1147" spans="1:2" x14ac:dyDescent="0.35">
      <c r="A1147" s="168">
        <v>1144</v>
      </c>
      <c r="B1147" s="169" t="s">
        <v>1441</v>
      </c>
    </row>
    <row r="1148" spans="1:2" x14ac:dyDescent="0.35">
      <c r="A1148" s="168">
        <v>1145</v>
      </c>
      <c r="B1148" s="169" t="s">
        <v>1442</v>
      </c>
    </row>
    <row r="1149" spans="1:2" x14ac:dyDescent="0.35">
      <c r="A1149" s="168">
        <v>1146</v>
      </c>
      <c r="B1149" s="169" t="s">
        <v>1443</v>
      </c>
    </row>
    <row r="1150" spans="1:2" x14ac:dyDescent="0.35">
      <c r="A1150" s="168">
        <v>1147</v>
      </c>
      <c r="B1150" s="169" t="s">
        <v>1444</v>
      </c>
    </row>
    <row r="1151" spans="1:2" x14ac:dyDescent="0.35">
      <c r="A1151" s="168">
        <v>1148</v>
      </c>
      <c r="B1151" s="169" t="s">
        <v>1445</v>
      </c>
    </row>
    <row r="1152" spans="1:2" x14ac:dyDescent="0.35">
      <c r="A1152" s="168">
        <v>1149</v>
      </c>
      <c r="B1152" s="169" t="s">
        <v>1446</v>
      </c>
    </row>
    <row r="1153" spans="1:2" x14ac:dyDescent="0.35">
      <c r="A1153" s="168">
        <v>1150</v>
      </c>
      <c r="B1153" s="169" t="s">
        <v>1447</v>
      </c>
    </row>
    <row r="1154" spans="1:2" x14ac:dyDescent="0.35">
      <c r="A1154">
        <v>1151</v>
      </c>
      <c r="B1154" t="s">
        <v>1448</v>
      </c>
    </row>
    <row r="1155" spans="1:2" x14ac:dyDescent="0.35">
      <c r="A1155">
        <v>1152</v>
      </c>
      <c r="B1155" t="s">
        <v>1449</v>
      </c>
    </row>
    <row r="1156" spans="1:2" x14ac:dyDescent="0.35">
      <c r="A1156">
        <v>1153</v>
      </c>
      <c r="B1156" t="s">
        <v>1450</v>
      </c>
    </row>
    <row r="1157" spans="1:2" x14ac:dyDescent="0.35">
      <c r="A1157">
        <v>1154</v>
      </c>
      <c r="B1157" t="s">
        <v>1451</v>
      </c>
    </row>
    <row r="1158" spans="1:2" x14ac:dyDescent="0.35">
      <c r="A1158">
        <v>1155</v>
      </c>
      <c r="B1158" t="s">
        <v>1452</v>
      </c>
    </row>
    <row r="1159" spans="1:2" x14ac:dyDescent="0.35">
      <c r="A1159">
        <v>1156</v>
      </c>
      <c r="B1159" t="s">
        <v>1453</v>
      </c>
    </row>
    <row r="1160" spans="1:2" x14ac:dyDescent="0.35">
      <c r="A1160">
        <v>1157</v>
      </c>
      <c r="B1160" t="s">
        <v>1454</v>
      </c>
    </row>
    <row r="1161" spans="1:2" x14ac:dyDescent="0.35">
      <c r="A1161">
        <v>1158</v>
      </c>
      <c r="B1161" t="s">
        <v>1455</v>
      </c>
    </row>
    <row r="1162" spans="1:2" x14ac:dyDescent="0.35">
      <c r="A1162">
        <v>1159</v>
      </c>
      <c r="B1162" t="s">
        <v>1456</v>
      </c>
    </row>
    <row r="1163" spans="1:2" x14ac:dyDescent="0.35">
      <c r="A1163">
        <v>1160</v>
      </c>
      <c r="B1163" t="s">
        <v>1457</v>
      </c>
    </row>
    <row r="1164" spans="1:2" x14ac:dyDescent="0.35">
      <c r="A1164">
        <v>1161</v>
      </c>
      <c r="B1164" t="s">
        <v>1458</v>
      </c>
    </row>
    <row r="1165" spans="1:2" x14ac:dyDescent="0.35">
      <c r="A1165">
        <v>1162</v>
      </c>
      <c r="B1165" t="s">
        <v>1459</v>
      </c>
    </row>
    <row r="1166" spans="1:2" x14ac:dyDescent="0.35">
      <c r="A1166">
        <v>1163</v>
      </c>
      <c r="B1166" t="s">
        <v>1460</v>
      </c>
    </row>
    <row r="1167" spans="1:2" x14ac:dyDescent="0.35">
      <c r="A1167">
        <v>1164</v>
      </c>
      <c r="B1167" t="s">
        <v>1461</v>
      </c>
    </row>
    <row r="1168" spans="1:2" x14ac:dyDescent="0.35">
      <c r="A1168">
        <v>1165</v>
      </c>
      <c r="B1168" t="s">
        <v>1462</v>
      </c>
    </row>
    <row r="1169" spans="1:2" x14ac:dyDescent="0.35">
      <c r="A1169">
        <v>1166</v>
      </c>
      <c r="B1169" t="s">
        <v>1463</v>
      </c>
    </row>
    <row r="1170" spans="1:2" x14ac:dyDescent="0.35">
      <c r="A1170">
        <v>1167</v>
      </c>
      <c r="B1170" t="s">
        <v>1464</v>
      </c>
    </row>
    <row r="1171" spans="1:2" x14ac:dyDescent="0.35">
      <c r="A1171">
        <v>1168</v>
      </c>
      <c r="B1171" t="s">
        <v>1465</v>
      </c>
    </row>
    <row r="1172" spans="1:2" x14ac:dyDescent="0.35">
      <c r="A1172">
        <v>1169</v>
      </c>
      <c r="B1172" t="s">
        <v>1466</v>
      </c>
    </row>
    <row r="1173" spans="1:2" x14ac:dyDescent="0.35">
      <c r="A1173">
        <v>1170</v>
      </c>
      <c r="B1173" t="s">
        <v>1467</v>
      </c>
    </row>
    <row r="1174" spans="1:2" x14ac:dyDescent="0.35">
      <c r="A1174">
        <v>1171</v>
      </c>
      <c r="B1174" t="s">
        <v>1468</v>
      </c>
    </row>
    <row r="1175" spans="1:2" x14ac:dyDescent="0.35">
      <c r="A1175">
        <v>1172</v>
      </c>
      <c r="B1175" t="s">
        <v>1469</v>
      </c>
    </row>
    <row r="1176" spans="1:2" x14ac:dyDescent="0.35">
      <c r="A1176">
        <v>1173</v>
      </c>
      <c r="B1176" t="s">
        <v>1470</v>
      </c>
    </row>
    <row r="1177" spans="1:2" x14ac:dyDescent="0.35">
      <c r="A1177">
        <v>1174</v>
      </c>
      <c r="B1177" t="s">
        <v>1471</v>
      </c>
    </row>
    <row r="1178" spans="1:2" x14ac:dyDescent="0.35">
      <c r="A1178">
        <v>1175</v>
      </c>
      <c r="B1178" t="s">
        <v>1472</v>
      </c>
    </row>
    <row r="1179" spans="1:2" x14ac:dyDescent="0.35">
      <c r="A1179">
        <v>1176</v>
      </c>
      <c r="B1179" t="s">
        <v>1473</v>
      </c>
    </row>
    <row r="1180" spans="1:2" x14ac:dyDescent="0.35">
      <c r="A1180">
        <v>1177</v>
      </c>
      <c r="B1180" t="s">
        <v>1474</v>
      </c>
    </row>
    <row r="1181" spans="1:2" x14ac:dyDescent="0.35">
      <c r="A1181">
        <v>1178</v>
      </c>
      <c r="B1181" t="s">
        <v>1475</v>
      </c>
    </row>
    <row r="1182" spans="1:2" x14ac:dyDescent="0.35">
      <c r="A1182">
        <v>1179</v>
      </c>
      <c r="B1182" t="s">
        <v>1476</v>
      </c>
    </row>
    <row r="1183" spans="1:2" x14ac:dyDescent="0.35">
      <c r="A1183">
        <v>1180</v>
      </c>
      <c r="B1183" t="s">
        <v>1477</v>
      </c>
    </row>
    <row r="1184" spans="1:2" x14ac:dyDescent="0.35">
      <c r="A1184">
        <v>1181</v>
      </c>
      <c r="B1184" t="s">
        <v>1478</v>
      </c>
    </row>
    <row r="1185" spans="1:2" x14ac:dyDescent="0.35">
      <c r="A1185">
        <v>1182</v>
      </c>
      <c r="B1185" t="s">
        <v>1479</v>
      </c>
    </row>
    <row r="1186" spans="1:2" x14ac:dyDescent="0.35">
      <c r="A1186">
        <v>1183</v>
      </c>
      <c r="B1186" t="s">
        <v>1480</v>
      </c>
    </row>
    <row r="1187" spans="1:2" x14ac:dyDescent="0.35">
      <c r="A1187">
        <v>1184</v>
      </c>
      <c r="B1187" t="s">
        <v>1481</v>
      </c>
    </row>
    <row r="1188" spans="1:2" x14ac:dyDescent="0.35">
      <c r="A1188">
        <v>1185</v>
      </c>
      <c r="B1188" t="s">
        <v>1482</v>
      </c>
    </row>
    <row r="1189" spans="1:2" x14ac:dyDescent="0.35">
      <c r="A1189">
        <v>1186</v>
      </c>
      <c r="B1189" t="s">
        <v>1483</v>
      </c>
    </row>
    <row r="1190" spans="1:2" x14ac:dyDescent="0.35">
      <c r="A1190">
        <v>1187</v>
      </c>
      <c r="B1190" t="s">
        <v>1484</v>
      </c>
    </row>
    <row r="1191" spans="1:2" x14ac:dyDescent="0.35">
      <c r="A1191">
        <v>1188</v>
      </c>
      <c r="B1191" t="s">
        <v>1485</v>
      </c>
    </row>
    <row r="1192" spans="1:2" x14ac:dyDescent="0.35">
      <c r="A1192">
        <v>1189</v>
      </c>
      <c r="B1192" t="s">
        <v>1486</v>
      </c>
    </row>
    <row r="1193" spans="1:2" x14ac:dyDescent="0.35">
      <c r="A1193">
        <v>1190</v>
      </c>
      <c r="B1193" t="s">
        <v>1487</v>
      </c>
    </row>
    <row r="1194" spans="1:2" x14ac:dyDescent="0.35">
      <c r="A1194">
        <v>1191</v>
      </c>
      <c r="B1194" t="s">
        <v>1488</v>
      </c>
    </row>
    <row r="1195" spans="1:2" x14ac:dyDescent="0.35">
      <c r="A1195">
        <v>1192</v>
      </c>
      <c r="B1195" t="s">
        <v>1489</v>
      </c>
    </row>
    <row r="1196" spans="1:2" x14ac:dyDescent="0.35">
      <c r="A1196">
        <v>1193</v>
      </c>
      <c r="B1196" t="s">
        <v>1490</v>
      </c>
    </row>
    <row r="1197" spans="1:2" x14ac:dyDescent="0.35">
      <c r="A1197">
        <v>1194</v>
      </c>
      <c r="B1197" t="s">
        <v>1491</v>
      </c>
    </row>
    <row r="1198" spans="1:2" x14ac:dyDescent="0.35">
      <c r="A1198">
        <v>1195</v>
      </c>
      <c r="B1198" t="s">
        <v>1492</v>
      </c>
    </row>
    <row r="1199" spans="1:2" x14ac:dyDescent="0.35">
      <c r="A1199">
        <v>1196</v>
      </c>
      <c r="B1199" t="s">
        <v>1493</v>
      </c>
    </row>
    <row r="1200" spans="1:2" x14ac:dyDescent="0.35">
      <c r="A1200">
        <v>1197</v>
      </c>
      <c r="B1200" t="s">
        <v>1494</v>
      </c>
    </row>
    <row r="1201" spans="1:2" x14ac:dyDescent="0.35">
      <c r="A1201">
        <v>1198</v>
      </c>
      <c r="B1201" t="s">
        <v>1495</v>
      </c>
    </row>
    <row r="1202" spans="1:2" x14ac:dyDescent="0.35">
      <c r="A1202">
        <v>1199</v>
      </c>
      <c r="B1202" t="s">
        <v>1496</v>
      </c>
    </row>
    <row r="1203" spans="1:2" x14ac:dyDescent="0.35">
      <c r="A1203">
        <v>1200</v>
      </c>
      <c r="B1203" t="s">
        <v>1497</v>
      </c>
    </row>
    <row r="1204" spans="1:2" x14ac:dyDescent="0.35">
      <c r="A1204">
        <v>1201</v>
      </c>
      <c r="B1204" t="s">
        <v>1498</v>
      </c>
    </row>
    <row r="1205" spans="1:2" x14ac:dyDescent="0.35">
      <c r="A1205">
        <v>1202</v>
      </c>
      <c r="B1205" t="s">
        <v>1499</v>
      </c>
    </row>
    <row r="1206" spans="1:2" x14ac:dyDescent="0.35">
      <c r="A1206">
        <v>1203</v>
      </c>
      <c r="B1206" t="s">
        <v>1500</v>
      </c>
    </row>
    <row r="1207" spans="1:2" x14ac:dyDescent="0.35">
      <c r="A1207">
        <v>1204</v>
      </c>
      <c r="B1207" t="s">
        <v>1501</v>
      </c>
    </row>
    <row r="1208" spans="1:2" x14ac:dyDescent="0.35">
      <c r="A1208">
        <v>1205</v>
      </c>
      <c r="B1208" t="s">
        <v>1502</v>
      </c>
    </row>
    <row r="1209" spans="1:2" x14ac:dyDescent="0.35">
      <c r="A1209">
        <v>1206</v>
      </c>
      <c r="B1209" t="s">
        <v>1503</v>
      </c>
    </row>
    <row r="1210" spans="1:2" x14ac:dyDescent="0.35">
      <c r="A1210">
        <v>1207</v>
      </c>
      <c r="B1210" t="s">
        <v>1504</v>
      </c>
    </row>
    <row r="1211" spans="1:2" x14ac:dyDescent="0.35">
      <c r="A1211">
        <v>1208</v>
      </c>
      <c r="B1211" t="s">
        <v>1505</v>
      </c>
    </row>
    <row r="1212" spans="1:2" x14ac:dyDescent="0.35">
      <c r="A1212">
        <v>1209</v>
      </c>
      <c r="B1212" t="s">
        <v>1506</v>
      </c>
    </row>
    <row r="1213" spans="1:2" x14ac:dyDescent="0.35">
      <c r="A1213">
        <v>1210</v>
      </c>
      <c r="B1213" t="s">
        <v>1507</v>
      </c>
    </row>
    <row r="1214" spans="1:2" x14ac:dyDescent="0.35">
      <c r="A1214">
        <v>1211</v>
      </c>
      <c r="B1214" t="s">
        <v>1508</v>
      </c>
    </row>
    <row r="1215" spans="1:2" x14ac:dyDescent="0.35">
      <c r="A1215">
        <v>1212</v>
      </c>
      <c r="B1215" t="s">
        <v>1509</v>
      </c>
    </row>
    <row r="1216" spans="1:2" x14ac:dyDescent="0.35">
      <c r="A1216">
        <v>1213</v>
      </c>
      <c r="B1216" t="s">
        <v>1510</v>
      </c>
    </row>
    <row r="1217" spans="1:2" x14ac:dyDescent="0.35">
      <c r="A1217">
        <v>1214</v>
      </c>
      <c r="B1217" t="s">
        <v>1511</v>
      </c>
    </row>
    <row r="1218" spans="1:2" x14ac:dyDescent="0.35">
      <c r="A1218">
        <v>1215</v>
      </c>
      <c r="B1218" t="s">
        <v>1512</v>
      </c>
    </row>
    <row r="1219" spans="1:2" x14ac:dyDescent="0.35">
      <c r="A1219">
        <v>1216</v>
      </c>
      <c r="B1219" t="s">
        <v>1513</v>
      </c>
    </row>
    <row r="1220" spans="1:2" x14ac:dyDescent="0.35">
      <c r="A1220">
        <v>1217</v>
      </c>
      <c r="B1220" t="s">
        <v>1514</v>
      </c>
    </row>
    <row r="1221" spans="1:2" x14ac:dyDescent="0.35">
      <c r="A1221">
        <v>1218</v>
      </c>
      <c r="B1221" t="s">
        <v>1515</v>
      </c>
    </row>
    <row r="1222" spans="1:2" x14ac:dyDescent="0.35">
      <c r="A1222">
        <v>1219</v>
      </c>
      <c r="B1222" t="s">
        <v>1516</v>
      </c>
    </row>
    <row r="1223" spans="1:2" x14ac:dyDescent="0.35">
      <c r="A1223">
        <v>1220</v>
      </c>
      <c r="B1223" t="s">
        <v>1517</v>
      </c>
    </row>
    <row r="1224" spans="1:2" x14ac:dyDescent="0.35">
      <c r="A1224">
        <v>1221</v>
      </c>
      <c r="B1224" t="s">
        <v>1518</v>
      </c>
    </row>
    <row r="1225" spans="1:2" x14ac:dyDescent="0.35">
      <c r="A1225">
        <v>1222</v>
      </c>
      <c r="B1225" t="s">
        <v>1519</v>
      </c>
    </row>
    <row r="1226" spans="1:2" x14ac:dyDescent="0.35">
      <c r="A1226">
        <v>1223</v>
      </c>
      <c r="B1226" t="s">
        <v>1520</v>
      </c>
    </row>
    <row r="1227" spans="1:2" x14ac:dyDescent="0.35">
      <c r="A1227">
        <v>1224</v>
      </c>
      <c r="B1227" t="s">
        <v>1521</v>
      </c>
    </row>
    <row r="1228" spans="1:2" x14ac:dyDescent="0.35">
      <c r="A1228">
        <v>1225</v>
      </c>
      <c r="B1228" t="s">
        <v>1522</v>
      </c>
    </row>
    <row r="1229" spans="1:2" x14ac:dyDescent="0.35">
      <c r="A1229">
        <v>1226</v>
      </c>
      <c r="B1229" t="s">
        <v>1523</v>
      </c>
    </row>
    <row r="1230" spans="1:2" x14ac:dyDescent="0.35">
      <c r="A1230">
        <v>1227</v>
      </c>
      <c r="B1230" t="s">
        <v>1524</v>
      </c>
    </row>
    <row r="1231" spans="1:2" x14ac:dyDescent="0.35">
      <c r="A1231">
        <v>1228</v>
      </c>
      <c r="B1231" t="s">
        <v>1525</v>
      </c>
    </row>
    <row r="1232" spans="1:2" x14ac:dyDescent="0.35">
      <c r="A1232">
        <v>1229</v>
      </c>
      <c r="B1232" t="s">
        <v>1526</v>
      </c>
    </row>
    <row r="1233" spans="1:2" x14ac:dyDescent="0.35">
      <c r="A1233">
        <v>1230</v>
      </c>
      <c r="B1233" t="s">
        <v>1527</v>
      </c>
    </row>
    <row r="1234" spans="1:2" x14ac:dyDescent="0.35">
      <c r="A1234">
        <v>1231</v>
      </c>
      <c r="B1234" t="s">
        <v>1528</v>
      </c>
    </row>
    <row r="1235" spans="1:2" x14ac:dyDescent="0.35">
      <c r="A1235">
        <v>1232</v>
      </c>
      <c r="B1235" t="s">
        <v>1529</v>
      </c>
    </row>
    <row r="1236" spans="1:2" x14ac:dyDescent="0.35">
      <c r="A1236">
        <v>1233</v>
      </c>
      <c r="B1236" t="s">
        <v>1530</v>
      </c>
    </row>
    <row r="1237" spans="1:2" x14ac:dyDescent="0.35">
      <c r="A1237">
        <v>1234</v>
      </c>
      <c r="B1237" t="s">
        <v>1531</v>
      </c>
    </row>
    <row r="1238" spans="1:2" x14ac:dyDescent="0.35">
      <c r="A1238">
        <v>1235</v>
      </c>
      <c r="B1238" t="s">
        <v>1532</v>
      </c>
    </row>
    <row r="1239" spans="1:2" x14ac:dyDescent="0.35">
      <c r="A1239">
        <v>1236</v>
      </c>
      <c r="B1239" t="s">
        <v>1533</v>
      </c>
    </row>
    <row r="1240" spans="1:2" x14ac:dyDescent="0.35">
      <c r="A1240">
        <v>1237</v>
      </c>
      <c r="B1240" t="s">
        <v>1534</v>
      </c>
    </row>
    <row r="1241" spans="1:2" x14ac:dyDescent="0.35">
      <c r="A1241">
        <v>1238</v>
      </c>
      <c r="B1241" t="s">
        <v>1535</v>
      </c>
    </row>
    <row r="1242" spans="1:2" x14ac:dyDescent="0.35">
      <c r="A1242">
        <v>1239</v>
      </c>
      <c r="B1242" t="s">
        <v>1536</v>
      </c>
    </row>
    <row r="1243" spans="1:2" x14ac:dyDescent="0.35">
      <c r="A1243">
        <v>1240</v>
      </c>
      <c r="B1243" t="s">
        <v>1537</v>
      </c>
    </row>
    <row r="1244" spans="1:2" x14ac:dyDescent="0.35">
      <c r="A1244">
        <v>1241</v>
      </c>
      <c r="B1244" t="s">
        <v>1538</v>
      </c>
    </row>
    <row r="1245" spans="1:2" x14ac:dyDescent="0.35">
      <c r="A1245">
        <v>1242</v>
      </c>
      <c r="B1245" t="s">
        <v>1539</v>
      </c>
    </row>
    <row r="1246" spans="1:2" x14ac:dyDescent="0.35">
      <c r="A1246">
        <v>1243</v>
      </c>
      <c r="B1246" t="s">
        <v>1540</v>
      </c>
    </row>
    <row r="1247" spans="1:2" x14ac:dyDescent="0.35">
      <c r="A1247">
        <v>1244</v>
      </c>
      <c r="B1247" t="s">
        <v>1541</v>
      </c>
    </row>
    <row r="1248" spans="1:2" x14ac:dyDescent="0.35">
      <c r="A1248">
        <v>1245</v>
      </c>
      <c r="B1248" t="s">
        <v>1542</v>
      </c>
    </row>
    <row r="1249" spans="1:2" x14ac:dyDescent="0.35">
      <c r="A1249">
        <v>1246</v>
      </c>
      <c r="B1249" t="s">
        <v>1543</v>
      </c>
    </row>
    <row r="1250" spans="1:2" x14ac:dyDescent="0.35">
      <c r="A1250">
        <v>1247</v>
      </c>
      <c r="B1250" t="s">
        <v>1544</v>
      </c>
    </row>
    <row r="1251" spans="1:2" x14ac:dyDescent="0.35">
      <c r="A1251">
        <v>1248</v>
      </c>
      <c r="B1251" t="s">
        <v>1545</v>
      </c>
    </row>
    <row r="1252" spans="1:2" x14ac:dyDescent="0.35">
      <c r="A1252">
        <v>1249</v>
      </c>
      <c r="B1252" t="s">
        <v>1546</v>
      </c>
    </row>
    <row r="1253" spans="1:2" x14ac:dyDescent="0.35">
      <c r="A1253">
        <v>1250</v>
      </c>
      <c r="B1253" t="s">
        <v>1547</v>
      </c>
    </row>
    <row r="1254" spans="1:2" x14ac:dyDescent="0.35">
      <c r="A1254">
        <v>1251</v>
      </c>
      <c r="B1254" t="s">
        <v>1548</v>
      </c>
    </row>
    <row r="1255" spans="1:2" x14ac:dyDescent="0.35">
      <c r="A1255">
        <v>1252</v>
      </c>
      <c r="B1255" t="s">
        <v>1549</v>
      </c>
    </row>
    <row r="1256" spans="1:2" x14ac:dyDescent="0.35">
      <c r="A1256">
        <v>1253</v>
      </c>
      <c r="B1256" t="s">
        <v>1550</v>
      </c>
    </row>
    <row r="1257" spans="1:2" x14ac:dyDescent="0.35">
      <c r="A1257">
        <v>1254</v>
      </c>
      <c r="B1257" t="s">
        <v>1551</v>
      </c>
    </row>
    <row r="1258" spans="1:2" x14ac:dyDescent="0.35">
      <c r="A1258">
        <v>1255</v>
      </c>
      <c r="B1258" t="s">
        <v>1552</v>
      </c>
    </row>
    <row r="1259" spans="1:2" x14ac:dyDescent="0.35">
      <c r="A1259">
        <v>1256</v>
      </c>
      <c r="B1259" t="s">
        <v>1553</v>
      </c>
    </row>
    <row r="1260" spans="1:2" x14ac:dyDescent="0.35">
      <c r="A1260">
        <v>1257</v>
      </c>
      <c r="B1260" t="s">
        <v>1554</v>
      </c>
    </row>
    <row r="1261" spans="1:2" x14ac:dyDescent="0.35">
      <c r="A1261">
        <v>1258</v>
      </c>
      <c r="B1261" t="s">
        <v>1555</v>
      </c>
    </row>
    <row r="1262" spans="1:2" x14ac:dyDescent="0.35">
      <c r="A1262">
        <v>1259</v>
      </c>
      <c r="B1262" t="s">
        <v>1556</v>
      </c>
    </row>
    <row r="1263" spans="1:2" x14ac:dyDescent="0.35">
      <c r="A1263">
        <v>1260</v>
      </c>
      <c r="B1263" t="s">
        <v>1557</v>
      </c>
    </row>
    <row r="1264" spans="1:2" x14ac:dyDescent="0.35">
      <c r="A1264">
        <v>1261</v>
      </c>
      <c r="B1264" t="s">
        <v>1558</v>
      </c>
    </row>
    <row r="1265" spans="1:2" x14ac:dyDescent="0.35">
      <c r="A1265">
        <v>1262</v>
      </c>
      <c r="B1265" t="s">
        <v>1559</v>
      </c>
    </row>
    <row r="1266" spans="1:2" x14ac:dyDescent="0.35">
      <c r="A1266">
        <v>1263</v>
      </c>
      <c r="B1266" t="s">
        <v>1560</v>
      </c>
    </row>
    <row r="1267" spans="1:2" x14ac:dyDescent="0.35">
      <c r="A1267">
        <v>1264</v>
      </c>
      <c r="B1267" t="s">
        <v>1561</v>
      </c>
    </row>
    <row r="1268" spans="1:2" x14ac:dyDescent="0.35">
      <c r="A1268">
        <v>1265</v>
      </c>
      <c r="B1268" t="s">
        <v>1562</v>
      </c>
    </row>
    <row r="1269" spans="1:2" x14ac:dyDescent="0.35">
      <c r="A1269">
        <v>1266</v>
      </c>
      <c r="B1269" t="s">
        <v>1563</v>
      </c>
    </row>
    <row r="1270" spans="1:2" x14ac:dyDescent="0.35">
      <c r="A1270">
        <v>1267</v>
      </c>
      <c r="B1270" t="s">
        <v>1564</v>
      </c>
    </row>
    <row r="1271" spans="1:2" x14ac:dyDescent="0.35">
      <c r="A1271">
        <v>1268</v>
      </c>
      <c r="B1271" t="s">
        <v>1565</v>
      </c>
    </row>
    <row r="1272" spans="1:2" x14ac:dyDescent="0.35">
      <c r="A1272">
        <v>1269</v>
      </c>
      <c r="B1272" t="s">
        <v>1566</v>
      </c>
    </row>
    <row r="1273" spans="1:2" x14ac:dyDescent="0.35">
      <c r="A1273">
        <v>1270</v>
      </c>
      <c r="B1273" t="s">
        <v>1567</v>
      </c>
    </row>
    <row r="1274" spans="1:2" x14ac:dyDescent="0.35">
      <c r="A1274">
        <v>1271</v>
      </c>
      <c r="B1274" t="s">
        <v>1568</v>
      </c>
    </row>
    <row r="1275" spans="1:2" x14ac:dyDescent="0.35">
      <c r="A1275">
        <v>1272</v>
      </c>
      <c r="B1275" t="s">
        <v>1569</v>
      </c>
    </row>
    <row r="1276" spans="1:2" x14ac:dyDescent="0.35">
      <c r="A1276">
        <v>1273</v>
      </c>
      <c r="B1276" t="s">
        <v>1570</v>
      </c>
    </row>
    <row r="1277" spans="1:2" x14ac:dyDescent="0.35">
      <c r="A1277">
        <v>1274</v>
      </c>
      <c r="B1277" t="s">
        <v>1571</v>
      </c>
    </row>
    <row r="1278" spans="1:2" x14ac:dyDescent="0.35">
      <c r="A1278">
        <v>1275</v>
      </c>
      <c r="B1278" t="s">
        <v>1572</v>
      </c>
    </row>
    <row r="1279" spans="1:2" x14ac:dyDescent="0.35">
      <c r="A1279">
        <v>1276</v>
      </c>
      <c r="B1279" t="s">
        <v>1573</v>
      </c>
    </row>
    <row r="1280" spans="1:2" x14ac:dyDescent="0.35">
      <c r="A1280">
        <v>1277</v>
      </c>
      <c r="B1280" t="s">
        <v>1574</v>
      </c>
    </row>
    <row r="1281" spans="1:2" x14ac:dyDescent="0.35">
      <c r="A1281">
        <v>1278</v>
      </c>
      <c r="B1281" t="s">
        <v>1575</v>
      </c>
    </row>
    <row r="1282" spans="1:2" x14ac:dyDescent="0.35">
      <c r="A1282">
        <v>1279</v>
      </c>
      <c r="B1282" t="s">
        <v>1576</v>
      </c>
    </row>
    <row r="1283" spans="1:2" x14ac:dyDescent="0.35">
      <c r="A1283">
        <v>1280</v>
      </c>
      <c r="B1283" t="s">
        <v>1577</v>
      </c>
    </row>
    <row r="1284" spans="1:2" x14ac:dyDescent="0.35">
      <c r="A1284">
        <v>1281</v>
      </c>
      <c r="B1284" t="s">
        <v>1578</v>
      </c>
    </row>
    <row r="1285" spans="1:2" x14ac:dyDescent="0.35">
      <c r="A1285">
        <v>1282</v>
      </c>
      <c r="B1285" t="s">
        <v>1579</v>
      </c>
    </row>
    <row r="1286" spans="1:2" x14ac:dyDescent="0.35">
      <c r="A1286">
        <v>1283</v>
      </c>
      <c r="B1286" t="s">
        <v>1580</v>
      </c>
    </row>
    <row r="1287" spans="1:2" x14ac:dyDescent="0.35">
      <c r="A1287">
        <v>1284</v>
      </c>
      <c r="B1287" t="s">
        <v>1581</v>
      </c>
    </row>
    <row r="1288" spans="1:2" x14ac:dyDescent="0.35">
      <c r="A1288">
        <v>1285</v>
      </c>
      <c r="B1288" t="s">
        <v>1582</v>
      </c>
    </row>
    <row r="1289" spans="1:2" x14ac:dyDescent="0.35">
      <c r="A1289">
        <v>1286</v>
      </c>
      <c r="B1289" t="s">
        <v>1583</v>
      </c>
    </row>
    <row r="1290" spans="1:2" x14ac:dyDescent="0.35">
      <c r="A1290">
        <v>1287</v>
      </c>
      <c r="B1290" t="s">
        <v>1584</v>
      </c>
    </row>
    <row r="1291" spans="1:2" x14ac:dyDescent="0.35">
      <c r="A1291">
        <v>1288</v>
      </c>
      <c r="B1291" t="s">
        <v>1585</v>
      </c>
    </row>
    <row r="1292" spans="1:2" x14ac:dyDescent="0.35">
      <c r="A1292">
        <v>1289</v>
      </c>
      <c r="B1292" t="s">
        <v>1586</v>
      </c>
    </row>
    <row r="1293" spans="1:2" x14ac:dyDescent="0.35">
      <c r="A1293">
        <v>1290</v>
      </c>
      <c r="B1293" t="s">
        <v>1587</v>
      </c>
    </row>
    <row r="1294" spans="1:2" x14ac:dyDescent="0.35">
      <c r="A1294">
        <v>1291</v>
      </c>
      <c r="B1294" t="s">
        <v>1588</v>
      </c>
    </row>
    <row r="1295" spans="1:2" x14ac:dyDescent="0.35">
      <c r="A1295">
        <v>1292</v>
      </c>
      <c r="B1295" t="s">
        <v>1589</v>
      </c>
    </row>
    <row r="1296" spans="1:2" x14ac:dyDescent="0.35">
      <c r="A1296">
        <v>1293</v>
      </c>
      <c r="B1296" t="s">
        <v>1590</v>
      </c>
    </row>
    <row r="1297" spans="1:2" x14ac:dyDescent="0.35">
      <c r="A1297">
        <v>1294</v>
      </c>
      <c r="B1297" t="s">
        <v>1591</v>
      </c>
    </row>
    <row r="1298" spans="1:2" x14ac:dyDescent="0.35">
      <c r="A1298">
        <v>1295</v>
      </c>
      <c r="B1298" t="s">
        <v>1592</v>
      </c>
    </row>
    <row r="1299" spans="1:2" x14ac:dyDescent="0.35">
      <c r="A1299">
        <v>1296</v>
      </c>
      <c r="B1299" t="s">
        <v>1593</v>
      </c>
    </row>
    <row r="1300" spans="1:2" x14ac:dyDescent="0.35">
      <c r="A1300">
        <v>1297</v>
      </c>
      <c r="B1300" t="s">
        <v>1594</v>
      </c>
    </row>
    <row r="1301" spans="1:2" x14ac:dyDescent="0.35">
      <c r="A1301">
        <v>1298</v>
      </c>
      <c r="B1301" t="s">
        <v>1595</v>
      </c>
    </row>
    <row r="1302" spans="1:2" x14ac:dyDescent="0.35">
      <c r="A1302">
        <v>1299</v>
      </c>
      <c r="B1302" t="s">
        <v>1596</v>
      </c>
    </row>
    <row r="1303" spans="1:2" x14ac:dyDescent="0.35">
      <c r="A1303">
        <v>1300</v>
      </c>
      <c r="B1303" t="s">
        <v>1597</v>
      </c>
    </row>
    <row r="1304" spans="1:2" x14ac:dyDescent="0.35">
      <c r="A1304">
        <v>1301</v>
      </c>
      <c r="B1304" t="s">
        <v>1598</v>
      </c>
    </row>
    <row r="1305" spans="1:2" x14ac:dyDescent="0.35">
      <c r="A1305">
        <v>1302</v>
      </c>
      <c r="B1305" t="s">
        <v>1599</v>
      </c>
    </row>
    <row r="1306" spans="1:2" x14ac:dyDescent="0.35">
      <c r="A1306">
        <v>1303</v>
      </c>
      <c r="B1306" t="s">
        <v>1600</v>
      </c>
    </row>
    <row r="1307" spans="1:2" x14ac:dyDescent="0.35">
      <c r="A1307">
        <v>1304</v>
      </c>
      <c r="B1307" t="s">
        <v>1601</v>
      </c>
    </row>
    <row r="1308" spans="1:2" x14ac:dyDescent="0.35">
      <c r="A1308">
        <v>1305</v>
      </c>
      <c r="B1308" t="s">
        <v>1602</v>
      </c>
    </row>
    <row r="1309" spans="1:2" x14ac:dyDescent="0.35">
      <c r="A1309">
        <v>1306</v>
      </c>
      <c r="B1309" t="s">
        <v>1603</v>
      </c>
    </row>
    <row r="1310" spans="1:2" x14ac:dyDescent="0.35">
      <c r="A1310">
        <v>1307</v>
      </c>
      <c r="B1310" t="s">
        <v>1604</v>
      </c>
    </row>
    <row r="1311" spans="1:2" x14ac:dyDescent="0.35">
      <c r="A1311">
        <v>1308</v>
      </c>
      <c r="B1311" t="s">
        <v>1605</v>
      </c>
    </row>
    <row r="1312" spans="1:2" x14ac:dyDescent="0.35">
      <c r="A1312">
        <v>1309</v>
      </c>
      <c r="B1312" t="s">
        <v>1606</v>
      </c>
    </row>
    <row r="1313" spans="1:2" x14ac:dyDescent="0.35">
      <c r="A1313">
        <v>1310</v>
      </c>
      <c r="B1313" t="s">
        <v>1607</v>
      </c>
    </row>
    <row r="1314" spans="1:2" x14ac:dyDescent="0.35">
      <c r="A1314">
        <v>1311</v>
      </c>
      <c r="B1314" t="s">
        <v>1608</v>
      </c>
    </row>
    <row r="1315" spans="1:2" x14ac:dyDescent="0.35">
      <c r="A1315">
        <v>1312</v>
      </c>
      <c r="B1315" t="s">
        <v>1609</v>
      </c>
    </row>
    <row r="1316" spans="1:2" x14ac:dyDescent="0.35">
      <c r="A1316">
        <v>1313</v>
      </c>
      <c r="B1316" t="s">
        <v>1610</v>
      </c>
    </row>
    <row r="1317" spans="1:2" x14ac:dyDescent="0.35">
      <c r="A1317">
        <v>1314</v>
      </c>
      <c r="B1317" t="s">
        <v>1611</v>
      </c>
    </row>
    <row r="1318" spans="1:2" x14ac:dyDescent="0.35">
      <c r="A1318">
        <v>1315</v>
      </c>
      <c r="B1318" t="s">
        <v>1612</v>
      </c>
    </row>
    <row r="1319" spans="1:2" x14ac:dyDescent="0.35">
      <c r="A1319">
        <v>1316</v>
      </c>
      <c r="B1319" t="s">
        <v>1613</v>
      </c>
    </row>
    <row r="1320" spans="1:2" x14ac:dyDescent="0.35">
      <c r="A1320">
        <v>1317</v>
      </c>
      <c r="B1320" t="s">
        <v>1614</v>
      </c>
    </row>
    <row r="1321" spans="1:2" x14ac:dyDescent="0.35">
      <c r="A1321">
        <v>1318</v>
      </c>
      <c r="B1321" t="s">
        <v>1615</v>
      </c>
    </row>
    <row r="1322" spans="1:2" x14ac:dyDescent="0.35">
      <c r="A1322">
        <v>1319</v>
      </c>
      <c r="B1322" t="s">
        <v>1616</v>
      </c>
    </row>
    <row r="1323" spans="1:2" x14ac:dyDescent="0.35">
      <c r="A1323">
        <v>1320</v>
      </c>
      <c r="B1323" t="s">
        <v>1617</v>
      </c>
    </row>
    <row r="1324" spans="1:2" x14ac:dyDescent="0.35">
      <c r="A1324">
        <v>1321</v>
      </c>
      <c r="B1324" t="s">
        <v>1618</v>
      </c>
    </row>
    <row r="1325" spans="1:2" x14ac:dyDescent="0.35">
      <c r="A1325">
        <v>1322</v>
      </c>
      <c r="B1325" t="s">
        <v>1619</v>
      </c>
    </row>
    <row r="1326" spans="1:2" x14ac:dyDescent="0.35">
      <c r="A1326">
        <v>1323</v>
      </c>
      <c r="B1326" t="s">
        <v>1620</v>
      </c>
    </row>
    <row r="1327" spans="1:2" x14ac:dyDescent="0.35">
      <c r="A1327">
        <v>1324</v>
      </c>
      <c r="B1327" t="s">
        <v>1621</v>
      </c>
    </row>
    <row r="1328" spans="1:2" x14ac:dyDescent="0.35">
      <c r="A1328">
        <v>1325</v>
      </c>
      <c r="B1328" t="s">
        <v>1622</v>
      </c>
    </row>
    <row r="1329" spans="1:2" x14ac:dyDescent="0.35">
      <c r="A1329">
        <v>1326</v>
      </c>
      <c r="B1329" t="s">
        <v>1623</v>
      </c>
    </row>
    <row r="1330" spans="1:2" x14ac:dyDescent="0.35">
      <c r="A1330">
        <v>1327</v>
      </c>
      <c r="B1330" t="s">
        <v>1624</v>
      </c>
    </row>
    <row r="1331" spans="1:2" x14ac:dyDescent="0.35">
      <c r="A1331">
        <v>1328</v>
      </c>
      <c r="B1331" t="s">
        <v>1625</v>
      </c>
    </row>
    <row r="1332" spans="1:2" x14ac:dyDescent="0.35">
      <c r="A1332">
        <v>1329</v>
      </c>
      <c r="B1332" t="s">
        <v>1626</v>
      </c>
    </row>
    <row r="1333" spans="1:2" x14ac:dyDescent="0.35">
      <c r="A1333">
        <v>1330</v>
      </c>
      <c r="B1333" t="s">
        <v>1627</v>
      </c>
    </row>
    <row r="1334" spans="1:2" x14ac:dyDescent="0.35">
      <c r="A1334">
        <v>1331</v>
      </c>
      <c r="B1334" t="s">
        <v>1628</v>
      </c>
    </row>
    <row r="1335" spans="1:2" x14ac:dyDescent="0.35">
      <c r="A1335">
        <v>1332</v>
      </c>
      <c r="B1335" t="s">
        <v>1629</v>
      </c>
    </row>
    <row r="1336" spans="1:2" x14ac:dyDescent="0.35">
      <c r="A1336">
        <v>1333</v>
      </c>
      <c r="B1336" t="s">
        <v>1630</v>
      </c>
    </row>
    <row r="1337" spans="1:2" x14ac:dyDescent="0.35">
      <c r="A1337">
        <v>1334</v>
      </c>
      <c r="B1337" t="s">
        <v>1631</v>
      </c>
    </row>
    <row r="1338" spans="1:2" x14ac:dyDescent="0.35">
      <c r="A1338">
        <v>1335</v>
      </c>
      <c r="B1338" t="s">
        <v>1632</v>
      </c>
    </row>
    <row r="1339" spans="1:2" x14ac:dyDescent="0.35">
      <c r="A1339">
        <v>1336</v>
      </c>
      <c r="B1339" t="s">
        <v>1633</v>
      </c>
    </row>
    <row r="1340" spans="1:2" x14ac:dyDescent="0.35">
      <c r="A1340">
        <v>1337</v>
      </c>
      <c r="B1340" t="s">
        <v>1634</v>
      </c>
    </row>
    <row r="1341" spans="1:2" x14ac:dyDescent="0.35">
      <c r="A1341">
        <v>1338</v>
      </c>
      <c r="B1341" t="s">
        <v>1635</v>
      </c>
    </row>
    <row r="1342" spans="1:2" x14ac:dyDescent="0.35">
      <c r="A1342">
        <v>1339</v>
      </c>
      <c r="B1342" t="s">
        <v>1636</v>
      </c>
    </row>
    <row r="1343" spans="1:2" x14ac:dyDescent="0.35">
      <c r="A1343">
        <v>1340</v>
      </c>
      <c r="B1343" t="s">
        <v>1637</v>
      </c>
    </row>
    <row r="1344" spans="1:2" x14ac:dyDescent="0.35">
      <c r="A1344">
        <v>1341</v>
      </c>
      <c r="B1344" t="s">
        <v>1638</v>
      </c>
    </row>
    <row r="1345" spans="1:2" x14ac:dyDescent="0.35">
      <c r="A1345">
        <v>1342</v>
      </c>
      <c r="B1345" t="s">
        <v>1639</v>
      </c>
    </row>
    <row r="1346" spans="1:2" x14ac:dyDescent="0.35">
      <c r="A1346">
        <v>1343</v>
      </c>
      <c r="B1346" t="s">
        <v>1640</v>
      </c>
    </row>
    <row r="1347" spans="1:2" x14ac:dyDescent="0.35">
      <c r="A1347">
        <v>1344</v>
      </c>
      <c r="B1347" t="s">
        <v>1641</v>
      </c>
    </row>
    <row r="1348" spans="1:2" x14ac:dyDescent="0.35">
      <c r="A1348">
        <v>1345</v>
      </c>
      <c r="B1348" t="s">
        <v>1642</v>
      </c>
    </row>
    <row r="1349" spans="1:2" x14ac:dyDescent="0.35">
      <c r="A1349">
        <v>1346</v>
      </c>
      <c r="B1349" t="s">
        <v>1643</v>
      </c>
    </row>
    <row r="1350" spans="1:2" x14ac:dyDescent="0.35">
      <c r="A1350">
        <v>1347</v>
      </c>
      <c r="B1350" t="s">
        <v>1644</v>
      </c>
    </row>
    <row r="1351" spans="1:2" x14ac:dyDescent="0.35">
      <c r="A1351">
        <v>1348</v>
      </c>
      <c r="B1351" t="s">
        <v>1645</v>
      </c>
    </row>
    <row r="1352" spans="1:2" x14ac:dyDescent="0.35">
      <c r="A1352">
        <v>1349</v>
      </c>
      <c r="B1352" t="s">
        <v>1646</v>
      </c>
    </row>
    <row r="1353" spans="1:2" x14ac:dyDescent="0.35">
      <c r="A1353">
        <v>1350</v>
      </c>
      <c r="B1353" t="s">
        <v>1647</v>
      </c>
    </row>
    <row r="1354" spans="1:2" x14ac:dyDescent="0.35">
      <c r="A1354">
        <v>1351</v>
      </c>
      <c r="B1354" t="s">
        <v>1648</v>
      </c>
    </row>
    <row r="1355" spans="1:2" x14ac:dyDescent="0.35">
      <c r="A1355">
        <v>1352</v>
      </c>
      <c r="B1355" t="s">
        <v>1649</v>
      </c>
    </row>
    <row r="1356" spans="1:2" x14ac:dyDescent="0.35">
      <c r="A1356">
        <v>1353</v>
      </c>
      <c r="B1356" t="s">
        <v>1650</v>
      </c>
    </row>
    <row r="1357" spans="1:2" x14ac:dyDescent="0.35">
      <c r="A1357">
        <v>1354</v>
      </c>
      <c r="B1357" t="s">
        <v>1651</v>
      </c>
    </row>
    <row r="1358" spans="1:2" x14ac:dyDescent="0.35">
      <c r="A1358">
        <v>1355</v>
      </c>
      <c r="B1358" t="s">
        <v>1652</v>
      </c>
    </row>
    <row r="1359" spans="1:2" x14ac:dyDescent="0.35">
      <c r="A1359">
        <v>1356</v>
      </c>
      <c r="B1359" t="s">
        <v>1653</v>
      </c>
    </row>
    <row r="1360" spans="1:2" x14ac:dyDescent="0.35">
      <c r="A1360">
        <v>1357</v>
      </c>
      <c r="B1360" t="s">
        <v>1654</v>
      </c>
    </row>
    <row r="1361" spans="1:2" x14ac:dyDescent="0.35">
      <c r="A1361">
        <v>1358</v>
      </c>
      <c r="B1361" t="s">
        <v>1655</v>
      </c>
    </row>
    <row r="1362" spans="1:2" x14ac:dyDescent="0.35">
      <c r="A1362">
        <v>1359</v>
      </c>
      <c r="B1362" t="s">
        <v>1656</v>
      </c>
    </row>
    <row r="1363" spans="1:2" x14ac:dyDescent="0.35">
      <c r="A1363">
        <v>1360</v>
      </c>
      <c r="B1363" t="s">
        <v>1657</v>
      </c>
    </row>
    <row r="1364" spans="1:2" x14ac:dyDescent="0.35">
      <c r="A1364">
        <v>1361</v>
      </c>
      <c r="B1364" t="s">
        <v>1658</v>
      </c>
    </row>
    <row r="1365" spans="1:2" x14ac:dyDescent="0.35">
      <c r="A1365">
        <v>1362</v>
      </c>
      <c r="B1365" t="s">
        <v>1659</v>
      </c>
    </row>
    <row r="1366" spans="1:2" x14ac:dyDescent="0.35">
      <c r="A1366">
        <v>1363</v>
      </c>
      <c r="B1366" t="s">
        <v>1660</v>
      </c>
    </row>
    <row r="1367" spans="1:2" x14ac:dyDescent="0.35">
      <c r="A1367">
        <v>1364</v>
      </c>
      <c r="B1367" t="s">
        <v>1661</v>
      </c>
    </row>
    <row r="1368" spans="1:2" x14ac:dyDescent="0.35">
      <c r="A1368">
        <v>1365</v>
      </c>
      <c r="B1368" t="s">
        <v>1662</v>
      </c>
    </row>
    <row r="1369" spans="1:2" x14ac:dyDescent="0.35">
      <c r="A1369">
        <v>1366</v>
      </c>
      <c r="B1369" t="s">
        <v>1663</v>
      </c>
    </row>
    <row r="1370" spans="1:2" x14ac:dyDescent="0.35">
      <c r="A1370">
        <v>1367</v>
      </c>
      <c r="B1370" t="s">
        <v>1664</v>
      </c>
    </row>
    <row r="1371" spans="1:2" x14ac:dyDescent="0.35">
      <c r="A1371">
        <v>1368</v>
      </c>
      <c r="B1371" t="s">
        <v>1665</v>
      </c>
    </row>
    <row r="1372" spans="1:2" x14ac:dyDescent="0.35">
      <c r="A1372">
        <v>1369</v>
      </c>
      <c r="B1372" t="s">
        <v>1666</v>
      </c>
    </row>
    <row r="1373" spans="1:2" x14ac:dyDescent="0.35">
      <c r="A1373">
        <v>1370</v>
      </c>
      <c r="B1373" t="s">
        <v>1667</v>
      </c>
    </row>
    <row r="1374" spans="1:2" x14ac:dyDescent="0.35">
      <c r="A1374">
        <v>1371</v>
      </c>
      <c r="B1374" t="s">
        <v>1668</v>
      </c>
    </row>
    <row r="1375" spans="1:2" x14ac:dyDescent="0.35">
      <c r="A1375">
        <v>1372</v>
      </c>
      <c r="B1375" t="s">
        <v>1669</v>
      </c>
    </row>
    <row r="1376" spans="1:2" x14ac:dyDescent="0.35">
      <c r="A1376">
        <v>1373</v>
      </c>
      <c r="B1376" t="s">
        <v>1670</v>
      </c>
    </row>
    <row r="1377" spans="1:2" x14ac:dyDescent="0.35">
      <c r="A1377">
        <v>1374</v>
      </c>
      <c r="B1377" t="s">
        <v>1671</v>
      </c>
    </row>
    <row r="1378" spans="1:2" x14ac:dyDescent="0.35">
      <c r="A1378">
        <v>1375</v>
      </c>
      <c r="B1378" t="s">
        <v>1672</v>
      </c>
    </row>
    <row r="1379" spans="1:2" x14ac:dyDescent="0.35">
      <c r="A1379">
        <v>1376</v>
      </c>
      <c r="B1379" t="s">
        <v>1673</v>
      </c>
    </row>
    <row r="1380" spans="1:2" x14ac:dyDescent="0.35">
      <c r="A1380">
        <v>1377</v>
      </c>
      <c r="B1380" t="s">
        <v>1674</v>
      </c>
    </row>
    <row r="1381" spans="1:2" x14ac:dyDescent="0.35">
      <c r="A1381">
        <v>1378</v>
      </c>
      <c r="B1381" t="s">
        <v>1675</v>
      </c>
    </row>
    <row r="1382" spans="1:2" x14ac:dyDescent="0.35">
      <c r="A1382">
        <v>1379</v>
      </c>
      <c r="B1382" t="s">
        <v>1676</v>
      </c>
    </row>
    <row r="1383" spans="1:2" x14ac:dyDescent="0.35">
      <c r="A1383">
        <v>1380</v>
      </c>
      <c r="B1383" t="s">
        <v>1677</v>
      </c>
    </row>
    <row r="1384" spans="1:2" x14ac:dyDescent="0.35">
      <c r="A1384">
        <v>1381</v>
      </c>
      <c r="B1384" t="s">
        <v>1678</v>
      </c>
    </row>
    <row r="1385" spans="1:2" x14ac:dyDescent="0.35">
      <c r="A1385">
        <v>1382</v>
      </c>
      <c r="B1385" t="s">
        <v>1679</v>
      </c>
    </row>
    <row r="1386" spans="1:2" x14ac:dyDescent="0.35">
      <c r="A1386">
        <v>1383</v>
      </c>
      <c r="B1386" t="s">
        <v>1680</v>
      </c>
    </row>
    <row r="1387" spans="1:2" x14ac:dyDescent="0.35">
      <c r="A1387">
        <v>1384</v>
      </c>
      <c r="B1387" t="s">
        <v>1681</v>
      </c>
    </row>
    <row r="1388" spans="1:2" x14ac:dyDescent="0.35">
      <c r="A1388">
        <v>1385</v>
      </c>
      <c r="B1388" t="s">
        <v>1682</v>
      </c>
    </row>
    <row r="1389" spans="1:2" x14ac:dyDescent="0.35">
      <c r="A1389">
        <v>1386</v>
      </c>
      <c r="B1389" t="s">
        <v>1683</v>
      </c>
    </row>
    <row r="1390" spans="1:2" x14ac:dyDescent="0.35">
      <c r="A1390">
        <v>1387</v>
      </c>
      <c r="B1390" t="s">
        <v>1684</v>
      </c>
    </row>
    <row r="1391" spans="1:2" x14ac:dyDescent="0.35">
      <c r="A1391">
        <v>1388</v>
      </c>
      <c r="B1391" t="s">
        <v>1685</v>
      </c>
    </row>
    <row r="1392" spans="1:2" x14ac:dyDescent="0.35">
      <c r="A1392">
        <v>1389</v>
      </c>
      <c r="B1392" t="s">
        <v>1686</v>
      </c>
    </row>
    <row r="1393" spans="1:2" x14ac:dyDescent="0.35">
      <c r="A1393">
        <v>1390</v>
      </c>
      <c r="B1393" t="s">
        <v>1687</v>
      </c>
    </row>
    <row r="1394" spans="1:2" x14ac:dyDescent="0.35">
      <c r="A1394">
        <v>1391</v>
      </c>
      <c r="B1394" t="s">
        <v>1688</v>
      </c>
    </row>
    <row r="1395" spans="1:2" x14ac:dyDescent="0.35">
      <c r="A1395">
        <v>1392</v>
      </c>
      <c r="B1395" t="s">
        <v>1689</v>
      </c>
    </row>
    <row r="1396" spans="1:2" x14ac:dyDescent="0.35">
      <c r="A1396">
        <v>1393</v>
      </c>
      <c r="B1396" t="s">
        <v>1690</v>
      </c>
    </row>
    <row r="1397" spans="1:2" x14ac:dyDescent="0.35">
      <c r="A1397">
        <v>1394</v>
      </c>
      <c r="B1397" t="s">
        <v>1691</v>
      </c>
    </row>
    <row r="1398" spans="1:2" x14ac:dyDescent="0.35">
      <c r="A1398">
        <v>1395</v>
      </c>
      <c r="B1398" t="s">
        <v>1692</v>
      </c>
    </row>
    <row r="1399" spans="1:2" x14ac:dyDescent="0.35">
      <c r="A1399">
        <v>1396</v>
      </c>
      <c r="B1399" t="s">
        <v>1693</v>
      </c>
    </row>
    <row r="1400" spans="1:2" x14ac:dyDescent="0.35">
      <c r="A1400">
        <v>1397</v>
      </c>
      <c r="B1400" t="s">
        <v>1694</v>
      </c>
    </row>
    <row r="1401" spans="1:2" x14ac:dyDescent="0.35">
      <c r="A1401">
        <v>1398</v>
      </c>
      <c r="B1401" t="s">
        <v>1695</v>
      </c>
    </row>
    <row r="1402" spans="1:2" x14ac:dyDescent="0.35">
      <c r="A1402">
        <v>1399</v>
      </c>
      <c r="B1402" t="s">
        <v>1696</v>
      </c>
    </row>
    <row r="1403" spans="1:2" x14ac:dyDescent="0.35">
      <c r="A1403">
        <v>1400</v>
      </c>
      <c r="B1403" t="s">
        <v>1697</v>
      </c>
    </row>
    <row r="1404" spans="1:2" x14ac:dyDescent="0.35">
      <c r="A1404">
        <v>1401</v>
      </c>
      <c r="B1404" t="s">
        <v>1698</v>
      </c>
    </row>
    <row r="1405" spans="1:2" x14ac:dyDescent="0.35">
      <c r="A1405">
        <v>1402</v>
      </c>
      <c r="B1405" t="s">
        <v>1699</v>
      </c>
    </row>
    <row r="1406" spans="1:2" x14ac:dyDescent="0.35">
      <c r="A1406">
        <v>1403</v>
      </c>
      <c r="B1406" t="s">
        <v>1700</v>
      </c>
    </row>
    <row r="1407" spans="1:2" x14ac:dyDescent="0.35">
      <c r="A1407">
        <v>1404</v>
      </c>
      <c r="B1407" t="s">
        <v>1701</v>
      </c>
    </row>
    <row r="1408" spans="1:2" x14ac:dyDescent="0.35">
      <c r="A1408">
        <v>1405</v>
      </c>
      <c r="B1408" t="s">
        <v>1702</v>
      </c>
    </row>
    <row r="1409" spans="1:2" x14ac:dyDescent="0.35">
      <c r="A1409">
        <v>1406</v>
      </c>
      <c r="B1409" t="s">
        <v>1703</v>
      </c>
    </row>
    <row r="1410" spans="1:2" x14ac:dyDescent="0.35">
      <c r="A1410">
        <v>1407</v>
      </c>
      <c r="B1410" t="s">
        <v>1704</v>
      </c>
    </row>
    <row r="1411" spans="1:2" x14ac:dyDescent="0.35">
      <c r="A1411">
        <v>1408</v>
      </c>
      <c r="B1411" t="s">
        <v>1705</v>
      </c>
    </row>
    <row r="1412" spans="1:2" x14ac:dyDescent="0.35">
      <c r="A1412">
        <v>1409</v>
      </c>
      <c r="B1412" t="s">
        <v>1706</v>
      </c>
    </row>
    <row r="1413" spans="1:2" x14ac:dyDescent="0.35">
      <c r="A1413">
        <v>1410</v>
      </c>
      <c r="B1413" t="s">
        <v>1707</v>
      </c>
    </row>
    <row r="1414" spans="1:2" x14ac:dyDescent="0.35">
      <c r="A1414">
        <v>1411</v>
      </c>
      <c r="B1414" t="s">
        <v>1708</v>
      </c>
    </row>
    <row r="1415" spans="1:2" x14ac:dyDescent="0.35">
      <c r="A1415">
        <v>1412</v>
      </c>
      <c r="B1415" t="s">
        <v>1709</v>
      </c>
    </row>
    <row r="1416" spans="1:2" x14ac:dyDescent="0.35">
      <c r="A1416">
        <v>1413</v>
      </c>
      <c r="B1416" t="s">
        <v>1710</v>
      </c>
    </row>
    <row r="1417" spans="1:2" x14ac:dyDescent="0.35">
      <c r="A1417">
        <v>1414</v>
      </c>
      <c r="B1417" t="s">
        <v>1711</v>
      </c>
    </row>
    <row r="1418" spans="1:2" x14ac:dyDescent="0.35">
      <c r="A1418">
        <v>1415</v>
      </c>
      <c r="B1418" t="s">
        <v>1712</v>
      </c>
    </row>
    <row r="1419" spans="1:2" x14ac:dyDescent="0.35">
      <c r="A1419">
        <v>1416</v>
      </c>
      <c r="B1419" t="s">
        <v>1713</v>
      </c>
    </row>
    <row r="1420" spans="1:2" x14ac:dyDescent="0.35">
      <c r="A1420">
        <v>1417</v>
      </c>
      <c r="B1420" t="s">
        <v>1714</v>
      </c>
    </row>
    <row r="1421" spans="1:2" x14ac:dyDescent="0.35">
      <c r="A1421">
        <v>1418</v>
      </c>
      <c r="B1421" t="s">
        <v>1715</v>
      </c>
    </row>
    <row r="1422" spans="1:2" x14ac:dyDescent="0.35">
      <c r="A1422">
        <v>1419</v>
      </c>
      <c r="B1422" t="s">
        <v>1716</v>
      </c>
    </row>
    <row r="1423" spans="1:2" x14ac:dyDescent="0.35">
      <c r="A1423">
        <v>1420</v>
      </c>
      <c r="B1423" t="s">
        <v>1717</v>
      </c>
    </row>
    <row r="1424" spans="1:2" x14ac:dyDescent="0.35">
      <c r="A1424">
        <v>1421</v>
      </c>
      <c r="B1424" t="s">
        <v>1718</v>
      </c>
    </row>
    <row r="1425" spans="1:2" x14ac:dyDescent="0.35">
      <c r="A1425">
        <v>1422</v>
      </c>
      <c r="B1425" t="s">
        <v>1719</v>
      </c>
    </row>
    <row r="1426" spans="1:2" x14ac:dyDescent="0.35">
      <c r="A1426">
        <v>1423</v>
      </c>
      <c r="B1426" t="s">
        <v>1720</v>
      </c>
    </row>
    <row r="1427" spans="1:2" x14ac:dyDescent="0.35">
      <c r="A1427">
        <v>1424</v>
      </c>
      <c r="B1427" t="s">
        <v>1721</v>
      </c>
    </row>
    <row r="1428" spans="1:2" x14ac:dyDescent="0.35">
      <c r="A1428">
        <v>1425</v>
      </c>
      <c r="B1428" t="s">
        <v>1722</v>
      </c>
    </row>
    <row r="1429" spans="1:2" x14ac:dyDescent="0.35">
      <c r="A1429">
        <v>1426</v>
      </c>
      <c r="B1429" t="s">
        <v>1723</v>
      </c>
    </row>
    <row r="1430" spans="1:2" x14ac:dyDescent="0.35">
      <c r="A1430">
        <v>1427</v>
      </c>
      <c r="B1430" t="s">
        <v>1724</v>
      </c>
    </row>
    <row r="1431" spans="1:2" x14ac:dyDescent="0.35">
      <c r="A1431">
        <v>1428</v>
      </c>
      <c r="B1431" t="s">
        <v>1725</v>
      </c>
    </row>
    <row r="1432" spans="1:2" x14ac:dyDescent="0.35">
      <c r="A1432">
        <v>1429</v>
      </c>
      <c r="B1432" t="s">
        <v>1726</v>
      </c>
    </row>
    <row r="1433" spans="1:2" x14ac:dyDescent="0.35">
      <c r="A1433">
        <v>1430</v>
      </c>
      <c r="B1433" t="s">
        <v>1727</v>
      </c>
    </row>
    <row r="1434" spans="1:2" x14ac:dyDescent="0.35">
      <c r="A1434">
        <v>1431</v>
      </c>
      <c r="B1434" t="s">
        <v>1728</v>
      </c>
    </row>
    <row r="1435" spans="1:2" x14ac:dyDescent="0.35">
      <c r="A1435">
        <v>1432</v>
      </c>
      <c r="B1435" t="s">
        <v>1729</v>
      </c>
    </row>
    <row r="1436" spans="1:2" x14ac:dyDescent="0.35">
      <c r="A1436">
        <v>1433</v>
      </c>
      <c r="B1436" t="s">
        <v>1730</v>
      </c>
    </row>
    <row r="1437" spans="1:2" x14ac:dyDescent="0.35">
      <c r="A1437">
        <v>1434</v>
      </c>
      <c r="B1437" t="s">
        <v>1731</v>
      </c>
    </row>
    <row r="1438" spans="1:2" x14ac:dyDescent="0.35">
      <c r="A1438">
        <v>1435</v>
      </c>
      <c r="B1438" t="s">
        <v>1732</v>
      </c>
    </row>
    <row r="1439" spans="1:2" x14ac:dyDescent="0.35">
      <c r="A1439">
        <v>1436</v>
      </c>
      <c r="B1439" t="s">
        <v>1733</v>
      </c>
    </row>
    <row r="1440" spans="1:2" x14ac:dyDescent="0.35">
      <c r="A1440">
        <v>1437</v>
      </c>
      <c r="B1440" t="s">
        <v>1734</v>
      </c>
    </row>
    <row r="1441" spans="1:2" x14ac:dyDescent="0.35">
      <c r="A1441">
        <v>1438</v>
      </c>
      <c r="B1441" t="s">
        <v>1735</v>
      </c>
    </row>
    <row r="1442" spans="1:2" x14ac:dyDescent="0.35">
      <c r="A1442">
        <v>1439</v>
      </c>
      <c r="B1442" t="s">
        <v>1736</v>
      </c>
    </row>
    <row r="1443" spans="1:2" x14ac:dyDescent="0.35">
      <c r="A1443">
        <v>1440</v>
      </c>
      <c r="B1443" t="s">
        <v>1737</v>
      </c>
    </row>
    <row r="1444" spans="1:2" x14ac:dyDescent="0.35">
      <c r="A1444">
        <v>1441</v>
      </c>
      <c r="B1444" t="s">
        <v>1738</v>
      </c>
    </row>
    <row r="1445" spans="1:2" x14ac:dyDescent="0.35">
      <c r="A1445">
        <v>1442</v>
      </c>
      <c r="B1445" t="s">
        <v>1739</v>
      </c>
    </row>
    <row r="1446" spans="1:2" x14ac:dyDescent="0.35">
      <c r="A1446">
        <v>1443</v>
      </c>
      <c r="B1446" t="s">
        <v>1740</v>
      </c>
    </row>
    <row r="1447" spans="1:2" x14ac:dyDescent="0.35">
      <c r="A1447">
        <v>1444</v>
      </c>
      <c r="B1447" t="s">
        <v>1741</v>
      </c>
    </row>
    <row r="1448" spans="1:2" x14ac:dyDescent="0.35">
      <c r="A1448">
        <v>1445</v>
      </c>
      <c r="B1448" t="s">
        <v>1742</v>
      </c>
    </row>
    <row r="1449" spans="1:2" x14ac:dyDescent="0.35">
      <c r="A1449">
        <v>1446</v>
      </c>
      <c r="B1449" t="s">
        <v>1743</v>
      </c>
    </row>
    <row r="1450" spans="1:2" x14ac:dyDescent="0.35">
      <c r="A1450">
        <v>1447</v>
      </c>
      <c r="B1450" t="s">
        <v>1744</v>
      </c>
    </row>
    <row r="1451" spans="1:2" x14ac:dyDescent="0.35">
      <c r="A1451">
        <v>1448</v>
      </c>
      <c r="B1451" t="s">
        <v>1745</v>
      </c>
    </row>
    <row r="1452" spans="1:2" x14ac:dyDescent="0.35">
      <c r="A1452">
        <v>1449</v>
      </c>
      <c r="B1452" t="s">
        <v>1746</v>
      </c>
    </row>
    <row r="1453" spans="1:2" x14ac:dyDescent="0.35">
      <c r="A1453">
        <v>1450</v>
      </c>
      <c r="B1453" t="s">
        <v>1747</v>
      </c>
    </row>
    <row r="1454" spans="1:2" x14ac:dyDescent="0.35">
      <c r="A1454">
        <v>1451</v>
      </c>
      <c r="B1454" t="s">
        <v>1748</v>
      </c>
    </row>
    <row r="1455" spans="1:2" x14ac:dyDescent="0.35">
      <c r="A1455">
        <v>1452</v>
      </c>
      <c r="B1455" t="s">
        <v>1749</v>
      </c>
    </row>
    <row r="1456" spans="1:2" x14ac:dyDescent="0.35">
      <c r="A1456">
        <v>1453</v>
      </c>
      <c r="B1456" t="s">
        <v>1750</v>
      </c>
    </row>
    <row r="1457" spans="1:2" x14ac:dyDescent="0.35">
      <c r="A1457">
        <v>1454</v>
      </c>
      <c r="B1457" t="s">
        <v>1751</v>
      </c>
    </row>
    <row r="1458" spans="1:2" x14ac:dyDescent="0.35">
      <c r="A1458">
        <v>1455</v>
      </c>
      <c r="B1458" t="s">
        <v>1752</v>
      </c>
    </row>
    <row r="1459" spans="1:2" x14ac:dyDescent="0.35">
      <c r="A1459">
        <v>1456</v>
      </c>
      <c r="B1459" t="s">
        <v>1753</v>
      </c>
    </row>
    <row r="1460" spans="1:2" x14ac:dyDescent="0.35">
      <c r="A1460">
        <v>1457</v>
      </c>
      <c r="B1460" t="s">
        <v>1754</v>
      </c>
    </row>
    <row r="1461" spans="1:2" x14ac:dyDescent="0.35">
      <c r="A1461">
        <v>1458</v>
      </c>
      <c r="B1461" t="s">
        <v>1755</v>
      </c>
    </row>
    <row r="1462" spans="1:2" x14ac:dyDescent="0.35">
      <c r="A1462">
        <v>1459</v>
      </c>
      <c r="B1462" t="s">
        <v>1756</v>
      </c>
    </row>
    <row r="1463" spans="1:2" x14ac:dyDescent="0.35">
      <c r="A1463">
        <v>1460</v>
      </c>
      <c r="B1463" t="s">
        <v>1757</v>
      </c>
    </row>
    <row r="1464" spans="1:2" x14ac:dyDescent="0.35">
      <c r="A1464">
        <v>1461</v>
      </c>
      <c r="B1464" t="s">
        <v>1758</v>
      </c>
    </row>
    <row r="1465" spans="1:2" x14ac:dyDescent="0.35">
      <c r="A1465">
        <v>1462</v>
      </c>
      <c r="B1465" t="s">
        <v>1759</v>
      </c>
    </row>
    <row r="1466" spans="1:2" x14ac:dyDescent="0.35">
      <c r="A1466">
        <v>1463</v>
      </c>
      <c r="B1466" t="s">
        <v>1760</v>
      </c>
    </row>
    <row r="1467" spans="1:2" x14ac:dyDescent="0.35">
      <c r="A1467">
        <v>1464</v>
      </c>
      <c r="B1467" t="s">
        <v>1761</v>
      </c>
    </row>
    <row r="1468" spans="1:2" x14ac:dyDescent="0.35">
      <c r="A1468">
        <v>1465</v>
      </c>
      <c r="B1468" t="s">
        <v>1762</v>
      </c>
    </row>
    <row r="1469" spans="1:2" x14ac:dyDescent="0.35">
      <c r="A1469">
        <v>1466</v>
      </c>
      <c r="B1469" t="s">
        <v>1763</v>
      </c>
    </row>
    <row r="1470" spans="1:2" x14ac:dyDescent="0.35">
      <c r="A1470">
        <v>1467</v>
      </c>
      <c r="B1470" t="s">
        <v>1764</v>
      </c>
    </row>
    <row r="1471" spans="1:2" x14ac:dyDescent="0.35">
      <c r="A1471">
        <v>1468</v>
      </c>
      <c r="B1471" t="s">
        <v>1765</v>
      </c>
    </row>
    <row r="1472" spans="1:2" x14ac:dyDescent="0.35">
      <c r="A1472">
        <v>1469</v>
      </c>
      <c r="B1472" t="s">
        <v>1766</v>
      </c>
    </row>
    <row r="1473" spans="1:2" x14ac:dyDescent="0.35">
      <c r="A1473">
        <v>1470</v>
      </c>
      <c r="B1473" t="s">
        <v>1767</v>
      </c>
    </row>
    <row r="1474" spans="1:2" x14ac:dyDescent="0.35">
      <c r="A1474">
        <v>1471</v>
      </c>
      <c r="B1474" t="s">
        <v>1768</v>
      </c>
    </row>
    <row r="1475" spans="1:2" x14ac:dyDescent="0.35">
      <c r="A1475">
        <v>1472</v>
      </c>
      <c r="B1475" t="s">
        <v>1769</v>
      </c>
    </row>
    <row r="1476" spans="1:2" x14ac:dyDescent="0.35">
      <c r="A1476">
        <v>1473</v>
      </c>
      <c r="B1476" t="s">
        <v>1770</v>
      </c>
    </row>
    <row r="1477" spans="1:2" x14ac:dyDescent="0.35">
      <c r="A1477">
        <v>1474</v>
      </c>
      <c r="B1477" t="s">
        <v>1771</v>
      </c>
    </row>
    <row r="1478" spans="1:2" x14ac:dyDescent="0.35">
      <c r="A1478">
        <v>1475</v>
      </c>
      <c r="B1478" t="s">
        <v>1772</v>
      </c>
    </row>
    <row r="1479" spans="1:2" x14ac:dyDescent="0.35">
      <c r="A1479">
        <v>1476</v>
      </c>
      <c r="B1479" t="s">
        <v>1773</v>
      </c>
    </row>
    <row r="1480" spans="1:2" x14ac:dyDescent="0.35">
      <c r="A1480">
        <v>1477</v>
      </c>
      <c r="B1480" t="s">
        <v>1774</v>
      </c>
    </row>
    <row r="1481" spans="1:2" x14ac:dyDescent="0.35">
      <c r="A1481">
        <v>1478</v>
      </c>
      <c r="B1481" t="s">
        <v>1775</v>
      </c>
    </row>
    <row r="1482" spans="1:2" x14ac:dyDescent="0.35">
      <c r="A1482">
        <v>1479</v>
      </c>
      <c r="B1482" t="s">
        <v>1776</v>
      </c>
    </row>
    <row r="1483" spans="1:2" x14ac:dyDescent="0.35">
      <c r="A1483">
        <v>1480</v>
      </c>
      <c r="B1483" t="s">
        <v>1777</v>
      </c>
    </row>
    <row r="1484" spans="1:2" x14ac:dyDescent="0.35">
      <c r="A1484">
        <v>1481</v>
      </c>
      <c r="B1484" t="s">
        <v>1778</v>
      </c>
    </row>
    <row r="1485" spans="1:2" x14ac:dyDescent="0.35">
      <c r="A1485">
        <v>1482</v>
      </c>
      <c r="B1485" t="s">
        <v>1779</v>
      </c>
    </row>
    <row r="1486" spans="1:2" x14ac:dyDescent="0.35">
      <c r="A1486">
        <v>1483</v>
      </c>
      <c r="B1486" t="s">
        <v>1780</v>
      </c>
    </row>
    <row r="1487" spans="1:2" x14ac:dyDescent="0.35">
      <c r="A1487">
        <v>1484</v>
      </c>
      <c r="B1487" t="s">
        <v>1781</v>
      </c>
    </row>
    <row r="1488" spans="1:2" x14ac:dyDescent="0.35">
      <c r="A1488">
        <v>1485</v>
      </c>
      <c r="B1488" t="s">
        <v>1782</v>
      </c>
    </row>
    <row r="1489" spans="1:2" x14ac:dyDescent="0.35">
      <c r="A1489">
        <v>1486</v>
      </c>
      <c r="B1489" t="s">
        <v>1783</v>
      </c>
    </row>
    <row r="1490" spans="1:2" x14ac:dyDescent="0.35">
      <c r="A1490">
        <v>1487</v>
      </c>
      <c r="B1490" t="s">
        <v>1784</v>
      </c>
    </row>
    <row r="1491" spans="1:2" x14ac:dyDescent="0.35">
      <c r="A1491">
        <v>1488</v>
      </c>
      <c r="B1491" t="s">
        <v>1785</v>
      </c>
    </row>
    <row r="1492" spans="1:2" x14ac:dyDescent="0.35">
      <c r="A1492">
        <v>1489</v>
      </c>
      <c r="B1492" t="s">
        <v>1786</v>
      </c>
    </row>
    <row r="1493" spans="1:2" x14ac:dyDescent="0.35">
      <c r="A1493">
        <v>1490</v>
      </c>
      <c r="B1493" t="s">
        <v>1787</v>
      </c>
    </row>
    <row r="1494" spans="1:2" x14ac:dyDescent="0.35">
      <c r="A1494">
        <v>1491</v>
      </c>
      <c r="B1494" t="s">
        <v>1788</v>
      </c>
    </row>
    <row r="1495" spans="1:2" x14ac:dyDescent="0.35">
      <c r="A1495">
        <v>1492</v>
      </c>
      <c r="B1495" t="s">
        <v>1789</v>
      </c>
    </row>
    <row r="1496" spans="1:2" x14ac:dyDescent="0.35">
      <c r="A1496">
        <v>1493</v>
      </c>
      <c r="B1496" t="s">
        <v>1790</v>
      </c>
    </row>
    <row r="1497" spans="1:2" x14ac:dyDescent="0.35">
      <c r="A1497">
        <v>1494</v>
      </c>
      <c r="B1497" t="s">
        <v>1791</v>
      </c>
    </row>
    <row r="1498" spans="1:2" x14ac:dyDescent="0.35">
      <c r="A1498">
        <v>1495</v>
      </c>
      <c r="B1498" t="s">
        <v>1792</v>
      </c>
    </row>
    <row r="1499" spans="1:2" x14ac:dyDescent="0.35">
      <c r="A1499">
        <v>1496</v>
      </c>
      <c r="B1499" t="s">
        <v>1793</v>
      </c>
    </row>
    <row r="1500" spans="1:2" x14ac:dyDescent="0.35">
      <c r="A1500">
        <v>1497</v>
      </c>
      <c r="B1500" t="s">
        <v>1794</v>
      </c>
    </row>
    <row r="1501" spans="1:2" x14ac:dyDescent="0.35">
      <c r="A1501">
        <v>1498</v>
      </c>
      <c r="B1501" t="s">
        <v>1795</v>
      </c>
    </row>
    <row r="1502" spans="1:2" x14ac:dyDescent="0.35">
      <c r="A1502">
        <v>1499</v>
      </c>
      <c r="B1502" t="s">
        <v>1796</v>
      </c>
    </row>
    <row r="1503" spans="1:2" x14ac:dyDescent="0.35">
      <c r="A1503">
        <v>1500</v>
      </c>
      <c r="B1503" t="s">
        <v>1797</v>
      </c>
    </row>
    <row r="1504" spans="1:2" x14ac:dyDescent="0.35">
      <c r="A1504">
        <v>1501</v>
      </c>
      <c r="B1504" t="s">
        <v>1798</v>
      </c>
    </row>
    <row r="1505" spans="1:2" x14ac:dyDescent="0.35">
      <c r="A1505">
        <v>1502</v>
      </c>
      <c r="B1505" t="s">
        <v>1799</v>
      </c>
    </row>
    <row r="1506" spans="1:2" x14ac:dyDescent="0.35">
      <c r="A1506">
        <v>1503</v>
      </c>
      <c r="B1506" t="s">
        <v>1800</v>
      </c>
    </row>
    <row r="1507" spans="1:2" x14ac:dyDescent="0.35">
      <c r="A1507">
        <v>1504</v>
      </c>
      <c r="B1507" t="s">
        <v>1801</v>
      </c>
    </row>
    <row r="1508" spans="1:2" x14ac:dyDescent="0.35">
      <c r="A1508">
        <v>1505</v>
      </c>
      <c r="B1508" t="s">
        <v>1802</v>
      </c>
    </row>
    <row r="1509" spans="1:2" x14ac:dyDescent="0.35">
      <c r="A1509">
        <v>1506</v>
      </c>
      <c r="B1509" t="s">
        <v>1803</v>
      </c>
    </row>
    <row r="1510" spans="1:2" x14ac:dyDescent="0.35">
      <c r="A1510">
        <v>1507</v>
      </c>
      <c r="B1510" t="s">
        <v>1804</v>
      </c>
    </row>
    <row r="1511" spans="1:2" x14ac:dyDescent="0.35">
      <c r="A1511">
        <v>1508</v>
      </c>
      <c r="B1511" t="s">
        <v>1805</v>
      </c>
    </row>
    <row r="1512" spans="1:2" x14ac:dyDescent="0.35">
      <c r="A1512">
        <v>1509</v>
      </c>
      <c r="B1512" t="s">
        <v>1806</v>
      </c>
    </row>
    <row r="1513" spans="1:2" x14ac:dyDescent="0.35">
      <c r="A1513">
        <v>1510</v>
      </c>
      <c r="B1513" t="s">
        <v>1807</v>
      </c>
    </row>
    <row r="1514" spans="1:2" x14ac:dyDescent="0.35">
      <c r="A1514">
        <v>1511</v>
      </c>
      <c r="B1514" t="s">
        <v>1808</v>
      </c>
    </row>
    <row r="1515" spans="1:2" x14ac:dyDescent="0.35">
      <c r="A1515">
        <v>1512</v>
      </c>
      <c r="B1515" t="s">
        <v>1809</v>
      </c>
    </row>
    <row r="1516" spans="1:2" x14ac:dyDescent="0.35">
      <c r="A1516">
        <v>1513</v>
      </c>
      <c r="B1516" t="s">
        <v>1810</v>
      </c>
    </row>
    <row r="1517" spans="1:2" x14ac:dyDescent="0.35">
      <c r="A1517">
        <v>1514</v>
      </c>
      <c r="B1517" t="s">
        <v>1811</v>
      </c>
    </row>
    <row r="1518" spans="1:2" x14ac:dyDescent="0.35">
      <c r="A1518">
        <v>1515</v>
      </c>
      <c r="B1518" t="s">
        <v>1812</v>
      </c>
    </row>
    <row r="1519" spans="1:2" x14ac:dyDescent="0.35">
      <c r="A1519">
        <v>1516</v>
      </c>
      <c r="B1519" t="s">
        <v>1813</v>
      </c>
    </row>
    <row r="1520" spans="1:2" x14ac:dyDescent="0.35">
      <c r="A1520">
        <v>1517</v>
      </c>
      <c r="B1520" t="s">
        <v>1814</v>
      </c>
    </row>
    <row r="1521" spans="1:2" x14ac:dyDescent="0.35">
      <c r="A1521">
        <v>1518</v>
      </c>
      <c r="B1521" t="s">
        <v>1815</v>
      </c>
    </row>
    <row r="1522" spans="1:2" x14ac:dyDescent="0.35">
      <c r="A1522">
        <v>1519</v>
      </c>
      <c r="B1522" t="s">
        <v>1816</v>
      </c>
    </row>
    <row r="1523" spans="1:2" x14ac:dyDescent="0.35">
      <c r="A1523">
        <v>1520</v>
      </c>
      <c r="B1523" t="s">
        <v>1817</v>
      </c>
    </row>
    <row r="1524" spans="1:2" x14ac:dyDescent="0.35">
      <c r="A1524">
        <v>1521</v>
      </c>
      <c r="B1524" t="s">
        <v>1818</v>
      </c>
    </row>
    <row r="1525" spans="1:2" x14ac:dyDescent="0.35">
      <c r="A1525">
        <v>1522</v>
      </c>
      <c r="B1525" t="s">
        <v>1819</v>
      </c>
    </row>
    <row r="1526" spans="1:2" x14ac:dyDescent="0.35">
      <c r="A1526">
        <v>1523</v>
      </c>
      <c r="B1526" t="s">
        <v>1820</v>
      </c>
    </row>
    <row r="1527" spans="1:2" x14ac:dyDescent="0.35">
      <c r="A1527">
        <v>1524</v>
      </c>
      <c r="B1527" t="s">
        <v>1821</v>
      </c>
    </row>
    <row r="1528" spans="1:2" x14ac:dyDescent="0.35">
      <c r="A1528">
        <v>1525</v>
      </c>
      <c r="B1528" t="s">
        <v>1822</v>
      </c>
    </row>
    <row r="1529" spans="1:2" x14ac:dyDescent="0.35">
      <c r="A1529">
        <v>1526</v>
      </c>
      <c r="B1529" t="s">
        <v>1823</v>
      </c>
    </row>
    <row r="1530" spans="1:2" x14ac:dyDescent="0.35">
      <c r="A1530">
        <v>1527</v>
      </c>
      <c r="B1530" t="s">
        <v>1824</v>
      </c>
    </row>
    <row r="1531" spans="1:2" x14ac:dyDescent="0.35">
      <c r="A1531">
        <v>1528</v>
      </c>
      <c r="B1531" t="s">
        <v>1825</v>
      </c>
    </row>
    <row r="1532" spans="1:2" x14ac:dyDescent="0.35">
      <c r="A1532">
        <v>1529</v>
      </c>
      <c r="B1532" t="s">
        <v>1826</v>
      </c>
    </row>
    <row r="1533" spans="1:2" x14ac:dyDescent="0.35">
      <c r="A1533">
        <v>1530</v>
      </c>
      <c r="B1533" t="s">
        <v>1827</v>
      </c>
    </row>
    <row r="1534" spans="1:2" x14ac:dyDescent="0.35">
      <c r="A1534">
        <v>1531</v>
      </c>
      <c r="B1534" t="s">
        <v>1828</v>
      </c>
    </row>
    <row r="1535" spans="1:2" x14ac:dyDescent="0.35">
      <c r="A1535">
        <v>1532</v>
      </c>
      <c r="B1535" t="s">
        <v>1829</v>
      </c>
    </row>
    <row r="1536" spans="1:2" x14ac:dyDescent="0.35">
      <c r="A1536">
        <v>1533</v>
      </c>
      <c r="B1536" t="s">
        <v>1830</v>
      </c>
    </row>
    <row r="1537" spans="1:2" x14ac:dyDescent="0.35">
      <c r="A1537">
        <v>1534</v>
      </c>
      <c r="B1537" t="s">
        <v>1831</v>
      </c>
    </row>
    <row r="1538" spans="1:2" x14ac:dyDescent="0.35">
      <c r="A1538">
        <v>1535</v>
      </c>
      <c r="B1538" t="s">
        <v>1832</v>
      </c>
    </row>
    <row r="1539" spans="1:2" x14ac:dyDescent="0.35">
      <c r="A1539">
        <v>1536</v>
      </c>
      <c r="B1539" t="s">
        <v>1833</v>
      </c>
    </row>
    <row r="1540" spans="1:2" x14ac:dyDescent="0.35">
      <c r="A1540">
        <v>1537</v>
      </c>
      <c r="B1540" t="s">
        <v>1834</v>
      </c>
    </row>
    <row r="1541" spans="1:2" x14ac:dyDescent="0.35">
      <c r="A1541">
        <v>1538</v>
      </c>
      <c r="B1541" t="s">
        <v>1835</v>
      </c>
    </row>
    <row r="1542" spans="1:2" x14ac:dyDescent="0.35">
      <c r="A1542">
        <v>1539</v>
      </c>
      <c r="B1542" t="s">
        <v>1836</v>
      </c>
    </row>
    <row r="1543" spans="1:2" x14ac:dyDescent="0.35">
      <c r="A1543">
        <v>1540</v>
      </c>
      <c r="B1543" t="s">
        <v>1837</v>
      </c>
    </row>
    <row r="1544" spans="1:2" x14ac:dyDescent="0.35">
      <c r="A1544">
        <v>1541</v>
      </c>
      <c r="B1544" t="s">
        <v>1838</v>
      </c>
    </row>
    <row r="1545" spans="1:2" x14ac:dyDescent="0.35">
      <c r="A1545">
        <v>1542</v>
      </c>
      <c r="B1545" t="s">
        <v>1839</v>
      </c>
    </row>
    <row r="1546" spans="1:2" x14ac:dyDescent="0.35">
      <c r="A1546">
        <v>1543</v>
      </c>
      <c r="B1546" t="s">
        <v>1840</v>
      </c>
    </row>
    <row r="1547" spans="1:2" x14ac:dyDescent="0.35">
      <c r="A1547">
        <v>1544</v>
      </c>
      <c r="B1547" t="s">
        <v>1841</v>
      </c>
    </row>
    <row r="1548" spans="1:2" x14ac:dyDescent="0.35">
      <c r="A1548">
        <v>1545</v>
      </c>
      <c r="B1548" t="s">
        <v>1842</v>
      </c>
    </row>
    <row r="1549" spans="1:2" x14ac:dyDescent="0.35">
      <c r="A1549">
        <v>1546</v>
      </c>
      <c r="B1549" t="s">
        <v>1843</v>
      </c>
    </row>
    <row r="1550" spans="1:2" x14ac:dyDescent="0.35">
      <c r="A1550">
        <v>1547</v>
      </c>
      <c r="B1550" t="s">
        <v>1844</v>
      </c>
    </row>
    <row r="1551" spans="1:2" x14ac:dyDescent="0.35">
      <c r="A1551">
        <v>1548</v>
      </c>
      <c r="B1551" t="s">
        <v>1845</v>
      </c>
    </row>
    <row r="1552" spans="1:2" x14ac:dyDescent="0.35">
      <c r="A1552">
        <v>1549</v>
      </c>
      <c r="B1552" t="s">
        <v>1846</v>
      </c>
    </row>
    <row r="1553" spans="1:2" x14ac:dyDescent="0.35">
      <c r="A1553">
        <v>1550</v>
      </c>
      <c r="B1553" t="s">
        <v>1847</v>
      </c>
    </row>
    <row r="1554" spans="1:2" x14ac:dyDescent="0.35">
      <c r="A1554">
        <v>1551</v>
      </c>
      <c r="B1554" t="s">
        <v>1848</v>
      </c>
    </row>
    <row r="1555" spans="1:2" x14ac:dyDescent="0.35">
      <c r="A1555">
        <v>1552</v>
      </c>
      <c r="B1555" t="s">
        <v>1849</v>
      </c>
    </row>
    <row r="1556" spans="1:2" x14ac:dyDescent="0.35">
      <c r="A1556">
        <v>1553</v>
      </c>
      <c r="B1556" t="s">
        <v>1850</v>
      </c>
    </row>
    <row r="1557" spans="1:2" x14ac:dyDescent="0.35">
      <c r="A1557">
        <v>1554</v>
      </c>
      <c r="B1557" t="s">
        <v>1851</v>
      </c>
    </row>
    <row r="1558" spans="1:2" x14ac:dyDescent="0.35">
      <c r="A1558">
        <v>1555</v>
      </c>
      <c r="B1558" t="s">
        <v>1852</v>
      </c>
    </row>
    <row r="1559" spans="1:2" x14ac:dyDescent="0.35">
      <c r="A1559">
        <v>1556</v>
      </c>
      <c r="B1559" t="s">
        <v>1853</v>
      </c>
    </row>
    <row r="1560" spans="1:2" x14ac:dyDescent="0.35">
      <c r="A1560">
        <v>1557</v>
      </c>
      <c r="B1560" t="s">
        <v>1854</v>
      </c>
    </row>
    <row r="1561" spans="1:2" x14ac:dyDescent="0.35">
      <c r="A1561">
        <v>1558</v>
      </c>
      <c r="B1561" t="s">
        <v>1855</v>
      </c>
    </row>
    <row r="1562" spans="1:2" x14ac:dyDescent="0.35">
      <c r="A1562">
        <v>1559</v>
      </c>
      <c r="B1562" t="s">
        <v>1856</v>
      </c>
    </row>
    <row r="1563" spans="1:2" x14ac:dyDescent="0.35">
      <c r="A1563">
        <v>1560</v>
      </c>
      <c r="B1563" t="s">
        <v>1857</v>
      </c>
    </row>
    <row r="1564" spans="1:2" x14ac:dyDescent="0.35">
      <c r="A1564">
        <v>1561</v>
      </c>
      <c r="B1564" t="s">
        <v>1858</v>
      </c>
    </row>
    <row r="1565" spans="1:2" x14ac:dyDescent="0.35">
      <c r="A1565">
        <v>1562</v>
      </c>
      <c r="B1565" t="s">
        <v>1859</v>
      </c>
    </row>
    <row r="1566" spans="1:2" x14ac:dyDescent="0.35">
      <c r="A1566">
        <v>1563</v>
      </c>
      <c r="B1566" t="s">
        <v>1860</v>
      </c>
    </row>
    <row r="1567" spans="1:2" x14ac:dyDescent="0.35">
      <c r="A1567">
        <v>1564</v>
      </c>
      <c r="B1567" t="s">
        <v>1861</v>
      </c>
    </row>
    <row r="1568" spans="1:2" x14ac:dyDescent="0.35">
      <c r="A1568">
        <v>1565</v>
      </c>
      <c r="B1568" t="s">
        <v>1862</v>
      </c>
    </row>
    <row r="1569" spans="1:2" x14ac:dyDescent="0.35">
      <c r="A1569">
        <v>1566</v>
      </c>
      <c r="B1569" t="s">
        <v>1863</v>
      </c>
    </row>
    <row r="1570" spans="1:2" x14ac:dyDescent="0.35">
      <c r="A1570">
        <v>1567</v>
      </c>
      <c r="B1570" t="s">
        <v>1864</v>
      </c>
    </row>
    <row r="1571" spans="1:2" x14ac:dyDescent="0.35">
      <c r="A1571">
        <v>1568</v>
      </c>
      <c r="B1571" t="s">
        <v>1865</v>
      </c>
    </row>
    <row r="1572" spans="1:2" x14ac:dyDescent="0.35">
      <c r="A1572">
        <v>1569</v>
      </c>
      <c r="B1572" t="s">
        <v>1866</v>
      </c>
    </row>
    <row r="1573" spans="1:2" x14ac:dyDescent="0.35">
      <c r="A1573">
        <v>1570</v>
      </c>
      <c r="B1573" t="s">
        <v>1867</v>
      </c>
    </row>
    <row r="1574" spans="1:2" x14ac:dyDescent="0.35">
      <c r="A1574">
        <v>1571</v>
      </c>
      <c r="B1574" t="s">
        <v>1868</v>
      </c>
    </row>
    <row r="1575" spans="1:2" x14ac:dyDescent="0.35">
      <c r="A1575">
        <v>1572</v>
      </c>
      <c r="B1575" t="s">
        <v>1869</v>
      </c>
    </row>
    <row r="1576" spans="1:2" x14ac:dyDescent="0.35">
      <c r="A1576">
        <v>1573</v>
      </c>
      <c r="B1576" t="s">
        <v>1870</v>
      </c>
    </row>
    <row r="1577" spans="1:2" x14ac:dyDescent="0.35">
      <c r="A1577">
        <v>1574</v>
      </c>
      <c r="B1577" t="s">
        <v>1871</v>
      </c>
    </row>
    <row r="1578" spans="1:2" x14ac:dyDescent="0.35">
      <c r="A1578">
        <v>1575</v>
      </c>
      <c r="B1578" t="s">
        <v>1872</v>
      </c>
    </row>
    <row r="1579" spans="1:2" x14ac:dyDescent="0.35">
      <c r="A1579">
        <v>1576</v>
      </c>
      <c r="B1579" t="s">
        <v>1873</v>
      </c>
    </row>
    <row r="1580" spans="1:2" x14ac:dyDescent="0.35">
      <c r="A1580">
        <v>1577</v>
      </c>
      <c r="B1580" t="s">
        <v>1874</v>
      </c>
    </row>
    <row r="1581" spans="1:2" x14ac:dyDescent="0.35">
      <c r="A1581">
        <v>1578</v>
      </c>
      <c r="B1581" t="s">
        <v>1875</v>
      </c>
    </row>
    <row r="1582" spans="1:2" x14ac:dyDescent="0.35">
      <c r="A1582">
        <v>1579</v>
      </c>
      <c r="B1582" t="s">
        <v>1876</v>
      </c>
    </row>
    <row r="1583" spans="1:2" x14ac:dyDescent="0.35">
      <c r="A1583">
        <v>1580</v>
      </c>
      <c r="B1583" t="s">
        <v>1877</v>
      </c>
    </row>
    <row r="1584" spans="1:2" x14ac:dyDescent="0.35">
      <c r="A1584">
        <v>1581</v>
      </c>
      <c r="B1584" t="s">
        <v>1878</v>
      </c>
    </row>
    <row r="1585" spans="1:2" x14ac:dyDescent="0.35">
      <c r="A1585">
        <v>1582</v>
      </c>
      <c r="B1585" t="s">
        <v>1879</v>
      </c>
    </row>
    <row r="1586" spans="1:2" x14ac:dyDescent="0.35">
      <c r="A1586">
        <v>1583</v>
      </c>
      <c r="B1586" t="s">
        <v>1880</v>
      </c>
    </row>
    <row r="1587" spans="1:2" x14ac:dyDescent="0.35">
      <c r="A1587">
        <v>1584</v>
      </c>
      <c r="B1587" t="s">
        <v>1881</v>
      </c>
    </row>
    <row r="1588" spans="1:2" x14ac:dyDescent="0.35">
      <c r="A1588">
        <v>1585</v>
      </c>
      <c r="B1588" t="s">
        <v>1882</v>
      </c>
    </row>
    <row r="1589" spans="1:2" x14ac:dyDescent="0.35">
      <c r="A1589">
        <v>1586</v>
      </c>
      <c r="B1589" t="s">
        <v>1883</v>
      </c>
    </row>
    <row r="1590" spans="1:2" x14ac:dyDescent="0.35">
      <c r="A1590">
        <v>1587</v>
      </c>
      <c r="B1590" t="s">
        <v>1884</v>
      </c>
    </row>
    <row r="1591" spans="1:2" x14ac:dyDescent="0.35">
      <c r="A1591">
        <v>1588</v>
      </c>
      <c r="B1591" t="s">
        <v>1885</v>
      </c>
    </row>
    <row r="1592" spans="1:2" x14ac:dyDescent="0.35">
      <c r="A1592">
        <v>1589</v>
      </c>
      <c r="B1592" t="s">
        <v>1886</v>
      </c>
    </row>
    <row r="1593" spans="1:2" x14ac:dyDescent="0.35">
      <c r="A1593">
        <v>1590</v>
      </c>
      <c r="B1593" t="s">
        <v>1887</v>
      </c>
    </row>
    <row r="1594" spans="1:2" x14ac:dyDescent="0.35">
      <c r="A1594">
        <v>1591</v>
      </c>
      <c r="B1594" t="s">
        <v>1888</v>
      </c>
    </row>
    <row r="1595" spans="1:2" x14ac:dyDescent="0.35">
      <c r="A1595">
        <v>1592</v>
      </c>
      <c r="B1595" t="s">
        <v>1889</v>
      </c>
    </row>
    <row r="1596" spans="1:2" x14ac:dyDescent="0.35">
      <c r="A1596">
        <v>1593</v>
      </c>
      <c r="B1596" t="s">
        <v>1890</v>
      </c>
    </row>
    <row r="1597" spans="1:2" x14ac:dyDescent="0.35">
      <c r="A1597">
        <v>1594</v>
      </c>
      <c r="B1597" t="s">
        <v>1891</v>
      </c>
    </row>
    <row r="1598" spans="1:2" x14ac:dyDescent="0.35">
      <c r="A1598">
        <v>1595</v>
      </c>
      <c r="B1598" t="s">
        <v>1892</v>
      </c>
    </row>
    <row r="1599" spans="1:2" x14ac:dyDescent="0.35">
      <c r="A1599">
        <v>1596</v>
      </c>
      <c r="B1599" t="s">
        <v>1893</v>
      </c>
    </row>
    <row r="1600" spans="1:2" x14ac:dyDescent="0.35">
      <c r="A1600">
        <v>1597</v>
      </c>
      <c r="B1600" t="s">
        <v>1894</v>
      </c>
    </row>
    <row r="1601" spans="1:2" x14ac:dyDescent="0.35">
      <c r="A1601">
        <v>1598</v>
      </c>
      <c r="B1601" t="s">
        <v>1895</v>
      </c>
    </row>
    <row r="1602" spans="1:2" x14ac:dyDescent="0.35">
      <c r="A1602">
        <v>1599</v>
      </c>
      <c r="B1602" t="s">
        <v>1896</v>
      </c>
    </row>
    <row r="1603" spans="1:2" x14ac:dyDescent="0.35">
      <c r="A1603">
        <v>1600</v>
      </c>
      <c r="B1603" t="s">
        <v>1897</v>
      </c>
    </row>
    <row r="1604" spans="1:2" x14ac:dyDescent="0.35">
      <c r="A1604">
        <v>1601</v>
      </c>
      <c r="B1604" t="s">
        <v>1898</v>
      </c>
    </row>
    <row r="1605" spans="1:2" x14ac:dyDescent="0.35">
      <c r="A1605">
        <v>1602</v>
      </c>
      <c r="B1605" t="s">
        <v>1899</v>
      </c>
    </row>
    <row r="1606" spans="1:2" x14ac:dyDescent="0.35">
      <c r="A1606">
        <v>1603</v>
      </c>
      <c r="B1606" t="s">
        <v>1900</v>
      </c>
    </row>
    <row r="1607" spans="1:2" x14ac:dyDescent="0.35">
      <c r="A1607">
        <v>1604</v>
      </c>
      <c r="B1607" t="s">
        <v>1901</v>
      </c>
    </row>
    <row r="1608" spans="1:2" x14ac:dyDescent="0.35">
      <c r="A1608">
        <v>1605</v>
      </c>
      <c r="B1608" t="s">
        <v>1902</v>
      </c>
    </row>
    <row r="1609" spans="1:2" x14ac:dyDescent="0.35">
      <c r="A1609">
        <v>1606</v>
      </c>
      <c r="B1609" t="s">
        <v>1903</v>
      </c>
    </row>
    <row r="1610" spans="1:2" x14ac:dyDescent="0.35">
      <c r="A1610">
        <v>1607</v>
      </c>
      <c r="B1610" t="s">
        <v>1904</v>
      </c>
    </row>
    <row r="1611" spans="1:2" x14ac:dyDescent="0.35">
      <c r="A1611">
        <v>1608</v>
      </c>
      <c r="B1611" t="s">
        <v>1905</v>
      </c>
    </row>
    <row r="1612" spans="1:2" x14ac:dyDescent="0.35">
      <c r="A1612">
        <v>1609</v>
      </c>
      <c r="B1612" t="s">
        <v>1906</v>
      </c>
    </row>
    <row r="1613" spans="1:2" x14ac:dyDescent="0.35">
      <c r="A1613">
        <v>1610</v>
      </c>
      <c r="B1613" t="s">
        <v>1907</v>
      </c>
    </row>
    <row r="1614" spans="1:2" x14ac:dyDescent="0.35">
      <c r="A1614">
        <v>1611</v>
      </c>
      <c r="B1614" t="s">
        <v>1908</v>
      </c>
    </row>
    <row r="1615" spans="1:2" x14ac:dyDescent="0.35">
      <c r="A1615">
        <v>1612</v>
      </c>
      <c r="B1615" t="s">
        <v>1909</v>
      </c>
    </row>
    <row r="1616" spans="1:2" x14ac:dyDescent="0.35">
      <c r="A1616">
        <v>1613</v>
      </c>
      <c r="B1616" t="s">
        <v>1910</v>
      </c>
    </row>
    <row r="1617" spans="1:2" x14ac:dyDescent="0.35">
      <c r="A1617">
        <v>1614</v>
      </c>
      <c r="B1617" t="s">
        <v>1911</v>
      </c>
    </row>
    <row r="1618" spans="1:2" x14ac:dyDescent="0.35">
      <c r="A1618">
        <v>1615</v>
      </c>
      <c r="B1618" t="s">
        <v>1912</v>
      </c>
    </row>
    <row r="1619" spans="1:2" x14ac:dyDescent="0.35">
      <c r="A1619">
        <v>1616</v>
      </c>
      <c r="B1619" t="s">
        <v>1913</v>
      </c>
    </row>
    <row r="1620" spans="1:2" x14ac:dyDescent="0.35">
      <c r="A1620">
        <v>1617</v>
      </c>
      <c r="B1620" t="s">
        <v>1914</v>
      </c>
    </row>
    <row r="1621" spans="1:2" x14ac:dyDescent="0.35">
      <c r="A1621">
        <v>1618</v>
      </c>
      <c r="B1621" t="s">
        <v>1915</v>
      </c>
    </row>
    <row r="1622" spans="1:2" x14ac:dyDescent="0.35">
      <c r="A1622">
        <v>1619</v>
      </c>
      <c r="B1622" t="s">
        <v>1916</v>
      </c>
    </row>
    <row r="1623" spans="1:2" x14ac:dyDescent="0.35">
      <c r="A1623">
        <v>1620</v>
      </c>
      <c r="B1623" t="s">
        <v>1917</v>
      </c>
    </row>
    <row r="1624" spans="1:2" x14ac:dyDescent="0.35">
      <c r="A1624">
        <v>1621</v>
      </c>
      <c r="B1624" t="s">
        <v>1918</v>
      </c>
    </row>
    <row r="1625" spans="1:2" x14ac:dyDescent="0.35">
      <c r="A1625">
        <v>1622</v>
      </c>
      <c r="B1625" t="s">
        <v>1919</v>
      </c>
    </row>
    <row r="1626" spans="1:2" x14ac:dyDescent="0.35">
      <c r="A1626">
        <v>1623</v>
      </c>
      <c r="B1626" t="s">
        <v>1920</v>
      </c>
    </row>
    <row r="1627" spans="1:2" x14ac:dyDescent="0.35">
      <c r="A1627">
        <v>1624</v>
      </c>
      <c r="B1627" t="s">
        <v>1921</v>
      </c>
    </row>
    <row r="1628" spans="1:2" x14ac:dyDescent="0.35">
      <c r="A1628">
        <v>1625</v>
      </c>
      <c r="B1628" t="s">
        <v>1922</v>
      </c>
    </row>
    <row r="1629" spans="1:2" x14ac:dyDescent="0.35">
      <c r="A1629">
        <v>1626</v>
      </c>
      <c r="B1629" t="s">
        <v>1923</v>
      </c>
    </row>
    <row r="1630" spans="1:2" x14ac:dyDescent="0.35">
      <c r="A1630">
        <v>1627</v>
      </c>
      <c r="B1630" t="s">
        <v>1924</v>
      </c>
    </row>
    <row r="1631" spans="1:2" x14ac:dyDescent="0.35">
      <c r="A1631">
        <v>1628</v>
      </c>
      <c r="B1631" t="s">
        <v>1925</v>
      </c>
    </row>
    <row r="1632" spans="1:2" x14ac:dyDescent="0.35">
      <c r="A1632">
        <v>1629</v>
      </c>
      <c r="B1632" t="s">
        <v>1926</v>
      </c>
    </row>
    <row r="1633" spans="1:2" x14ac:dyDescent="0.35">
      <c r="A1633">
        <v>1630</v>
      </c>
      <c r="B1633" t="s">
        <v>1927</v>
      </c>
    </row>
    <row r="1634" spans="1:2" x14ac:dyDescent="0.35">
      <c r="A1634">
        <v>1631</v>
      </c>
      <c r="B1634" t="s">
        <v>1928</v>
      </c>
    </row>
    <row r="1635" spans="1:2" x14ac:dyDescent="0.35">
      <c r="A1635">
        <v>1632</v>
      </c>
      <c r="B1635" t="s">
        <v>1929</v>
      </c>
    </row>
    <row r="1636" spans="1:2" x14ac:dyDescent="0.35">
      <c r="A1636">
        <v>1633</v>
      </c>
      <c r="B1636" t="s">
        <v>1930</v>
      </c>
    </row>
    <row r="1637" spans="1:2" x14ac:dyDescent="0.35">
      <c r="A1637">
        <v>1634</v>
      </c>
      <c r="B1637" t="s">
        <v>1931</v>
      </c>
    </row>
    <row r="1638" spans="1:2" x14ac:dyDescent="0.35">
      <c r="A1638">
        <v>1635</v>
      </c>
      <c r="B1638" t="s">
        <v>1932</v>
      </c>
    </row>
    <row r="1639" spans="1:2" x14ac:dyDescent="0.35">
      <c r="A1639">
        <v>1636</v>
      </c>
      <c r="B1639" t="s">
        <v>1933</v>
      </c>
    </row>
    <row r="1640" spans="1:2" x14ac:dyDescent="0.35">
      <c r="A1640">
        <v>1637</v>
      </c>
      <c r="B1640" t="s">
        <v>1934</v>
      </c>
    </row>
    <row r="1641" spans="1:2" x14ac:dyDescent="0.35">
      <c r="A1641">
        <v>1638</v>
      </c>
      <c r="B1641" t="s">
        <v>1935</v>
      </c>
    </row>
    <row r="1642" spans="1:2" x14ac:dyDescent="0.35">
      <c r="A1642">
        <v>1639</v>
      </c>
      <c r="B1642" t="s">
        <v>1936</v>
      </c>
    </row>
    <row r="1643" spans="1:2" x14ac:dyDescent="0.35">
      <c r="A1643">
        <v>1640</v>
      </c>
      <c r="B1643" t="s">
        <v>1937</v>
      </c>
    </row>
    <row r="1644" spans="1:2" x14ac:dyDescent="0.35">
      <c r="A1644">
        <v>1641</v>
      </c>
      <c r="B1644" t="s">
        <v>1938</v>
      </c>
    </row>
    <row r="1645" spans="1:2" x14ac:dyDescent="0.35">
      <c r="A1645">
        <v>1642</v>
      </c>
      <c r="B1645" t="s">
        <v>1939</v>
      </c>
    </row>
    <row r="1646" spans="1:2" x14ac:dyDescent="0.35">
      <c r="A1646">
        <v>1643</v>
      </c>
      <c r="B1646" t="s">
        <v>1940</v>
      </c>
    </row>
    <row r="1647" spans="1:2" x14ac:dyDescent="0.35">
      <c r="A1647">
        <v>1644</v>
      </c>
      <c r="B1647" t="s">
        <v>1941</v>
      </c>
    </row>
    <row r="1648" spans="1:2" x14ac:dyDescent="0.35">
      <c r="A1648">
        <v>1645</v>
      </c>
      <c r="B1648" t="s">
        <v>1942</v>
      </c>
    </row>
    <row r="1649" spans="1:2" x14ac:dyDescent="0.35">
      <c r="A1649">
        <v>1646</v>
      </c>
      <c r="B1649" t="s">
        <v>1943</v>
      </c>
    </row>
    <row r="1650" spans="1:2" x14ac:dyDescent="0.35">
      <c r="A1650">
        <v>1647</v>
      </c>
      <c r="B1650" t="s">
        <v>1944</v>
      </c>
    </row>
    <row r="1651" spans="1:2" x14ac:dyDescent="0.35">
      <c r="A1651">
        <v>1648</v>
      </c>
      <c r="B1651" t="s">
        <v>1945</v>
      </c>
    </row>
    <row r="1652" spans="1:2" x14ac:dyDescent="0.35">
      <c r="A1652">
        <v>1649</v>
      </c>
      <c r="B1652" t="s">
        <v>1946</v>
      </c>
    </row>
    <row r="1653" spans="1:2" x14ac:dyDescent="0.35">
      <c r="A1653">
        <v>1650</v>
      </c>
      <c r="B1653" t="s">
        <v>1947</v>
      </c>
    </row>
    <row r="1654" spans="1:2" x14ac:dyDescent="0.35">
      <c r="A1654">
        <v>1651</v>
      </c>
      <c r="B1654" t="s">
        <v>1948</v>
      </c>
    </row>
    <row r="1655" spans="1:2" x14ac:dyDescent="0.35">
      <c r="A1655">
        <v>1652</v>
      </c>
      <c r="B1655" t="s">
        <v>1949</v>
      </c>
    </row>
    <row r="1656" spans="1:2" x14ac:dyDescent="0.35">
      <c r="A1656">
        <v>1653</v>
      </c>
      <c r="B1656" t="s">
        <v>1950</v>
      </c>
    </row>
    <row r="1657" spans="1:2" x14ac:dyDescent="0.35">
      <c r="A1657">
        <v>1654</v>
      </c>
      <c r="B1657" t="s">
        <v>1951</v>
      </c>
    </row>
    <row r="1658" spans="1:2" x14ac:dyDescent="0.35">
      <c r="A1658">
        <v>1655</v>
      </c>
      <c r="B1658" t="s">
        <v>1952</v>
      </c>
    </row>
    <row r="1659" spans="1:2" x14ac:dyDescent="0.35">
      <c r="A1659">
        <v>1656</v>
      </c>
      <c r="B1659" t="s">
        <v>1953</v>
      </c>
    </row>
    <row r="1660" spans="1:2" x14ac:dyDescent="0.35">
      <c r="A1660">
        <v>1657</v>
      </c>
      <c r="B1660" t="s">
        <v>1954</v>
      </c>
    </row>
    <row r="1661" spans="1:2" x14ac:dyDescent="0.35">
      <c r="A1661">
        <v>1658</v>
      </c>
      <c r="B1661" t="s">
        <v>1955</v>
      </c>
    </row>
    <row r="1662" spans="1:2" x14ac:dyDescent="0.35">
      <c r="A1662">
        <v>1659</v>
      </c>
      <c r="B1662" t="s">
        <v>1956</v>
      </c>
    </row>
    <row r="1663" spans="1:2" x14ac:dyDescent="0.35">
      <c r="A1663">
        <v>1660</v>
      </c>
      <c r="B1663" t="s">
        <v>1957</v>
      </c>
    </row>
    <row r="1664" spans="1:2" x14ac:dyDescent="0.35">
      <c r="A1664">
        <v>1661</v>
      </c>
      <c r="B1664" t="s">
        <v>1958</v>
      </c>
    </row>
    <row r="1665" spans="1:2" x14ac:dyDescent="0.35">
      <c r="A1665">
        <v>1662</v>
      </c>
      <c r="B1665" t="s">
        <v>1959</v>
      </c>
    </row>
    <row r="1666" spans="1:2" x14ac:dyDescent="0.35">
      <c r="A1666">
        <v>1663</v>
      </c>
      <c r="B1666" t="s">
        <v>1960</v>
      </c>
    </row>
    <row r="1667" spans="1:2" x14ac:dyDescent="0.35">
      <c r="A1667">
        <v>1664</v>
      </c>
      <c r="B1667" t="s">
        <v>1961</v>
      </c>
    </row>
    <row r="1668" spans="1:2" x14ac:dyDescent="0.35">
      <c r="A1668">
        <v>1665</v>
      </c>
      <c r="B1668" t="s">
        <v>1962</v>
      </c>
    </row>
    <row r="1669" spans="1:2" x14ac:dyDescent="0.35">
      <c r="A1669">
        <v>1666</v>
      </c>
      <c r="B1669" t="s">
        <v>1963</v>
      </c>
    </row>
    <row r="1670" spans="1:2" x14ac:dyDescent="0.35">
      <c r="A1670">
        <v>1667</v>
      </c>
      <c r="B1670" t="s">
        <v>1964</v>
      </c>
    </row>
    <row r="1671" spans="1:2" x14ac:dyDescent="0.35">
      <c r="A1671">
        <v>1668</v>
      </c>
      <c r="B1671" t="s">
        <v>1965</v>
      </c>
    </row>
    <row r="1672" spans="1:2" x14ac:dyDescent="0.35">
      <c r="A1672">
        <v>1669</v>
      </c>
      <c r="B1672" t="s">
        <v>1966</v>
      </c>
    </row>
    <row r="1673" spans="1:2" x14ac:dyDescent="0.35">
      <c r="A1673">
        <v>1670</v>
      </c>
      <c r="B1673" t="s">
        <v>1967</v>
      </c>
    </row>
    <row r="1674" spans="1:2" x14ac:dyDescent="0.35">
      <c r="A1674">
        <v>1671</v>
      </c>
      <c r="B1674" t="s">
        <v>1968</v>
      </c>
    </row>
    <row r="1675" spans="1:2" x14ac:dyDescent="0.35">
      <c r="A1675">
        <v>1672</v>
      </c>
      <c r="B1675" t="s">
        <v>1969</v>
      </c>
    </row>
    <row r="1676" spans="1:2" x14ac:dyDescent="0.35">
      <c r="A1676">
        <v>1673</v>
      </c>
      <c r="B1676" t="s">
        <v>1970</v>
      </c>
    </row>
    <row r="1677" spans="1:2" x14ac:dyDescent="0.35">
      <c r="A1677">
        <v>1674</v>
      </c>
      <c r="B1677" t="s">
        <v>1971</v>
      </c>
    </row>
    <row r="1678" spans="1:2" x14ac:dyDescent="0.35">
      <c r="A1678">
        <v>1675</v>
      </c>
      <c r="B1678" t="s">
        <v>1972</v>
      </c>
    </row>
    <row r="1679" spans="1:2" x14ac:dyDescent="0.35">
      <c r="A1679">
        <v>1676</v>
      </c>
      <c r="B1679" t="s">
        <v>1973</v>
      </c>
    </row>
    <row r="1680" spans="1:2" x14ac:dyDescent="0.35">
      <c r="A1680">
        <v>1677</v>
      </c>
      <c r="B1680" t="s">
        <v>1974</v>
      </c>
    </row>
    <row r="1681" spans="1:2" x14ac:dyDescent="0.35">
      <c r="A1681">
        <v>1678</v>
      </c>
      <c r="B1681" t="s">
        <v>1975</v>
      </c>
    </row>
    <row r="1682" spans="1:2" x14ac:dyDescent="0.35">
      <c r="A1682">
        <v>1679</v>
      </c>
      <c r="B1682" t="s">
        <v>1976</v>
      </c>
    </row>
    <row r="1683" spans="1:2" x14ac:dyDescent="0.35">
      <c r="A1683">
        <v>1680</v>
      </c>
      <c r="B1683" t="s">
        <v>1977</v>
      </c>
    </row>
    <row r="1684" spans="1:2" x14ac:dyDescent="0.35">
      <c r="A1684">
        <v>1681</v>
      </c>
      <c r="B1684" t="s">
        <v>1978</v>
      </c>
    </row>
    <row r="1685" spans="1:2" x14ac:dyDescent="0.35">
      <c r="A1685">
        <v>1682</v>
      </c>
      <c r="B1685" t="s">
        <v>1979</v>
      </c>
    </row>
    <row r="1686" spans="1:2" x14ac:dyDescent="0.35">
      <c r="A1686">
        <v>1683</v>
      </c>
      <c r="B1686" t="s">
        <v>1980</v>
      </c>
    </row>
    <row r="1687" spans="1:2" x14ac:dyDescent="0.35">
      <c r="A1687">
        <v>1684</v>
      </c>
      <c r="B1687" t="s">
        <v>1981</v>
      </c>
    </row>
    <row r="1688" spans="1:2" x14ac:dyDescent="0.35">
      <c r="A1688">
        <v>1685</v>
      </c>
      <c r="B1688" t="s">
        <v>1982</v>
      </c>
    </row>
    <row r="1689" spans="1:2" x14ac:dyDescent="0.35">
      <c r="A1689">
        <v>1686</v>
      </c>
      <c r="B1689" t="s">
        <v>1983</v>
      </c>
    </row>
    <row r="1690" spans="1:2" x14ac:dyDescent="0.35">
      <c r="A1690">
        <v>1687</v>
      </c>
      <c r="B1690" t="s">
        <v>1984</v>
      </c>
    </row>
    <row r="1691" spans="1:2" x14ac:dyDescent="0.35">
      <c r="A1691">
        <v>1688</v>
      </c>
      <c r="B1691" t="s">
        <v>1985</v>
      </c>
    </row>
    <row r="1692" spans="1:2" x14ac:dyDescent="0.35">
      <c r="A1692">
        <v>1689</v>
      </c>
      <c r="B1692" t="s">
        <v>1986</v>
      </c>
    </row>
    <row r="1693" spans="1:2" x14ac:dyDescent="0.35">
      <c r="A1693">
        <v>1690</v>
      </c>
      <c r="B1693" t="s">
        <v>1987</v>
      </c>
    </row>
    <row r="1694" spans="1:2" x14ac:dyDescent="0.35">
      <c r="A1694">
        <v>1691</v>
      </c>
      <c r="B1694" t="s">
        <v>1988</v>
      </c>
    </row>
    <row r="1695" spans="1:2" x14ac:dyDescent="0.35">
      <c r="A1695">
        <v>1692</v>
      </c>
      <c r="B1695" t="s">
        <v>1989</v>
      </c>
    </row>
    <row r="1696" spans="1:2" x14ac:dyDescent="0.35">
      <c r="A1696">
        <v>1693</v>
      </c>
      <c r="B1696" t="s">
        <v>1990</v>
      </c>
    </row>
    <row r="1697" spans="1:2" x14ac:dyDescent="0.35">
      <c r="A1697">
        <v>1694</v>
      </c>
      <c r="B1697" t="s">
        <v>1991</v>
      </c>
    </row>
    <row r="1698" spans="1:2" x14ac:dyDescent="0.35">
      <c r="A1698">
        <v>1695</v>
      </c>
      <c r="B1698" t="s">
        <v>1992</v>
      </c>
    </row>
    <row r="1699" spans="1:2" x14ac:dyDescent="0.35">
      <c r="A1699">
        <v>1696</v>
      </c>
      <c r="B1699" t="s">
        <v>1993</v>
      </c>
    </row>
    <row r="1700" spans="1:2" x14ac:dyDescent="0.35">
      <c r="A1700">
        <v>1697</v>
      </c>
      <c r="B1700" t="s">
        <v>1994</v>
      </c>
    </row>
    <row r="1701" spans="1:2" x14ac:dyDescent="0.35">
      <c r="A1701">
        <v>1698</v>
      </c>
      <c r="B1701" t="s">
        <v>1995</v>
      </c>
    </row>
    <row r="1702" spans="1:2" x14ac:dyDescent="0.35">
      <c r="A1702">
        <v>1699</v>
      </c>
      <c r="B1702" t="s">
        <v>1996</v>
      </c>
    </row>
    <row r="1703" spans="1:2" x14ac:dyDescent="0.35">
      <c r="A1703">
        <v>1700</v>
      </c>
      <c r="B1703" t="s">
        <v>1997</v>
      </c>
    </row>
    <row r="1704" spans="1:2" x14ac:dyDescent="0.35">
      <c r="A1704">
        <v>1701</v>
      </c>
      <c r="B1704" t="s">
        <v>1998</v>
      </c>
    </row>
    <row r="1705" spans="1:2" x14ac:dyDescent="0.35">
      <c r="A1705">
        <v>1702</v>
      </c>
      <c r="B1705" t="s">
        <v>1999</v>
      </c>
    </row>
    <row r="1706" spans="1:2" x14ac:dyDescent="0.35">
      <c r="A1706">
        <v>1703</v>
      </c>
      <c r="B1706" t="s">
        <v>2000</v>
      </c>
    </row>
    <row r="1707" spans="1:2" x14ac:dyDescent="0.35">
      <c r="A1707">
        <v>1704</v>
      </c>
      <c r="B1707" t="s">
        <v>2001</v>
      </c>
    </row>
    <row r="1708" spans="1:2" x14ac:dyDescent="0.35">
      <c r="A1708">
        <v>1705</v>
      </c>
      <c r="B1708" t="s">
        <v>2002</v>
      </c>
    </row>
    <row r="1709" spans="1:2" x14ac:dyDescent="0.35">
      <c r="A1709">
        <v>1706</v>
      </c>
      <c r="B1709" t="s">
        <v>2003</v>
      </c>
    </row>
    <row r="1710" spans="1:2" x14ac:dyDescent="0.35">
      <c r="A1710">
        <v>1707</v>
      </c>
      <c r="B1710" t="s">
        <v>2004</v>
      </c>
    </row>
    <row r="1711" spans="1:2" x14ac:dyDescent="0.35">
      <c r="A1711">
        <v>1708</v>
      </c>
      <c r="B1711" t="s">
        <v>2005</v>
      </c>
    </row>
    <row r="1712" spans="1:2" x14ac:dyDescent="0.35">
      <c r="A1712">
        <v>1709</v>
      </c>
      <c r="B1712" t="s">
        <v>2006</v>
      </c>
    </row>
    <row r="1713" spans="1:2" x14ac:dyDescent="0.35">
      <c r="A1713">
        <v>1710</v>
      </c>
      <c r="B1713" t="s">
        <v>2007</v>
      </c>
    </row>
    <row r="1714" spans="1:2" x14ac:dyDescent="0.35">
      <c r="A1714">
        <v>1711</v>
      </c>
      <c r="B1714" t="s">
        <v>2008</v>
      </c>
    </row>
    <row r="1715" spans="1:2" x14ac:dyDescent="0.35">
      <c r="A1715">
        <v>1712</v>
      </c>
      <c r="B1715" t="s">
        <v>2009</v>
      </c>
    </row>
    <row r="1716" spans="1:2" x14ac:dyDescent="0.35">
      <c r="A1716">
        <v>1713</v>
      </c>
      <c r="B1716" t="s">
        <v>2010</v>
      </c>
    </row>
    <row r="1717" spans="1:2" x14ac:dyDescent="0.35">
      <c r="A1717">
        <v>1714</v>
      </c>
      <c r="B1717" t="s">
        <v>2011</v>
      </c>
    </row>
    <row r="1718" spans="1:2" x14ac:dyDescent="0.35">
      <c r="A1718">
        <v>1715</v>
      </c>
      <c r="B1718" t="s">
        <v>2012</v>
      </c>
    </row>
    <row r="1719" spans="1:2" x14ac:dyDescent="0.35">
      <c r="A1719">
        <v>1716</v>
      </c>
      <c r="B1719" t="s">
        <v>2013</v>
      </c>
    </row>
    <row r="1720" spans="1:2" x14ac:dyDescent="0.35">
      <c r="A1720">
        <v>1717</v>
      </c>
      <c r="B1720" t="s">
        <v>2014</v>
      </c>
    </row>
    <row r="1721" spans="1:2" x14ac:dyDescent="0.35">
      <c r="A1721">
        <v>1718</v>
      </c>
      <c r="B1721" t="s">
        <v>2015</v>
      </c>
    </row>
    <row r="1722" spans="1:2" x14ac:dyDescent="0.35">
      <c r="A1722">
        <v>1719</v>
      </c>
      <c r="B1722" t="s">
        <v>2016</v>
      </c>
    </row>
    <row r="1723" spans="1:2" x14ac:dyDescent="0.35">
      <c r="A1723">
        <v>1720</v>
      </c>
      <c r="B1723" t="s">
        <v>2017</v>
      </c>
    </row>
    <row r="1724" spans="1:2" x14ac:dyDescent="0.35">
      <c r="A1724">
        <v>1721</v>
      </c>
      <c r="B1724" t="s">
        <v>2018</v>
      </c>
    </row>
    <row r="1725" spans="1:2" x14ac:dyDescent="0.35">
      <c r="A1725">
        <v>1722</v>
      </c>
      <c r="B1725" t="s">
        <v>2019</v>
      </c>
    </row>
    <row r="1726" spans="1:2" x14ac:dyDescent="0.35">
      <c r="A1726">
        <v>1723</v>
      </c>
      <c r="B1726" t="s">
        <v>2020</v>
      </c>
    </row>
    <row r="1727" spans="1:2" x14ac:dyDescent="0.35">
      <c r="A1727">
        <v>1724</v>
      </c>
      <c r="B1727" t="s">
        <v>2021</v>
      </c>
    </row>
    <row r="1728" spans="1:2" x14ac:dyDescent="0.35">
      <c r="A1728">
        <v>1725</v>
      </c>
      <c r="B1728" t="s">
        <v>2022</v>
      </c>
    </row>
    <row r="1729" spans="1:2" x14ac:dyDescent="0.35">
      <c r="A1729">
        <v>1726</v>
      </c>
      <c r="B1729" t="s">
        <v>2023</v>
      </c>
    </row>
    <row r="1730" spans="1:2" x14ac:dyDescent="0.35">
      <c r="A1730">
        <v>1727</v>
      </c>
      <c r="B1730" t="s">
        <v>2024</v>
      </c>
    </row>
    <row r="1731" spans="1:2" x14ac:dyDescent="0.35">
      <c r="A1731">
        <v>1728</v>
      </c>
      <c r="B1731" t="s">
        <v>2025</v>
      </c>
    </row>
    <row r="1732" spans="1:2" x14ac:dyDescent="0.35">
      <c r="A1732">
        <v>1729</v>
      </c>
      <c r="B1732" t="s">
        <v>2026</v>
      </c>
    </row>
    <row r="1733" spans="1:2" x14ac:dyDescent="0.35">
      <c r="A1733">
        <v>1730</v>
      </c>
      <c r="B1733" t="s">
        <v>2027</v>
      </c>
    </row>
    <row r="1734" spans="1:2" x14ac:dyDescent="0.35">
      <c r="A1734">
        <v>1731</v>
      </c>
      <c r="B1734" t="s">
        <v>2028</v>
      </c>
    </row>
    <row r="1735" spans="1:2" x14ac:dyDescent="0.35">
      <c r="A1735">
        <v>1732</v>
      </c>
      <c r="B1735" t="s">
        <v>2029</v>
      </c>
    </row>
    <row r="1736" spans="1:2" x14ac:dyDescent="0.35">
      <c r="A1736">
        <v>1733</v>
      </c>
      <c r="B1736" t="s">
        <v>2030</v>
      </c>
    </row>
    <row r="1737" spans="1:2" x14ac:dyDescent="0.35">
      <c r="A1737">
        <v>1734</v>
      </c>
      <c r="B1737" t="s">
        <v>2031</v>
      </c>
    </row>
    <row r="1738" spans="1:2" x14ac:dyDescent="0.35">
      <c r="A1738">
        <v>1735</v>
      </c>
      <c r="B1738" t="s">
        <v>2032</v>
      </c>
    </row>
    <row r="1739" spans="1:2" x14ac:dyDescent="0.35">
      <c r="A1739">
        <v>1736</v>
      </c>
      <c r="B1739" t="s">
        <v>2033</v>
      </c>
    </row>
    <row r="1740" spans="1:2" x14ac:dyDescent="0.35">
      <c r="A1740">
        <v>1737</v>
      </c>
      <c r="B1740" t="s">
        <v>2034</v>
      </c>
    </row>
    <row r="1741" spans="1:2" x14ac:dyDescent="0.35">
      <c r="A1741">
        <v>1738</v>
      </c>
      <c r="B1741" t="s">
        <v>2035</v>
      </c>
    </row>
    <row r="1742" spans="1:2" x14ac:dyDescent="0.35">
      <c r="A1742">
        <v>1739</v>
      </c>
      <c r="B1742" t="s">
        <v>2036</v>
      </c>
    </row>
    <row r="1743" spans="1:2" x14ac:dyDescent="0.35">
      <c r="A1743">
        <v>1740</v>
      </c>
      <c r="B1743" t="s">
        <v>2037</v>
      </c>
    </row>
    <row r="1744" spans="1:2" x14ac:dyDescent="0.35">
      <c r="A1744">
        <v>1741</v>
      </c>
      <c r="B1744" t="s">
        <v>2038</v>
      </c>
    </row>
    <row r="1745" spans="1:2" x14ac:dyDescent="0.35">
      <c r="A1745">
        <v>1742</v>
      </c>
      <c r="B1745" t="s">
        <v>2039</v>
      </c>
    </row>
    <row r="1746" spans="1:2" x14ac:dyDescent="0.35">
      <c r="A1746">
        <v>1743</v>
      </c>
      <c r="B1746" t="s">
        <v>2040</v>
      </c>
    </row>
    <row r="1747" spans="1:2" x14ac:dyDescent="0.35">
      <c r="A1747">
        <v>1744</v>
      </c>
      <c r="B1747" t="s">
        <v>2041</v>
      </c>
    </row>
    <row r="1748" spans="1:2" x14ac:dyDescent="0.35">
      <c r="A1748">
        <v>1745</v>
      </c>
      <c r="B1748" t="s">
        <v>2042</v>
      </c>
    </row>
    <row r="1749" spans="1:2" x14ac:dyDescent="0.35">
      <c r="A1749">
        <v>1746</v>
      </c>
      <c r="B1749" t="s">
        <v>2043</v>
      </c>
    </row>
    <row r="1750" spans="1:2" x14ac:dyDescent="0.35">
      <c r="A1750">
        <v>1747</v>
      </c>
      <c r="B1750" t="s">
        <v>2044</v>
      </c>
    </row>
    <row r="1751" spans="1:2" x14ac:dyDescent="0.35">
      <c r="A1751">
        <v>1748</v>
      </c>
      <c r="B1751" t="s">
        <v>2045</v>
      </c>
    </row>
    <row r="1752" spans="1:2" x14ac:dyDescent="0.35">
      <c r="A1752">
        <v>1749</v>
      </c>
      <c r="B1752" t="s">
        <v>2046</v>
      </c>
    </row>
    <row r="1753" spans="1:2" x14ac:dyDescent="0.35">
      <c r="A1753">
        <v>1750</v>
      </c>
      <c r="B1753" t="s">
        <v>2047</v>
      </c>
    </row>
    <row r="1754" spans="1:2" x14ac:dyDescent="0.35">
      <c r="A1754">
        <v>1751</v>
      </c>
      <c r="B1754" t="s">
        <v>2048</v>
      </c>
    </row>
    <row r="1755" spans="1:2" x14ac:dyDescent="0.35">
      <c r="A1755">
        <v>1752</v>
      </c>
      <c r="B1755" t="s">
        <v>2049</v>
      </c>
    </row>
    <row r="1756" spans="1:2" x14ac:dyDescent="0.35">
      <c r="A1756">
        <v>1753</v>
      </c>
      <c r="B1756" t="s">
        <v>2050</v>
      </c>
    </row>
    <row r="1757" spans="1:2" x14ac:dyDescent="0.35">
      <c r="A1757">
        <v>1754</v>
      </c>
      <c r="B1757" t="s">
        <v>2051</v>
      </c>
    </row>
    <row r="1758" spans="1:2" x14ac:dyDescent="0.35">
      <c r="A1758">
        <v>1755</v>
      </c>
      <c r="B1758" t="s">
        <v>2052</v>
      </c>
    </row>
    <row r="1759" spans="1:2" x14ac:dyDescent="0.35">
      <c r="A1759">
        <v>1756</v>
      </c>
      <c r="B1759" t="s">
        <v>2053</v>
      </c>
    </row>
    <row r="1760" spans="1:2" x14ac:dyDescent="0.35">
      <c r="A1760">
        <v>1757</v>
      </c>
      <c r="B1760" t="s">
        <v>2054</v>
      </c>
    </row>
    <row r="1761" spans="1:2" x14ac:dyDescent="0.35">
      <c r="A1761">
        <v>1758</v>
      </c>
      <c r="B1761" t="s">
        <v>2055</v>
      </c>
    </row>
    <row r="1762" spans="1:2" x14ac:dyDescent="0.35">
      <c r="A1762">
        <v>1759</v>
      </c>
      <c r="B1762" t="s">
        <v>2056</v>
      </c>
    </row>
    <row r="1763" spans="1:2" x14ac:dyDescent="0.35">
      <c r="A1763">
        <v>1760</v>
      </c>
      <c r="B1763" t="s">
        <v>2057</v>
      </c>
    </row>
    <row r="1764" spans="1:2" x14ac:dyDescent="0.35">
      <c r="A1764">
        <v>1761</v>
      </c>
      <c r="B1764" t="s">
        <v>2058</v>
      </c>
    </row>
    <row r="1765" spans="1:2" x14ac:dyDescent="0.35">
      <c r="A1765">
        <v>1762</v>
      </c>
      <c r="B1765" t="s">
        <v>2059</v>
      </c>
    </row>
    <row r="1766" spans="1:2" x14ac:dyDescent="0.35">
      <c r="A1766">
        <v>1763</v>
      </c>
      <c r="B1766" t="s">
        <v>2060</v>
      </c>
    </row>
    <row r="1767" spans="1:2" x14ac:dyDescent="0.35">
      <c r="A1767">
        <v>1764</v>
      </c>
      <c r="B1767" t="s">
        <v>2061</v>
      </c>
    </row>
    <row r="1768" spans="1:2" x14ac:dyDescent="0.35">
      <c r="A1768">
        <v>1765</v>
      </c>
      <c r="B1768" t="s">
        <v>2062</v>
      </c>
    </row>
    <row r="1769" spans="1:2" x14ac:dyDescent="0.35">
      <c r="A1769">
        <v>1766</v>
      </c>
      <c r="B1769" t="s">
        <v>2063</v>
      </c>
    </row>
    <row r="1770" spans="1:2" x14ac:dyDescent="0.35">
      <c r="A1770">
        <v>1767</v>
      </c>
      <c r="B1770" t="s">
        <v>2064</v>
      </c>
    </row>
    <row r="1771" spans="1:2" x14ac:dyDescent="0.35">
      <c r="A1771">
        <v>1768</v>
      </c>
      <c r="B1771" t="s">
        <v>2065</v>
      </c>
    </row>
    <row r="1772" spans="1:2" x14ac:dyDescent="0.35">
      <c r="A1772">
        <v>1769</v>
      </c>
      <c r="B1772" t="s">
        <v>2066</v>
      </c>
    </row>
    <row r="1773" spans="1:2" x14ac:dyDescent="0.35">
      <c r="A1773">
        <v>1770</v>
      </c>
      <c r="B1773" t="s">
        <v>2067</v>
      </c>
    </row>
    <row r="1774" spans="1:2" x14ac:dyDescent="0.35">
      <c r="A1774">
        <v>1771</v>
      </c>
      <c r="B1774" t="s">
        <v>2068</v>
      </c>
    </row>
    <row r="1775" spans="1:2" x14ac:dyDescent="0.35">
      <c r="A1775">
        <v>1772</v>
      </c>
      <c r="B1775" t="s">
        <v>2069</v>
      </c>
    </row>
    <row r="1776" spans="1:2" x14ac:dyDescent="0.35">
      <c r="A1776">
        <v>1773</v>
      </c>
      <c r="B1776" t="s">
        <v>2070</v>
      </c>
    </row>
    <row r="1777" spans="1:2" x14ac:dyDescent="0.35">
      <c r="A1777">
        <v>1774</v>
      </c>
      <c r="B1777" t="s">
        <v>2071</v>
      </c>
    </row>
    <row r="1778" spans="1:2" x14ac:dyDescent="0.35">
      <c r="A1778">
        <v>1775</v>
      </c>
      <c r="B1778" t="s">
        <v>2072</v>
      </c>
    </row>
    <row r="1779" spans="1:2" x14ac:dyDescent="0.35">
      <c r="A1779">
        <v>1776</v>
      </c>
      <c r="B1779" t="s">
        <v>2073</v>
      </c>
    </row>
    <row r="1780" spans="1:2" x14ac:dyDescent="0.35">
      <c r="A1780">
        <v>1777</v>
      </c>
      <c r="B1780" t="s">
        <v>2074</v>
      </c>
    </row>
    <row r="1781" spans="1:2" x14ac:dyDescent="0.35">
      <c r="A1781">
        <v>1778</v>
      </c>
      <c r="B1781" t="s">
        <v>2075</v>
      </c>
    </row>
    <row r="1782" spans="1:2" x14ac:dyDescent="0.35">
      <c r="A1782">
        <v>1779</v>
      </c>
      <c r="B1782" t="s">
        <v>2076</v>
      </c>
    </row>
    <row r="1783" spans="1:2" x14ac:dyDescent="0.35">
      <c r="A1783">
        <v>1780</v>
      </c>
      <c r="B1783" t="s">
        <v>2077</v>
      </c>
    </row>
    <row r="1784" spans="1:2" x14ac:dyDescent="0.35">
      <c r="A1784">
        <v>1781</v>
      </c>
      <c r="B1784" t="s">
        <v>2078</v>
      </c>
    </row>
    <row r="1785" spans="1:2" x14ac:dyDescent="0.35">
      <c r="A1785">
        <v>1782</v>
      </c>
      <c r="B1785" t="s">
        <v>2079</v>
      </c>
    </row>
    <row r="1786" spans="1:2" x14ac:dyDescent="0.35">
      <c r="A1786">
        <v>1783</v>
      </c>
      <c r="B1786" t="s">
        <v>2080</v>
      </c>
    </row>
    <row r="1787" spans="1:2" x14ac:dyDescent="0.35">
      <c r="A1787">
        <v>1784</v>
      </c>
      <c r="B1787" t="s">
        <v>2081</v>
      </c>
    </row>
    <row r="1788" spans="1:2" x14ac:dyDescent="0.35">
      <c r="A1788">
        <v>1785</v>
      </c>
      <c r="B1788" t="s">
        <v>2082</v>
      </c>
    </row>
    <row r="1789" spans="1:2" x14ac:dyDescent="0.35">
      <c r="A1789">
        <v>1786</v>
      </c>
      <c r="B1789" t="s">
        <v>2083</v>
      </c>
    </row>
    <row r="1790" spans="1:2" x14ac:dyDescent="0.35">
      <c r="A1790">
        <v>1787</v>
      </c>
      <c r="B1790" t="s">
        <v>2084</v>
      </c>
    </row>
    <row r="1791" spans="1:2" x14ac:dyDescent="0.35">
      <c r="A1791">
        <v>1788</v>
      </c>
      <c r="B1791" t="s">
        <v>2085</v>
      </c>
    </row>
    <row r="1792" spans="1:2" x14ac:dyDescent="0.35">
      <c r="A1792">
        <v>1789</v>
      </c>
      <c r="B1792" t="s">
        <v>2086</v>
      </c>
    </row>
    <row r="1793" spans="1:2" x14ac:dyDescent="0.35">
      <c r="A1793">
        <v>1790</v>
      </c>
      <c r="B1793" t="s">
        <v>2087</v>
      </c>
    </row>
    <row r="1794" spans="1:2" x14ac:dyDescent="0.35">
      <c r="A1794">
        <v>1791</v>
      </c>
      <c r="B1794" t="s">
        <v>2088</v>
      </c>
    </row>
    <row r="1795" spans="1:2" x14ac:dyDescent="0.35">
      <c r="A1795">
        <v>1792</v>
      </c>
      <c r="B1795" t="s">
        <v>2089</v>
      </c>
    </row>
    <row r="1796" spans="1:2" x14ac:dyDescent="0.35">
      <c r="A1796">
        <v>1793</v>
      </c>
      <c r="B1796" t="s">
        <v>2090</v>
      </c>
    </row>
    <row r="1797" spans="1:2" x14ac:dyDescent="0.35">
      <c r="A1797">
        <v>1794</v>
      </c>
      <c r="B1797" t="s">
        <v>2091</v>
      </c>
    </row>
    <row r="1798" spans="1:2" x14ac:dyDescent="0.35">
      <c r="A1798">
        <v>1795</v>
      </c>
      <c r="B1798" t="s">
        <v>2092</v>
      </c>
    </row>
    <row r="1799" spans="1:2" x14ac:dyDescent="0.35">
      <c r="A1799">
        <v>1796</v>
      </c>
      <c r="B1799" t="s">
        <v>2093</v>
      </c>
    </row>
    <row r="1800" spans="1:2" x14ac:dyDescent="0.35">
      <c r="A1800">
        <v>1797</v>
      </c>
      <c r="B1800" t="s">
        <v>2094</v>
      </c>
    </row>
    <row r="1801" spans="1:2" x14ac:dyDescent="0.35">
      <c r="A1801">
        <v>1798</v>
      </c>
      <c r="B1801" t="s">
        <v>2095</v>
      </c>
    </row>
    <row r="1802" spans="1:2" x14ac:dyDescent="0.35">
      <c r="A1802">
        <v>1799</v>
      </c>
      <c r="B1802" t="s">
        <v>2096</v>
      </c>
    </row>
    <row r="1803" spans="1:2" x14ac:dyDescent="0.35">
      <c r="A1803">
        <v>1800</v>
      </c>
      <c r="B1803" t="s">
        <v>2097</v>
      </c>
    </row>
    <row r="1804" spans="1:2" x14ac:dyDescent="0.35">
      <c r="A1804">
        <v>1801</v>
      </c>
      <c r="B1804" t="s">
        <v>2098</v>
      </c>
    </row>
    <row r="1805" spans="1:2" x14ac:dyDescent="0.35">
      <c r="A1805">
        <v>1802</v>
      </c>
      <c r="B1805" t="s">
        <v>2099</v>
      </c>
    </row>
    <row r="1806" spans="1:2" x14ac:dyDescent="0.35">
      <c r="A1806">
        <v>1803</v>
      </c>
      <c r="B1806" t="s">
        <v>2100</v>
      </c>
    </row>
    <row r="1807" spans="1:2" x14ac:dyDescent="0.35">
      <c r="A1807">
        <v>1804</v>
      </c>
      <c r="B1807" t="s">
        <v>2101</v>
      </c>
    </row>
    <row r="1808" spans="1:2" x14ac:dyDescent="0.35">
      <c r="A1808">
        <v>1805</v>
      </c>
      <c r="B1808" t="s">
        <v>2102</v>
      </c>
    </row>
    <row r="1809" spans="1:2" x14ac:dyDescent="0.35">
      <c r="A1809">
        <v>1806</v>
      </c>
      <c r="B1809" t="s">
        <v>2103</v>
      </c>
    </row>
    <row r="1810" spans="1:2" x14ac:dyDescent="0.35">
      <c r="A1810">
        <v>1807</v>
      </c>
      <c r="B1810" t="s">
        <v>2104</v>
      </c>
    </row>
    <row r="1811" spans="1:2" x14ac:dyDescent="0.35">
      <c r="A1811">
        <v>1808</v>
      </c>
      <c r="B1811" t="s">
        <v>2105</v>
      </c>
    </row>
    <row r="1812" spans="1:2" x14ac:dyDescent="0.35">
      <c r="A1812">
        <v>1809</v>
      </c>
      <c r="B1812" t="s">
        <v>2106</v>
      </c>
    </row>
    <row r="1813" spans="1:2" x14ac:dyDescent="0.35">
      <c r="A1813">
        <v>1810</v>
      </c>
      <c r="B1813" t="s">
        <v>2107</v>
      </c>
    </row>
    <row r="1814" spans="1:2" x14ac:dyDescent="0.35">
      <c r="A1814">
        <v>1811</v>
      </c>
      <c r="B1814" t="s">
        <v>2108</v>
      </c>
    </row>
    <row r="1815" spans="1:2" x14ac:dyDescent="0.35">
      <c r="A1815">
        <v>1812</v>
      </c>
      <c r="B1815" t="s">
        <v>2109</v>
      </c>
    </row>
    <row r="1816" spans="1:2" x14ac:dyDescent="0.35">
      <c r="A1816">
        <v>1813</v>
      </c>
      <c r="B1816" t="s">
        <v>2110</v>
      </c>
    </row>
    <row r="1817" spans="1:2" x14ac:dyDescent="0.35">
      <c r="A1817">
        <v>1814</v>
      </c>
      <c r="B1817" t="s">
        <v>2111</v>
      </c>
    </row>
    <row r="1818" spans="1:2" x14ac:dyDescent="0.35">
      <c r="A1818">
        <v>1815</v>
      </c>
      <c r="B1818" t="s">
        <v>2112</v>
      </c>
    </row>
    <row r="1819" spans="1:2" x14ac:dyDescent="0.35">
      <c r="A1819">
        <v>1816</v>
      </c>
      <c r="B1819" t="s">
        <v>2113</v>
      </c>
    </row>
    <row r="1820" spans="1:2" x14ac:dyDescent="0.35">
      <c r="A1820">
        <v>1817</v>
      </c>
      <c r="B1820" t="s">
        <v>2114</v>
      </c>
    </row>
    <row r="1821" spans="1:2" x14ac:dyDescent="0.35">
      <c r="A1821">
        <v>1818</v>
      </c>
      <c r="B1821" t="s">
        <v>2115</v>
      </c>
    </row>
    <row r="1822" spans="1:2" x14ac:dyDescent="0.35">
      <c r="A1822">
        <v>1819</v>
      </c>
      <c r="B1822" t="s">
        <v>2116</v>
      </c>
    </row>
    <row r="1823" spans="1:2" x14ac:dyDescent="0.35">
      <c r="A1823">
        <v>1820</v>
      </c>
      <c r="B1823" t="s">
        <v>2117</v>
      </c>
    </row>
    <row r="1824" spans="1:2" x14ac:dyDescent="0.35">
      <c r="A1824">
        <v>1821</v>
      </c>
      <c r="B1824" t="s">
        <v>2118</v>
      </c>
    </row>
    <row r="1825" spans="1:2" x14ac:dyDescent="0.35">
      <c r="A1825">
        <v>1822</v>
      </c>
      <c r="B1825" t="s">
        <v>2119</v>
      </c>
    </row>
    <row r="1826" spans="1:2" x14ac:dyDescent="0.35">
      <c r="A1826">
        <v>1823</v>
      </c>
      <c r="B1826" t="s">
        <v>2120</v>
      </c>
    </row>
    <row r="1827" spans="1:2" x14ac:dyDescent="0.35">
      <c r="A1827">
        <v>1824</v>
      </c>
      <c r="B1827" t="s">
        <v>2121</v>
      </c>
    </row>
    <row r="1828" spans="1:2" x14ac:dyDescent="0.35">
      <c r="A1828">
        <v>1825</v>
      </c>
      <c r="B1828" t="s">
        <v>2122</v>
      </c>
    </row>
    <row r="1829" spans="1:2" x14ac:dyDescent="0.35">
      <c r="A1829">
        <v>1826</v>
      </c>
      <c r="B1829" t="s">
        <v>2123</v>
      </c>
    </row>
    <row r="1830" spans="1:2" x14ac:dyDescent="0.35">
      <c r="A1830">
        <v>1827</v>
      </c>
      <c r="B1830" t="s">
        <v>2124</v>
      </c>
    </row>
    <row r="1831" spans="1:2" x14ac:dyDescent="0.35">
      <c r="A1831">
        <v>1828</v>
      </c>
      <c r="B1831" t="s">
        <v>2125</v>
      </c>
    </row>
    <row r="1832" spans="1:2" x14ac:dyDescent="0.35">
      <c r="A1832">
        <v>1829</v>
      </c>
      <c r="B1832" t="s">
        <v>2126</v>
      </c>
    </row>
    <row r="1833" spans="1:2" x14ac:dyDescent="0.35">
      <c r="A1833">
        <v>1830</v>
      </c>
      <c r="B1833" t="s">
        <v>2127</v>
      </c>
    </row>
    <row r="1834" spans="1:2" x14ac:dyDescent="0.35">
      <c r="A1834">
        <v>1831</v>
      </c>
      <c r="B1834" t="s">
        <v>2128</v>
      </c>
    </row>
    <row r="1835" spans="1:2" x14ac:dyDescent="0.35">
      <c r="A1835">
        <v>1832</v>
      </c>
      <c r="B1835" t="s">
        <v>2129</v>
      </c>
    </row>
    <row r="1836" spans="1:2" x14ac:dyDescent="0.35">
      <c r="A1836">
        <v>1833</v>
      </c>
      <c r="B1836" t="s">
        <v>2130</v>
      </c>
    </row>
    <row r="1837" spans="1:2" x14ac:dyDescent="0.35">
      <c r="A1837">
        <v>1834</v>
      </c>
      <c r="B1837" t="s">
        <v>2131</v>
      </c>
    </row>
    <row r="1838" spans="1:2" x14ac:dyDescent="0.35">
      <c r="A1838">
        <v>1835</v>
      </c>
      <c r="B1838" t="s">
        <v>2132</v>
      </c>
    </row>
    <row r="1839" spans="1:2" x14ac:dyDescent="0.35">
      <c r="A1839">
        <v>1836</v>
      </c>
      <c r="B1839" t="s">
        <v>2133</v>
      </c>
    </row>
    <row r="1840" spans="1:2" x14ac:dyDescent="0.35">
      <c r="A1840">
        <v>1837</v>
      </c>
      <c r="B1840" t="s">
        <v>2134</v>
      </c>
    </row>
    <row r="1841" spans="1:2" x14ac:dyDescent="0.35">
      <c r="A1841">
        <v>1838</v>
      </c>
      <c r="B1841" t="s">
        <v>2135</v>
      </c>
    </row>
    <row r="1842" spans="1:2" x14ac:dyDescent="0.35">
      <c r="A1842">
        <v>1839</v>
      </c>
      <c r="B1842" t="s">
        <v>2136</v>
      </c>
    </row>
    <row r="1843" spans="1:2" x14ac:dyDescent="0.35">
      <c r="A1843">
        <v>1840</v>
      </c>
      <c r="B1843" t="s">
        <v>2137</v>
      </c>
    </row>
    <row r="1844" spans="1:2" x14ac:dyDescent="0.35">
      <c r="A1844">
        <v>1841</v>
      </c>
      <c r="B1844" t="s">
        <v>2138</v>
      </c>
    </row>
    <row r="1845" spans="1:2" x14ac:dyDescent="0.35">
      <c r="A1845">
        <v>1842</v>
      </c>
      <c r="B1845" t="s">
        <v>2139</v>
      </c>
    </row>
    <row r="1846" spans="1:2" x14ac:dyDescent="0.35">
      <c r="A1846">
        <v>1843</v>
      </c>
      <c r="B1846" t="s">
        <v>2140</v>
      </c>
    </row>
    <row r="1847" spans="1:2" x14ac:dyDescent="0.35">
      <c r="A1847">
        <v>1844</v>
      </c>
      <c r="B1847" t="s">
        <v>2141</v>
      </c>
    </row>
    <row r="1848" spans="1:2" x14ac:dyDescent="0.35">
      <c r="A1848">
        <v>1845</v>
      </c>
      <c r="B1848" t="s">
        <v>2142</v>
      </c>
    </row>
    <row r="1849" spans="1:2" x14ac:dyDescent="0.35">
      <c r="A1849">
        <v>1846</v>
      </c>
      <c r="B1849" t="s">
        <v>2143</v>
      </c>
    </row>
    <row r="1850" spans="1:2" x14ac:dyDescent="0.35">
      <c r="A1850">
        <v>1847</v>
      </c>
      <c r="B1850" t="s">
        <v>2144</v>
      </c>
    </row>
    <row r="1851" spans="1:2" x14ac:dyDescent="0.35">
      <c r="A1851">
        <v>1848</v>
      </c>
      <c r="B1851" t="s">
        <v>2145</v>
      </c>
    </row>
    <row r="1852" spans="1:2" x14ac:dyDescent="0.35">
      <c r="A1852">
        <v>1849</v>
      </c>
      <c r="B1852" t="s">
        <v>2146</v>
      </c>
    </row>
    <row r="1853" spans="1:2" x14ac:dyDescent="0.35">
      <c r="A1853">
        <v>1850</v>
      </c>
      <c r="B1853" t="s">
        <v>2147</v>
      </c>
    </row>
    <row r="1854" spans="1:2" x14ac:dyDescent="0.35">
      <c r="A1854">
        <v>1851</v>
      </c>
      <c r="B1854" t="s">
        <v>2148</v>
      </c>
    </row>
    <row r="1855" spans="1:2" x14ac:dyDescent="0.35">
      <c r="A1855">
        <v>1852</v>
      </c>
      <c r="B1855" t="s">
        <v>2149</v>
      </c>
    </row>
    <row r="1856" spans="1:2" x14ac:dyDescent="0.35">
      <c r="A1856">
        <v>1853</v>
      </c>
      <c r="B1856" t="s">
        <v>2150</v>
      </c>
    </row>
    <row r="1857" spans="1:2" x14ac:dyDescent="0.35">
      <c r="A1857">
        <v>1854</v>
      </c>
      <c r="B1857" t="s">
        <v>2151</v>
      </c>
    </row>
    <row r="1858" spans="1:2" x14ac:dyDescent="0.35">
      <c r="A1858">
        <v>1855</v>
      </c>
      <c r="B1858" t="s">
        <v>2152</v>
      </c>
    </row>
    <row r="1859" spans="1:2" x14ac:dyDescent="0.35">
      <c r="A1859">
        <v>1856</v>
      </c>
      <c r="B1859" t="s">
        <v>2153</v>
      </c>
    </row>
    <row r="1860" spans="1:2" x14ac:dyDescent="0.35">
      <c r="A1860">
        <v>1857</v>
      </c>
      <c r="B1860" t="s">
        <v>2154</v>
      </c>
    </row>
    <row r="1861" spans="1:2" x14ac:dyDescent="0.35">
      <c r="A1861">
        <v>1858</v>
      </c>
      <c r="B1861" t="s">
        <v>2155</v>
      </c>
    </row>
    <row r="1862" spans="1:2" x14ac:dyDescent="0.35">
      <c r="A1862">
        <v>1859</v>
      </c>
      <c r="B1862" t="s">
        <v>2156</v>
      </c>
    </row>
    <row r="1863" spans="1:2" x14ac:dyDescent="0.35">
      <c r="A1863">
        <v>1860</v>
      </c>
      <c r="B1863" t="s">
        <v>2157</v>
      </c>
    </row>
    <row r="1864" spans="1:2" x14ac:dyDescent="0.35">
      <c r="A1864">
        <v>1861</v>
      </c>
      <c r="B1864" t="s">
        <v>2158</v>
      </c>
    </row>
    <row r="1865" spans="1:2" x14ac:dyDescent="0.35">
      <c r="A1865">
        <v>1862</v>
      </c>
      <c r="B1865" t="s">
        <v>2159</v>
      </c>
    </row>
    <row r="1866" spans="1:2" x14ac:dyDescent="0.35">
      <c r="A1866">
        <v>1863</v>
      </c>
      <c r="B1866" t="s">
        <v>2160</v>
      </c>
    </row>
    <row r="1867" spans="1:2" x14ac:dyDescent="0.35">
      <c r="A1867">
        <v>1864</v>
      </c>
      <c r="B1867" t="s">
        <v>2161</v>
      </c>
    </row>
    <row r="1868" spans="1:2" x14ac:dyDescent="0.35">
      <c r="A1868">
        <v>1865</v>
      </c>
      <c r="B1868" t="s">
        <v>2162</v>
      </c>
    </row>
    <row r="1869" spans="1:2" x14ac:dyDescent="0.35">
      <c r="A1869">
        <v>1866</v>
      </c>
      <c r="B1869" t="s">
        <v>2163</v>
      </c>
    </row>
    <row r="1870" spans="1:2" x14ac:dyDescent="0.35">
      <c r="A1870">
        <v>1867</v>
      </c>
      <c r="B1870" t="s">
        <v>2164</v>
      </c>
    </row>
    <row r="1871" spans="1:2" x14ac:dyDescent="0.35">
      <c r="A1871">
        <v>1868</v>
      </c>
      <c r="B1871" t="s">
        <v>2165</v>
      </c>
    </row>
    <row r="1872" spans="1:2" x14ac:dyDescent="0.35">
      <c r="A1872">
        <v>1869</v>
      </c>
      <c r="B1872" t="s">
        <v>2166</v>
      </c>
    </row>
    <row r="1873" spans="1:2" x14ac:dyDescent="0.35">
      <c r="A1873">
        <v>1870</v>
      </c>
      <c r="B1873" t="s">
        <v>2167</v>
      </c>
    </row>
    <row r="1874" spans="1:2" x14ac:dyDescent="0.35">
      <c r="A1874">
        <v>1871</v>
      </c>
      <c r="B1874" t="s">
        <v>2168</v>
      </c>
    </row>
    <row r="1875" spans="1:2" x14ac:dyDescent="0.35">
      <c r="A1875">
        <v>1872</v>
      </c>
      <c r="B1875" t="s">
        <v>2169</v>
      </c>
    </row>
    <row r="1876" spans="1:2" x14ac:dyDescent="0.35">
      <c r="A1876">
        <v>1873</v>
      </c>
      <c r="B1876" t="s">
        <v>2170</v>
      </c>
    </row>
    <row r="1877" spans="1:2" x14ac:dyDescent="0.35">
      <c r="A1877">
        <v>1874</v>
      </c>
      <c r="B1877" t="s">
        <v>2171</v>
      </c>
    </row>
    <row r="1878" spans="1:2" x14ac:dyDescent="0.35">
      <c r="A1878">
        <v>1875</v>
      </c>
      <c r="B1878" t="s">
        <v>2172</v>
      </c>
    </row>
    <row r="1879" spans="1:2" x14ac:dyDescent="0.35">
      <c r="A1879">
        <v>1876</v>
      </c>
      <c r="B1879" t="s">
        <v>2173</v>
      </c>
    </row>
    <row r="1880" spans="1:2" x14ac:dyDescent="0.35">
      <c r="A1880">
        <v>1877</v>
      </c>
      <c r="B1880" t="s">
        <v>2174</v>
      </c>
    </row>
    <row r="1881" spans="1:2" x14ac:dyDescent="0.35">
      <c r="A1881">
        <v>1878</v>
      </c>
      <c r="B1881" t="s">
        <v>2175</v>
      </c>
    </row>
    <row r="1882" spans="1:2" x14ac:dyDescent="0.35">
      <c r="A1882">
        <v>1879</v>
      </c>
      <c r="B1882" t="s">
        <v>2176</v>
      </c>
    </row>
    <row r="1883" spans="1:2" x14ac:dyDescent="0.35">
      <c r="A1883">
        <v>1880</v>
      </c>
      <c r="B1883" t="s">
        <v>2177</v>
      </c>
    </row>
    <row r="1884" spans="1:2" x14ac:dyDescent="0.35">
      <c r="A1884">
        <v>1881</v>
      </c>
      <c r="B1884" t="s">
        <v>2178</v>
      </c>
    </row>
    <row r="1885" spans="1:2" x14ac:dyDescent="0.35">
      <c r="A1885">
        <v>1882</v>
      </c>
      <c r="B1885" t="s">
        <v>2179</v>
      </c>
    </row>
    <row r="1886" spans="1:2" x14ac:dyDescent="0.35">
      <c r="A1886">
        <v>1883</v>
      </c>
      <c r="B1886" t="s">
        <v>2180</v>
      </c>
    </row>
    <row r="1887" spans="1:2" x14ac:dyDescent="0.35">
      <c r="A1887">
        <v>1884</v>
      </c>
      <c r="B1887" t="s">
        <v>2181</v>
      </c>
    </row>
    <row r="1888" spans="1:2" x14ac:dyDescent="0.35">
      <c r="A1888">
        <v>1885</v>
      </c>
      <c r="B1888" t="s">
        <v>2182</v>
      </c>
    </row>
    <row r="1889" spans="1:2" x14ac:dyDescent="0.35">
      <c r="A1889">
        <v>1886</v>
      </c>
      <c r="B1889" t="s">
        <v>2183</v>
      </c>
    </row>
    <row r="1890" spans="1:2" x14ac:dyDescent="0.35">
      <c r="A1890">
        <v>1887</v>
      </c>
      <c r="B1890" t="s">
        <v>2184</v>
      </c>
    </row>
    <row r="1891" spans="1:2" x14ac:dyDescent="0.35">
      <c r="A1891">
        <v>1888</v>
      </c>
      <c r="B1891" t="s">
        <v>2185</v>
      </c>
    </row>
    <row r="1892" spans="1:2" x14ac:dyDescent="0.35">
      <c r="A1892">
        <v>1889</v>
      </c>
      <c r="B1892" t="s">
        <v>2186</v>
      </c>
    </row>
    <row r="1893" spans="1:2" x14ac:dyDescent="0.35">
      <c r="A1893">
        <v>1890</v>
      </c>
      <c r="B1893" t="s">
        <v>2187</v>
      </c>
    </row>
    <row r="1894" spans="1:2" x14ac:dyDescent="0.35">
      <c r="A1894">
        <v>1891</v>
      </c>
      <c r="B1894" t="s">
        <v>2188</v>
      </c>
    </row>
    <row r="1895" spans="1:2" x14ac:dyDescent="0.35">
      <c r="A1895">
        <v>1892</v>
      </c>
      <c r="B1895" t="s">
        <v>2189</v>
      </c>
    </row>
    <row r="1896" spans="1:2" x14ac:dyDescent="0.35">
      <c r="A1896">
        <v>1893</v>
      </c>
      <c r="B1896" t="s">
        <v>2190</v>
      </c>
    </row>
    <row r="1897" spans="1:2" x14ac:dyDescent="0.35">
      <c r="A1897">
        <v>1894</v>
      </c>
      <c r="B1897" t="s">
        <v>2191</v>
      </c>
    </row>
    <row r="1898" spans="1:2" x14ac:dyDescent="0.35">
      <c r="A1898">
        <v>1895</v>
      </c>
      <c r="B1898" t="s">
        <v>2192</v>
      </c>
    </row>
    <row r="1899" spans="1:2" x14ac:dyDescent="0.35">
      <c r="A1899">
        <v>1896</v>
      </c>
      <c r="B1899" t="s">
        <v>2193</v>
      </c>
    </row>
    <row r="1900" spans="1:2" x14ac:dyDescent="0.35">
      <c r="A1900">
        <v>1897</v>
      </c>
      <c r="B1900" t="s">
        <v>2194</v>
      </c>
    </row>
    <row r="1901" spans="1:2" x14ac:dyDescent="0.35">
      <c r="A1901">
        <v>1898</v>
      </c>
      <c r="B1901" t="s">
        <v>2195</v>
      </c>
    </row>
    <row r="1902" spans="1:2" x14ac:dyDescent="0.35">
      <c r="A1902">
        <v>1899</v>
      </c>
      <c r="B1902" t="s">
        <v>2196</v>
      </c>
    </row>
    <row r="1903" spans="1:2" x14ac:dyDescent="0.35">
      <c r="A1903">
        <v>1900</v>
      </c>
      <c r="B1903" t="s">
        <v>2197</v>
      </c>
    </row>
    <row r="1904" spans="1:2" x14ac:dyDescent="0.35">
      <c r="A1904">
        <v>1901</v>
      </c>
      <c r="B1904" t="s">
        <v>2198</v>
      </c>
    </row>
    <row r="1905" spans="1:2" x14ac:dyDescent="0.35">
      <c r="A1905">
        <v>1902</v>
      </c>
      <c r="B1905" t="s">
        <v>2199</v>
      </c>
    </row>
    <row r="1906" spans="1:2" x14ac:dyDescent="0.35">
      <c r="A1906">
        <v>1903</v>
      </c>
      <c r="B1906" t="s">
        <v>2200</v>
      </c>
    </row>
    <row r="1907" spans="1:2" x14ac:dyDescent="0.35">
      <c r="A1907">
        <v>1904</v>
      </c>
      <c r="B1907" t="s">
        <v>2201</v>
      </c>
    </row>
    <row r="1908" spans="1:2" x14ac:dyDescent="0.35">
      <c r="A1908">
        <v>1905</v>
      </c>
      <c r="B1908" t="s">
        <v>2202</v>
      </c>
    </row>
    <row r="1909" spans="1:2" x14ac:dyDescent="0.35">
      <c r="A1909">
        <v>1906</v>
      </c>
      <c r="B1909" t="s">
        <v>2203</v>
      </c>
    </row>
    <row r="1910" spans="1:2" x14ac:dyDescent="0.35">
      <c r="A1910">
        <v>1907</v>
      </c>
      <c r="B1910" t="s">
        <v>2204</v>
      </c>
    </row>
    <row r="1911" spans="1:2" x14ac:dyDescent="0.35">
      <c r="A1911">
        <v>1908</v>
      </c>
      <c r="B1911" t="s">
        <v>2205</v>
      </c>
    </row>
    <row r="1912" spans="1:2" x14ac:dyDescent="0.35">
      <c r="A1912">
        <v>1909</v>
      </c>
      <c r="B1912" t="s">
        <v>2206</v>
      </c>
    </row>
    <row r="1913" spans="1:2" x14ac:dyDescent="0.35">
      <c r="A1913">
        <v>1910</v>
      </c>
      <c r="B1913" t="s">
        <v>2207</v>
      </c>
    </row>
    <row r="1914" spans="1:2" x14ac:dyDescent="0.35">
      <c r="A1914">
        <v>1911</v>
      </c>
      <c r="B1914" t="s">
        <v>2208</v>
      </c>
    </row>
    <row r="1915" spans="1:2" x14ac:dyDescent="0.35">
      <c r="A1915">
        <v>1912</v>
      </c>
      <c r="B1915" t="s">
        <v>2209</v>
      </c>
    </row>
    <row r="1916" spans="1:2" x14ac:dyDescent="0.35">
      <c r="A1916">
        <v>1913</v>
      </c>
      <c r="B1916" t="s">
        <v>2210</v>
      </c>
    </row>
    <row r="1917" spans="1:2" x14ac:dyDescent="0.35">
      <c r="A1917">
        <v>1914</v>
      </c>
      <c r="B1917" t="s">
        <v>2211</v>
      </c>
    </row>
    <row r="1918" spans="1:2" x14ac:dyDescent="0.35">
      <c r="A1918">
        <v>1915</v>
      </c>
      <c r="B1918" t="s">
        <v>2212</v>
      </c>
    </row>
    <row r="1919" spans="1:2" x14ac:dyDescent="0.35">
      <c r="A1919">
        <v>1916</v>
      </c>
      <c r="B1919" t="s">
        <v>2213</v>
      </c>
    </row>
    <row r="1920" spans="1:2" x14ac:dyDescent="0.35">
      <c r="A1920">
        <v>1917</v>
      </c>
      <c r="B1920" t="s">
        <v>2214</v>
      </c>
    </row>
    <row r="1921" spans="1:2" x14ac:dyDescent="0.35">
      <c r="A1921">
        <v>1918</v>
      </c>
      <c r="B1921" t="s">
        <v>2215</v>
      </c>
    </row>
    <row r="1922" spans="1:2" x14ac:dyDescent="0.35">
      <c r="A1922">
        <v>1919</v>
      </c>
      <c r="B1922" t="s">
        <v>2216</v>
      </c>
    </row>
    <row r="1923" spans="1:2" x14ac:dyDescent="0.35">
      <c r="A1923">
        <v>1920</v>
      </c>
      <c r="B1923" t="s">
        <v>2217</v>
      </c>
    </row>
    <row r="1924" spans="1:2" x14ac:dyDescent="0.35">
      <c r="A1924">
        <v>1921</v>
      </c>
      <c r="B1924" t="s">
        <v>2218</v>
      </c>
    </row>
    <row r="1925" spans="1:2" x14ac:dyDescent="0.35">
      <c r="A1925">
        <v>1922</v>
      </c>
      <c r="B1925" t="s">
        <v>2219</v>
      </c>
    </row>
    <row r="1926" spans="1:2" x14ac:dyDescent="0.35">
      <c r="A1926">
        <v>1923</v>
      </c>
      <c r="B1926" t="s">
        <v>2220</v>
      </c>
    </row>
    <row r="1927" spans="1:2" x14ac:dyDescent="0.35">
      <c r="A1927">
        <v>1924</v>
      </c>
      <c r="B1927" t="s">
        <v>2221</v>
      </c>
    </row>
    <row r="1928" spans="1:2" x14ac:dyDescent="0.35">
      <c r="A1928">
        <v>1925</v>
      </c>
      <c r="B1928" t="s">
        <v>2222</v>
      </c>
    </row>
    <row r="1929" spans="1:2" x14ac:dyDescent="0.35">
      <c r="A1929">
        <v>1926</v>
      </c>
      <c r="B1929" t="s">
        <v>2223</v>
      </c>
    </row>
    <row r="1930" spans="1:2" x14ac:dyDescent="0.35">
      <c r="A1930">
        <v>1927</v>
      </c>
      <c r="B1930" t="s">
        <v>2224</v>
      </c>
    </row>
    <row r="1931" spans="1:2" x14ac:dyDescent="0.35">
      <c r="A1931">
        <v>1928</v>
      </c>
      <c r="B1931" t="s">
        <v>2225</v>
      </c>
    </row>
    <row r="1932" spans="1:2" x14ac:dyDescent="0.35">
      <c r="A1932">
        <v>1929</v>
      </c>
      <c r="B1932" t="s">
        <v>2226</v>
      </c>
    </row>
    <row r="1933" spans="1:2" x14ac:dyDescent="0.35">
      <c r="A1933">
        <v>1930</v>
      </c>
      <c r="B1933" t="s">
        <v>2227</v>
      </c>
    </row>
    <row r="1934" spans="1:2" x14ac:dyDescent="0.35">
      <c r="A1934">
        <v>1931</v>
      </c>
      <c r="B1934" t="s">
        <v>2228</v>
      </c>
    </row>
    <row r="1935" spans="1:2" x14ac:dyDescent="0.35">
      <c r="A1935">
        <v>1932</v>
      </c>
      <c r="B1935" t="s">
        <v>2229</v>
      </c>
    </row>
    <row r="1936" spans="1:2" x14ac:dyDescent="0.35">
      <c r="A1936">
        <v>1933</v>
      </c>
      <c r="B1936" t="s">
        <v>2230</v>
      </c>
    </row>
    <row r="1937" spans="1:2" x14ac:dyDescent="0.35">
      <c r="A1937">
        <v>1934</v>
      </c>
      <c r="B1937" t="s">
        <v>2231</v>
      </c>
    </row>
    <row r="1938" spans="1:2" x14ac:dyDescent="0.35">
      <c r="A1938">
        <v>1935</v>
      </c>
      <c r="B1938" t="s">
        <v>2232</v>
      </c>
    </row>
    <row r="1939" spans="1:2" x14ac:dyDescent="0.35">
      <c r="A1939">
        <v>1936</v>
      </c>
      <c r="B1939" t="s">
        <v>2233</v>
      </c>
    </row>
    <row r="1940" spans="1:2" x14ac:dyDescent="0.35">
      <c r="A1940">
        <v>1937</v>
      </c>
      <c r="B1940" t="s">
        <v>2234</v>
      </c>
    </row>
    <row r="1941" spans="1:2" x14ac:dyDescent="0.35">
      <c r="A1941">
        <v>1938</v>
      </c>
      <c r="B1941" t="s">
        <v>2235</v>
      </c>
    </row>
    <row r="1942" spans="1:2" x14ac:dyDescent="0.35">
      <c r="A1942">
        <v>1939</v>
      </c>
      <c r="B1942" t="s">
        <v>2236</v>
      </c>
    </row>
    <row r="1943" spans="1:2" x14ac:dyDescent="0.35">
      <c r="A1943">
        <v>1940</v>
      </c>
      <c r="B1943" t="s">
        <v>2237</v>
      </c>
    </row>
    <row r="1944" spans="1:2" x14ac:dyDescent="0.35">
      <c r="A1944">
        <v>1941</v>
      </c>
      <c r="B1944" t="s">
        <v>2238</v>
      </c>
    </row>
    <row r="1945" spans="1:2" x14ac:dyDescent="0.35">
      <c r="A1945">
        <v>1942</v>
      </c>
      <c r="B1945" t="s">
        <v>2239</v>
      </c>
    </row>
    <row r="1946" spans="1:2" x14ac:dyDescent="0.35">
      <c r="A1946">
        <v>1943</v>
      </c>
      <c r="B1946" t="s">
        <v>2240</v>
      </c>
    </row>
    <row r="1947" spans="1:2" x14ac:dyDescent="0.35">
      <c r="A1947">
        <v>1944</v>
      </c>
      <c r="B1947" t="s">
        <v>2241</v>
      </c>
    </row>
    <row r="1948" spans="1:2" x14ac:dyDescent="0.35">
      <c r="A1948">
        <v>1945</v>
      </c>
      <c r="B1948" t="s">
        <v>2242</v>
      </c>
    </row>
    <row r="1949" spans="1:2" x14ac:dyDescent="0.35">
      <c r="A1949">
        <v>1946</v>
      </c>
      <c r="B1949" t="s">
        <v>2243</v>
      </c>
    </row>
    <row r="1950" spans="1:2" x14ac:dyDescent="0.35">
      <c r="A1950">
        <v>1947</v>
      </c>
      <c r="B1950" t="s">
        <v>2244</v>
      </c>
    </row>
    <row r="1951" spans="1:2" x14ac:dyDescent="0.35">
      <c r="A1951">
        <v>1948</v>
      </c>
      <c r="B1951" t="s">
        <v>2245</v>
      </c>
    </row>
    <row r="1952" spans="1:2" x14ac:dyDescent="0.35">
      <c r="A1952">
        <v>1949</v>
      </c>
      <c r="B1952" t="s">
        <v>2246</v>
      </c>
    </row>
    <row r="1953" spans="1:2" x14ac:dyDescent="0.35">
      <c r="A1953">
        <v>1950</v>
      </c>
      <c r="B1953" t="s">
        <v>2247</v>
      </c>
    </row>
    <row r="1954" spans="1:2" x14ac:dyDescent="0.35">
      <c r="A1954">
        <v>1951</v>
      </c>
      <c r="B1954" t="s">
        <v>2248</v>
      </c>
    </row>
    <row r="1955" spans="1:2" x14ac:dyDescent="0.35">
      <c r="A1955">
        <v>1952</v>
      </c>
      <c r="B1955" t="s">
        <v>2249</v>
      </c>
    </row>
    <row r="1956" spans="1:2" x14ac:dyDescent="0.35">
      <c r="A1956">
        <v>1953</v>
      </c>
      <c r="B1956" t="s">
        <v>2250</v>
      </c>
    </row>
    <row r="1957" spans="1:2" x14ac:dyDescent="0.35">
      <c r="A1957">
        <v>1954</v>
      </c>
      <c r="B1957" t="s">
        <v>2251</v>
      </c>
    </row>
    <row r="1958" spans="1:2" x14ac:dyDescent="0.35">
      <c r="A1958">
        <v>1955</v>
      </c>
      <c r="B1958" t="s">
        <v>2252</v>
      </c>
    </row>
    <row r="1959" spans="1:2" x14ac:dyDescent="0.35">
      <c r="A1959">
        <v>1956</v>
      </c>
      <c r="B1959" t="s">
        <v>2253</v>
      </c>
    </row>
    <row r="1960" spans="1:2" x14ac:dyDescent="0.35">
      <c r="A1960">
        <v>1957</v>
      </c>
      <c r="B1960" t="s">
        <v>2254</v>
      </c>
    </row>
    <row r="1961" spans="1:2" x14ac:dyDescent="0.35">
      <c r="A1961">
        <v>1958</v>
      </c>
      <c r="B1961" t="s">
        <v>2255</v>
      </c>
    </row>
    <row r="1962" spans="1:2" x14ac:dyDescent="0.35">
      <c r="A1962">
        <v>1959</v>
      </c>
      <c r="B1962" t="s">
        <v>2256</v>
      </c>
    </row>
    <row r="1963" spans="1:2" x14ac:dyDescent="0.35">
      <c r="A1963">
        <v>1960</v>
      </c>
      <c r="B1963" t="s">
        <v>2257</v>
      </c>
    </row>
    <row r="1964" spans="1:2" x14ac:dyDescent="0.35">
      <c r="A1964">
        <v>1961</v>
      </c>
      <c r="B1964" t="s">
        <v>2258</v>
      </c>
    </row>
    <row r="1965" spans="1:2" x14ac:dyDescent="0.35">
      <c r="A1965">
        <v>1962</v>
      </c>
      <c r="B1965" t="s">
        <v>2259</v>
      </c>
    </row>
    <row r="1966" spans="1:2" x14ac:dyDescent="0.35">
      <c r="A1966">
        <v>1963</v>
      </c>
      <c r="B1966" t="s">
        <v>2260</v>
      </c>
    </row>
    <row r="1967" spans="1:2" x14ac:dyDescent="0.35">
      <c r="A1967">
        <v>1964</v>
      </c>
      <c r="B1967" t="s">
        <v>2261</v>
      </c>
    </row>
    <row r="1968" spans="1:2" x14ac:dyDescent="0.35">
      <c r="A1968">
        <v>1965</v>
      </c>
      <c r="B1968" t="s">
        <v>2262</v>
      </c>
    </row>
    <row r="1969" spans="1:2" x14ac:dyDescent="0.35">
      <c r="A1969">
        <v>1966</v>
      </c>
      <c r="B1969" t="s">
        <v>2263</v>
      </c>
    </row>
    <row r="1970" spans="1:2" x14ac:dyDescent="0.35">
      <c r="A1970">
        <v>1967</v>
      </c>
      <c r="B1970" t="s">
        <v>2264</v>
      </c>
    </row>
    <row r="1971" spans="1:2" x14ac:dyDescent="0.35">
      <c r="A1971">
        <v>1968</v>
      </c>
      <c r="B1971" t="s">
        <v>2265</v>
      </c>
    </row>
    <row r="1972" spans="1:2" x14ac:dyDescent="0.35">
      <c r="A1972">
        <v>1969</v>
      </c>
      <c r="B1972" t="s">
        <v>2266</v>
      </c>
    </row>
    <row r="1973" spans="1:2" x14ac:dyDescent="0.35">
      <c r="A1973">
        <v>1970</v>
      </c>
      <c r="B1973" t="s">
        <v>2267</v>
      </c>
    </row>
    <row r="1974" spans="1:2" x14ac:dyDescent="0.35">
      <c r="A1974">
        <v>1971</v>
      </c>
      <c r="B1974" t="s">
        <v>2268</v>
      </c>
    </row>
    <row r="1975" spans="1:2" x14ac:dyDescent="0.35">
      <c r="A1975">
        <v>1972</v>
      </c>
      <c r="B1975" t="s">
        <v>2269</v>
      </c>
    </row>
    <row r="1976" spans="1:2" x14ac:dyDescent="0.35">
      <c r="A1976">
        <v>1973</v>
      </c>
      <c r="B1976" t="s">
        <v>2270</v>
      </c>
    </row>
    <row r="1977" spans="1:2" x14ac:dyDescent="0.35">
      <c r="A1977">
        <v>1974</v>
      </c>
      <c r="B1977" t="s">
        <v>2271</v>
      </c>
    </row>
    <row r="1978" spans="1:2" x14ac:dyDescent="0.35">
      <c r="A1978">
        <v>1975</v>
      </c>
      <c r="B1978" t="s">
        <v>2272</v>
      </c>
    </row>
    <row r="1979" spans="1:2" x14ac:dyDescent="0.35">
      <c r="A1979">
        <v>1976</v>
      </c>
      <c r="B1979" t="s">
        <v>2273</v>
      </c>
    </row>
    <row r="1980" spans="1:2" x14ac:dyDescent="0.35">
      <c r="A1980">
        <v>1977</v>
      </c>
      <c r="B1980" t="s">
        <v>2274</v>
      </c>
    </row>
    <row r="1981" spans="1:2" x14ac:dyDescent="0.35">
      <c r="A1981">
        <v>1978</v>
      </c>
      <c r="B1981" t="s">
        <v>2275</v>
      </c>
    </row>
    <row r="1982" spans="1:2" x14ac:dyDescent="0.35">
      <c r="A1982">
        <v>1979</v>
      </c>
      <c r="B1982" t="s">
        <v>2276</v>
      </c>
    </row>
    <row r="1983" spans="1:2" x14ac:dyDescent="0.35">
      <c r="A1983">
        <v>1980</v>
      </c>
      <c r="B1983" t="s">
        <v>2277</v>
      </c>
    </row>
    <row r="1984" spans="1:2" x14ac:dyDescent="0.35">
      <c r="A1984">
        <v>1981</v>
      </c>
      <c r="B1984" t="s">
        <v>2278</v>
      </c>
    </row>
    <row r="1985" spans="1:2" x14ac:dyDescent="0.35">
      <c r="A1985">
        <v>1982</v>
      </c>
      <c r="B1985" t="s">
        <v>2279</v>
      </c>
    </row>
    <row r="1986" spans="1:2" x14ac:dyDescent="0.35">
      <c r="A1986">
        <v>1983</v>
      </c>
      <c r="B1986" t="s">
        <v>2280</v>
      </c>
    </row>
    <row r="1987" spans="1:2" x14ac:dyDescent="0.35">
      <c r="A1987">
        <v>1984</v>
      </c>
      <c r="B1987" t="s">
        <v>2281</v>
      </c>
    </row>
    <row r="1988" spans="1:2" x14ac:dyDescent="0.35">
      <c r="A1988">
        <v>1985</v>
      </c>
      <c r="B1988" t="s">
        <v>2282</v>
      </c>
    </row>
    <row r="1989" spans="1:2" x14ac:dyDescent="0.35">
      <c r="A1989">
        <v>1986</v>
      </c>
      <c r="B1989" t="s">
        <v>2283</v>
      </c>
    </row>
    <row r="1990" spans="1:2" x14ac:dyDescent="0.35">
      <c r="A1990">
        <v>1987</v>
      </c>
      <c r="B1990" t="s">
        <v>2284</v>
      </c>
    </row>
    <row r="1991" spans="1:2" x14ac:dyDescent="0.35">
      <c r="A1991">
        <v>1988</v>
      </c>
      <c r="B1991" t="s">
        <v>2285</v>
      </c>
    </row>
    <row r="1992" spans="1:2" x14ac:dyDescent="0.35">
      <c r="A1992">
        <v>1989</v>
      </c>
      <c r="B1992" t="s">
        <v>2286</v>
      </c>
    </row>
    <row r="1993" spans="1:2" x14ac:dyDescent="0.35">
      <c r="A1993">
        <v>1990</v>
      </c>
      <c r="B1993" t="s">
        <v>2287</v>
      </c>
    </row>
    <row r="1994" spans="1:2" x14ac:dyDescent="0.35">
      <c r="A1994">
        <v>1991</v>
      </c>
      <c r="B1994" t="s">
        <v>2288</v>
      </c>
    </row>
    <row r="1995" spans="1:2" x14ac:dyDescent="0.35">
      <c r="A1995">
        <v>1992</v>
      </c>
      <c r="B1995" t="s">
        <v>2289</v>
      </c>
    </row>
    <row r="1996" spans="1:2" x14ac:dyDescent="0.35">
      <c r="A1996">
        <v>1993</v>
      </c>
      <c r="B1996" t="s">
        <v>2290</v>
      </c>
    </row>
    <row r="1997" spans="1:2" x14ac:dyDescent="0.35">
      <c r="A1997">
        <v>1994</v>
      </c>
      <c r="B1997" t="s">
        <v>2291</v>
      </c>
    </row>
    <row r="1998" spans="1:2" x14ac:dyDescent="0.35">
      <c r="A1998">
        <v>1995</v>
      </c>
      <c r="B1998" t="s">
        <v>2292</v>
      </c>
    </row>
    <row r="1999" spans="1:2" x14ac:dyDescent="0.35">
      <c r="A1999">
        <v>1996</v>
      </c>
      <c r="B1999" t="s">
        <v>2293</v>
      </c>
    </row>
    <row r="2000" spans="1:2" x14ac:dyDescent="0.35">
      <c r="A2000">
        <v>1997</v>
      </c>
      <c r="B2000" t="s">
        <v>2294</v>
      </c>
    </row>
    <row r="2001" spans="1:2" x14ac:dyDescent="0.35">
      <c r="A2001">
        <v>1998</v>
      </c>
      <c r="B2001" t="s">
        <v>2295</v>
      </c>
    </row>
    <row r="2002" spans="1:2" x14ac:dyDescent="0.35">
      <c r="A2002">
        <v>1999</v>
      </c>
      <c r="B2002" t="s">
        <v>2296</v>
      </c>
    </row>
    <row r="2003" spans="1:2" x14ac:dyDescent="0.35">
      <c r="A2003">
        <v>2000</v>
      </c>
      <c r="B2003" t="s">
        <v>2297</v>
      </c>
    </row>
    <row r="2004" spans="1:2" x14ac:dyDescent="0.35">
      <c r="A2004">
        <v>2001</v>
      </c>
      <c r="B2004" t="s">
        <v>2298</v>
      </c>
    </row>
    <row r="2005" spans="1:2" x14ac:dyDescent="0.35">
      <c r="A2005">
        <v>2002</v>
      </c>
      <c r="B2005" t="s">
        <v>2299</v>
      </c>
    </row>
    <row r="2006" spans="1:2" x14ac:dyDescent="0.35">
      <c r="A2006">
        <v>2003</v>
      </c>
      <c r="B2006" t="s">
        <v>2300</v>
      </c>
    </row>
    <row r="2007" spans="1:2" x14ac:dyDescent="0.35">
      <c r="A2007">
        <v>2004</v>
      </c>
      <c r="B2007" t="s">
        <v>2301</v>
      </c>
    </row>
    <row r="2008" spans="1:2" x14ac:dyDescent="0.35">
      <c r="A2008">
        <v>2005</v>
      </c>
      <c r="B2008" t="s">
        <v>2302</v>
      </c>
    </row>
    <row r="2009" spans="1:2" x14ac:dyDescent="0.35">
      <c r="A2009">
        <v>2006</v>
      </c>
      <c r="B2009" t="s">
        <v>2303</v>
      </c>
    </row>
    <row r="2010" spans="1:2" x14ac:dyDescent="0.35">
      <c r="A2010">
        <v>2007</v>
      </c>
      <c r="B2010" t="s">
        <v>2304</v>
      </c>
    </row>
    <row r="2011" spans="1:2" x14ac:dyDescent="0.35">
      <c r="A2011">
        <v>2008</v>
      </c>
      <c r="B2011" t="s">
        <v>2305</v>
      </c>
    </row>
    <row r="2012" spans="1:2" x14ac:dyDescent="0.35">
      <c r="A2012">
        <v>2009</v>
      </c>
      <c r="B2012" t="s">
        <v>2306</v>
      </c>
    </row>
    <row r="2013" spans="1:2" x14ac:dyDescent="0.35">
      <c r="A2013">
        <v>2010</v>
      </c>
      <c r="B2013" t="s">
        <v>2307</v>
      </c>
    </row>
    <row r="2014" spans="1:2" x14ac:dyDescent="0.35">
      <c r="A2014">
        <v>2011</v>
      </c>
      <c r="B2014" t="s">
        <v>2308</v>
      </c>
    </row>
    <row r="2015" spans="1:2" x14ac:dyDescent="0.35">
      <c r="A2015">
        <v>2012</v>
      </c>
      <c r="B2015" t="s">
        <v>2309</v>
      </c>
    </row>
    <row r="2016" spans="1:2" x14ac:dyDescent="0.35">
      <c r="A2016">
        <v>2013</v>
      </c>
      <c r="B2016" t="s">
        <v>2310</v>
      </c>
    </row>
    <row r="2017" spans="1:2" x14ac:dyDescent="0.35">
      <c r="A2017">
        <v>2014</v>
      </c>
      <c r="B2017" t="s">
        <v>2311</v>
      </c>
    </row>
    <row r="2018" spans="1:2" x14ac:dyDescent="0.35">
      <c r="A2018">
        <v>2015</v>
      </c>
      <c r="B2018" t="s">
        <v>2312</v>
      </c>
    </row>
    <row r="2019" spans="1:2" x14ac:dyDescent="0.35">
      <c r="A2019">
        <v>2016</v>
      </c>
      <c r="B2019" t="s">
        <v>2313</v>
      </c>
    </row>
    <row r="2020" spans="1:2" x14ac:dyDescent="0.35">
      <c r="A2020">
        <v>2017</v>
      </c>
      <c r="B2020" t="s">
        <v>2314</v>
      </c>
    </row>
    <row r="2021" spans="1:2" x14ac:dyDescent="0.35">
      <c r="A2021">
        <v>2018</v>
      </c>
      <c r="B2021" t="s">
        <v>2315</v>
      </c>
    </row>
    <row r="2022" spans="1:2" x14ac:dyDescent="0.35">
      <c r="A2022">
        <v>2019</v>
      </c>
      <c r="B2022" t="s">
        <v>2316</v>
      </c>
    </row>
    <row r="2023" spans="1:2" x14ac:dyDescent="0.35">
      <c r="A2023">
        <v>2020</v>
      </c>
      <c r="B2023" t="s">
        <v>2317</v>
      </c>
    </row>
    <row r="2024" spans="1:2" x14ac:dyDescent="0.35">
      <c r="A2024">
        <v>2021</v>
      </c>
      <c r="B2024" t="s">
        <v>2318</v>
      </c>
    </row>
    <row r="2025" spans="1:2" x14ac:dyDescent="0.35">
      <c r="A2025">
        <v>2022</v>
      </c>
      <c r="B2025" t="s">
        <v>2319</v>
      </c>
    </row>
    <row r="2026" spans="1:2" x14ac:dyDescent="0.35">
      <c r="A2026">
        <v>2023</v>
      </c>
      <c r="B2026" t="s">
        <v>2320</v>
      </c>
    </row>
    <row r="2027" spans="1:2" x14ac:dyDescent="0.35">
      <c r="A2027">
        <v>2024</v>
      </c>
      <c r="B2027" t="s">
        <v>2321</v>
      </c>
    </row>
    <row r="2028" spans="1:2" x14ac:dyDescent="0.35">
      <c r="A2028">
        <v>2025</v>
      </c>
      <c r="B2028" t="s">
        <v>2322</v>
      </c>
    </row>
    <row r="2029" spans="1:2" x14ac:dyDescent="0.35">
      <c r="A2029">
        <v>2026</v>
      </c>
      <c r="B2029" t="s">
        <v>2323</v>
      </c>
    </row>
    <row r="2030" spans="1:2" x14ac:dyDescent="0.35">
      <c r="A2030">
        <v>2027</v>
      </c>
      <c r="B2030" t="s">
        <v>2324</v>
      </c>
    </row>
    <row r="2031" spans="1:2" x14ac:dyDescent="0.35">
      <c r="A2031">
        <v>2028</v>
      </c>
      <c r="B2031" t="s">
        <v>2325</v>
      </c>
    </row>
    <row r="2032" spans="1:2" x14ac:dyDescent="0.35">
      <c r="A2032">
        <v>2029</v>
      </c>
      <c r="B2032" t="s">
        <v>2326</v>
      </c>
    </row>
    <row r="2033" spans="1:2" x14ac:dyDescent="0.35">
      <c r="A2033">
        <v>2030</v>
      </c>
      <c r="B2033" t="s">
        <v>2327</v>
      </c>
    </row>
    <row r="2034" spans="1:2" x14ac:dyDescent="0.35">
      <c r="A2034">
        <v>2031</v>
      </c>
      <c r="B2034" t="s">
        <v>2328</v>
      </c>
    </row>
    <row r="2035" spans="1:2" x14ac:dyDescent="0.35">
      <c r="A2035">
        <v>2032</v>
      </c>
      <c r="B2035" t="s">
        <v>2329</v>
      </c>
    </row>
    <row r="2036" spans="1:2" x14ac:dyDescent="0.35">
      <c r="A2036">
        <v>2033</v>
      </c>
      <c r="B2036" t="s">
        <v>2330</v>
      </c>
    </row>
    <row r="2037" spans="1:2" x14ac:dyDescent="0.35">
      <c r="A2037">
        <v>2034</v>
      </c>
      <c r="B2037" t="s">
        <v>2331</v>
      </c>
    </row>
    <row r="2038" spans="1:2" x14ac:dyDescent="0.35">
      <c r="A2038">
        <v>2035</v>
      </c>
      <c r="B2038" t="s">
        <v>2332</v>
      </c>
    </row>
    <row r="2039" spans="1:2" x14ac:dyDescent="0.35">
      <c r="A2039">
        <v>2036</v>
      </c>
      <c r="B2039" t="s">
        <v>2333</v>
      </c>
    </row>
    <row r="2040" spans="1:2" x14ac:dyDescent="0.35">
      <c r="A2040">
        <v>2037</v>
      </c>
      <c r="B2040" t="s">
        <v>2334</v>
      </c>
    </row>
    <row r="2041" spans="1:2" x14ac:dyDescent="0.35">
      <c r="A2041">
        <v>2038</v>
      </c>
      <c r="B2041" t="s">
        <v>2335</v>
      </c>
    </row>
    <row r="2042" spans="1:2" x14ac:dyDescent="0.35">
      <c r="A2042">
        <v>2039</v>
      </c>
      <c r="B2042" t="s">
        <v>2336</v>
      </c>
    </row>
    <row r="2043" spans="1:2" x14ac:dyDescent="0.35">
      <c r="A2043">
        <v>2040</v>
      </c>
      <c r="B2043" t="s">
        <v>2337</v>
      </c>
    </row>
    <row r="2044" spans="1:2" x14ac:dyDescent="0.35">
      <c r="A2044">
        <v>2041</v>
      </c>
      <c r="B2044" t="s">
        <v>2338</v>
      </c>
    </row>
    <row r="2045" spans="1:2" x14ac:dyDescent="0.35">
      <c r="A2045">
        <v>2042</v>
      </c>
      <c r="B2045" t="s">
        <v>2339</v>
      </c>
    </row>
    <row r="2046" spans="1:2" x14ac:dyDescent="0.35">
      <c r="A2046">
        <v>2043</v>
      </c>
      <c r="B2046" t="s">
        <v>2340</v>
      </c>
    </row>
    <row r="2047" spans="1:2" x14ac:dyDescent="0.35">
      <c r="A2047">
        <v>2044</v>
      </c>
      <c r="B2047" t="s">
        <v>2341</v>
      </c>
    </row>
    <row r="2048" spans="1:2" x14ac:dyDescent="0.35">
      <c r="A2048">
        <v>2045</v>
      </c>
      <c r="B2048" t="s">
        <v>2342</v>
      </c>
    </row>
    <row r="2049" spans="1:2" x14ac:dyDescent="0.35">
      <c r="A2049">
        <v>2046</v>
      </c>
      <c r="B2049" t="s">
        <v>2343</v>
      </c>
    </row>
    <row r="2050" spans="1:2" x14ac:dyDescent="0.35">
      <c r="A2050">
        <v>2047</v>
      </c>
      <c r="B2050" t="s">
        <v>2344</v>
      </c>
    </row>
    <row r="2051" spans="1:2" x14ac:dyDescent="0.35">
      <c r="A2051">
        <v>2048</v>
      </c>
      <c r="B2051" t="s">
        <v>2345</v>
      </c>
    </row>
    <row r="2052" spans="1:2" x14ac:dyDescent="0.35">
      <c r="A2052">
        <v>2049</v>
      </c>
      <c r="B2052" t="s">
        <v>2346</v>
      </c>
    </row>
    <row r="2053" spans="1:2" x14ac:dyDescent="0.35">
      <c r="A2053">
        <v>2050</v>
      </c>
      <c r="B2053" t="s">
        <v>2347</v>
      </c>
    </row>
    <row r="2054" spans="1:2" x14ac:dyDescent="0.35">
      <c r="A2054">
        <v>2051</v>
      </c>
      <c r="B2054" t="s">
        <v>2348</v>
      </c>
    </row>
    <row r="2055" spans="1:2" x14ac:dyDescent="0.35">
      <c r="A2055">
        <v>2052</v>
      </c>
      <c r="B2055" t="s">
        <v>2349</v>
      </c>
    </row>
    <row r="2056" spans="1:2" x14ac:dyDescent="0.35">
      <c r="A2056">
        <v>2053</v>
      </c>
      <c r="B2056" t="s">
        <v>2350</v>
      </c>
    </row>
    <row r="2057" spans="1:2" x14ac:dyDescent="0.35">
      <c r="A2057">
        <v>2054</v>
      </c>
      <c r="B2057" t="s">
        <v>2351</v>
      </c>
    </row>
    <row r="2058" spans="1:2" x14ac:dyDescent="0.35">
      <c r="A2058">
        <v>2055</v>
      </c>
      <c r="B2058" t="s">
        <v>2352</v>
      </c>
    </row>
    <row r="2059" spans="1:2" x14ac:dyDescent="0.35">
      <c r="A2059">
        <v>2056</v>
      </c>
      <c r="B2059" t="s">
        <v>2353</v>
      </c>
    </row>
    <row r="2060" spans="1:2" x14ac:dyDescent="0.35">
      <c r="A2060">
        <v>2057</v>
      </c>
      <c r="B2060" t="s">
        <v>2354</v>
      </c>
    </row>
    <row r="2061" spans="1:2" x14ac:dyDescent="0.35">
      <c r="A2061">
        <v>2058</v>
      </c>
      <c r="B2061" t="s">
        <v>2355</v>
      </c>
    </row>
    <row r="2062" spans="1:2" x14ac:dyDescent="0.35">
      <c r="A2062">
        <v>2059</v>
      </c>
      <c r="B2062" t="s">
        <v>2356</v>
      </c>
    </row>
    <row r="2063" spans="1:2" x14ac:dyDescent="0.35">
      <c r="A2063">
        <v>2060</v>
      </c>
      <c r="B2063" t="s">
        <v>2357</v>
      </c>
    </row>
    <row r="2064" spans="1:2" x14ac:dyDescent="0.35">
      <c r="A2064">
        <v>2061</v>
      </c>
      <c r="B2064" t="s">
        <v>2358</v>
      </c>
    </row>
    <row r="2065" spans="1:2" x14ac:dyDescent="0.35">
      <c r="A2065">
        <v>2062</v>
      </c>
      <c r="B2065" t="s">
        <v>2359</v>
      </c>
    </row>
    <row r="2066" spans="1:2" x14ac:dyDescent="0.35">
      <c r="A2066">
        <v>2063</v>
      </c>
      <c r="B2066" t="s">
        <v>2360</v>
      </c>
    </row>
    <row r="2067" spans="1:2" x14ac:dyDescent="0.35">
      <c r="A2067">
        <v>2064</v>
      </c>
      <c r="B2067" t="s">
        <v>2361</v>
      </c>
    </row>
    <row r="2068" spans="1:2" x14ac:dyDescent="0.35">
      <c r="A2068">
        <v>2065</v>
      </c>
      <c r="B2068" t="s">
        <v>2362</v>
      </c>
    </row>
    <row r="2069" spans="1:2" x14ac:dyDescent="0.35">
      <c r="A2069">
        <v>2066</v>
      </c>
      <c r="B2069" t="s">
        <v>2363</v>
      </c>
    </row>
    <row r="2070" spans="1:2" x14ac:dyDescent="0.35">
      <c r="A2070">
        <v>2067</v>
      </c>
      <c r="B2070" t="s">
        <v>2364</v>
      </c>
    </row>
    <row r="2071" spans="1:2" x14ac:dyDescent="0.35">
      <c r="A2071">
        <v>2068</v>
      </c>
      <c r="B2071" t="s">
        <v>2365</v>
      </c>
    </row>
    <row r="2072" spans="1:2" x14ac:dyDescent="0.35">
      <c r="A2072">
        <v>2069</v>
      </c>
      <c r="B2072" t="s">
        <v>2366</v>
      </c>
    </row>
    <row r="2073" spans="1:2" x14ac:dyDescent="0.35">
      <c r="A2073">
        <v>2070</v>
      </c>
      <c r="B2073" t="s">
        <v>2367</v>
      </c>
    </row>
    <row r="2074" spans="1:2" x14ac:dyDescent="0.35">
      <c r="A2074">
        <v>2071</v>
      </c>
      <c r="B2074" t="s">
        <v>2368</v>
      </c>
    </row>
    <row r="2075" spans="1:2" x14ac:dyDescent="0.35">
      <c r="A2075">
        <v>2072</v>
      </c>
      <c r="B2075" t="s">
        <v>2369</v>
      </c>
    </row>
    <row r="2076" spans="1:2" x14ac:dyDescent="0.35">
      <c r="A2076">
        <v>2073</v>
      </c>
      <c r="B2076" t="s">
        <v>2370</v>
      </c>
    </row>
    <row r="2077" spans="1:2" x14ac:dyDescent="0.35">
      <c r="A2077">
        <v>2074</v>
      </c>
      <c r="B2077" t="s">
        <v>2371</v>
      </c>
    </row>
    <row r="2078" spans="1:2" x14ac:dyDescent="0.35">
      <c r="A2078">
        <v>2075</v>
      </c>
      <c r="B2078" t="s">
        <v>2372</v>
      </c>
    </row>
    <row r="2079" spans="1:2" x14ac:dyDescent="0.35">
      <c r="A2079">
        <v>2076</v>
      </c>
      <c r="B2079" t="s">
        <v>2373</v>
      </c>
    </row>
    <row r="2080" spans="1:2" x14ac:dyDescent="0.35">
      <c r="A2080">
        <v>2077</v>
      </c>
      <c r="B2080" t="s">
        <v>2374</v>
      </c>
    </row>
    <row r="2081" spans="1:2" x14ac:dyDescent="0.35">
      <c r="A2081">
        <v>2078</v>
      </c>
      <c r="B2081" t="s">
        <v>2375</v>
      </c>
    </row>
    <row r="2082" spans="1:2" x14ac:dyDescent="0.35">
      <c r="A2082">
        <v>2079</v>
      </c>
      <c r="B2082" t="s">
        <v>2376</v>
      </c>
    </row>
    <row r="2083" spans="1:2" x14ac:dyDescent="0.35">
      <c r="A2083">
        <v>2080</v>
      </c>
      <c r="B2083" t="s">
        <v>2377</v>
      </c>
    </row>
    <row r="2084" spans="1:2" x14ac:dyDescent="0.35">
      <c r="A2084">
        <v>2081</v>
      </c>
      <c r="B2084" t="s">
        <v>2378</v>
      </c>
    </row>
    <row r="2085" spans="1:2" x14ac:dyDescent="0.35">
      <c r="A2085">
        <v>2082</v>
      </c>
      <c r="B2085" t="s">
        <v>2379</v>
      </c>
    </row>
    <row r="2086" spans="1:2" x14ac:dyDescent="0.35">
      <c r="A2086">
        <v>2083</v>
      </c>
      <c r="B2086" t="s">
        <v>2380</v>
      </c>
    </row>
    <row r="2087" spans="1:2" x14ac:dyDescent="0.35">
      <c r="A2087">
        <v>2084</v>
      </c>
      <c r="B2087" t="s">
        <v>2381</v>
      </c>
    </row>
    <row r="2088" spans="1:2" x14ac:dyDescent="0.35">
      <c r="A2088">
        <v>2085</v>
      </c>
      <c r="B2088" t="s">
        <v>2382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C23"/>
  <sheetViews>
    <sheetView showGridLines="0" zoomScale="95" zoomScaleNormal="95" workbookViewId="0">
      <selection activeCell="E1" sqref="E1"/>
    </sheetView>
  </sheetViews>
  <sheetFormatPr defaultRowHeight="14.5" x14ac:dyDescent="0.35"/>
  <cols>
    <col min="4" max="4" width="4.1796875" customWidth="1"/>
  </cols>
  <sheetData>
    <row r="1" spans="1:3" ht="18" customHeight="1" x14ac:dyDescent="0.35">
      <c r="A1" s="38"/>
      <c r="B1" s="38"/>
      <c r="C1" s="38"/>
    </row>
    <row r="2" spans="1:3" ht="18" customHeight="1" x14ac:dyDescent="0.35">
      <c r="A2" s="38"/>
      <c r="B2" s="38"/>
      <c r="C2" s="38"/>
    </row>
    <row r="3" spans="1:3" ht="18" customHeight="1" x14ac:dyDescent="0.35">
      <c r="A3" s="38"/>
      <c r="B3" s="38"/>
      <c r="C3" s="38"/>
    </row>
    <row r="4" spans="1:3" ht="18" customHeight="1" x14ac:dyDescent="0.35">
      <c r="A4" s="38"/>
      <c r="B4" s="38"/>
      <c r="C4" s="38"/>
    </row>
    <row r="5" spans="1:3" ht="18" customHeight="1" x14ac:dyDescent="0.35">
      <c r="A5" s="38"/>
      <c r="B5" s="38"/>
      <c r="C5" s="38"/>
    </row>
    <row r="6" spans="1:3" ht="18" customHeight="1" x14ac:dyDescent="0.35">
      <c r="A6" s="38"/>
      <c r="B6" s="38"/>
      <c r="C6" s="38"/>
    </row>
    <row r="7" spans="1:3" ht="18" customHeight="1" x14ac:dyDescent="0.35">
      <c r="A7" s="38"/>
      <c r="B7" s="38"/>
      <c r="C7" s="38"/>
    </row>
    <row r="8" spans="1:3" ht="18" customHeight="1" x14ac:dyDescent="0.35">
      <c r="A8" s="38"/>
      <c r="B8" s="38"/>
      <c r="C8" s="38"/>
    </row>
    <row r="9" spans="1:3" ht="18" customHeight="1" x14ac:dyDescent="0.35">
      <c r="A9" s="38"/>
      <c r="B9" s="38"/>
      <c r="C9" s="38"/>
    </row>
    <row r="10" spans="1:3" ht="18" customHeight="1" x14ac:dyDescent="0.35">
      <c r="A10" s="38"/>
      <c r="B10" s="38"/>
      <c r="C10" s="38"/>
    </row>
    <row r="11" spans="1:3" ht="18" customHeight="1" x14ac:dyDescent="0.35">
      <c r="A11" s="38"/>
      <c r="B11" s="38"/>
      <c r="C11" s="38"/>
    </row>
    <row r="12" spans="1:3" ht="18" customHeight="1" x14ac:dyDescent="0.35">
      <c r="A12" s="38"/>
      <c r="B12" s="38"/>
      <c r="C12" s="38"/>
    </row>
    <row r="13" spans="1:3" ht="18" customHeight="1" x14ac:dyDescent="0.35">
      <c r="A13" s="38"/>
      <c r="B13" s="38"/>
      <c r="C13" s="38"/>
    </row>
    <row r="14" spans="1:3" ht="18" customHeight="1" x14ac:dyDescent="0.35">
      <c r="A14" s="38"/>
      <c r="B14" s="38"/>
      <c r="C14" s="38"/>
    </row>
    <row r="15" spans="1:3" ht="18" customHeight="1" x14ac:dyDescent="0.35">
      <c r="A15" s="38"/>
      <c r="B15" s="38"/>
      <c r="C15" s="38"/>
    </row>
    <row r="16" spans="1:3" ht="18" customHeight="1" x14ac:dyDescent="0.35">
      <c r="A16" s="38"/>
      <c r="B16" s="38"/>
      <c r="C16" s="38"/>
    </row>
    <row r="17" spans="1:3" ht="18" customHeight="1" x14ac:dyDescent="0.35">
      <c r="A17" s="38"/>
      <c r="B17" s="38"/>
      <c r="C17" s="38"/>
    </row>
    <row r="18" spans="1:3" ht="18" customHeight="1" x14ac:dyDescent="0.35">
      <c r="A18" s="38"/>
      <c r="B18" s="38"/>
      <c r="C18" s="38"/>
    </row>
    <row r="19" spans="1:3" ht="18" customHeight="1" x14ac:dyDescent="0.35">
      <c r="A19" s="38"/>
      <c r="B19" s="38"/>
      <c r="C19" s="38"/>
    </row>
    <row r="20" spans="1:3" ht="18" customHeight="1" x14ac:dyDescent="0.35">
      <c r="A20" s="38"/>
      <c r="B20" s="38"/>
      <c r="C20" s="38"/>
    </row>
    <row r="21" spans="1:3" ht="18" customHeight="1" x14ac:dyDescent="0.35">
      <c r="A21" s="38"/>
      <c r="B21" s="38"/>
      <c r="C21" s="38"/>
    </row>
    <row r="22" spans="1:3" ht="18" customHeight="1" x14ac:dyDescent="0.35">
      <c r="A22" s="38"/>
      <c r="B22" s="38"/>
      <c r="C22" s="38"/>
    </row>
    <row r="23" spans="1:3" ht="18" customHeight="1" x14ac:dyDescent="0.35">
      <c r="A23" s="38"/>
      <c r="B23" s="38"/>
      <c r="C23" s="38"/>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C23"/>
  <sheetViews>
    <sheetView showGridLines="0" zoomScale="95" zoomScaleNormal="95" workbookViewId="0">
      <selection activeCell="F2" sqref="F2"/>
    </sheetView>
  </sheetViews>
  <sheetFormatPr defaultRowHeight="14.5" x14ac:dyDescent="0.35"/>
  <cols>
    <col min="4" max="4" width="4.1796875" customWidth="1"/>
  </cols>
  <sheetData>
    <row r="1" spans="1:3" ht="18" customHeight="1" x14ac:dyDescent="0.35">
      <c r="A1" s="38"/>
      <c r="B1" s="38"/>
      <c r="C1" s="38"/>
    </row>
    <row r="2" spans="1:3" ht="18" customHeight="1" x14ac:dyDescent="0.35">
      <c r="A2" s="38"/>
      <c r="B2" s="38"/>
      <c r="C2" s="38"/>
    </row>
    <row r="3" spans="1:3" ht="18" customHeight="1" x14ac:dyDescent="0.35">
      <c r="A3" s="38"/>
      <c r="B3" s="38"/>
      <c r="C3" s="38"/>
    </row>
    <row r="4" spans="1:3" ht="18" customHeight="1" x14ac:dyDescent="0.35">
      <c r="A4" s="38"/>
      <c r="B4" s="38"/>
      <c r="C4" s="38"/>
    </row>
    <row r="5" spans="1:3" ht="18" customHeight="1" x14ac:dyDescent="0.35">
      <c r="A5" s="38"/>
      <c r="B5" s="38"/>
      <c r="C5" s="38"/>
    </row>
    <row r="6" spans="1:3" ht="18" customHeight="1" x14ac:dyDescent="0.35">
      <c r="A6" s="38"/>
      <c r="B6" s="38"/>
      <c r="C6" s="38"/>
    </row>
    <row r="7" spans="1:3" ht="18" customHeight="1" x14ac:dyDescent="0.35">
      <c r="A7" s="38"/>
      <c r="B7" s="38"/>
      <c r="C7" s="38"/>
    </row>
    <row r="8" spans="1:3" ht="18" customHeight="1" x14ac:dyDescent="0.35">
      <c r="A8" s="38"/>
      <c r="B8" s="38"/>
      <c r="C8" s="38"/>
    </row>
    <row r="9" spans="1:3" ht="18" customHeight="1" x14ac:dyDescent="0.35">
      <c r="A9" s="38"/>
      <c r="B9" s="38"/>
      <c r="C9" s="38"/>
    </row>
    <row r="10" spans="1:3" ht="18" customHeight="1" x14ac:dyDescent="0.35">
      <c r="A10" s="38"/>
      <c r="B10" s="38"/>
      <c r="C10" s="38"/>
    </row>
    <row r="11" spans="1:3" ht="18" customHeight="1" x14ac:dyDescent="0.35">
      <c r="A11" s="38"/>
      <c r="B11" s="38"/>
      <c r="C11" s="38"/>
    </row>
    <row r="12" spans="1:3" ht="18" customHeight="1" x14ac:dyDescent="0.35">
      <c r="A12" s="38"/>
      <c r="B12" s="38"/>
      <c r="C12" s="38"/>
    </row>
    <row r="13" spans="1:3" ht="18" customHeight="1" x14ac:dyDescent="0.35">
      <c r="A13" s="38"/>
      <c r="B13" s="38"/>
      <c r="C13" s="38"/>
    </row>
    <row r="14" spans="1:3" ht="18" customHeight="1" x14ac:dyDescent="0.35">
      <c r="A14" s="38"/>
      <c r="B14" s="38"/>
      <c r="C14" s="38"/>
    </row>
    <row r="15" spans="1:3" ht="18" customHeight="1" x14ac:dyDescent="0.35">
      <c r="A15" s="38"/>
      <c r="B15" s="38"/>
      <c r="C15" s="38"/>
    </row>
    <row r="16" spans="1:3" ht="18" customHeight="1" x14ac:dyDescent="0.35">
      <c r="A16" s="38"/>
      <c r="B16" s="38"/>
      <c r="C16" s="38"/>
    </row>
    <row r="17" spans="1:3" ht="18" customHeight="1" x14ac:dyDescent="0.35">
      <c r="A17" s="38"/>
      <c r="B17" s="38"/>
      <c r="C17" s="38"/>
    </row>
    <row r="18" spans="1:3" ht="18" customHeight="1" x14ac:dyDescent="0.35">
      <c r="A18" s="38"/>
      <c r="B18" s="38"/>
      <c r="C18" s="38"/>
    </row>
    <row r="19" spans="1:3" ht="18" customHeight="1" x14ac:dyDescent="0.35">
      <c r="A19" s="38"/>
      <c r="B19" s="38"/>
      <c r="C19" s="38"/>
    </row>
    <row r="20" spans="1:3" ht="18" customHeight="1" x14ac:dyDescent="0.35">
      <c r="A20" s="38"/>
      <c r="B20" s="38"/>
      <c r="C20" s="38"/>
    </row>
    <row r="21" spans="1:3" ht="18" customHeight="1" x14ac:dyDescent="0.35">
      <c r="A21" s="38"/>
      <c r="B21" s="38"/>
      <c r="C21" s="38"/>
    </row>
    <row r="22" spans="1:3" ht="18" customHeight="1" x14ac:dyDescent="0.35">
      <c r="A22" s="38"/>
      <c r="B22" s="38"/>
      <c r="C22" s="38"/>
    </row>
    <row r="23" spans="1:3" ht="18" customHeight="1" x14ac:dyDescent="0.35">
      <c r="A23" s="38"/>
      <c r="B23" s="38"/>
      <c r="C23" s="38"/>
    </row>
  </sheetData>
  <sheetProtection algorithmName="SHA-512" hashValue="Q7s1rvj29kWmCSet8hbw9HK7aS45NDp+FNjsoJTfM+xvXli+T7tnKxxCnXuEmTpFLJ6O5odmbMbvNH7VHnY7qQ==" saltValue="EHVvC/Ezq2Cuqgl3RkOAlw==" spinCount="100000" sheet="1" objects="1" scenarios="1"/>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N26"/>
  <sheetViews>
    <sheetView showGridLines="0" topLeftCell="A4" zoomScale="90" zoomScaleNormal="90" workbookViewId="0">
      <selection activeCell="J35" sqref="J35"/>
    </sheetView>
  </sheetViews>
  <sheetFormatPr defaultRowHeight="15.5" x14ac:dyDescent="0.35"/>
  <cols>
    <col min="4" max="4" width="4.1796875" customWidth="1"/>
    <col min="5" max="5" width="4.453125" style="14" customWidth="1"/>
    <col min="6" max="6" width="27.54296875" style="15" customWidth="1"/>
    <col min="7" max="7" width="2.54296875" style="15" customWidth="1"/>
    <col min="8" max="8" width="20.453125" style="15" customWidth="1"/>
    <col min="9" max="9" width="22.453125" style="15" customWidth="1"/>
    <col min="10" max="10" width="13.81640625" style="15" customWidth="1"/>
    <col min="11" max="11" width="15.453125" style="15" customWidth="1"/>
    <col min="12" max="12" width="18" style="15" customWidth="1"/>
    <col min="13" max="13" width="26.7265625" style="15" customWidth="1"/>
    <col min="14" max="14" width="0" hidden="1" customWidth="1"/>
  </cols>
  <sheetData>
    <row r="1" spans="1:14" ht="18" customHeight="1" thickTop="1" thickBot="1" x14ac:dyDescent="0.4">
      <c r="A1" s="38"/>
      <c r="B1" s="38"/>
      <c r="C1" s="38"/>
      <c r="E1" s="679" t="s">
        <v>17</v>
      </c>
      <c r="F1" s="680"/>
      <c r="G1" s="680"/>
      <c r="H1" s="680"/>
      <c r="I1" s="680"/>
      <c r="J1" s="680"/>
      <c r="K1" s="680"/>
      <c r="L1" s="680"/>
      <c r="M1" s="680"/>
    </row>
    <row r="2" spans="1:14" ht="18" customHeight="1" thickTop="1" x14ac:dyDescent="0.35">
      <c r="A2" s="38"/>
      <c r="B2" s="38"/>
      <c r="C2" s="38"/>
      <c r="E2" s="105">
        <v>1</v>
      </c>
      <c r="F2" s="106" t="s">
        <v>18</v>
      </c>
      <c r="G2" s="107" t="s">
        <v>1</v>
      </c>
      <c r="H2" s="1" t="s">
        <v>236</v>
      </c>
      <c r="I2" s="2"/>
      <c r="J2" s="2"/>
      <c r="K2" s="2"/>
      <c r="L2" s="2"/>
      <c r="M2" s="2"/>
    </row>
    <row r="3" spans="1:14" ht="18" customHeight="1" x14ac:dyDescent="0.35">
      <c r="A3" s="38"/>
      <c r="B3" s="38"/>
      <c r="C3" s="38"/>
      <c r="E3" s="105">
        <v>2</v>
      </c>
      <c r="F3" s="106" t="s">
        <v>0</v>
      </c>
      <c r="G3" s="107" t="s">
        <v>1</v>
      </c>
      <c r="H3" s="1" t="s">
        <v>19</v>
      </c>
      <c r="I3" s="2"/>
      <c r="J3" s="2"/>
      <c r="K3" s="3"/>
      <c r="L3" s="3"/>
      <c r="M3" s="3"/>
      <c r="N3" t="str">
        <f>CONCATENATE("Ketua "&amp;H3)</f>
        <v>Ketua PKBM GENERASI BANGSA</v>
      </c>
    </row>
    <row r="4" spans="1:14" ht="18" customHeight="1" x14ac:dyDescent="0.35">
      <c r="A4" s="38"/>
      <c r="B4" s="38"/>
      <c r="C4" s="38"/>
      <c r="E4" s="105">
        <v>3</v>
      </c>
      <c r="F4" s="108" t="s">
        <v>38</v>
      </c>
      <c r="G4" s="107" t="s">
        <v>1</v>
      </c>
      <c r="H4" s="4">
        <v>510033290202</v>
      </c>
      <c r="I4" s="5" t="s">
        <v>37</v>
      </c>
      <c r="J4" s="5" t="s">
        <v>36</v>
      </c>
      <c r="K4" s="6" t="s">
        <v>21</v>
      </c>
      <c r="L4" s="7" t="s">
        <v>2</v>
      </c>
      <c r="M4" s="5"/>
    </row>
    <row r="5" spans="1:14" ht="18" customHeight="1" x14ac:dyDescent="0.35">
      <c r="A5" s="38"/>
      <c r="B5" s="38"/>
      <c r="C5" s="38"/>
      <c r="E5" s="105">
        <v>4</v>
      </c>
      <c r="F5" s="109" t="s">
        <v>20</v>
      </c>
      <c r="G5" s="107" t="s">
        <v>1</v>
      </c>
      <c r="H5" s="58" t="s">
        <v>196</v>
      </c>
      <c r="I5" s="57"/>
      <c r="J5" s="57"/>
      <c r="K5" s="57"/>
      <c r="L5" s="57"/>
      <c r="M5" s="3"/>
    </row>
    <row r="6" spans="1:14" ht="18" customHeight="1" x14ac:dyDescent="0.35">
      <c r="A6" s="38"/>
      <c r="B6" s="38"/>
      <c r="C6" s="38"/>
      <c r="E6" s="105">
        <v>5</v>
      </c>
      <c r="F6" s="108" t="s">
        <v>3</v>
      </c>
      <c r="G6" s="107"/>
      <c r="H6" s="5" t="s">
        <v>22</v>
      </c>
      <c r="I6" s="5"/>
      <c r="J6" s="5"/>
      <c r="K6" s="5"/>
      <c r="L6" s="5"/>
      <c r="M6" s="5"/>
    </row>
    <row r="7" spans="1:14" ht="18" customHeight="1" x14ac:dyDescent="0.35">
      <c r="A7" s="38"/>
      <c r="B7" s="38"/>
      <c r="C7" s="38"/>
      <c r="E7" s="105">
        <v>6</v>
      </c>
      <c r="F7" s="108" t="s">
        <v>4</v>
      </c>
      <c r="G7" s="107" t="s">
        <v>1</v>
      </c>
      <c r="H7" s="5" t="s">
        <v>23</v>
      </c>
      <c r="I7" s="5"/>
      <c r="J7" s="5"/>
      <c r="K7" s="5"/>
      <c r="L7" s="5"/>
      <c r="M7" s="5"/>
    </row>
    <row r="8" spans="1:14" ht="18" customHeight="1" x14ac:dyDescent="0.35">
      <c r="A8" s="38"/>
      <c r="B8" s="38"/>
      <c r="C8" s="38"/>
      <c r="E8" s="105">
        <v>7</v>
      </c>
      <c r="F8" s="108" t="s">
        <v>5</v>
      </c>
      <c r="G8" s="107" t="s">
        <v>1</v>
      </c>
      <c r="H8" s="5" t="s">
        <v>23</v>
      </c>
      <c r="I8" s="5"/>
      <c r="J8" s="5"/>
      <c r="K8" s="5"/>
      <c r="L8" s="5"/>
      <c r="M8" s="5"/>
    </row>
    <row r="9" spans="1:14" ht="18" customHeight="1" x14ac:dyDescent="0.35">
      <c r="A9" s="38"/>
      <c r="B9" s="38"/>
      <c r="C9" s="38"/>
      <c r="E9" s="105">
        <v>8</v>
      </c>
      <c r="F9" s="108" t="s">
        <v>6</v>
      </c>
      <c r="G9" s="107" t="s">
        <v>1</v>
      </c>
      <c r="H9" s="5" t="s">
        <v>24</v>
      </c>
      <c r="I9" s="5"/>
      <c r="J9" s="5"/>
      <c r="K9" s="6" t="s">
        <v>25</v>
      </c>
      <c r="L9" s="5" t="s">
        <v>26</v>
      </c>
      <c r="M9" s="5"/>
    </row>
    <row r="10" spans="1:14" ht="18" customHeight="1" x14ac:dyDescent="0.35">
      <c r="A10" s="38"/>
      <c r="B10" s="38"/>
      <c r="C10" s="38"/>
      <c r="E10" s="105">
        <v>9</v>
      </c>
      <c r="F10" s="108" t="s">
        <v>7</v>
      </c>
      <c r="G10" s="107" t="s">
        <v>1</v>
      </c>
      <c r="H10" s="7" t="s">
        <v>2480</v>
      </c>
      <c r="I10" s="8"/>
      <c r="J10" s="7"/>
      <c r="K10" s="5"/>
      <c r="L10" s="5"/>
      <c r="M10" s="5"/>
    </row>
    <row r="11" spans="1:14" ht="18" customHeight="1" x14ac:dyDescent="0.35">
      <c r="A11" s="38"/>
      <c r="B11" s="38"/>
      <c r="C11" s="38"/>
      <c r="E11" s="105">
        <v>10</v>
      </c>
      <c r="F11" s="108" t="s">
        <v>27</v>
      </c>
      <c r="G11" s="107" t="s">
        <v>1</v>
      </c>
      <c r="H11" s="5" t="s">
        <v>2388</v>
      </c>
      <c r="I11" s="8"/>
      <c r="J11" s="7"/>
      <c r="K11" s="5"/>
      <c r="L11" s="5"/>
      <c r="M11" s="5"/>
    </row>
    <row r="12" spans="1:14" ht="18" customHeight="1" x14ac:dyDescent="0.35">
      <c r="A12" s="38"/>
      <c r="B12" s="38"/>
      <c r="C12" s="38"/>
      <c r="E12" s="105">
        <v>11</v>
      </c>
      <c r="F12" s="108" t="s">
        <v>28</v>
      </c>
      <c r="G12" s="107" t="s">
        <v>1</v>
      </c>
      <c r="H12" s="7"/>
      <c r="I12" s="8"/>
      <c r="J12" s="7"/>
      <c r="K12" s="5"/>
      <c r="L12" s="5"/>
      <c r="M12" s="5"/>
    </row>
    <row r="13" spans="1:14" ht="18" customHeight="1" x14ac:dyDescent="0.35">
      <c r="A13" s="38"/>
      <c r="B13" s="38"/>
      <c r="C13" s="38"/>
      <c r="E13" s="105">
        <v>12</v>
      </c>
      <c r="F13" s="108" t="s">
        <v>29</v>
      </c>
      <c r="G13" s="107" t="s">
        <v>1</v>
      </c>
      <c r="H13" s="5" t="s">
        <v>2463</v>
      </c>
      <c r="I13" s="8"/>
      <c r="J13" s="7"/>
      <c r="K13" s="5"/>
      <c r="L13" s="5"/>
      <c r="M13" s="5"/>
    </row>
    <row r="14" spans="1:14" ht="18" customHeight="1" x14ac:dyDescent="0.35">
      <c r="A14" s="38"/>
      <c r="B14" s="38"/>
      <c r="C14" s="38"/>
      <c r="E14" s="105">
        <v>13</v>
      </c>
      <c r="F14" s="108" t="s">
        <v>8</v>
      </c>
      <c r="G14" s="107" t="s">
        <v>1</v>
      </c>
      <c r="H14" s="9"/>
      <c r="I14" s="8"/>
      <c r="J14" s="7"/>
      <c r="K14" s="5"/>
      <c r="L14" s="5"/>
      <c r="M14" s="5"/>
    </row>
    <row r="15" spans="1:14" ht="18" customHeight="1" x14ac:dyDescent="0.35">
      <c r="A15" s="38"/>
      <c r="B15" s="38"/>
      <c r="C15" s="38"/>
      <c r="E15" s="105">
        <v>14</v>
      </c>
      <c r="F15" s="108" t="s">
        <v>33</v>
      </c>
      <c r="G15" s="107" t="s">
        <v>1</v>
      </c>
      <c r="H15" s="7"/>
      <c r="I15" s="8"/>
      <c r="J15" s="7"/>
      <c r="K15" s="5"/>
      <c r="L15" s="5"/>
      <c r="M15" s="5"/>
    </row>
    <row r="16" spans="1:14" ht="18" customHeight="1" x14ac:dyDescent="0.35">
      <c r="A16" s="38"/>
      <c r="B16" s="38"/>
      <c r="C16" s="38"/>
      <c r="E16" s="105">
        <v>15</v>
      </c>
      <c r="F16" s="108" t="s">
        <v>34</v>
      </c>
      <c r="G16" s="107" t="s">
        <v>1</v>
      </c>
      <c r="H16" s="7"/>
      <c r="I16" s="8"/>
      <c r="J16" s="7"/>
      <c r="K16" s="5"/>
      <c r="L16" s="5"/>
      <c r="M16" s="5"/>
    </row>
    <row r="17" spans="1:13" ht="18" customHeight="1" x14ac:dyDescent="0.35">
      <c r="A17" s="38"/>
      <c r="B17" s="38"/>
      <c r="C17" s="38"/>
      <c r="E17" s="105">
        <v>16</v>
      </c>
      <c r="F17" s="108" t="s">
        <v>9</v>
      </c>
      <c r="G17" s="107" t="s">
        <v>1</v>
      </c>
      <c r="H17" s="7"/>
      <c r="I17" s="8"/>
      <c r="J17" s="7"/>
      <c r="K17" s="5"/>
      <c r="L17" s="5"/>
      <c r="M17" s="5"/>
    </row>
    <row r="18" spans="1:13" ht="18" customHeight="1" thickBot="1" x14ac:dyDescent="0.4">
      <c r="A18" s="38"/>
      <c r="B18" s="38"/>
      <c r="C18" s="38"/>
      <c r="E18" s="105">
        <v>17</v>
      </c>
      <c r="F18" s="108" t="s">
        <v>35</v>
      </c>
      <c r="G18" s="107" t="s">
        <v>1</v>
      </c>
      <c r="H18" s="5"/>
      <c r="I18" s="5"/>
      <c r="J18" s="5"/>
      <c r="K18" s="5"/>
      <c r="L18" s="5"/>
      <c r="M18" s="5"/>
    </row>
    <row r="19" spans="1:13" ht="18" customHeight="1" thickTop="1" thickBot="1" x14ac:dyDescent="0.4">
      <c r="A19" s="38"/>
      <c r="B19" s="38"/>
      <c r="C19" s="38"/>
      <c r="E19" s="679" t="s">
        <v>31</v>
      </c>
      <c r="F19" s="680"/>
      <c r="G19" s="680"/>
      <c r="H19" s="680"/>
      <c r="I19" s="680"/>
      <c r="J19" s="680"/>
      <c r="K19" s="680"/>
      <c r="L19" s="680"/>
      <c r="M19" s="680"/>
    </row>
    <row r="20" spans="1:13" ht="18" customHeight="1" thickTop="1" x14ac:dyDescent="0.35">
      <c r="A20" s="38"/>
      <c r="B20" s="38"/>
      <c r="C20" s="38"/>
      <c r="E20" s="105">
        <v>18</v>
      </c>
      <c r="F20" s="108" t="s">
        <v>30</v>
      </c>
      <c r="G20" s="107" t="s">
        <v>1</v>
      </c>
      <c r="H20" s="5" t="s">
        <v>267</v>
      </c>
      <c r="I20" s="5"/>
      <c r="J20" s="5"/>
      <c r="K20" s="5"/>
      <c r="L20" s="5"/>
      <c r="M20" s="5"/>
    </row>
    <row r="21" spans="1:13" ht="18" customHeight="1" x14ac:dyDescent="0.35">
      <c r="A21" s="38"/>
      <c r="B21" s="38"/>
      <c r="C21" s="38"/>
      <c r="E21" s="105">
        <v>19</v>
      </c>
      <c r="F21" s="108" t="s">
        <v>32</v>
      </c>
      <c r="G21" s="107" t="s">
        <v>1</v>
      </c>
      <c r="H21" s="5" t="s">
        <v>2481</v>
      </c>
      <c r="I21" s="5"/>
      <c r="J21" s="126" t="s">
        <v>232</v>
      </c>
      <c r="K21" s="5"/>
      <c r="L21" s="5" t="s">
        <v>2481</v>
      </c>
      <c r="M21" s="5"/>
    </row>
    <row r="22" spans="1:13" ht="18" customHeight="1" x14ac:dyDescent="0.35">
      <c r="A22" s="38"/>
      <c r="B22" s="38"/>
      <c r="C22" s="38"/>
      <c r="E22" s="105"/>
      <c r="F22" s="108"/>
      <c r="G22" s="107"/>
      <c r="H22" s="110" t="s">
        <v>11</v>
      </c>
      <c r="I22" s="111" t="s">
        <v>12</v>
      </c>
      <c r="J22" s="111" t="s">
        <v>13</v>
      </c>
      <c r="K22" s="111" t="s">
        <v>14</v>
      </c>
      <c r="L22" s="681" t="s">
        <v>15</v>
      </c>
      <c r="M22" s="682"/>
    </row>
    <row r="23" spans="1:13" ht="18" customHeight="1" x14ac:dyDescent="0.35">
      <c r="A23" s="38"/>
      <c r="B23" s="38"/>
      <c r="C23" s="38"/>
      <c r="E23" s="105">
        <v>20</v>
      </c>
      <c r="F23" s="108" t="s">
        <v>10</v>
      </c>
      <c r="G23" s="107" t="s">
        <v>1</v>
      </c>
      <c r="H23" s="10">
        <v>12</v>
      </c>
      <c r="I23" s="11" t="s">
        <v>2391</v>
      </c>
      <c r="J23" s="12">
        <v>2022</v>
      </c>
      <c r="K23" s="11" t="s">
        <v>23</v>
      </c>
      <c r="L23" s="304" t="s">
        <v>147</v>
      </c>
      <c r="M23" s="112" t="str">
        <f>CONCATENATE(K23&amp;", "&amp;H23&amp;" "&amp;I23&amp;" "&amp;J23)</f>
        <v>Brebes, 12 Desember 2022</v>
      </c>
    </row>
    <row r="24" spans="1:13" ht="18" customHeight="1" x14ac:dyDescent="0.35">
      <c r="A24" s="38"/>
      <c r="B24" s="38"/>
      <c r="C24" s="38"/>
      <c r="E24" s="105">
        <v>21</v>
      </c>
      <c r="F24" s="108" t="s">
        <v>16</v>
      </c>
      <c r="G24" s="107" t="s">
        <v>1</v>
      </c>
      <c r="H24" s="13">
        <v>25</v>
      </c>
      <c r="I24" s="11" t="s">
        <v>233</v>
      </c>
      <c r="J24" s="12">
        <v>2023</v>
      </c>
      <c r="K24" s="11" t="s">
        <v>23</v>
      </c>
      <c r="L24" s="304" t="s">
        <v>148</v>
      </c>
      <c r="M24" s="112" t="str">
        <f>CONCATENATE(K24&amp;", "&amp;H24&amp;" "&amp;I24&amp;" "&amp;J24)</f>
        <v>Brebes, 25 Juni 2023</v>
      </c>
    </row>
    <row r="25" spans="1:13" x14ac:dyDescent="0.35">
      <c r="E25" s="105">
        <v>22</v>
      </c>
      <c r="F25" s="108" t="s">
        <v>2466</v>
      </c>
      <c r="G25" s="107" t="s">
        <v>1</v>
      </c>
      <c r="H25" s="10">
        <v>17</v>
      </c>
      <c r="I25" s="11" t="s">
        <v>2391</v>
      </c>
      <c r="J25" s="12">
        <v>2022</v>
      </c>
      <c r="K25" s="11" t="s">
        <v>23</v>
      </c>
      <c r="L25" s="304" t="s">
        <v>147</v>
      </c>
      <c r="M25" s="112" t="str">
        <f>CONCATENATE(K25&amp;", "&amp;H25&amp;" "&amp;I25&amp;" "&amp;J25)</f>
        <v>Brebes, 17 Desember 2022</v>
      </c>
    </row>
    <row r="26" spans="1:13" x14ac:dyDescent="0.35">
      <c r="E26" s="105">
        <v>23</v>
      </c>
      <c r="F26" s="108" t="s">
        <v>2467</v>
      </c>
      <c r="G26" s="107" t="s">
        <v>1</v>
      </c>
      <c r="H26" s="13">
        <v>23</v>
      </c>
      <c r="I26" s="11" t="s">
        <v>233</v>
      </c>
      <c r="J26" s="12">
        <v>2023</v>
      </c>
      <c r="K26" s="11" t="s">
        <v>23</v>
      </c>
      <c r="L26" s="304" t="s">
        <v>148</v>
      </c>
      <c r="M26" s="112" t="str">
        <f>CONCATENATE(K26&amp;", "&amp;H26&amp;" "&amp;I26&amp;" "&amp;J26)</f>
        <v>Brebes, 23 Juni 2023</v>
      </c>
    </row>
  </sheetData>
  <mergeCells count="3">
    <mergeCell ref="E1:M1"/>
    <mergeCell ref="E19:M19"/>
    <mergeCell ref="L22:M22"/>
  </mergeCells>
  <dataValidations count="1">
    <dataValidation allowBlank="1" sqref="E2:M18 M20:M21 E20:L26" xr:uid="{00000000-0002-0000-0F00-000000000000}"/>
  </dataValidations>
  <pageMargins left="0.7" right="0.7" top="0.75" bottom="0.75" header="0.3" footer="0.3"/>
  <pageSetup paperSize="9"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X243"/>
  <sheetViews>
    <sheetView showGridLines="0" topLeftCell="A10" zoomScale="95" zoomScaleNormal="95" zoomScaleSheetLayoutView="100" workbookViewId="0">
      <selection activeCell="AA6" sqref="AA6"/>
    </sheetView>
  </sheetViews>
  <sheetFormatPr defaultRowHeight="14.5" x14ac:dyDescent="0.35"/>
  <cols>
    <col min="4" max="4" width="6.26953125" customWidth="1"/>
    <col min="5" max="13" width="4.7265625" customWidth="1"/>
    <col min="14" max="15" width="4.7265625" style="38" customWidth="1"/>
    <col min="16" max="24" width="4.7265625" customWidth="1"/>
  </cols>
  <sheetData>
    <row r="1" spans="1:24" ht="19.5" customHeight="1" x14ac:dyDescent="0.35">
      <c r="A1" s="38"/>
      <c r="B1" s="38"/>
      <c r="C1" s="38"/>
      <c r="D1" s="38"/>
    </row>
    <row r="2" spans="1:24" ht="15.75" customHeight="1" x14ac:dyDescent="0.35">
      <c r="A2" s="38"/>
      <c r="B2" s="38"/>
      <c r="C2" s="38"/>
      <c r="D2" s="38"/>
      <c r="E2" s="687" t="s">
        <v>126</v>
      </c>
      <c r="F2" s="688"/>
      <c r="G2" s="688"/>
      <c r="H2" s="688"/>
      <c r="I2" s="688"/>
      <c r="J2" s="689"/>
      <c r="K2" s="684">
        <v>30</v>
      </c>
      <c r="T2" s="686" t="s">
        <v>136</v>
      </c>
      <c r="U2" s="686"/>
      <c r="V2" s="686"/>
      <c r="W2" s="683">
        <v>16</v>
      </c>
      <c r="X2" s="683"/>
    </row>
    <row r="3" spans="1:24" ht="15" customHeight="1" x14ac:dyDescent="0.35">
      <c r="A3" s="38"/>
      <c r="B3" s="38"/>
      <c r="C3" s="38"/>
      <c r="D3" s="38"/>
      <c r="E3" s="690"/>
      <c r="F3" s="691"/>
      <c r="G3" s="691"/>
      <c r="H3" s="691"/>
      <c r="I3" s="691"/>
      <c r="J3" s="692"/>
      <c r="K3" s="684"/>
      <c r="T3" s="686"/>
      <c r="U3" s="686"/>
      <c r="V3" s="686"/>
      <c r="W3" s="683"/>
      <c r="X3" s="683"/>
    </row>
    <row r="4" spans="1:24" ht="15.75" customHeight="1" x14ac:dyDescent="0.35">
      <c r="A4" s="38"/>
      <c r="B4" s="38"/>
      <c r="C4" s="38"/>
      <c r="D4" s="38"/>
      <c r="N4"/>
      <c r="O4"/>
      <c r="T4" s="686" t="s">
        <v>137</v>
      </c>
      <c r="U4" s="686"/>
      <c r="V4" s="686"/>
      <c r="W4" s="683">
        <v>16</v>
      </c>
      <c r="X4" s="683"/>
    </row>
    <row r="5" spans="1:24" ht="18" customHeight="1" x14ac:dyDescent="0.35">
      <c r="A5" s="38"/>
      <c r="B5" s="38"/>
      <c r="C5" s="38"/>
      <c r="D5" s="38"/>
      <c r="E5" s="37"/>
      <c r="F5" s="37"/>
      <c r="G5" s="37"/>
      <c r="H5" s="37"/>
      <c r="I5" s="37"/>
      <c r="J5" s="37"/>
      <c r="K5" s="37"/>
      <c r="L5" s="37"/>
      <c r="M5" s="37"/>
      <c r="N5" s="39"/>
      <c r="O5" s="39"/>
      <c r="P5" s="37"/>
      <c r="Q5" s="37"/>
      <c r="T5" s="686"/>
      <c r="U5" s="686"/>
      <c r="V5" s="686"/>
      <c r="W5" s="683"/>
      <c r="X5" s="683"/>
    </row>
    <row r="6" spans="1:24" ht="18" customHeight="1" x14ac:dyDescent="0.35">
      <c r="A6" s="38"/>
      <c r="B6" s="38"/>
      <c r="C6" s="38"/>
      <c r="D6" s="38"/>
      <c r="E6" s="37"/>
      <c r="F6" s="37"/>
      <c r="G6" s="37"/>
      <c r="H6" s="37"/>
      <c r="I6" s="37"/>
      <c r="J6" s="37"/>
      <c r="K6" s="37"/>
      <c r="L6" s="37"/>
      <c r="M6" s="37"/>
      <c r="N6" s="39"/>
      <c r="O6" s="39"/>
      <c r="P6" s="37"/>
      <c r="Q6" s="37"/>
      <c r="S6" s="40"/>
      <c r="T6" s="40"/>
      <c r="U6" s="40"/>
    </row>
    <row r="7" spans="1:24" ht="18" customHeight="1" x14ac:dyDescent="0.35">
      <c r="A7" s="38"/>
      <c r="B7" s="38"/>
      <c r="C7" s="38"/>
      <c r="D7" s="38"/>
      <c r="E7" s="37"/>
      <c r="F7" s="37"/>
      <c r="G7" s="37"/>
      <c r="H7" s="37"/>
      <c r="I7" s="37"/>
      <c r="J7" s="37"/>
      <c r="K7" s="37"/>
      <c r="L7" s="37"/>
      <c r="M7" s="37"/>
      <c r="N7" s="39"/>
      <c r="O7" s="39"/>
      <c r="P7" s="37"/>
      <c r="Q7" s="37"/>
      <c r="R7" s="37"/>
      <c r="S7" s="37"/>
      <c r="T7" s="37"/>
      <c r="U7" s="37"/>
      <c r="V7" s="37"/>
      <c r="W7" s="37"/>
      <c r="X7" s="37"/>
    </row>
    <row r="8" spans="1:24" ht="18" customHeight="1" x14ac:dyDescent="0.35">
      <c r="A8" s="38"/>
      <c r="B8" s="38"/>
      <c r="C8" s="38"/>
      <c r="D8" s="38"/>
      <c r="E8" s="37"/>
      <c r="F8" s="37"/>
      <c r="G8" s="37"/>
      <c r="H8" s="37"/>
      <c r="I8" s="37"/>
      <c r="J8" s="37"/>
      <c r="K8" s="37"/>
      <c r="L8" s="37"/>
      <c r="M8" s="37"/>
      <c r="N8" s="39"/>
      <c r="O8" s="39"/>
      <c r="P8" s="37"/>
      <c r="Q8" s="37"/>
      <c r="R8" s="37"/>
      <c r="S8" s="37"/>
      <c r="T8" s="37"/>
      <c r="U8" s="37"/>
      <c r="V8" s="37"/>
      <c r="W8" s="37"/>
      <c r="X8" s="37"/>
    </row>
    <row r="9" spans="1:24" ht="18" customHeight="1" x14ac:dyDescent="0.35">
      <c r="A9" s="38"/>
      <c r="B9" s="38"/>
      <c r="C9" s="38"/>
      <c r="D9" s="38"/>
      <c r="E9" s="37"/>
      <c r="F9" s="37"/>
      <c r="G9" s="37"/>
      <c r="H9" s="37"/>
      <c r="I9" s="37"/>
      <c r="J9" s="37"/>
      <c r="K9" s="37"/>
      <c r="L9" s="37"/>
      <c r="M9" s="37"/>
      <c r="N9" s="39"/>
      <c r="O9" s="39"/>
      <c r="P9" s="37"/>
      <c r="Q9" s="37"/>
      <c r="R9" s="37"/>
      <c r="S9" s="37"/>
      <c r="T9" s="37"/>
      <c r="U9" s="37"/>
      <c r="V9" s="37"/>
      <c r="W9" s="37"/>
      <c r="X9" s="37"/>
    </row>
    <row r="10" spans="1:24" ht="18" customHeight="1" x14ac:dyDescent="0.35">
      <c r="A10" s="38"/>
      <c r="B10" s="38"/>
      <c r="C10" s="38"/>
      <c r="D10" s="38"/>
      <c r="E10" s="37"/>
      <c r="F10" s="37"/>
      <c r="G10" s="37"/>
      <c r="H10" s="37"/>
      <c r="I10" s="37"/>
      <c r="J10" s="37"/>
      <c r="K10" s="37"/>
      <c r="L10" s="37"/>
      <c r="M10" s="37"/>
      <c r="N10" s="39"/>
      <c r="O10" s="39"/>
      <c r="P10" s="37"/>
      <c r="Q10" s="37"/>
      <c r="R10" s="37"/>
      <c r="S10" s="37"/>
      <c r="T10" s="37"/>
      <c r="U10" s="37"/>
      <c r="V10" s="37"/>
      <c r="W10" s="37"/>
      <c r="X10" s="37"/>
    </row>
    <row r="11" spans="1:24" ht="18" customHeight="1" x14ac:dyDescent="0.35">
      <c r="A11" s="38"/>
      <c r="B11" s="38"/>
      <c r="C11" s="38"/>
      <c r="D11" s="38"/>
      <c r="E11" s="37"/>
      <c r="F11" s="37"/>
      <c r="G11" s="685" t="s">
        <v>127</v>
      </c>
      <c r="H11" s="685"/>
      <c r="I11" s="685"/>
      <c r="J11" s="685"/>
      <c r="K11" s="685"/>
      <c r="L11" s="685"/>
      <c r="M11" s="685"/>
      <c r="N11" s="685"/>
      <c r="O11" s="685"/>
      <c r="P11" s="685"/>
      <c r="Q11" s="685"/>
      <c r="R11" s="685"/>
      <c r="S11" s="685"/>
      <c r="T11" s="685"/>
      <c r="U11" s="685"/>
      <c r="V11" s="685"/>
      <c r="W11" s="37"/>
      <c r="X11" s="37"/>
    </row>
    <row r="12" spans="1:24" ht="18" customHeight="1" x14ac:dyDescent="0.35">
      <c r="A12" s="38"/>
      <c r="B12" s="38"/>
      <c r="C12" s="38"/>
      <c r="D12" s="38"/>
      <c r="E12" s="37"/>
      <c r="F12" s="37"/>
      <c r="G12" s="685"/>
      <c r="H12" s="685"/>
      <c r="I12" s="685"/>
      <c r="J12" s="685"/>
      <c r="K12" s="685"/>
      <c r="L12" s="685"/>
      <c r="M12" s="685"/>
      <c r="N12" s="685"/>
      <c r="O12" s="685"/>
      <c r="P12" s="685"/>
      <c r="Q12" s="685"/>
      <c r="R12" s="685"/>
      <c r="S12" s="685"/>
      <c r="T12" s="685"/>
      <c r="U12" s="685"/>
      <c r="V12" s="685"/>
      <c r="W12" s="37"/>
      <c r="X12" s="37"/>
    </row>
    <row r="13" spans="1:24" ht="18" customHeight="1" x14ac:dyDescent="0.35">
      <c r="A13" s="38"/>
      <c r="B13" s="38"/>
      <c r="C13" s="38"/>
      <c r="D13" s="38"/>
      <c r="E13" s="37"/>
      <c r="F13" s="37"/>
      <c r="G13" s="685"/>
      <c r="H13" s="685"/>
      <c r="I13" s="685"/>
      <c r="J13" s="685"/>
      <c r="K13" s="685"/>
      <c r="L13" s="685"/>
      <c r="M13" s="685"/>
      <c r="N13" s="685"/>
      <c r="O13" s="685"/>
      <c r="P13" s="685"/>
      <c r="Q13" s="685"/>
      <c r="R13" s="685"/>
      <c r="S13" s="685"/>
      <c r="T13" s="685"/>
      <c r="U13" s="685"/>
      <c r="V13" s="685"/>
      <c r="W13" s="37"/>
      <c r="X13" s="37"/>
    </row>
    <row r="14" spans="1:24" ht="18" customHeight="1" x14ac:dyDescent="0.35">
      <c r="A14" s="38"/>
      <c r="B14" s="38"/>
      <c r="C14" s="38"/>
      <c r="D14" s="38"/>
      <c r="E14" s="37"/>
      <c r="F14" s="37"/>
      <c r="G14" s="685"/>
      <c r="H14" s="685"/>
      <c r="I14" s="685"/>
      <c r="J14" s="685"/>
      <c r="K14" s="685"/>
      <c r="L14" s="685"/>
      <c r="M14" s="685"/>
      <c r="N14" s="685"/>
      <c r="O14" s="685"/>
      <c r="P14" s="685"/>
      <c r="Q14" s="685"/>
      <c r="R14" s="685"/>
      <c r="S14" s="685"/>
      <c r="T14" s="685"/>
      <c r="U14" s="685"/>
      <c r="V14" s="685"/>
      <c r="W14" s="37"/>
      <c r="X14" s="37"/>
    </row>
    <row r="15" spans="1:24" ht="18" customHeight="1" x14ac:dyDescent="0.35">
      <c r="A15" s="38"/>
      <c r="B15" s="38"/>
      <c r="C15" s="38"/>
      <c r="D15" s="38"/>
      <c r="E15" s="37"/>
      <c r="F15" s="37"/>
      <c r="G15" s="42"/>
      <c r="H15" s="42"/>
      <c r="I15" s="42"/>
      <c r="J15" s="42"/>
      <c r="K15" s="42"/>
      <c r="L15" s="42"/>
      <c r="M15" s="42"/>
      <c r="N15" s="42"/>
      <c r="O15" s="42"/>
      <c r="P15" s="42"/>
      <c r="Q15" s="42"/>
      <c r="R15" s="42"/>
      <c r="S15" s="42"/>
      <c r="T15" s="42"/>
      <c r="U15" s="42"/>
      <c r="V15" s="42"/>
      <c r="W15" s="37"/>
      <c r="X15" s="37"/>
    </row>
    <row r="16" spans="1:24" ht="18" customHeight="1" x14ac:dyDescent="0.35">
      <c r="A16" s="38"/>
      <c r="B16" s="38"/>
      <c r="C16" s="38"/>
      <c r="D16" s="38"/>
      <c r="E16" s="37"/>
      <c r="F16" s="37"/>
      <c r="G16" s="37"/>
      <c r="H16" s="37"/>
      <c r="I16" s="37"/>
      <c r="J16" s="37"/>
      <c r="K16" s="37"/>
      <c r="L16" s="37"/>
      <c r="M16" s="37"/>
      <c r="N16" s="39"/>
      <c r="O16" s="39"/>
      <c r="P16" s="37"/>
      <c r="Q16" s="37"/>
      <c r="R16" s="37"/>
      <c r="S16" s="37"/>
      <c r="T16" s="37"/>
      <c r="U16" s="37"/>
      <c r="V16" s="37"/>
      <c r="W16" s="37"/>
      <c r="X16" s="37"/>
    </row>
    <row r="17" spans="1:24" ht="18" customHeight="1" x14ac:dyDescent="0.35">
      <c r="A17" s="38"/>
      <c r="B17" s="38"/>
      <c r="C17" s="38"/>
      <c r="D17" s="38"/>
      <c r="E17" s="37"/>
      <c r="F17" s="37"/>
      <c r="G17" s="37"/>
      <c r="H17" s="37"/>
      <c r="I17" s="37"/>
      <c r="J17" s="37"/>
      <c r="K17" s="37"/>
      <c r="L17" s="41"/>
      <c r="M17" s="41"/>
      <c r="N17" s="41"/>
      <c r="O17" s="41"/>
      <c r="P17" s="41"/>
      <c r="Q17" s="41"/>
      <c r="R17" s="37"/>
      <c r="S17" s="37"/>
      <c r="T17" s="37"/>
      <c r="U17" s="37"/>
      <c r="V17" s="37"/>
      <c r="W17" s="37"/>
      <c r="X17" s="37"/>
    </row>
    <row r="18" spans="1:24" ht="18" customHeight="1" x14ac:dyDescent="0.35">
      <c r="A18" s="38"/>
      <c r="B18" s="38"/>
      <c r="C18" s="38"/>
      <c r="D18" s="38"/>
      <c r="E18" s="37"/>
      <c r="F18" s="37"/>
      <c r="G18" s="37"/>
      <c r="H18" s="37"/>
      <c r="I18" s="37"/>
      <c r="J18" s="37"/>
      <c r="K18" s="37"/>
      <c r="L18" s="41"/>
      <c r="M18" s="41"/>
      <c r="N18" s="41"/>
      <c r="O18" s="41"/>
      <c r="P18" s="41"/>
      <c r="Q18" s="41"/>
      <c r="R18" s="37"/>
      <c r="S18" s="37"/>
      <c r="T18" s="37"/>
      <c r="U18" s="37"/>
      <c r="V18" s="37"/>
      <c r="W18" s="37"/>
      <c r="X18" s="37"/>
    </row>
    <row r="19" spans="1:24" ht="18" customHeight="1" x14ac:dyDescent="0.35">
      <c r="A19" s="38"/>
      <c r="B19" s="38"/>
      <c r="C19" s="38"/>
      <c r="D19" s="38"/>
      <c r="E19" s="37"/>
      <c r="F19" s="37"/>
      <c r="G19" s="37"/>
      <c r="H19" s="37"/>
      <c r="I19" s="37"/>
      <c r="J19" s="37"/>
      <c r="K19" s="37"/>
      <c r="L19" s="41"/>
      <c r="M19" s="41"/>
      <c r="N19" s="41"/>
      <c r="O19" s="41"/>
      <c r="P19" s="41"/>
      <c r="Q19" s="41"/>
      <c r="R19" s="37"/>
      <c r="S19" s="37"/>
      <c r="T19" s="37"/>
      <c r="U19" s="37"/>
      <c r="V19" s="37"/>
      <c r="W19" s="37"/>
      <c r="X19" s="37"/>
    </row>
    <row r="20" spans="1:24" ht="18" customHeight="1" x14ac:dyDescent="0.35">
      <c r="A20" s="38"/>
      <c r="B20" s="38"/>
      <c r="C20" s="38"/>
      <c r="D20" s="38"/>
      <c r="E20" s="37"/>
      <c r="F20" s="37"/>
      <c r="G20" s="37"/>
      <c r="H20" s="37"/>
      <c r="I20" s="37"/>
      <c r="J20" s="37"/>
      <c r="K20" s="37"/>
      <c r="L20" s="41"/>
      <c r="M20" s="41"/>
      <c r="N20" s="41"/>
      <c r="O20" s="41"/>
      <c r="P20" s="41"/>
      <c r="Q20" s="41"/>
      <c r="R20" s="37"/>
      <c r="S20" s="37"/>
      <c r="T20" s="37"/>
      <c r="U20" s="37"/>
      <c r="V20" s="37"/>
      <c r="W20" s="37"/>
      <c r="X20" s="37"/>
    </row>
    <row r="21" spans="1:24" ht="18" customHeight="1" x14ac:dyDescent="0.35">
      <c r="A21" s="38"/>
      <c r="B21" s="38"/>
      <c r="C21" s="38"/>
      <c r="D21" s="38"/>
      <c r="E21" s="37"/>
      <c r="F21" s="37"/>
      <c r="G21" s="37"/>
      <c r="H21" s="37"/>
      <c r="I21" s="37"/>
      <c r="J21" s="37"/>
      <c r="K21" s="37"/>
      <c r="L21" s="41"/>
      <c r="M21" s="41"/>
      <c r="N21" s="41"/>
      <c r="O21" s="41"/>
      <c r="P21" s="41"/>
      <c r="Q21" s="41"/>
      <c r="R21" s="37"/>
      <c r="S21" s="37"/>
      <c r="T21" s="37"/>
      <c r="U21" s="37"/>
      <c r="V21" s="37"/>
      <c r="W21" s="37"/>
      <c r="X21" s="37"/>
    </row>
    <row r="22" spans="1:24" ht="18" customHeight="1" x14ac:dyDescent="0.35">
      <c r="A22" s="38"/>
      <c r="B22" s="38"/>
      <c r="C22" s="38"/>
      <c r="D22" s="38"/>
      <c r="E22" s="37"/>
      <c r="F22" s="37"/>
      <c r="G22" s="37"/>
      <c r="H22" s="37"/>
      <c r="I22" s="37"/>
      <c r="J22" s="37"/>
      <c r="K22" s="37"/>
      <c r="L22" s="41"/>
      <c r="M22" s="41"/>
      <c r="N22" s="41"/>
      <c r="O22" s="41"/>
      <c r="P22" s="41"/>
      <c r="Q22" s="41"/>
      <c r="R22" s="37"/>
      <c r="S22" s="37"/>
      <c r="T22" s="37"/>
      <c r="U22" s="37"/>
      <c r="V22" s="37"/>
      <c r="W22" s="37"/>
      <c r="X22" s="37"/>
    </row>
    <row r="23" spans="1:24" ht="18" customHeight="1" x14ac:dyDescent="0.35">
      <c r="A23" s="38"/>
      <c r="B23" s="38"/>
      <c r="C23" s="38"/>
      <c r="D23" s="38"/>
      <c r="E23" s="37"/>
      <c r="F23" s="37"/>
      <c r="G23" s="37"/>
      <c r="H23" s="37"/>
      <c r="I23" s="37"/>
      <c r="J23" s="37"/>
      <c r="K23" s="37"/>
      <c r="L23" s="41"/>
      <c r="M23" s="41"/>
      <c r="N23" s="41"/>
      <c r="O23" s="41"/>
      <c r="P23" s="41"/>
      <c r="Q23" s="41"/>
      <c r="R23" s="37"/>
      <c r="S23" s="37"/>
      <c r="T23" s="37"/>
      <c r="U23" s="37"/>
      <c r="V23" s="37"/>
      <c r="W23" s="37"/>
      <c r="X23" s="37"/>
    </row>
    <row r="24" spans="1:24" ht="18" customHeight="1" x14ac:dyDescent="0.35">
      <c r="A24" s="38"/>
      <c r="B24" s="38"/>
      <c r="C24" s="38"/>
      <c r="D24" s="38"/>
      <c r="E24" s="37"/>
      <c r="F24" s="37"/>
      <c r="G24" s="37"/>
      <c r="H24" s="37"/>
      <c r="I24" s="37"/>
      <c r="J24" s="37"/>
      <c r="K24" s="37"/>
      <c r="L24" s="41"/>
      <c r="M24" s="41"/>
      <c r="N24" s="41"/>
      <c r="O24" s="41"/>
      <c r="P24" s="41"/>
      <c r="Q24" s="41"/>
      <c r="R24" s="37"/>
      <c r="S24" s="37"/>
      <c r="T24" s="37"/>
      <c r="U24" s="37"/>
      <c r="V24" s="37"/>
      <c r="W24" s="37"/>
      <c r="X24" s="37"/>
    </row>
    <row r="25" spans="1:24" ht="18" customHeight="1" x14ac:dyDescent="0.35">
      <c r="A25" s="38"/>
      <c r="B25" s="38"/>
      <c r="C25" s="38"/>
      <c r="D25" s="38"/>
      <c r="E25" s="37"/>
      <c r="F25" s="37"/>
      <c r="G25" s="37"/>
      <c r="H25" s="37"/>
      <c r="I25" s="37"/>
      <c r="J25" s="37"/>
      <c r="K25" s="37"/>
      <c r="L25" s="37"/>
      <c r="M25" s="37"/>
      <c r="N25" s="39"/>
      <c r="O25" s="39"/>
      <c r="P25" s="37"/>
      <c r="Q25" s="37"/>
      <c r="R25" s="37"/>
      <c r="S25" s="37"/>
      <c r="T25" s="37"/>
      <c r="U25" s="37"/>
      <c r="V25" s="37"/>
      <c r="W25" s="37"/>
      <c r="X25" s="37"/>
    </row>
    <row r="26" spans="1:24" ht="18" customHeight="1" x14ac:dyDescent="0.35">
      <c r="A26" s="38"/>
      <c r="B26" s="38"/>
      <c r="C26" s="38"/>
      <c r="D26" s="38"/>
      <c r="E26" s="37"/>
      <c r="F26" s="37"/>
      <c r="G26" s="37"/>
      <c r="H26" s="37"/>
      <c r="I26" s="37"/>
      <c r="J26" s="37"/>
      <c r="K26" s="37"/>
      <c r="L26" s="37"/>
      <c r="M26" s="37"/>
      <c r="N26" s="39"/>
      <c r="O26" s="39"/>
      <c r="P26" s="37"/>
      <c r="Q26" s="37"/>
      <c r="R26" s="37"/>
      <c r="S26" s="37"/>
      <c r="T26" s="37"/>
      <c r="U26" s="37"/>
      <c r="V26" s="37"/>
      <c r="W26" s="37"/>
      <c r="X26" s="37"/>
    </row>
    <row r="27" spans="1:24" ht="18" customHeight="1" x14ac:dyDescent="0.35">
      <c r="A27" s="38"/>
      <c r="B27" s="38"/>
      <c r="C27" s="38"/>
      <c r="D27" s="38"/>
      <c r="E27" s="37"/>
      <c r="F27" s="37"/>
      <c r="G27" s="37"/>
      <c r="H27" s="37"/>
      <c r="I27" s="37"/>
      <c r="J27" s="37"/>
      <c r="K27" s="37"/>
      <c r="L27" s="37"/>
      <c r="M27" s="37"/>
      <c r="N27" s="39"/>
      <c r="O27" s="39"/>
      <c r="P27" s="37"/>
      <c r="Q27" s="37"/>
      <c r="R27" s="37"/>
      <c r="S27" s="37"/>
      <c r="T27" s="37"/>
      <c r="U27" s="37"/>
      <c r="V27" s="37"/>
      <c r="W27" s="37"/>
      <c r="X27" s="37"/>
    </row>
    <row r="28" spans="1:24" ht="18" customHeight="1" x14ac:dyDescent="0.35">
      <c r="A28" s="38"/>
      <c r="B28" s="38"/>
      <c r="C28" s="38"/>
      <c r="D28" s="38"/>
      <c r="E28" s="37"/>
      <c r="F28" s="37"/>
      <c r="G28" s="37"/>
      <c r="H28" s="37"/>
      <c r="I28" s="37"/>
      <c r="J28" s="37"/>
      <c r="K28" s="37"/>
      <c r="L28" s="37"/>
      <c r="M28" s="37"/>
      <c r="N28" s="39"/>
      <c r="O28" s="39"/>
      <c r="P28" s="37"/>
      <c r="Q28" s="37"/>
      <c r="R28" s="37"/>
      <c r="S28" s="37"/>
      <c r="T28" s="37"/>
      <c r="U28" s="37"/>
      <c r="V28" s="37"/>
      <c r="W28" s="37"/>
      <c r="X28" s="37"/>
    </row>
    <row r="29" spans="1:24" ht="30" customHeight="1" x14ac:dyDescent="0.35">
      <c r="A29" s="38"/>
      <c r="B29" s="38"/>
      <c r="C29" s="38"/>
      <c r="D29" s="38"/>
      <c r="E29" s="37"/>
      <c r="F29" s="37"/>
      <c r="G29" s="709" t="s">
        <v>118</v>
      </c>
      <c r="H29" s="709"/>
      <c r="I29" s="709"/>
      <c r="J29" s="709"/>
      <c r="K29" s="709"/>
      <c r="L29" s="709"/>
      <c r="M29" s="709"/>
      <c r="N29" s="709"/>
      <c r="O29" s="709"/>
      <c r="P29" s="709"/>
      <c r="Q29" s="709"/>
      <c r="R29" s="709"/>
      <c r="S29" s="709"/>
      <c r="T29" s="709"/>
      <c r="U29" s="709"/>
      <c r="V29" s="709"/>
      <c r="W29" s="37"/>
      <c r="X29" s="37"/>
    </row>
    <row r="30" spans="1:24" ht="32.25" customHeight="1" x14ac:dyDescent="0.35">
      <c r="A30" s="38"/>
      <c r="B30" s="38"/>
      <c r="C30" s="38"/>
      <c r="D30" s="38"/>
      <c r="E30" s="37"/>
      <c r="F30" s="37"/>
      <c r="G30" s="713" t="str">
        <f>VLOOKUP(K2,datasantri,2,FALSE)</f>
        <v>KHADAFI AGISTA MUSYAFA</v>
      </c>
      <c r="H30" s="714"/>
      <c r="I30" s="714"/>
      <c r="J30" s="714"/>
      <c r="K30" s="714"/>
      <c r="L30" s="714"/>
      <c r="M30" s="714"/>
      <c r="N30" s="714"/>
      <c r="O30" s="714"/>
      <c r="P30" s="714"/>
      <c r="Q30" s="714"/>
      <c r="R30" s="714"/>
      <c r="S30" s="714"/>
      <c r="T30" s="714"/>
      <c r="U30" s="714"/>
      <c r="V30" s="715"/>
      <c r="W30" s="37"/>
      <c r="X30" s="37"/>
    </row>
    <row r="31" spans="1:24" ht="18" customHeight="1" x14ac:dyDescent="0.35">
      <c r="A31" s="38"/>
      <c r="B31" s="38"/>
      <c r="C31" s="38"/>
      <c r="D31" s="38"/>
      <c r="E31" s="37"/>
      <c r="F31" s="37"/>
      <c r="G31" s="43"/>
      <c r="H31" s="43"/>
      <c r="I31" s="43"/>
      <c r="J31" s="43"/>
      <c r="K31" s="43"/>
      <c r="L31" s="43"/>
      <c r="M31" s="43"/>
      <c r="N31" s="43"/>
      <c r="O31" s="43"/>
      <c r="P31" s="43"/>
      <c r="Q31" s="43"/>
      <c r="R31" s="43"/>
      <c r="S31" s="43"/>
      <c r="T31" s="43"/>
      <c r="U31" s="43"/>
      <c r="V31" s="43"/>
      <c r="W31" s="37"/>
      <c r="X31" s="37"/>
    </row>
    <row r="32" spans="1:24" s="34" customFormat="1" ht="22.5" customHeight="1" x14ac:dyDescent="0.35">
      <c r="A32" s="27"/>
      <c r="B32" s="27"/>
      <c r="C32" s="27"/>
      <c r="D32" s="27"/>
      <c r="E32" s="44"/>
      <c r="F32" s="44"/>
      <c r="G32" s="704" t="s">
        <v>234</v>
      </c>
      <c r="H32" s="704"/>
      <c r="I32" s="704"/>
      <c r="J32" s="704"/>
      <c r="K32" s="704"/>
      <c r="L32" s="704"/>
      <c r="M32" s="704"/>
      <c r="N32" s="704"/>
      <c r="O32" s="704"/>
      <c r="P32" s="704"/>
      <c r="Q32" s="704"/>
      <c r="R32" s="704"/>
      <c r="S32" s="704"/>
      <c r="T32" s="704"/>
      <c r="U32" s="704"/>
      <c r="V32" s="704"/>
      <c r="W32" s="44"/>
      <c r="X32" s="44"/>
    </row>
    <row r="33" spans="5:24" s="34" customFormat="1" ht="32.25" customHeight="1" x14ac:dyDescent="0.35">
      <c r="E33" s="44"/>
      <c r="F33" s="44"/>
      <c r="G33" s="705" t="str">
        <f>VLOOKUP(K2,datasantri,6,FALSE)</f>
        <v>0094647128</v>
      </c>
      <c r="H33" s="706"/>
      <c r="I33" s="706"/>
      <c r="J33" s="706"/>
      <c r="K33" s="706"/>
      <c r="L33" s="706"/>
      <c r="M33" s="706"/>
      <c r="N33" s="706"/>
      <c r="O33" s="706"/>
      <c r="P33" s="706"/>
      <c r="Q33" s="706"/>
      <c r="R33" s="706"/>
      <c r="S33" s="706"/>
      <c r="T33" s="706"/>
      <c r="U33" s="706"/>
      <c r="V33" s="707"/>
      <c r="W33" s="44"/>
      <c r="X33" s="44"/>
    </row>
    <row r="34" spans="5:24" ht="18" customHeight="1" x14ac:dyDescent="0.35">
      <c r="E34" s="37"/>
      <c r="F34" s="37"/>
      <c r="G34" s="37"/>
      <c r="H34" s="37"/>
      <c r="I34" s="37"/>
      <c r="J34" s="37"/>
      <c r="K34" s="37"/>
      <c r="L34" s="37"/>
      <c r="M34" s="37"/>
      <c r="N34" s="39"/>
      <c r="O34" s="39"/>
      <c r="P34" s="37"/>
      <c r="Q34" s="37"/>
      <c r="R34" s="37"/>
      <c r="S34" s="37"/>
      <c r="T34" s="37"/>
      <c r="U34" s="37"/>
      <c r="V34" s="37"/>
      <c r="W34" s="37"/>
      <c r="X34" s="37"/>
    </row>
    <row r="35" spans="5:24" ht="18" customHeight="1" x14ac:dyDescent="0.35">
      <c r="E35" s="37"/>
      <c r="F35" s="37"/>
      <c r="G35" s="37"/>
      <c r="H35" s="37"/>
      <c r="I35" s="37"/>
      <c r="J35" s="37"/>
      <c r="K35" s="37"/>
      <c r="L35" s="37"/>
      <c r="M35" s="37"/>
      <c r="N35" s="39"/>
      <c r="O35" s="39"/>
      <c r="P35" s="37"/>
      <c r="Q35" s="37"/>
      <c r="R35" s="37"/>
      <c r="S35" s="37"/>
      <c r="T35" s="37"/>
      <c r="U35" s="37"/>
      <c r="V35" s="37"/>
      <c r="W35" s="37"/>
      <c r="X35" s="37"/>
    </row>
    <row r="36" spans="5:24" x14ac:dyDescent="0.35">
      <c r="E36" s="37"/>
      <c r="F36" s="37"/>
      <c r="G36" s="37"/>
      <c r="H36" s="37"/>
      <c r="I36" s="37"/>
      <c r="J36" s="37"/>
      <c r="K36" s="37"/>
      <c r="L36" s="37"/>
      <c r="M36" s="37"/>
      <c r="N36" s="39"/>
      <c r="O36" s="39"/>
      <c r="P36" s="37"/>
      <c r="Q36" s="37"/>
      <c r="R36" s="37"/>
      <c r="S36" s="37"/>
      <c r="T36" s="37"/>
      <c r="U36" s="37"/>
      <c r="V36" s="37"/>
      <c r="W36" s="37"/>
      <c r="X36" s="37"/>
    </row>
    <row r="37" spans="5:24" x14ac:dyDescent="0.35">
      <c r="E37" s="37"/>
      <c r="F37" s="37"/>
      <c r="G37" s="37"/>
      <c r="H37" s="37"/>
      <c r="I37" s="37"/>
      <c r="J37" s="37"/>
      <c r="K37" s="37"/>
      <c r="L37" s="37"/>
      <c r="M37" s="37"/>
      <c r="N37" s="39"/>
      <c r="O37" s="39"/>
      <c r="P37" s="37"/>
      <c r="Q37" s="37"/>
      <c r="R37" s="37"/>
      <c r="S37" s="37"/>
      <c r="T37" s="37"/>
      <c r="U37" s="37"/>
      <c r="V37" s="37"/>
      <c r="W37" s="37"/>
      <c r="X37" s="37"/>
    </row>
    <row r="38" spans="5:24" x14ac:dyDescent="0.35">
      <c r="E38" s="37"/>
      <c r="F38" s="37"/>
      <c r="G38" s="717" t="s">
        <v>242</v>
      </c>
      <c r="H38" s="718"/>
      <c r="I38" s="718"/>
      <c r="J38" s="718"/>
      <c r="K38" s="718"/>
      <c r="L38" s="718"/>
      <c r="M38" s="718"/>
      <c r="N38" s="718"/>
      <c r="O38" s="718"/>
      <c r="P38" s="718"/>
      <c r="Q38" s="718"/>
      <c r="R38" s="718"/>
      <c r="S38" s="718"/>
      <c r="T38" s="718"/>
      <c r="U38" s="718"/>
      <c r="V38" s="718"/>
      <c r="W38" s="37"/>
      <c r="X38" s="37"/>
    </row>
    <row r="39" spans="5:24" x14ac:dyDescent="0.35">
      <c r="E39" s="37"/>
      <c r="F39" s="37"/>
      <c r="G39" s="717"/>
      <c r="H39" s="718"/>
      <c r="I39" s="718"/>
      <c r="J39" s="718"/>
      <c r="K39" s="718"/>
      <c r="L39" s="718"/>
      <c r="M39" s="718"/>
      <c r="N39" s="718"/>
      <c r="O39" s="718"/>
      <c r="P39" s="718"/>
      <c r="Q39" s="718"/>
      <c r="R39" s="718"/>
      <c r="S39" s="718"/>
      <c r="T39" s="718"/>
      <c r="U39" s="718"/>
      <c r="V39" s="718"/>
      <c r="W39" s="37"/>
      <c r="X39" s="37"/>
    </row>
    <row r="40" spans="5:24" x14ac:dyDescent="0.35">
      <c r="E40" s="37"/>
      <c r="F40" s="37"/>
      <c r="G40" s="717"/>
      <c r="H40" s="718"/>
      <c r="I40" s="718"/>
      <c r="J40" s="718"/>
      <c r="K40" s="718"/>
      <c r="L40" s="718"/>
      <c r="M40" s="718"/>
      <c r="N40" s="718"/>
      <c r="O40" s="718"/>
      <c r="P40" s="718"/>
      <c r="Q40" s="718"/>
      <c r="R40" s="718"/>
      <c r="S40" s="718"/>
      <c r="T40" s="718"/>
      <c r="U40" s="718"/>
      <c r="V40" s="718"/>
      <c r="W40" s="37"/>
      <c r="X40" s="37"/>
    </row>
    <row r="41" spans="5:24" x14ac:dyDescent="0.35">
      <c r="E41" s="37"/>
      <c r="F41" s="37"/>
      <c r="G41" s="717"/>
      <c r="H41" s="718"/>
      <c r="I41" s="718"/>
      <c r="J41" s="718"/>
      <c r="K41" s="718"/>
      <c r="L41" s="718"/>
      <c r="M41" s="718"/>
      <c r="N41" s="718"/>
      <c r="O41" s="718"/>
      <c r="P41" s="718"/>
      <c r="Q41" s="718"/>
      <c r="R41" s="718"/>
      <c r="S41" s="718"/>
      <c r="T41" s="718"/>
      <c r="U41" s="718"/>
      <c r="V41" s="718"/>
      <c r="W41" s="37"/>
      <c r="X41" s="37"/>
    </row>
    <row r="42" spans="5:24" ht="15" customHeight="1" x14ac:dyDescent="0.35">
      <c r="E42" s="37"/>
      <c r="F42" s="37"/>
      <c r="G42" s="716" t="s">
        <v>235</v>
      </c>
      <c r="H42" s="716"/>
      <c r="I42" s="716"/>
      <c r="J42" s="716"/>
      <c r="K42" s="716"/>
      <c r="L42" s="716"/>
      <c r="M42" s="716"/>
      <c r="N42" s="716"/>
      <c r="O42" s="716"/>
      <c r="P42" s="716"/>
      <c r="Q42" s="716"/>
      <c r="R42" s="716"/>
      <c r="S42" s="716"/>
      <c r="T42" s="716"/>
      <c r="U42" s="716"/>
      <c r="V42" s="716"/>
      <c r="W42" s="37"/>
      <c r="X42" s="37"/>
    </row>
    <row r="43" spans="5:24" x14ac:dyDescent="0.35">
      <c r="E43" s="37"/>
      <c r="F43" s="37"/>
      <c r="G43" s="716"/>
      <c r="H43" s="716"/>
      <c r="I43" s="716"/>
      <c r="J43" s="716"/>
      <c r="K43" s="716"/>
      <c r="L43" s="716"/>
      <c r="M43" s="716"/>
      <c r="N43" s="716"/>
      <c r="O43" s="716"/>
      <c r="P43" s="716"/>
      <c r="Q43" s="716"/>
      <c r="R43" s="716"/>
      <c r="S43" s="716"/>
      <c r="T43" s="716"/>
      <c r="U43" s="716"/>
      <c r="V43" s="716"/>
      <c r="W43" s="37"/>
      <c r="X43" s="37"/>
    </row>
    <row r="44" spans="5:24" x14ac:dyDescent="0.35">
      <c r="E44" s="37"/>
      <c r="F44" s="37"/>
      <c r="G44" s="716"/>
      <c r="H44" s="716"/>
      <c r="I44" s="716"/>
      <c r="J44" s="716"/>
      <c r="K44" s="716"/>
      <c r="L44" s="716"/>
      <c r="M44" s="716"/>
      <c r="N44" s="716"/>
      <c r="O44" s="716"/>
      <c r="P44" s="716"/>
      <c r="Q44" s="716"/>
      <c r="R44" s="716"/>
      <c r="S44" s="716"/>
      <c r="T44" s="716"/>
      <c r="U44" s="716"/>
      <c r="V44" s="716"/>
      <c r="W44" s="37"/>
      <c r="X44" s="37"/>
    </row>
    <row r="45" spans="5:24" x14ac:dyDescent="0.35">
      <c r="E45" s="37"/>
      <c r="F45" s="37"/>
      <c r="G45" s="716"/>
      <c r="H45" s="716"/>
      <c r="I45" s="716"/>
      <c r="J45" s="716"/>
      <c r="K45" s="716"/>
      <c r="L45" s="716"/>
      <c r="M45" s="716"/>
      <c r="N45" s="716"/>
      <c r="O45" s="716"/>
      <c r="P45" s="716"/>
      <c r="Q45" s="716"/>
      <c r="R45" s="716"/>
      <c r="S45" s="716"/>
      <c r="T45" s="716"/>
      <c r="U45" s="716"/>
      <c r="V45" s="716"/>
      <c r="W45" s="37"/>
      <c r="X45" s="37"/>
    </row>
    <row r="46" spans="5:24" x14ac:dyDescent="0.35">
      <c r="E46" s="37"/>
      <c r="F46" s="37"/>
      <c r="G46" s="37"/>
      <c r="H46" s="37"/>
      <c r="I46" s="37"/>
      <c r="J46" s="37"/>
      <c r="K46" s="37"/>
      <c r="L46" s="37"/>
      <c r="M46" s="37"/>
      <c r="N46" s="39"/>
      <c r="O46" s="39"/>
      <c r="P46" s="37"/>
      <c r="Q46" s="37"/>
      <c r="R46" s="37"/>
      <c r="S46" s="37"/>
      <c r="T46" s="37"/>
      <c r="U46" s="37"/>
      <c r="V46" s="37"/>
      <c r="W46" s="37"/>
      <c r="X46" s="37"/>
    </row>
    <row r="47" spans="5:24" x14ac:dyDescent="0.35">
      <c r="E47" s="37"/>
      <c r="F47" s="37"/>
      <c r="G47" s="37"/>
      <c r="H47" s="37"/>
      <c r="I47" s="37"/>
      <c r="J47" s="37"/>
      <c r="K47" s="37"/>
      <c r="L47" s="37"/>
      <c r="M47" s="37"/>
      <c r="N47" s="39"/>
      <c r="O47" s="39"/>
      <c r="P47" s="37"/>
      <c r="Q47" s="37"/>
      <c r="R47" s="37"/>
      <c r="S47" s="37"/>
      <c r="T47" s="37"/>
      <c r="U47" s="37"/>
      <c r="V47" s="37"/>
      <c r="W47" s="37"/>
      <c r="X47" s="37"/>
    </row>
    <row r="48" spans="5:24" x14ac:dyDescent="0.35">
      <c r="E48" s="37"/>
      <c r="F48" s="37"/>
      <c r="G48" s="37"/>
      <c r="H48" s="37"/>
      <c r="I48" s="37"/>
      <c r="J48" s="37"/>
      <c r="K48" s="37"/>
      <c r="L48" s="37"/>
      <c r="M48" s="37"/>
      <c r="N48" s="39"/>
      <c r="O48" s="39"/>
      <c r="P48" s="37"/>
      <c r="Q48" s="37"/>
      <c r="R48" s="37"/>
      <c r="S48" s="37"/>
      <c r="T48" s="37"/>
      <c r="U48" s="37"/>
      <c r="V48" s="37"/>
      <c r="W48" s="37"/>
      <c r="X48" s="37"/>
    </row>
    <row r="49" spans="5:24" x14ac:dyDescent="0.35">
      <c r="E49" s="37"/>
      <c r="F49" s="37"/>
      <c r="G49" s="37"/>
      <c r="H49" s="37"/>
      <c r="I49" s="37"/>
      <c r="J49" s="37"/>
      <c r="K49" s="37"/>
      <c r="L49" s="37"/>
      <c r="M49" s="37"/>
      <c r="N49" s="39"/>
      <c r="O49" s="39"/>
      <c r="P49" s="37"/>
      <c r="Q49" s="37"/>
      <c r="R49" s="37"/>
      <c r="S49" s="37"/>
      <c r="T49" s="37"/>
      <c r="U49" s="37"/>
      <c r="V49" s="37"/>
      <c r="W49" s="37"/>
      <c r="X49" s="37"/>
    </row>
    <row r="50" spans="5:24" x14ac:dyDescent="0.35">
      <c r="E50" s="37"/>
      <c r="F50" s="37"/>
      <c r="G50" s="37"/>
      <c r="H50" s="37"/>
      <c r="I50" s="37"/>
      <c r="J50" s="37"/>
      <c r="K50" s="37"/>
      <c r="L50" s="37"/>
      <c r="M50" s="37"/>
      <c r="N50" s="39"/>
      <c r="O50" s="39"/>
      <c r="P50" s="37"/>
      <c r="Q50" s="37"/>
      <c r="R50" s="37"/>
      <c r="S50" s="37"/>
      <c r="T50" s="37"/>
      <c r="U50" s="37"/>
      <c r="V50" s="37"/>
      <c r="W50" s="37"/>
      <c r="X50" s="37"/>
    </row>
    <row r="51" spans="5:24" x14ac:dyDescent="0.35">
      <c r="E51" s="37"/>
      <c r="F51" s="37"/>
      <c r="G51" s="37"/>
      <c r="H51" s="37"/>
      <c r="I51" s="37"/>
      <c r="J51" s="37"/>
      <c r="K51" s="37"/>
      <c r="L51" s="37"/>
      <c r="M51" s="37"/>
      <c r="N51" s="39"/>
      <c r="O51" s="39"/>
      <c r="P51" s="37"/>
      <c r="Q51" s="37"/>
      <c r="R51" s="37"/>
      <c r="S51" s="37"/>
      <c r="T51" s="37"/>
      <c r="U51" s="37"/>
      <c r="V51" s="37"/>
      <c r="W51" s="37"/>
      <c r="X51" s="37"/>
    </row>
    <row r="55" spans="5:24" ht="15.5" x14ac:dyDescent="0.35">
      <c r="E55" s="701" t="s">
        <v>94</v>
      </c>
      <c r="F55" s="701"/>
      <c r="G55" s="701"/>
      <c r="H55" s="701"/>
      <c r="I55" s="701"/>
      <c r="J55" s="701"/>
      <c r="K55" s="701"/>
      <c r="L55" s="701"/>
      <c r="M55" s="701"/>
      <c r="N55" s="701"/>
      <c r="O55" s="701"/>
      <c r="P55" s="701"/>
      <c r="Q55" s="701"/>
      <c r="R55" s="701"/>
      <c r="S55" s="701"/>
      <c r="T55" s="701"/>
      <c r="U55" s="701"/>
      <c r="V55" s="701"/>
      <c r="W55" s="701"/>
      <c r="X55" s="701"/>
    </row>
    <row r="56" spans="5:24" ht="10.5" customHeight="1" x14ac:dyDescent="0.35"/>
    <row r="57" spans="5:24" s="34" customFormat="1" ht="9.75" customHeight="1" x14ac:dyDescent="0.35">
      <c r="W57"/>
      <c r="X57"/>
    </row>
    <row r="58" spans="5:24" s="34" customFormat="1" ht="18" customHeight="1" x14ac:dyDescent="0.35">
      <c r="F58" s="34">
        <v>1</v>
      </c>
      <c r="G58" s="34" t="s">
        <v>95</v>
      </c>
      <c r="M58" s="35" t="s">
        <v>1</v>
      </c>
      <c r="N58" s="48" t="str">
        <f>UPPER(VLOOKUP(K2,datasantri,2,FALSE))</f>
        <v>KHADAFI AGISTA MUSYAFA</v>
      </c>
      <c r="O58" s="48"/>
      <c r="P58" s="48"/>
      <c r="Q58" s="48"/>
      <c r="R58" s="48"/>
      <c r="S58" s="48"/>
      <c r="T58" s="48"/>
      <c r="U58" s="48"/>
      <c r="V58" s="48"/>
      <c r="W58"/>
      <c r="X58"/>
    </row>
    <row r="59" spans="5:24" s="34" customFormat="1" ht="18" customHeight="1" x14ac:dyDescent="0.35">
      <c r="F59" s="34">
        <v>2</v>
      </c>
      <c r="G59" s="34" t="s">
        <v>96</v>
      </c>
      <c r="M59" s="35" t="s">
        <v>1</v>
      </c>
      <c r="N59" s="48" t="str">
        <f>UPPER(VLOOKUP(K2,datasantri,5))&amp;" / "&amp;(VLOOKUP(K2,datasantri,6))</f>
        <v>11.2022.0301 / 0094647128</v>
      </c>
      <c r="O59" s="48"/>
      <c r="P59" s="48"/>
      <c r="Q59" s="48"/>
      <c r="R59" s="51"/>
      <c r="S59" s="48"/>
      <c r="T59" s="48"/>
      <c r="U59" s="48"/>
      <c r="V59" s="48"/>
      <c r="W59"/>
      <c r="X59"/>
    </row>
    <row r="60" spans="5:24" s="34" customFormat="1" ht="18" customHeight="1" x14ac:dyDescent="0.35">
      <c r="F60" s="34">
        <v>3</v>
      </c>
      <c r="G60" s="34" t="s">
        <v>97</v>
      </c>
      <c r="M60" s="35" t="s">
        <v>1</v>
      </c>
      <c r="N60" s="48" t="str">
        <f>UPPER(VLOOKUP(K2,datasantri,8))&amp;" , "&amp;TEXT(VLOOKUP(K2,datasantri,9),"dd mmmm yyyy")</f>
        <v>TEGAL , 23 Mei 2009</v>
      </c>
      <c r="O60" s="48"/>
      <c r="P60" s="48"/>
      <c r="Q60" s="48"/>
      <c r="R60" s="48"/>
      <c r="S60" s="48"/>
      <c r="T60" s="48"/>
      <c r="U60" s="48"/>
      <c r="V60" s="48"/>
      <c r="W60"/>
      <c r="X60"/>
    </row>
    <row r="61" spans="5:24" s="34" customFormat="1" ht="18" customHeight="1" x14ac:dyDescent="0.35">
      <c r="F61" s="34">
        <v>4</v>
      </c>
      <c r="G61" s="34" t="s">
        <v>98</v>
      </c>
      <c r="M61" s="35" t="s">
        <v>1</v>
      </c>
      <c r="N61" s="48" t="str">
        <f>UPPER(VLOOKUP(K2,datasantri,7,FALSE))</f>
        <v>LAKI-LAKI</v>
      </c>
      <c r="O61" s="48"/>
      <c r="P61" s="48"/>
      <c r="Q61" s="48"/>
      <c r="R61" s="48"/>
      <c r="S61" s="48"/>
      <c r="T61" s="48"/>
      <c r="U61" s="48"/>
      <c r="V61" s="48"/>
      <c r="W61"/>
      <c r="X61"/>
    </row>
    <row r="62" spans="5:24" s="34" customFormat="1" ht="18" customHeight="1" x14ac:dyDescent="0.35">
      <c r="F62" s="34">
        <v>5</v>
      </c>
      <c r="G62" s="34" t="s">
        <v>99</v>
      </c>
      <c r="M62" s="35" t="s">
        <v>1</v>
      </c>
      <c r="N62" s="48" t="s">
        <v>133</v>
      </c>
      <c r="O62" s="48"/>
      <c r="P62" s="48"/>
      <c r="Q62" s="48"/>
      <c r="R62" s="48"/>
      <c r="S62" s="48"/>
      <c r="T62" s="48"/>
      <c r="U62" s="48"/>
      <c r="V62" s="48"/>
      <c r="W62"/>
      <c r="X62"/>
    </row>
    <row r="63" spans="5:24" s="34" customFormat="1" ht="18" customHeight="1" x14ac:dyDescent="0.35">
      <c r="F63" s="34">
        <v>6</v>
      </c>
      <c r="G63" s="34" t="s">
        <v>100</v>
      </c>
      <c r="M63" s="35" t="s">
        <v>1</v>
      </c>
      <c r="N63" s="48" t="str">
        <f>UPPER(VLOOKUP(K2,datasantri,11,FALSE))</f>
        <v>ANAK KANDUNG</v>
      </c>
      <c r="O63" s="48"/>
      <c r="P63" s="48"/>
      <c r="Q63" s="48"/>
      <c r="R63" s="48"/>
      <c r="S63" s="48"/>
      <c r="T63" s="48"/>
      <c r="U63" s="48"/>
      <c r="V63" s="48"/>
      <c r="W63"/>
      <c r="X63"/>
    </row>
    <row r="64" spans="5:24" s="34" customFormat="1" ht="18" customHeight="1" x14ac:dyDescent="0.35">
      <c r="F64" s="34">
        <v>7</v>
      </c>
      <c r="G64" s="34" t="s">
        <v>101</v>
      </c>
      <c r="M64" s="35" t="s">
        <v>1</v>
      </c>
      <c r="N64" s="48" t="str">
        <f>UPPER(VLOOKUP(K2,datasantri,10,FALSE))</f>
        <v>2</v>
      </c>
      <c r="O64" s="48"/>
      <c r="P64" s="48"/>
      <c r="Q64" s="48"/>
      <c r="R64" s="48"/>
      <c r="S64" s="48"/>
      <c r="T64" s="48"/>
      <c r="U64" s="48"/>
      <c r="V64" s="48"/>
      <c r="W64"/>
      <c r="X64"/>
    </row>
    <row r="65" spans="6:24" s="34" customFormat="1" ht="27.75" customHeight="1" x14ac:dyDescent="0.35">
      <c r="F65" s="34">
        <v>8</v>
      </c>
      <c r="G65" s="34" t="s">
        <v>102</v>
      </c>
      <c r="M65" s="35" t="s">
        <v>1</v>
      </c>
      <c r="N65" s="696" t="str">
        <f>UPPER(VLOOKUP(K2,datasantri,12,FALSE))</f>
        <v>KARANGMULYA RT 01 RW 05,SURADADI ,TEGAL,JAWA TENGAH</v>
      </c>
      <c r="O65" s="696"/>
      <c r="P65" s="696"/>
      <c r="Q65" s="696"/>
      <c r="R65" s="696"/>
      <c r="S65" s="696"/>
      <c r="T65" s="696"/>
      <c r="U65" s="696"/>
      <c r="V65" s="696"/>
      <c r="W65"/>
      <c r="X65"/>
    </row>
    <row r="66" spans="6:24" s="34" customFormat="1" ht="18" customHeight="1" x14ac:dyDescent="0.35">
      <c r="M66" s="35"/>
      <c r="N66" s="697"/>
      <c r="O66" s="697"/>
      <c r="P66" s="697"/>
      <c r="Q66" s="697"/>
      <c r="R66" s="697"/>
      <c r="S66" s="697"/>
      <c r="T66" s="697"/>
      <c r="U66" s="697"/>
      <c r="V66" s="697"/>
      <c r="W66"/>
      <c r="X66"/>
    </row>
    <row r="67" spans="6:24" s="34" customFormat="1" ht="18" customHeight="1" x14ac:dyDescent="0.35">
      <c r="F67" s="34">
        <v>9</v>
      </c>
      <c r="G67" s="34" t="s">
        <v>134</v>
      </c>
      <c r="M67" s="35" t="s">
        <v>1</v>
      </c>
      <c r="N67" s="48" t="str">
        <f>UPPER(VLOOKUP(K2,datasantri,24,FALSE))</f>
        <v>081329446066</v>
      </c>
      <c r="O67" s="48"/>
      <c r="P67" s="48"/>
      <c r="Q67" s="48"/>
      <c r="R67" s="48"/>
      <c r="S67" s="48"/>
      <c r="T67" s="48"/>
      <c r="U67" s="48"/>
      <c r="V67" s="48"/>
      <c r="W67"/>
      <c r="X67"/>
    </row>
    <row r="68" spans="6:24" s="34" customFormat="1" ht="18" customHeight="1" x14ac:dyDescent="0.35">
      <c r="F68" s="34">
        <v>10</v>
      </c>
      <c r="G68" s="34" t="s">
        <v>104</v>
      </c>
      <c r="M68" s="35" t="s">
        <v>1</v>
      </c>
      <c r="N68" s="48" t="str">
        <f>UPPER(VLOOKUP(K2,datasantri,16,FALSE))</f>
        <v>SD AL IRSYAD TEGAL</v>
      </c>
      <c r="O68" s="48"/>
      <c r="P68" s="48"/>
      <c r="Q68" s="48"/>
      <c r="R68" s="48"/>
      <c r="S68" s="48"/>
      <c r="T68" s="48"/>
      <c r="U68" s="48"/>
      <c r="V68" s="48"/>
      <c r="W68"/>
      <c r="X68"/>
    </row>
    <row r="69" spans="6:24" s="34" customFormat="1" ht="18" customHeight="1" x14ac:dyDescent="0.35">
      <c r="F69" s="34">
        <v>11</v>
      </c>
      <c r="G69" s="34" t="s">
        <v>128</v>
      </c>
      <c r="M69" s="35"/>
      <c r="N69" s="48"/>
      <c r="O69" s="48"/>
      <c r="P69" s="48"/>
      <c r="Q69" s="48"/>
      <c r="R69" s="48"/>
      <c r="S69" s="48"/>
      <c r="T69" s="48"/>
      <c r="U69" s="48"/>
      <c r="V69" s="48"/>
      <c r="W69"/>
      <c r="X69"/>
    </row>
    <row r="70" spans="6:24" s="34" customFormat="1" ht="18" customHeight="1" x14ac:dyDescent="0.35">
      <c r="G70" s="34" t="s">
        <v>105</v>
      </c>
      <c r="M70" s="35" t="s">
        <v>1</v>
      </c>
      <c r="N70" s="48" t="str">
        <f>UPPER(VLOOKUP(K2,datasantri,13,FALSE))</f>
        <v/>
      </c>
      <c r="O70" s="48"/>
      <c r="P70" s="48"/>
      <c r="Q70" s="48"/>
      <c r="R70" s="48"/>
      <c r="S70" s="48"/>
      <c r="T70" s="48"/>
      <c r="U70" s="48"/>
      <c r="V70" s="48"/>
      <c r="W70"/>
      <c r="X70"/>
    </row>
    <row r="71" spans="6:24" s="34" customFormat="1" ht="18" customHeight="1" x14ac:dyDescent="0.35">
      <c r="G71" s="34" t="s">
        <v>106</v>
      </c>
      <c r="M71" s="35" t="s">
        <v>1</v>
      </c>
      <c r="N71" s="48" t="str">
        <f>UPPER(VLOOKUP(K2,datasantri,14,FALSE))</f>
        <v/>
      </c>
      <c r="O71" s="48"/>
      <c r="P71" s="48"/>
      <c r="Q71" s="48"/>
      <c r="R71" s="48"/>
      <c r="S71" s="48"/>
      <c r="T71" s="48"/>
      <c r="U71" s="48"/>
      <c r="V71" s="48"/>
      <c r="W71"/>
      <c r="X71"/>
    </row>
    <row r="72" spans="6:24" s="34" customFormat="1" ht="18" customHeight="1" x14ac:dyDescent="0.35">
      <c r="F72" s="34">
        <v>12</v>
      </c>
      <c r="G72" s="34" t="s">
        <v>107</v>
      </c>
      <c r="M72" s="35"/>
      <c r="N72" s="35"/>
      <c r="O72" s="35"/>
      <c r="P72" s="35"/>
      <c r="Q72" s="35"/>
      <c r="R72" s="35"/>
      <c r="S72" s="35"/>
      <c r="T72" s="35"/>
      <c r="U72" s="35"/>
      <c r="V72" s="35"/>
      <c r="W72"/>
      <c r="X72"/>
    </row>
    <row r="73" spans="6:24" s="34" customFormat="1" ht="18" customHeight="1" x14ac:dyDescent="0.35">
      <c r="G73" s="34" t="s">
        <v>108</v>
      </c>
      <c r="M73" s="35" t="s">
        <v>1</v>
      </c>
      <c r="N73" s="48" t="str">
        <f>UPPER(VLOOKUP(K2,datasantri,21,FALSE))</f>
        <v>AZIZ AMIRULLOH</v>
      </c>
      <c r="O73" s="48"/>
      <c r="P73" s="48"/>
      <c r="Q73" s="48"/>
      <c r="R73" s="48"/>
      <c r="S73" s="48"/>
      <c r="T73" s="48"/>
      <c r="U73" s="48"/>
      <c r="V73" s="48"/>
      <c r="W73"/>
      <c r="X73"/>
    </row>
    <row r="74" spans="6:24" s="34" customFormat="1" ht="16.5" customHeight="1" x14ac:dyDescent="0.35">
      <c r="G74" s="34" t="s">
        <v>109</v>
      </c>
      <c r="M74" s="35" t="s">
        <v>1</v>
      </c>
      <c r="N74" s="48" t="str">
        <f>UPPER(VLOOKUP(K2,datasantri,22,FALSE))</f>
        <v>SRI JAYANTI</v>
      </c>
      <c r="O74" s="48"/>
      <c r="P74" s="48"/>
      <c r="Q74" s="48"/>
      <c r="R74" s="48"/>
      <c r="S74" s="48"/>
      <c r="T74" s="48"/>
      <c r="U74" s="48"/>
      <c r="V74" s="48"/>
      <c r="W74"/>
      <c r="X74"/>
    </row>
    <row r="75" spans="6:24" s="34" customFormat="1" ht="27" customHeight="1" x14ac:dyDescent="0.35">
      <c r="G75" s="34" t="s">
        <v>110</v>
      </c>
      <c r="M75" s="35" t="s">
        <v>1</v>
      </c>
      <c r="N75" s="696" t="str">
        <f>UPPER(VLOOKUP(K2,datasantri,23,FALSE))</f>
        <v>KARANGMULYA RT 01 RW 05,SURADADI ,TEGAL,JAWA TENGAH</v>
      </c>
      <c r="O75" s="696"/>
      <c r="P75" s="696"/>
      <c r="Q75" s="696"/>
      <c r="R75" s="696"/>
      <c r="S75" s="696"/>
      <c r="T75" s="696"/>
      <c r="U75" s="696"/>
      <c r="V75" s="696"/>
      <c r="W75"/>
      <c r="X75"/>
    </row>
    <row r="76" spans="6:24" s="34" customFormat="1" ht="21" customHeight="1" x14ac:dyDescent="0.35">
      <c r="M76" s="35"/>
      <c r="N76" s="697"/>
      <c r="O76" s="697"/>
      <c r="P76" s="697"/>
      <c r="Q76" s="697"/>
      <c r="R76" s="697"/>
      <c r="S76" s="697"/>
      <c r="T76" s="697"/>
      <c r="U76" s="697"/>
      <c r="V76" s="697"/>
      <c r="W76"/>
      <c r="X76"/>
    </row>
    <row r="77" spans="6:24" s="34" customFormat="1" ht="18" customHeight="1" x14ac:dyDescent="0.35">
      <c r="G77" s="34" t="s">
        <v>111</v>
      </c>
      <c r="M77" s="35" t="s">
        <v>1</v>
      </c>
      <c r="N77" s="48" t="str">
        <f>UPPER(VLOOKUP(K2,datasantri,24,FALSE))</f>
        <v>081329446066</v>
      </c>
      <c r="O77" s="48"/>
      <c r="P77" s="48"/>
      <c r="Q77" s="48"/>
      <c r="R77" s="48"/>
      <c r="S77" s="48"/>
      <c r="T77" s="48"/>
      <c r="U77" s="48"/>
      <c r="V77" s="48"/>
      <c r="W77"/>
      <c r="X77"/>
    </row>
    <row r="78" spans="6:24" s="34" customFormat="1" ht="18" customHeight="1" x14ac:dyDescent="0.35">
      <c r="F78" s="34">
        <v>13</v>
      </c>
      <c r="G78" s="34" t="s">
        <v>112</v>
      </c>
      <c r="M78" s="35"/>
      <c r="N78" s="35"/>
      <c r="O78" s="35"/>
      <c r="P78" s="35"/>
      <c r="Q78" s="35"/>
      <c r="R78" s="35"/>
      <c r="S78" s="35"/>
      <c r="T78" s="35"/>
      <c r="U78" s="35"/>
      <c r="V78" s="35"/>
      <c r="W78"/>
      <c r="X78"/>
    </row>
    <row r="79" spans="6:24" s="34" customFormat="1" ht="18" customHeight="1" x14ac:dyDescent="0.35">
      <c r="G79" s="34" t="s">
        <v>113</v>
      </c>
      <c r="M79" s="35" t="s">
        <v>1</v>
      </c>
      <c r="N79" s="48" t="str">
        <f>UPPER(VLOOKUP(K2,datasantri,25,FALSE))</f>
        <v>PENGUSAHA/WIRASWASTA</v>
      </c>
      <c r="O79" s="48"/>
      <c r="P79" s="48"/>
      <c r="Q79" s="48"/>
      <c r="R79" s="48"/>
      <c r="S79" s="48"/>
      <c r="T79" s="48"/>
      <c r="U79" s="48"/>
      <c r="V79" s="48"/>
      <c r="W79"/>
      <c r="X79"/>
    </row>
    <row r="80" spans="6:24" s="34" customFormat="1" ht="18" customHeight="1" x14ac:dyDescent="0.35">
      <c r="G80" s="34" t="s">
        <v>114</v>
      </c>
      <c r="M80" s="35" t="s">
        <v>1</v>
      </c>
      <c r="N80" s="48" t="str">
        <f>UPPER(VLOOKUP(K2,datasantri,26,FALSE))</f>
        <v>PENGUSAHA/WIRASWASTA</v>
      </c>
      <c r="O80" s="48"/>
      <c r="P80" s="48"/>
      <c r="Q80" s="48"/>
      <c r="R80" s="48"/>
      <c r="S80" s="48"/>
      <c r="T80" s="48"/>
      <c r="U80" s="48"/>
      <c r="V80" s="48"/>
      <c r="W80"/>
      <c r="X80"/>
    </row>
    <row r="81" spans="6:24" s="34" customFormat="1" ht="18" customHeight="1" x14ac:dyDescent="0.35">
      <c r="F81" s="34">
        <v>14</v>
      </c>
      <c r="G81" s="34" t="s">
        <v>115</v>
      </c>
      <c r="M81" s="35"/>
      <c r="N81" s="35"/>
      <c r="O81" s="35"/>
      <c r="P81" s="35"/>
      <c r="Q81" s="35"/>
      <c r="R81" s="35"/>
      <c r="S81" s="35"/>
      <c r="T81" s="35"/>
      <c r="U81" s="35"/>
      <c r="V81" s="35"/>
      <c r="W81"/>
      <c r="X81"/>
    </row>
    <row r="82" spans="6:24" s="34" customFormat="1" ht="18" customHeight="1" x14ac:dyDescent="0.35">
      <c r="G82" s="34" t="s">
        <v>116</v>
      </c>
      <c r="M82" s="35" t="s">
        <v>1</v>
      </c>
      <c r="N82" s="48" t="str">
        <f>UPPER(VLOOKUP(K2,datasantri,27,FALSE))</f>
        <v/>
      </c>
      <c r="O82" s="48"/>
      <c r="P82" s="48"/>
      <c r="Q82" s="48"/>
      <c r="R82" s="48"/>
      <c r="S82" s="48"/>
      <c r="T82" s="48"/>
      <c r="U82" s="48"/>
      <c r="V82" s="48"/>
      <c r="W82"/>
      <c r="X82"/>
    </row>
    <row r="83" spans="6:24" s="34" customFormat="1" ht="18" customHeight="1" x14ac:dyDescent="0.35">
      <c r="G83" s="34" t="s">
        <v>117</v>
      </c>
      <c r="M83" s="35" t="s">
        <v>1</v>
      </c>
      <c r="N83" s="48" t="str">
        <f>UPPER(VLOOKUP(K2,datasantri,29,FALSE))</f>
        <v/>
      </c>
      <c r="O83" s="48"/>
      <c r="P83" s="48"/>
      <c r="Q83" s="48"/>
      <c r="R83" s="48"/>
      <c r="S83" s="48"/>
      <c r="T83" s="48"/>
      <c r="U83" s="48"/>
      <c r="V83" s="48"/>
      <c r="W83"/>
      <c r="X83"/>
    </row>
    <row r="84" spans="6:24" s="34" customFormat="1" ht="18" customHeight="1" x14ac:dyDescent="0.35">
      <c r="G84" s="34" t="s">
        <v>110</v>
      </c>
      <c r="M84" s="35" t="s">
        <v>1</v>
      </c>
      <c r="N84" s="702" t="str">
        <f>UPPER(VLOOKUP(K2,datasantri,28,FALSE))</f>
        <v/>
      </c>
      <c r="O84" s="702"/>
      <c r="P84" s="702"/>
      <c r="Q84" s="702"/>
      <c r="R84" s="702"/>
      <c r="S84" s="702"/>
      <c r="T84" s="702"/>
      <c r="U84" s="702"/>
      <c r="V84" s="702"/>
      <c r="W84"/>
      <c r="X84"/>
    </row>
    <row r="85" spans="6:24" s="34" customFormat="1" ht="18" customHeight="1" x14ac:dyDescent="0.35">
      <c r="M85" s="35"/>
      <c r="N85" s="703"/>
      <c r="O85" s="703"/>
      <c r="P85" s="703"/>
      <c r="Q85" s="703"/>
      <c r="R85" s="703"/>
      <c r="S85" s="703"/>
      <c r="T85" s="703"/>
      <c r="U85" s="703"/>
      <c r="V85" s="703"/>
      <c r="W85"/>
      <c r="X85"/>
    </row>
    <row r="86" spans="6:24" x14ac:dyDescent="0.35">
      <c r="F86" s="34"/>
      <c r="G86" s="34" t="s">
        <v>119</v>
      </c>
      <c r="H86" s="34"/>
      <c r="I86" s="34"/>
      <c r="J86" s="34"/>
      <c r="K86" s="34"/>
      <c r="L86" s="34"/>
      <c r="M86" s="35" t="s">
        <v>1</v>
      </c>
      <c r="N86" s="48" t="str">
        <f>UPPER(VLOOKUP(K2,datasantri,30,FALSE))</f>
        <v/>
      </c>
      <c r="O86" s="48"/>
      <c r="P86" s="48"/>
      <c r="Q86" s="48"/>
      <c r="R86" s="48"/>
      <c r="S86" s="48"/>
      <c r="T86" s="48"/>
      <c r="U86" s="48"/>
      <c r="V86" s="48"/>
    </row>
    <row r="87" spans="6:24" x14ac:dyDescent="0.35">
      <c r="N87" s="34"/>
      <c r="O87" s="27"/>
      <c r="P87" s="27"/>
      <c r="Q87" s="34"/>
      <c r="R87" s="34"/>
      <c r="S87" s="34"/>
      <c r="T87" s="34"/>
      <c r="U87" s="34"/>
      <c r="V87" s="34"/>
    </row>
    <row r="88" spans="6:24" x14ac:dyDescent="0.35">
      <c r="N88" s="34"/>
      <c r="O88" s="27"/>
      <c r="P88" s="27"/>
      <c r="Q88" s="34"/>
      <c r="R88" s="34"/>
      <c r="S88" s="34"/>
      <c r="T88" s="34"/>
      <c r="U88" s="34"/>
      <c r="V88" s="34"/>
    </row>
    <row r="89" spans="6:24" x14ac:dyDescent="0.35">
      <c r="N89" s="27" t="s">
        <v>129</v>
      </c>
      <c r="O89" s="27"/>
      <c r="P89" s="27"/>
      <c r="Q89" s="34"/>
      <c r="R89" s="34"/>
      <c r="S89" s="34"/>
      <c r="T89" s="34"/>
      <c r="U89" s="34"/>
      <c r="V89" s="34"/>
    </row>
    <row r="90" spans="6:24" x14ac:dyDescent="0.35">
      <c r="N90" s="27" t="s">
        <v>243</v>
      </c>
      <c r="O90" s="27"/>
      <c r="P90" s="27"/>
      <c r="Q90" s="34"/>
      <c r="R90" s="34"/>
      <c r="S90" s="34"/>
      <c r="T90" s="34"/>
      <c r="U90" s="34"/>
      <c r="V90" s="34"/>
    </row>
    <row r="91" spans="6:24" x14ac:dyDescent="0.35">
      <c r="N91" s="27"/>
      <c r="O91" s="27"/>
      <c r="P91" s="27"/>
      <c r="Q91" s="34"/>
      <c r="R91" s="34"/>
      <c r="S91" s="34"/>
      <c r="T91" s="34"/>
      <c r="U91" s="34"/>
      <c r="V91" s="34"/>
    </row>
    <row r="92" spans="6:24" x14ac:dyDescent="0.35">
      <c r="N92" s="27"/>
      <c r="O92" s="27"/>
      <c r="P92" s="27"/>
      <c r="Q92" s="34"/>
      <c r="R92" s="34"/>
      <c r="S92" s="34"/>
      <c r="T92" s="34"/>
      <c r="U92" s="34"/>
      <c r="V92" s="34"/>
    </row>
    <row r="93" spans="6:24" x14ac:dyDescent="0.35">
      <c r="N93" s="27"/>
      <c r="O93" s="27"/>
      <c r="P93" s="27"/>
      <c r="Q93" s="34"/>
      <c r="R93" s="34"/>
      <c r="S93" s="34"/>
      <c r="T93" s="34"/>
      <c r="U93" s="34"/>
      <c r="V93" s="34"/>
    </row>
    <row r="94" spans="6:24" x14ac:dyDescent="0.35">
      <c r="N94" s="27" t="str">
        <f>'set-dakol'!H11</f>
        <v>Ir. Abdul Aziz Ahmad, M.M.</v>
      </c>
      <c r="O94" s="27"/>
      <c r="P94" s="27"/>
      <c r="Q94" s="34"/>
      <c r="R94" s="34"/>
      <c r="S94" s="34"/>
      <c r="T94" s="34"/>
      <c r="U94" s="34"/>
      <c r="V94" s="34"/>
    </row>
    <row r="95" spans="6:24" x14ac:dyDescent="0.35">
      <c r="N95" s="34"/>
      <c r="O95" s="27"/>
      <c r="P95" s="27"/>
      <c r="Q95" s="34"/>
      <c r="R95" s="34"/>
      <c r="S95" s="34"/>
      <c r="T95" s="34"/>
      <c r="U95" s="34"/>
      <c r="V95" s="34"/>
    </row>
    <row r="99" spans="1:24" ht="8.25" customHeight="1" x14ac:dyDescent="0.35"/>
    <row r="100" spans="1:24" ht="18" customHeight="1" x14ac:dyDescent="0.35">
      <c r="A100" s="38"/>
      <c r="B100" s="38"/>
      <c r="C100" s="38"/>
      <c r="D100" s="38"/>
      <c r="E100" s="37"/>
      <c r="F100" s="37"/>
      <c r="G100" s="37"/>
      <c r="H100" s="37"/>
      <c r="I100" s="37"/>
      <c r="J100" s="37"/>
      <c r="K100" s="37"/>
      <c r="L100" s="37"/>
      <c r="M100" s="37"/>
      <c r="N100" s="39"/>
      <c r="O100" s="39"/>
      <c r="P100" s="37"/>
      <c r="Q100" s="37"/>
      <c r="R100" s="37"/>
      <c r="S100" s="37"/>
      <c r="T100" s="37"/>
      <c r="U100" s="37"/>
      <c r="V100" s="37"/>
      <c r="W100" s="37"/>
      <c r="X100" s="37"/>
    </row>
    <row r="101" spans="1:24" ht="18" customHeight="1" x14ac:dyDescent="0.35">
      <c r="A101" s="38"/>
      <c r="B101" s="38"/>
      <c r="C101" s="38"/>
      <c r="D101" s="38"/>
      <c r="E101" s="37"/>
      <c r="F101" s="37"/>
      <c r="G101" s="37"/>
      <c r="H101" s="37"/>
      <c r="I101" s="37"/>
      <c r="J101" s="37"/>
      <c r="K101" s="37"/>
      <c r="L101" s="37"/>
      <c r="M101" s="37"/>
      <c r="N101" s="39"/>
      <c r="O101" s="39"/>
      <c r="P101" s="37"/>
      <c r="Q101" s="37"/>
      <c r="R101" s="37"/>
      <c r="S101" s="37"/>
      <c r="T101" s="37"/>
      <c r="U101" s="37"/>
      <c r="V101" s="37"/>
      <c r="W101" s="37"/>
      <c r="X101" s="37"/>
    </row>
    <row r="102" spans="1:24" ht="18" customHeight="1" x14ac:dyDescent="0.35">
      <c r="A102" s="38"/>
      <c r="B102" s="38"/>
      <c r="C102" s="38"/>
      <c r="D102" s="38"/>
      <c r="E102" s="37"/>
      <c r="F102" s="37"/>
      <c r="G102" s="37"/>
      <c r="H102" s="37"/>
      <c r="I102" s="37"/>
      <c r="J102" s="37"/>
      <c r="K102" s="37"/>
      <c r="L102" s="37"/>
      <c r="M102" s="37"/>
      <c r="N102" s="39"/>
      <c r="O102" s="39"/>
      <c r="P102" s="37"/>
      <c r="Q102" s="37"/>
      <c r="R102" s="37"/>
      <c r="S102" s="37"/>
      <c r="T102" s="37"/>
      <c r="U102" s="37"/>
      <c r="V102" s="37"/>
      <c r="W102" s="37"/>
      <c r="X102" s="37"/>
    </row>
    <row r="103" spans="1:24" ht="18" customHeight="1" x14ac:dyDescent="0.35">
      <c r="A103" s="38"/>
      <c r="B103" s="38"/>
      <c r="C103" s="38"/>
      <c r="D103" s="38"/>
      <c r="E103" s="37"/>
      <c r="F103" s="37"/>
      <c r="G103" s="37"/>
      <c r="H103" s="37"/>
      <c r="I103" s="37"/>
      <c r="J103" s="37"/>
      <c r="K103" s="37"/>
      <c r="L103" s="37"/>
      <c r="M103" s="37"/>
      <c r="N103" s="39"/>
      <c r="O103" s="39"/>
      <c r="P103" s="37"/>
      <c r="Q103" s="37"/>
      <c r="R103" s="37"/>
      <c r="S103" s="37"/>
      <c r="T103" s="37"/>
      <c r="U103" s="37"/>
      <c r="V103" s="37"/>
      <c r="W103" s="37"/>
      <c r="X103" s="37"/>
    </row>
    <row r="104" spans="1:24" ht="18" customHeight="1" x14ac:dyDescent="0.35">
      <c r="A104" s="38"/>
      <c r="B104" s="38"/>
      <c r="C104" s="38"/>
      <c r="D104" s="38"/>
      <c r="E104" s="37"/>
      <c r="F104" s="37"/>
      <c r="G104" s="719"/>
      <c r="H104" s="719"/>
      <c r="I104" s="719"/>
      <c r="J104" s="719"/>
      <c r="K104" s="719"/>
      <c r="L104" s="719"/>
      <c r="M104" s="719"/>
      <c r="N104" s="719"/>
      <c r="O104" s="719"/>
      <c r="P104" s="719"/>
      <c r="Q104" s="719"/>
      <c r="R104" s="719"/>
      <c r="S104" s="719"/>
      <c r="T104" s="719"/>
      <c r="U104" s="719"/>
      <c r="V104" s="719"/>
      <c r="W104" s="37"/>
      <c r="X104" s="37"/>
    </row>
    <row r="105" spans="1:24" ht="18" customHeight="1" x14ac:dyDescent="0.35">
      <c r="A105" s="38"/>
      <c r="B105" s="38"/>
      <c r="C105" s="38"/>
      <c r="D105" s="38"/>
      <c r="E105" s="37"/>
      <c r="F105" s="37"/>
      <c r="G105" s="719"/>
      <c r="H105" s="719"/>
      <c r="I105" s="719"/>
      <c r="J105" s="719"/>
      <c r="K105" s="719"/>
      <c r="L105" s="719"/>
      <c r="M105" s="719"/>
      <c r="N105" s="719"/>
      <c r="O105" s="719"/>
      <c r="P105" s="719"/>
      <c r="Q105" s="719"/>
      <c r="R105" s="719"/>
      <c r="S105" s="719"/>
      <c r="T105" s="719"/>
      <c r="U105" s="719"/>
      <c r="V105" s="719"/>
      <c r="W105" s="37"/>
      <c r="X105" s="37"/>
    </row>
    <row r="106" spans="1:24" ht="18" customHeight="1" x14ac:dyDescent="0.35">
      <c r="A106" s="38"/>
      <c r="B106" s="38"/>
      <c r="C106" s="38"/>
      <c r="D106" s="38"/>
      <c r="E106" s="37"/>
      <c r="F106" s="37"/>
      <c r="G106" s="719"/>
      <c r="H106" s="719"/>
      <c r="I106" s="719"/>
      <c r="J106" s="719"/>
      <c r="K106" s="719"/>
      <c r="L106" s="719"/>
      <c r="M106" s="719"/>
      <c r="N106" s="719"/>
      <c r="O106" s="719"/>
      <c r="P106" s="719"/>
      <c r="Q106" s="719"/>
      <c r="R106" s="719"/>
      <c r="S106" s="719"/>
      <c r="T106" s="719"/>
      <c r="U106" s="719"/>
      <c r="V106" s="719"/>
      <c r="W106" s="37"/>
      <c r="X106" s="37"/>
    </row>
    <row r="107" spans="1:24" ht="18" customHeight="1" x14ac:dyDescent="0.35">
      <c r="A107" s="38"/>
      <c r="B107" s="38"/>
      <c r="C107" s="38"/>
      <c r="D107" s="38"/>
      <c r="E107" s="37"/>
      <c r="F107" s="37"/>
      <c r="G107" s="719"/>
      <c r="H107" s="719"/>
      <c r="I107" s="719"/>
      <c r="J107" s="719"/>
      <c r="K107" s="719"/>
      <c r="L107" s="719"/>
      <c r="M107" s="719"/>
      <c r="N107" s="719"/>
      <c r="O107" s="719"/>
      <c r="P107" s="719"/>
      <c r="Q107" s="719"/>
      <c r="R107" s="719"/>
      <c r="S107" s="719"/>
      <c r="T107" s="719"/>
      <c r="U107" s="719"/>
      <c r="V107" s="719"/>
      <c r="W107" s="37"/>
      <c r="X107" s="37"/>
    </row>
    <row r="108" spans="1:24" ht="18" customHeight="1" x14ac:dyDescent="0.35">
      <c r="A108" s="38"/>
      <c r="B108" s="38"/>
      <c r="C108" s="38"/>
      <c r="D108" s="38"/>
      <c r="E108" s="37"/>
      <c r="F108" s="37"/>
      <c r="G108" s="42"/>
      <c r="H108" s="42"/>
      <c r="I108" s="42"/>
      <c r="J108" s="42"/>
      <c r="K108" s="42"/>
      <c r="L108" s="42"/>
      <c r="M108" s="42"/>
      <c r="N108" s="42"/>
      <c r="O108" s="42"/>
      <c r="P108" s="42"/>
      <c r="Q108" s="42"/>
      <c r="R108" s="42"/>
      <c r="S108" s="42"/>
      <c r="T108" s="42"/>
      <c r="U108" s="42"/>
      <c r="V108" s="42"/>
      <c r="W108" s="37"/>
      <c r="X108" s="37"/>
    </row>
    <row r="109" spans="1:24" ht="18" customHeight="1" x14ac:dyDescent="0.35">
      <c r="A109" s="38"/>
      <c r="B109" s="38"/>
      <c r="C109" s="38"/>
      <c r="D109" s="38"/>
      <c r="E109" s="37"/>
      <c r="F109" s="37"/>
      <c r="G109" s="37"/>
      <c r="H109" s="37"/>
      <c r="I109" s="37"/>
      <c r="J109" s="37"/>
      <c r="K109" s="37"/>
      <c r="L109" s="37"/>
      <c r="M109" s="37"/>
      <c r="N109" s="39"/>
      <c r="O109" s="39"/>
      <c r="P109" s="37"/>
      <c r="Q109" s="37"/>
      <c r="R109" s="37"/>
      <c r="S109" s="37"/>
      <c r="T109" s="37"/>
      <c r="U109" s="37"/>
      <c r="V109" s="37"/>
      <c r="W109" s="37"/>
      <c r="X109" s="37"/>
    </row>
    <row r="110" spans="1:24" ht="18" customHeight="1" x14ac:dyDescent="0.35">
      <c r="A110" s="38"/>
      <c r="B110" s="38"/>
      <c r="C110" s="38"/>
      <c r="D110" s="38"/>
      <c r="E110" s="37"/>
      <c r="F110" s="37"/>
      <c r="G110" s="37"/>
      <c r="H110" s="37"/>
      <c r="I110" s="37"/>
      <c r="J110" s="37"/>
      <c r="K110" s="37"/>
      <c r="L110" s="41"/>
      <c r="M110" s="41"/>
      <c r="N110" s="41"/>
      <c r="O110" s="41"/>
      <c r="P110" s="41"/>
      <c r="Q110" s="41"/>
      <c r="R110" s="37"/>
      <c r="S110" s="37"/>
      <c r="T110" s="37"/>
      <c r="U110" s="37"/>
      <c r="V110" s="37"/>
      <c r="W110" s="37"/>
      <c r="X110" s="37"/>
    </row>
    <row r="111" spans="1:24" ht="18" customHeight="1" x14ac:dyDescent="0.35">
      <c r="A111" s="38"/>
      <c r="B111" s="38"/>
      <c r="C111" s="38"/>
      <c r="D111" s="38"/>
      <c r="E111" s="37"/>
      <c r="F111" s="37"/>
      <c r="G111" s="37"/>
      <c r="H111" s="37"/>
      <c r="I111" s="37"/>
      <c r="J111" s="37"/>
      <c r="K111" s="37"/>
      <c r="L111" s="41"/>
      <c r="M111" s="41"/>
      <c r="N111" s="41"/>
      <c r="O111" s="41"/>
      <c r="P111" s="41"/>
      <c r="Q111" s="41"/>
      <c r="R111" s="37"/>
      <c r="S111" s="37"/>
      <c r="T111" s="37"/>
      <c r="U111" s="37"/>
      <c r="V111" s="37"/>
      <c r="W111" s="37"/>
      <c r="X111" s="37"/>
    </row>
    <row r="112" spans="1:24" ht="18" customHeight="1" x14ac:dyDescent="0.35">
      <c r="A112" s="38"/>
      <c r="B112" s="38"/>
      <c r="C112" s="38"/>
      <c r="D112" s="38"/>
      <c r="E112" s="37"/>
      <c r="F112" s="37"/>
      <c r="G112" s="37"/>
      <c r="H112" s="37"/>
      <c r="I112" s="37"/>
      <c r="J112" s="37"/>
      <c r="K112" s="37"/>
      <c r="L112" s="41"/>
      <c r="M112" s="41"/>
      <c r="N112" s="41"/>
      <c r="O112" s="41"/>
      <c r="P112" s="41"/>
      <c r="Q112" s="41"/>
      <c r="R112" s="37"/>
      <c r="S112" s="37"/>
      <c r="T112" s="37"/>
      <c r="U112" s="37"/>
      <c r="V112" s="37"/>
      <c r="W112" s="37"/>
      <c r="X112" s="37"/>
    </row>
    <row r="113" spans="1:24" ht="18" customHeight="1" x14ac:dyDescent="0.35">
      <c r="A113" s="38"/>
      <c r="B113" s="38"/>
      <c r="C113" s="38"/>
      <c r="D113" s="38"/>
      <c r="E113" s="37"/>
      <c r="F113" s="37"/>
      <c r="G113" s="37"/>
      <c r="H113" s="37"/>
      <c r="I113" s="37"/>
      <c r="J113" s="37"/>
      <c r="K113" s="37"/>
      <c r="L113" s="41"/>
      <c r="M113" s="41"/>
      <c r="N113" s="41"/>
      <c r="O113" s="41"/>
      <c r="P113" s="41"/>
      <c r="Q113" s="41"/>
      <c r="R113" s="37"/>
      <c r="S113" s="37"/>
      <c r="T113" s="37"/>
      <c r="U113" s="37"/>
      <c r="V113" s="37"/>
      <c r="W113" s="37"/>
      <c r="X113" s="37"/>
    </row>
    <row r="114" spans="1:24" ht="18" customHeight="1" x14ac:dyDescent="0.35">
      <c r="A114" s="38"/>
      <c r="B114" s="38"/>
      <c r="C114" s="38"/>
      <c r="D114" s="38"/>
      <c r="E114" s="37"/>
      <c r="F114" s="37"/>
      <c r="G114" s="37"/>
      <c r="H114" s="37"/>
      <c r="I114" s="37"/>
      <c r="J114" s="37"/>
      <c r="K114" s="37"/>
      <c r="L114" s="41"/>
      <c r="M114" s="41"/>
      <c r="N114" s="41"/>
      <c r="O114" s="41"/>
      <c r="P114" s="41"/>
      <c r="Q114" s="41"/>
      <c r="R114" s="37"/>
      <c r="S114" s="37"/>
      <c r="T114" s="37"/>
      <c r="U114" s="37"/>
      <c r="V114" s="37"/>
      <c r="W114" s="37"/>
      <c r="X114" s="37"/>
    </row>
    <row r="115" spans="1:24" ht="18" customHeight="1" x14ac:dyDescent="0.35">
      <c r="A115" s="38"/>
      <c r="B115" s="38"/>
      <c r="C115" s="38"/>
      <c r="D115" s="38"/>
      <c r="E115" s="37"/>
      <c r="F115" s="37"/>
      <c r="G115" s="37"/>
      <c r="H115" s="37"/>
      <c r="I115" s="37"/>
      <c r="J115" s="37"/>
      <c r="K115" s="37"/>
      <c r="L115" s="41"/>
      <c r="M115" s="41"/>
      <c r="N115" s="41"/>
      <c r="O115" s="41"/>
      <c r="P115" s="41"/>
      <c r="Q115" s="41"/>
      <c r="R115" s="37"/>
      <c r="S115" s="37"/>
      <c r="T115" s="37"/>
      <c r="U115" s="37"/>
      <c r="V115" s="37"/>
      <c r="W115" s="37"/>
      <c r="X115" s="37"/>
    </row>
    <row r="116" spans="1:24" ht="18" customHeight="1" x14ac:dyDescent="0.35">
      <c r="A116" s="38"/>
      <c r="B116" s="38"/>
      <c r="C116" s="38"/>
      <c r="D116" s="38"/>
      <c r="E116" s="37"/>
      <c r="F116" s="37"/>
      <c r="G116" s="37"/>
      <c r="H116" s="37"/>
      <c r="I116" s="37"/>
      <c r="J116" s="37"/>
      <c r="K116" s="37"/>
      <c r="L116" s="41"/>
      <c r="M116" s="41"/>
      <c r="N116" s="41"/>
      <c r="O116" s="41"/>
      <c r="P116" s="41"/>
      <c r="Q116" s="41"/>
      <c r="R116" s="37"/>
      <c r="S116" s="37"/>
      <c r="T116" s="37"/>
      <c r="U116" s="37"/>
      <c r="V116" s="37"/>
      <c r="W116" s="37"/>
      <c r="X116" s="37"/>
    </row>
    <row r="117" spans="1:24" ht="18" customHeight="1" x14ac:dyDescent="0.35">
      <c r="A117" s="38"/>
      <c r="B117" s="38"/>
      <c r="C117" s="38"/>
      <c r="D117" s="38"/>
      <c r="E117" s="37"/>
      <c r="F117" s="37"/>
      <c r="G117" s="37"/>
      <c r="H117" s="37"/>
      <c r="I117" s="37"/>
      <c r="J117" s="37"/>
      <c r="K117" s="37"/>
      <c r="L117" s="41"/>
      <c r="M117" s="41"/>
      <c r="N117" s="41"/>
      <c r="O117" s="41"/>
      <c r="P117" s="41"/>
      <c r="Q117" s="41"/>
      <c r="R117" s="37"/>
      <c r="S117" s="37"/>
      <c r="T117" s="37"/>
      <c r="U117" s="37"/>
      <c r="V117" s="37"/>
      <c r="W117" s="37"/>
      <c r="X117" s="37"/>
    </row>
    <row r="118" spans="1:24" ht="18" customHeight="1" x14ac:dyDescent="0.35">
      <c r="A118" s="38"/>
      <c r="B118" s="38"/>
      <c r="C118" s="38"/>
      <c r="D118" s="38"/>
      <c r="E118" s="37"/>
      <c r="F118" s="37"/>
      <c r="G118" s="37"/>
      <c r="H118" s="37"/>
      <c r="I118" s="37"/>
      <c r="J118" s="37"/>
      <c r="K118" s="37"/>
      <c r="L118" s="37"/>
      <c r="M118" s="37"/>
      <c r="N118" s="39"/>
      <c r="O118" s="39"/>
      <c r="P118" s="37"/>
      <c r="Q118" s="37"/>
      <c r="R118" s="37"/>
      <c r="S118" s="37"/>
      <c r="T118" s="37"/>
      <c r="U118" s="37"/>
      <c r="V118" s="37"/>
      <c r="W118" s="37"/>
      <c r="X118" s="37"/>
    </row>
    <row r="119" spans="1:24" ht="18" customHeight="1" x14ac:dyDescent="0.35">
      <c r="A119" s="38"/>
      <c r="B119" s="38"/>
      <c r="C119" s="38"/>
      <c r="D119" s="38"/>
      <c r="E119" s="37"/>
      <c r="F119" s="37"/>
      <c r="G119" s="37"/>
      <c r="H119" s="37"/>
      <c r="I119" s="37"/>
      <c r="J119" s="37"/>
      <c r="K119" s="37"/>
      <c r="L119" s="37"/>
      <c r="M119" s="37"/>
      <c r="N119" s="39"/>
      <c r="O119" s="39"/>
      <c r="P119" s="37"/>
      <c r="Q119" s="37"/>
      <c r="R119" s="37"/>
      <c r="S119" s="37"/>
      <c r="T119" s="37"/>
      <c r="U119" s="37"/>
      <c r="V119" s="37"/>
      <c r="W119" s="37"/>
      <c r="X119" s="37"/>
    </row>
    <row r="120" spans="1:24" ht="18" customHeight="1" x14ac:dyDescent="0.35">
      <c r="A120" s="38"/>
      <c r="B120" s="38"/>
      <c r="C120" s="38"/>
      <c r="D120" s="38"/>
      <c r="E120" s="37"/>
      <c r="F120" s="37"/>
      <c r="G120" s="37"/>
      <c r="H120" s="37"/>
      <c r="I120" s="37"/>
      <c r="J120" s="37"/>
      <c r="K120" s="37"/>
      <c r="L120" s="37"/>
      <c r="M120" s="37"/>
      <c r="N120" s="39"/>
      <c r="O120" s="39"/>
      <c r="P120" s="37"/>
      <c r="Q120" s="37"/>
      <c r="R120" s="37"/>
      <c r="S120" s="37"/>
      <c r="T120" s="37"/>
      <c r="U120" s="37"/>
      <c r="V120" s="37"/>
      <c r="W120" s="37"/>
      <c r="X120" s="37"/>
    </row>
    <row r="121" spans="1:24" ht="18" customHeight="1" x14ac:dyDescent="0.35">
      <c r="A121" s="38"/>
      <c r="B121" s="38"/>
      <c r="C121" s="38"/>
      <c r="D121" s="38"/>
      <c r="E121" s="37"/>
      <c r="F121" s="37"/>
      <c r="G121" s="37"/>
      <c r="H121" s="37"/>
      <c r="I121" s="37"/>
      <c r="J121" s="37"/>
      <c r="K121" s="37"/>
      <c r="L121" s="37"/>
      <c r="M121" s="37"/>
      <c r="N121" s="39"/>
      <c r="O121" s="39"/>
      <c r="P121" s="37"/>
      <c r="Q121" s="37"/>
      <c r="R121" s="37"/>
      <c r="S121" s="37"/>
      <c r="T121" s="37"/>
      <c r="U121" s="37"/>
      <c r="V121" s="37"/>
      <c r="W121" s="37"/>
      <c r="X121" s="37"/>
    </row>
    <row r="122" spans="1:24" ht="30" customHeight="1" x14ac:dyDescent="0.35">
      <c r="A122" s="38"/>
      <c r="B122" s="38"/>
      <c r="C122" s="38"/>
      <c r="D122" s="38"/>
      <c r="E122" s="37"/>
      <c r="F122" s="37"/>
      <c r="G122" s="709" t="s">
        <v>228</v>
      </c>
      <c r="H122" s="709"/>
      <c r="I122" s="709"/>
      <c r="J122" s="709"/>
      <c r="K122" s="709"/>
      <c r="L122" s="709"/>
      <c r="M122" s="709"/>
      <c r="N122" s="709"/>
      <c r="O122" s="709"/>
      <c r="P122" s="709"/>
      <c r="Q122" s="709"/>
      <c r="R122" s="709"/>
      <c r="S122" s="709"/>
      <c r="T122" s="709"/>
      <c r="U122" s="709"/>
      <c r="V122" s="709"/>
      <c r="W122" s="37"/>
      <c r="X122" s="37"/>
    </row>
    <row r="123" spans="1:24" ht="30" customHeight="1" x14ac:dyDescent="0.35">
      <c r="A123" s="38"/>
      <c r="B123" s="38"/>
      <c r="C123" s="38"/>
      <c r="D123" s="38"/>
      <c r="E123" s="37"/>
      <c r="F123" s="37"/>
      <c r="G123" s="710" t="str">
        <f>G30</f>
        <v>KHADAFI AGISTA MUSYAFA</v>
      </c>
      <c r="H123" s="711"/>
      <c r="I123" s="711"/>
      <c r="J123" s="711"/>
      <c r="K123" s="711"/>
      <c r="L123" s="711"/>
      <c r="M123" s="711"/>
      <c r="N123" s="711"/>
      <c r="O123" s="711"/>
      <c r="P123" s="711"/>
      <c r="Q123" s="711"/>
      <c r="R123" s="711"/>
      <c r="S123" s="711"/>
      <c r="T123" s="711"/>
      <c r="U123" s="711"/>
      <c r="V123" s="712"/>
      <c r="W123" s="37"/>
      <c r="X123" s="37"/>
    </row>
    <row r="124" spans="1:24" ht="18" customHeight="1" x14ac:dyDescent="0.35">
      <c r="A124" s="38"/>
      <c r="B124" s="38"/>
      <c r="C124" s="38"/>
      <c r="D124" s="38"/>
      <c r="E124" s="37"/>
      <c r="F124" s="37"/>
      <c r="G124" s="43"/>
      <c r="H124" s="43"/>
      <c r="I124" s="43"/>
      <c r="J124" s="43"/>
      <c r="K124" s="43"/>
      <c r="L124" s="43"/>
      <c r="M124" s="43"/>
      <c r="N124" s="43"/>
      <c r="O124" s="43"/>
      <c r="P124" s="43"/>
      <c r="Q124" s="43"/>
      <c r="R124" s="43"/>
      <c r="S124" s="43"/>
      <c r="T124" s="43"/>
      <c r="U124" s="43"/>
      <c r="V124" s="43"/>
      <c r="W124" s="37"/>
      <c r="X124" s="37"/>
    </row>
    <row r="125" spans="1:24" s="34" customFormat="1" ht="22.5" customHeight="1" x14ac:dyDescent="0.35">
      <c r="A125" s="27"/>
      <c r="B125" s="27"/>
      <c r="C125" s="27"/>
      <c r="D125" s="27"/>
      <c r="E125" s="44"/>
      <c r="F125" s="44"/>
      <c r="G125" s="704" t="s">
        <v>41</v>
      </c>
      <c r="H125" s="704"/>
      <c r="I125" s="704"/>
      <c r="J125" s="704"/>
      <c r="K125" s="704"/>
      <c r="L125" s="704"/>
      <c r="M125" s="704"/>
      <c r="N125" s="704"/>
      <c r="O125" s="704"/>
      <c r="P125" s="704"/>
      <c r="Q125" s="704"/>
      <c r="R125" s="704"/>
      <c r="S125" s="704"/>
      <c r="T125" s="704"/>
      <c r="U125" s="704"/>
      <c r="V125" s="704"/>
      <c r="W125" s="44"/>
      <c r="X125" s="44"/>
    </row>
    <row r="126" spans="1:24" s="34" customFormat="1" ht="30" customHeight="1" x14ac:dyDescent="0.35">
      <c r="E126" s="44"/>
      <c r="F126" s="44"/>
      <c r="G126" s="705" t="str">
        <f>G33</f>
        <v>0094647128</v>
      </c>
      <c r="H126" s="706"/>
      <c r="I126" s="706"/>
      <c r="J126" s="706"/>
      <c r="K126" s="706"/>
      <c r="L126" s="706"/>
      <c r="M126" s="706"/>
      <c r="N126" s="706"/>
      <c r="O126" s="706"/>
      <c r="P126" s="706"/>
      <c r="Q126" s="706"/>
      <c r="R126" s="706"/>
      <c r="S126" s="706"/>
      <c r="T126" s="706"/>
      <c r="U126" s="706"/>
      <c r="V126" s="707"/>
      <c r="W126" s="44"/>
      <c r="X126" s="44"/>
    </row>
    <row r="127" spans="1:24" ht="18" customHeight="1" x14ac:dyDescent="0.35">
      <c r="E127" s="37"/>
      <c r="F127" s="37"/>
      <c r="G127" s="37"/>
      <c r="H127" s="37"/>
      <c r="I127" s="37"/>
      <c r="J127" s="37"/>
      <c r="K127" s="37"/>
      <c r="L127" s="37"/>
      <c r="M127" s="37"/>
      <c r="N127" s="39"/>
      <c r="O127" s="39"/>
      <c r="P127" s="37"/>
      <c r="Q127" s="37"/>
      <c r="R127" s="37"/>
      <c r="S127" s="37"/>
      <c r="T127" s="37"/>
      <c r="U127" s="37"/>
      <c r="V127" s="37"/>
      <c r="W127" s="37"/>
      <c r="X127" s="37"/>
    </row>
    <row r="128" spans="1:24" ht="18" customHeight="1" x14ac:dyDescent="0.35">
      <c r="E128" s="37"/>
      <c r="F128" s="37"/>
      <c r="G128" s="37"/>
      <c r="H128" s="37"/>
      <c r="I128" s="37"/>
      <c r="J128" s="37"/>
      <c r="K128" s="37"/>
      <c r="L128" s="37"/>
      <c r="M128" s="37"/>
      <c r="N128" s="39"/>
      <c r="O128" s="39"/>
      <c r="P128" s="37"/>
      <c r="Q128" s="37"/>
      <c r="R128" s="37"/>
      <c r="S128" s="37"/>
      <c r="T128" s="37"/>
      <c r="U128" s="37"/>
      <c r="V128" s="37"/>
      <c r="W128" s="37"/>
      <c r="X128" s="37"/>
    </row>
    <row r="129" spans="5:24" x14ac:dyDescent="0.35">
      <c r="E129" s="37"/>
      <c r="F129" s="37"/>
      <c r="G129" s="37"/>
      <c r="H129" s="37"/>
      <c r="I129" s="37"/>
      <c r="J129" s="37"/>
      <c r="K129" s="37"/>
      <c r="L129" s="37"/>
      <c r="M129" s="37"/>
      <c r="N129" s="39"/>
      <c r="O129" s="39"/>
      <c r="P129" s="37"/>
      <c r="Q129" s="37"/>
      <c r="R129" s="37"/>
      <c r="S129" s="37"/>
      <c r="T129" s="37"/>
      <c r="U129" s="37"/>
      <c r="V129" s="37"/>
      <c r="W129" s="37"/>
      <c r="X129" s="37"/>
    </row>
    <row r="130" spans="5:24" x14ac:dyDescent="0.35">
      <c r="E130" s="37"/>
      <c r="F130" s="37"/>
      <c r="G130" s="37"/>
      <c r="H130" s="37"/>
      <c r="I130" s="37"/>
      <c r="J130" s="37"/>
      <c r="K130" s="37"/>
      <c r="L130" s="37"/>
      <c r="M130" s="37"/>
      <c r="N130" s="39"/>
      <c r="O130" s="39"/>
      <c r="P130" s="37"/>
      <c r="Q130" s="37"/>
      <c r="R130" s="37"/>
      <c r="S130" s="37"/>
      <c r="T130" s="37"/>
      <c r="U130" s="37"/>
      <c r="V130" s="37"/>
      <c r="W130" s="37"/>
      <c r="X130" s="37"/>
    </row>
    <row r="131" spans="5:24" x14ac:dyDescent="0.35">
      <c r="E131" s="37"/>
      <c r="F131" s="37"/>
      <c r="G131" s="698" t="s">
        <v>227</v>
      </c>
      <c r="H131" s="699"/>
      <c r="I131" s="699"/>
      <c r="J131" s="699"/>
      <c r="K131" s="699"/>
      <c r="L131" s="699"/>
      <c r="M131" s="699"/>
      <c r="N131" s="699"/>
      <c r="O131" s="699"/>
      <c r="P131" s="699"/>
      <c r="Q131" s="699"/>
      <c r="R131" s="699"/>
      <c r="S131" s="699"/>
      <c r="T131" s="699"/>
      <c r="U131" s="699"/>
      <c r="V131" s="699"/>
      <c r="W131" s="37"/>
      <c r="X131" s="37"/>
    </row>
    <row r="132" spans="5:24" x14ac:dyDescent="0.35">
      <c r="E132" s="37"/>
      <c r="F132" s="37"/>
      <c r="G132" s="698"/>
      <c r="H132" s="699"/>
      <c r="I132" s="699"/>
      <c r="J132" s="699"/>
      <c r="K132" s="699"/>
      <c r="L132" s="699"/>
      <c r="M132" s="699"/>
      <c r="N132" s="699"/>
      <c r="O132" s="699"/>
      <c r="P132" s="699"/>
      <c r="Q132" s="699"/>
      <c r="R132" s="699"/>
      <c r="S132" s="699"/>
      <c r="T132" s="699"/>
      <c r="U132" s="699"/>
      <c r="V132" s="699"/>
      <c r="W132" s="37"/>
      <c r="X132" s="37"/>
    </row>
    <row r="133" spans="5:24" x14ac:dyDescent="0.35">
      <c r="E133" s="37"/>
      <c r="F133" s="37"/>
      <c r="G133" s="698"/>
      <c r="H133" s="699"/>
      <c r="I133" s="699"/>
      <c r="J133" s="699"/>
      <c r="K133" s="699"/>
      <c r="L133" s="699"/>
      <c r="M133" s="699"/>
      <c r="N133" s="699"/>
      <c r="O133" s="699"/>
      <c r="P133" s="699"/>
      <c r="Q133" s="699"/>
      <c r="R133" s="699"/>
      <c r="S133" s="699"/>
      <c r="T133" s="699"/>
      <c r="U133" s="699"/>
      <c r="V133" s="699"/>
      <c r="W133" s="37"/>
      <c r="X133" s="37"/>
    </row>
    <row r="134" spans="5:24" x14ac:dyDescent="0.35">
      <c r="E134" s="37"/>
      <c r="F134" s="37"/>
      <c r="G134" s="698"/>
      <c r="H134" s="699"/>
      <c r="I134" s="699"/>
      <c r="J134" s="699"/>
      <c r="K134" s="699"/>
      <c r="L134" s="699"/>
      <c r="M134" s="699"/>
      <c r="N134" s="699"/>
      <c r="O134" s="699"/>
      <c r="P134" s="699"/>
      <c r="Q134" s="699"/>
      <c r="R134" s="699"/>
      <c r="S134" s="699"/>
      <c r="T134" s="699"/>
      <c r="U134" s="699"/>
      <c r="V134" s="699"/>
      <c r="W134" s="37"/>
      <c r="X134" s="37"/>
    </row>
    <row r="135" spans="5:24" ht="15" customHeight="1" x14ac:dyDescent="0.35">
      <c r="E135" s="37"/>
      <c r="F135" s="37"/>
      <c r="G135" s="700" t="s">
        <v>235</v>
      </c>
      <c r="H135" s="700"/>
      <c r="I135" s="700"/>
      <c r="J135" s="700"/>
      <c r="K135" s="700"/>
      <c r="L135" s="700"/>
      <c r="M135" s="700"/>
      <c r="N135" s="700"/>
      <c r="O135" s="700"/>
      <c r="P135" s="700"/>
      <c r="Q135" s="700"/>
      <c r="R135" s="700"/>
      <c r="S135" s="700"/>
      <c r="T135" s="700"/>
      <c r="U135" s="700"/>
      <c r="V135" s="700"/>
      <c r="W135" s="37"/>
      <c r="X135" s="37"/>
    </row>
    <row r="136" spans="5:24" x14ac:dyDescent="0.35">
      <c r="E136" s="37"/>
      <c r="F136" s="37"/>
      <c r="G136" s="700"/>
      <c r="H136" s="700"/>
      <c r="I136" s="700"/>
      <c r="J136" s="700"/>
      <c r="K136" s="700"/>
      <c r="L136" s="700"/>
      <c r="M136" s="700"/>
      <c r="N136" s="700"/>
      <c r="O136" s="700"/>
      <c r="P136" s="700"/>
      <c r="Q136" s="700"/>
      <c r="R136" s="700"/>
      <c r="S136" s="700"/>
      <c r="T136" s="700"/>
      <c r="U136" s="700"/>
      <c r="V136" s="700"/>
      <c r="W136" s="37"/>
      <c r="X136" s="37"/>
    </row>
    <row r="137" spans="5:24" x14ac:dyDescent="0.35">
      <c r="E137" s="37"/>
      <c r="F137" s="37"/>
      <c r="G137" s="700"/>
      <c r="H137" s="700"/>
      <c r="I137" s="700"/>
      <c r="J137" s="700"/>
      <c r="K137" s="700"/>
      <c r="L137" s="700"/>
      <c r="M137" s="700"/>
      <c r="N137" s="700"/>
      <c r="O137" s="700"/>
      <c r="P137" s="700"/>
      <c r="Q137" s="700"/>
      <c r="R137" s="700"/>
      <c r="S137" s="700"/>
      <c r="T137" s="700"/>
      <c r="U137" s="700"/>
      <c r="V137" s="700"/>
      <c r="W137" s="37"/>
      <c r="X137" s="37"/>
    </row>
    <row r="138" spans="5:24" x14ac:dyDescent="0.35">
      <c r="E138" s="37"/>
      <c r="F138" s="37"/>
      <c r="G138" s="700"/>
      <c r="H138" s="700"/>
      <c r="I138" s="700"/>
      <c r="J138" s="700"/>
      <c r="K138" s="700"/>
      <c r="L138" s="700"/>
      <c r="M138" s="700"/>
      <c r="N138" s="700"/>
      <c r="O138" s="700"/>
      <c r="P138" s="700"/>
      <c r="Q138" s="700"/>
      <c r="R138" s="700"/>
      <c r="S138" s="700"/>
      <c r="T138" s="700"/>
      <c r="U138" s="700"/>
      <c r="V138" s="700"/>
      <c r="W138" s="37"/>
      <c r="X138" s="37"/>
    </row>
    <row r="139" spans="5:24" x14ac:dyDescent="0.35">
      <c r="E139" s="37"/>
      <c r="F139" s="37"/>
      <c r="G139" s="37"/>
      <c r="H139" s="37"/>
      <c r="I139" s="37"/>
      <c r="J139" s="37"/>
      <c r="K139" s="37"/>
      <c r="L139" s="37"/>
      <c r="M139" s="37"/>
      <c r="N139" s="39"/>
      <c r="O139" s="39"/>
      <c r="P139" s="37"/>
      <c r="Q139" s="37"/>
      <c r="R139" s="37"/>
      <c r="S139" s="37"/>
      <c r="T139" s="37"/>
      <c r="U139" s="37"/>
      <c r="V139" s="37"/>
      <c r="W139" s="37"/>
      <c r="X139" s="37"/>
    </row>
    <row r="140" spans="5:24" x14ac:dyDescent="0.35">
      <c r="E140" s="37"/>
      <c r="F140" s="37"/>
      <c r="G140" s="37"/>
      <c r="H140" s="37"/>
      <c r="I140" s="37"/>
      <c r="J140" s="37"/>
      <c r="K140" s="37"/>
      <c r="L140" s="37"/>
      <c r="M140" s="37"/>
      <c r="N140" s="39"/>
      <c r="O140" s="39"/>
      <c r="P140" s="37"/>
      <c r="Q140" s="37"/>
      <c r="R140" s="37"/>
      <c r="S140" s="37"/>
      <c r="T140" s="37"/>
      <c r="U140" s="37"/>
      <c r="V140" s="37"/>
      <c r="W140" s="37"/>
      <c r="X140" s="37"/>
    </row>
    <row r="141" spans="5:24" x14ac:dyDescent="0.35">
      <c r="E141" s="37"/>
      <c r="F141" s="37"/>
      <c r="G141" s="37"/>
      <c r="H141" s="37"/>
      <c r="I141" s="37"/>
      <c r="J141" s="37"/>
      <c r="K141" s="37"/>
      <c r="L141" s="37"/>
      <c r="M141" s="37"/>
      <c r="N141" s="39"/>
      <c r="O141" s="39"/>
      <c r="P141" s="37"/>
      <c r="Q141" s="37"/>
      <c r="R141" s="37"/>
      <c r="S141" s="37"/>
      <c r="T141" s="37"/>
      <c r="U141" s="37"/>
      <c r="V141" s="37"/>
      <c r="W141" s="37"/>
      <c r="X141" s="37"/>
    </row>
    <row r="142" spans="5:24" x14ac:dyDescent="0.35">
      <c r="E142" s="37"/>
      <c r="F142" s="37"/>
      <c r="G142" s="37"/>
      <c r="H142" s="37"/>
      <c r="I142" s="37"/>
      <c r="J142" s="37"/>
      <c r="K142" s="37"/>
      <c r="L142" s="37"/>
      <c r="M142" s="37"/>
      <c r="N142" s="39"/>
      <c r="O142" s="39"/>
      <c r="P142" s="37"/>
      <c r="Q142" s="37"/>
      <c r="R142" s="37"/>
      <c r="S142" s="37"/>
      <c r="T142" s="37"/>
      <c r="U142" s="37"/>
      <c r="V142" s="37"/>
      <c r="W142" s="37"/>
      <c r="X142" s="37"/>
    </row>
    <row r="143" spans="5:24" x14ac:dyDescent="0.35">
      <c r="E143" s="37"/>
      <c r="F143" s="37"/>
      <c r="G143" s="37"/>
      <c r="H143" s="37"/>
      <c r="I143" s="37"/>
      <c r="J143" s="37"/>
      <c r="K143" s="37"/>
      <c r="L143" s="37"/>
      <c r="M143" s="37"/>
      <c r="N143" s="39"/>
      <c r="O143" s="39"/>
      <c r="P143" s="37"/>
      <c r="Q143" s="37"/>
      <c r="R143" s="37"/>
      <c r="S143" s="37"/>
      <c r="T143" s="37"/>
      <c r="U143" s="37"/>
      <c r="V143" s="37"/>
      <c r="W143" s="37"/>
      <c r="X143" s="37"/>
    </row>
    <row r="144" spans="5:24" x14ac:dyDescent="0.35">
      <c r="E144" s="37"/>
      <c r="F144" s="37"/>
      <c r="G144" s="37"/>
      <c r="H144" s="37"/>
      <c r="I144" s="37"/>
      <c r="J144" s="37"/>
      <c r="K144" s="37"/>
      <c r="L144" s="37"/>
      <c r="M144" s="37"/>
      <c r="N144" s="39"/>
      <c r="O144" s="39"/>
      <c r="P144" s="37"/>
      <c r="Q144" s="37"/>
      <c r="R144" s="37"/>
      <c r="S144" s="37"/>
      <c r="T144" s="37"/>
      <c r="U144" s="37"/>
      <c r="V144" s="37"/>
      <c r="W144" s="37"/>
      <c r="X144" s="37"/>
    </row>
    <row r="147" spans="5:24" ht="6.75" customHeight="1" x14ac:dyDescent="0.35"/>
    <row r="148" spans="5:24" ht="15.5" x14ac:dyDescent="0.35">
      <c r="E148" s="701" t="s">
        <v>94</v>
      </c>
      <c r="F148" s="701"/>
      <c r="G148" s="701"/>
      <c r="H148" s="701"/>
      <c r="I148" s="701"/>
      <c r="J148" s="701"/>
      <c r="K148" s="701"/>
      <c r="L148" s="701"/>
      <c r="M148" s="701"/>
      <c r="N148" s="701"/>
      <c r="O148" s="701"/>
      <c r="P148" s="701"/>
      <c r="Q148" s="701"/>
      <c r="R148" s="701"/>
      <c r="S148" s="701"/>
      <c r="T148" s="701"/>
      <c r="U148" s="701"/>
      <c r="V148" s="701"/>
      <c r="W148" s="701"/>
      <c r="X148" s="701"/>
    </row>
    <row r="150" spans="5:24" s="34" customFormat="1" ht="18" customHeight="1" x14ac:dyDescent="0.35">
      <c r="F150" s="34">
        <v>1</v>
      </c>
      <c r="G150" s="34" t="s">
        <v>95</v>
      </c>
      <c r="M150" s="35" t="s">
        <v>1</v>
      </c>
      <c r="N150" s="45" t="str">
        <f>N58</f>
        <v>KHADAFI AGISTA MUSYAFA</v>
      </c>
      <c r="O150" s="45"/>
      <c r="P150" s="45"/>
      <c r="Q150" s="45"/>
      <c r="R150" s="45"/>
      <c r="S150" s="45"/>
      <c r="T150" s="45"/>
      <c r="U150" s="45"/>
      <c r="V150" s="45"/>
      <c r="W150"/>
      <c r="X150"/>
    </row>
    <row r="151" spans="5:24" s="34" customFormat="1" ht="18" customHeight="1" x14ac:dyDescent="0.35">
      <c r="F151" s="34">
        <v>2</v>
      </c>
      <c r="G151" s="34" t="s">
        <v>96</v>
      </c>
      <c r="M151" s="35" t="s">
        <v>1</v>
      </c>
      <c r="N151" s="45" t="str">
        <f>UPPER(VLOOKUP(K2,datasantri,4))&amp;" / "&amp;(VLOOKUP(K2,datasantri,6))</f>
        <v>0301 / 0094647128</v>
      </c>
      <c r="O151" s="45"/>
      <c r="P151" s="45"/>
      <c r="Q151" s="45"/>
      <c r="R151" s="45"/>
      <c r="S151" s="45"/>
      <c r="T151" s="45"/>
      <c r="U151" s="45"/>
      <c r="V151" s="45"/>
      <c r="W151"/>
      <c r="X151"/>
    </row>
    <row r="152" spans="5:24" s="34" customFormat="1" ht="18" customHeight="1" x14ac:dyDescent="0.35">
      <c r="F152" s="34">
        <v>3</v>
      </c>
      <c r="G152" s="34" t="s">
        <v>97</v>
      </c>
      <c r="M152" s="35" t="s">
        <v>1</v>
      </c>
      <c r="N152" s="45" t="str">
        <f t="shared" ref="N152:N156" si="0">N60</f>
        <v>TEGAL , 23 Mei 2009</v>
      </c>
      <c r="O152" s="45"/>
      <c r="P152" s="45"/>
      <c r="Q152" s="45"/>
      <c r="R152" s="45"/>
      <c r="S152" s="45"/>
      <c r="T152" s="45"/>
      <c r="U152" s="45"/>
      <c r="V152" s="45"/>
      <c r="W152"/>
      <c r="X152"/>
    </row>
    <row r="153" spans="5:24" s="34" customFormat="1" ht="18" customHeight="1" x14ac:dyDescent="0.35">
      <c r="F153" s="34">
        <v>4</v>
      </c>
      <c r="G153" s="34" t="s">
        <v>98</v>
      </c>
      <c r="M153" s="35" t="s">
        <v>1</v>
      </c>
      <c r="N153" s="45" t="str">
        <f t="shared" si="0"/>
        <v>LAKI-LAKI</v>
      </c>
      <c r="O153" s="45"/>
      <c r="P153" s="45"/>
      <c r="Q153" s="45"/>
      <c r="R153" s="45"/>
      <c r="S153" s="45"/>
      <c r="T153" s="45"/>
      <c r="U153" s="45"/>
      <c r="V153" s="45"/>
      <c r="W153"/>
      <c r="X153"/>
    </row>
    <row r="154" spans="5:24" s="34" customFormat="1" ht="18" customHeight="1" x14ac:dyDescent="0.35">
      <c r="F154" s="34">
        <v>5</v>
      </c>
      <c r="G154" s="34" t="s">
        <v>99</v>
      </c>
      <c r="M154" s="35" t="s">
        <v>1</v>
      </c>
      <c r="N154" s="45" t="str">
        <f t="shared" si="0"/>
        <v>ISLAM</v>
      </c>
      <c r="O154" s="45"/>
      <c r="P154" s="45"/>
      <c r="Q154" s="45"/>
      <c r="R154" s="45"/>
      <c r="S154" s="45"/>
      <c r="T154" s="45"/>
      <c r="U154" s="45"/>
      <c r="V154" s="45"/>
      <c r="W154"/>
      <c r="X154"/>
    </row>
    <row r="155" spans="5:24" s="34" customFormat="1" ht="18" customHeight="1" x14ac:dyDescent="0.35">
      <c r="F155" s="34">
        <v>6</v>
      </c>
      <c r="G155" s="34" t="s">
        <v>100</v>
      </c>
      <c r="M155" s="35" t="s">
        <v>1</v>
      </c>
      <c r="N155" s="45" t="str">
        <f t="shared" si="0"/>
        <v>ANAK KANDUNG</v>
      </c>
      <c r="O155" s="45"/>
      <c r="P155" s="45"/>
      <c r="Q155" s="45"/>
      <c r="R155" s="45"/>
      <c r="S155" s="45"/>
      <c r="T155" s="45"/>
      <c r="U155" s="45"/>
      <c r="V155" s="45"/>
      <c r="W155"/>
      <c r="X155"/>
    </row>
    <row r="156" spans="5:24" s="34" customFormat="1" ht="18" customHeight="1" x14ac:dyDescent="0.35">
      <c r="F156" s="34">
        <v>7</v>
      </c>
      <c r="G156" s="34" t="s">
        <v>101</v>
      </c>
      <c r="M156" s="35" t="s">
        <v>1</v>
      </c>
      <c r="N156" s="45" t="str">
        <f t="shared" si="0"/>
        <v>2</v>
      </c>
      <c r="O156" s="45"/>
      <c r="P156" s="45"/>
      <c r="Q156" s="45"/>
      <c r="R156" s="45"/>
      <c r="S156" s="45"/>
      <c r="T156" s="45"/>
      <c r="U156" s="45"/>
      <c r="V156" s="45"/>
      <c r="W156"/>
      <c r="X156"/>
    </row>
    <row r="157" spans="5:24" s="34" customFormat="1" ht="27" customHeight="1" x14ac:dyDescent="0.35">
      <c r="F157" s="34">
        <v>8</v>
      </c>
      <c r="G157" s="34" t="s">
        <v>102</v>
      </c>
      <c r="M157" s="35" t="s">
        <v>1</v>
      </c>
      <c r="N157" s="696" t="str">
        <f>N65</f>
        <v>KARANGMULYA RT 01 RW 05,SURADADI ,TEGAL,JAWA TENGAH</v>
      </c>
      <c r="O157" s="696"/>
      <c r="P157" s="696"/>
      <c r="Q157" s="696"/>
      <c r="R157" s="696"/>
      <c r="S157" s="696"/>
      <c r="T157" s="696"/>
      <c r="U157" s="696"/>
      <c r="V157" s="696"/>
      <c r="W157"/>
      <c r="X157"/>
    </row>
    <row r="158" spans="5:24" s="34" customFormat="1" ht="18" customHeight="1" x14ac:dyDescent="0.35">
      <c r="M158" s="35"/>
      <c r="N158" s="697"/>
      <c r="O158" s="697"/>
      <c r="P158" s="697"/>
      <c r="Q158" s="697"/>
      <c r="R158" s="697"/>
      <c r="S158" s="697"/>
      <c r="T158" s="697"/>
      <c r="U158" s="697"/>
      <c r="V158" s="697"/>
      <c r="W158"/>
      <c r="X158"/>
    </row>
    <row r="159" spans="5:24" s="34" customFormat="1" ht="18" customHeight="1" x14ac:dyDescent="0.35">
      <c r="F159" s="34">
        <v>9</v>
      </c>
      <c r="G159" s="34" t="s">
        <v>103</v>
      </c>
      <c r="M159" s="35" t="s">
        <v>1</v>
      </c>
      <c r="N159" s="45" t="str">
        <f>N67</f>
        <v>081329446066</v>
      </c>
      <c r="O159" s="45"/>
      <c r="P159" s="45"/>
      <c r="Q159" s="45"/>
      <c r="R159" s="45"/>
      <c r="S159" s="45"/>
      <c r="T159" s="45"/>
      <c r="U159" s="45"/>
      <c r="V159" s="45"/>
      <c r="W159"/>
      <c r="X159"/>
    </row>
    <row r="160" spans="5:24" s="34" customFormat="1" ht="18" customHeight="1" x14ac:dyDescent="0.35">
      <c r="F160" s="34">
        <v>10</v>
      </c>
      <c r="G160" s="34" t="s">
        <v>104</v>
      </c>
      <c r="M160" s="35" t="s">
        <v>1</v>
      </c>
      <c r="N160" s="55" t="str">
        <f t="shared" ref="N160:N166" si="1">N68</f>
        <v>SD AL IRSYAD TEGAL</v>
      </c>
      <c r="O160" s="55"/>
      <c r="P160" s="55"/>
      <c r="Q160" s="55"/>
      <c r="R160" s="55"/>
      <c r="S160" s="55"/>
      <c r="T160" s="55"/>
      <c r="U160" s="55"/>
      <c r="V160" s="55"/>
      <c r="W160"/>
      <c r="X160"/>
    </row>
    <row r="161" spans="6:24" s="34" customFormat="1" ht="18" customHeight="1" x14ac:dyDescent="0.35">
      <c r="F161" s="34">
        <v>11</v>
      </c>
      <c r="G161" s="34" t="s">
        <v>131</v>
      </c>
      <c r="M161" s="35"/>
      <c r="N161" s="55"/>
      <c r="O161" s="55"/>
      <c r="P161" s="55"/>
      <c r="Q161" s="55"/>
      <c r="R161" s="55"/>
      <c r="S161" s="55"/>
      <c r="T161" s="55"/>
      <c r="U161" s="55"/>
      <c r="V161" s="55"/>
      <c r="W161"/>
      <c r="X161"/>
    </row>
    <row r="162" spans="6:24" s="34" customFormat="1" ht="18" customHeight="1" x14ac:dyDescent="0.35">
      <c r="G162" s="34" t="s">
        <v>105</v>
      </c>
      <c r="M162" s="35" t="s">
        <v>1</v>
      </c>
      <c r="N162" s="45" t="str">
        <f t="shared" si="1"/>
        <v/>
      </c>
      <c r="O162" s="45"/>
      <c r="P162" s="45"/>
      <c r="Q162" s="45"/>
      <c r="R162" s="45"/>
      <c r="S162" s="45"/>
      <c r="T162" s="45"/>
      <c r="U162" s="45"/>
      <c r="V162" s="45"/>
      <c r="W162"/>
      <c r="X162"/>
    </row>
    <row r="163" spans="6:24" s="34" customFormat="1" ht="18" customHeight="1" x14ac:dyDescent="0.35">
      <c r="G163" s="34" t="s">
        <v>106</v>
      </c>
      <c r="M163" s="35" t="s">
        <v>1</v>
      </c>
      <c r="N163" s="56" t="str">
        <f t="shared" si="1"/>
        <v/>
      </c>
      <c r="O163" s="56"/>
      <c r="P163" s="56"/>
      <c r="Q163" s="56"/>
      <c r="R163" s="56"/>
      <c r="S163" s="56"/>
      <c r="T163" s="56"/>
      <c r="U163" s="56"/>
      <c r="V163" s="56"/>
      <c r="W163"/>
      <c r="X163"/>
    </row>
    <row r="164" spans="6:24" s="34" customFormat="1" ht="18" customHeight="1" x14ac:dyDescent="0.35">
      <c r="F164" s="34">
        <v>12</v>
      </c>
      <c r="G164" s="34" t="s">
        <v>107</v>
      </c>
      <c r="M164" s="35"/>
      <c r="N164" s="55"/>
      <c r="O164" s="55"/>
      <c r="P164" s="55"/>
      <c r="Q164" s="55"/>
      <c r="R164" s="55"/>
      <c r="S164" s="55"/>
      <c r="T164" s="55"/>
      <c r="U164" s="55"/>
      <c r="V164" s="55"/>
      <c r="W164"/>
      <c r="X164"/>
    </row>
    <row r="165" spans="6:24" s="34" customFormat="1" ht="18" customHeight="1" x14ac:dyDescent="0.35">
      <c r="G165" s="34" t="s">
        <v>108</v>
      </c>
      <c r="M165" s="35" t="s">
        <v>1</v>
      </c>
      <c r="N165" s="45" t="str">
        <f t="shared" si="1"/>
        <v>AZIZ AMIRULLOH</v>
      </c>
      <c r="O165" s="45"/>
      <c r="P165" s="45"/>
      <c r="Q165" s="45"/>
      <c r="R165" s="45"/>
      <c r="S165" s="45"/>
      <c r="T165" s="45"/>
      <c r="U165" s="45"/>
      <c r="V165" s="45"/>
      <c r="W165"/>
      <c r="X165"/>
    </row>
    <row r="166" spans="6:24" s="34" customFormat="1" ht="18" customHeight="1" x14ac:dyDescent="0.35">
      <c r="G166" s="34" t="s">
        <v>109</v>
      </c>
      <c r="M166" s="35" t="s">
        <v>1</v>
      </c>
      <c r="N166" s="45" t="str">
        <f t="shared" si="1"/>
        <v>SRI JAYANTI</v>
      </c>
      <c r="O166" s="45"/>
      <c r="P166" s="45"/>
      <c r="Q166" s="45"/>
      <c r="R166" s="45"/>
      <c r="S166" s="45"/>
      <c r="T166" s="45"/>
      <c r="U166" s="45"/>
      <c r="V166" s="45"/>
      <c r="W166"/>
      <c r="X166"/>
    </row>
    <row r="167" spans="6:24" s="34" customFormat="1" ht="21" customHeight="1" x14ac:dyDescent="0.35">
      <c r="G167" s="34" t="s">
        <v>110</v>
      </c>
      <c r="M167" s="35" t="s">
        <v>1</v>
      </c>
      <c r="N167" s="696" t="str">
        <f>N75</f>
        <v>KARANGMULYA RT 01 RW 05,SURADADI ,TEGAL,JAWA TENGAH</v>
      </c>
      <c r="O167" s="696"/>
      <c r="P167" s="696"/>
      <c r="Q167" s="696"/>
      <c r="R167" s="696"/>
      <c r="S167" s="696"/>
      <c r="T167" s="696"/>
      <c r="U167" s="696"/>
      <c r="V167" s="696"/>
      <c r="W167"/>
      <c r="X167"/>
    </row>
    <row r="168" spans="6:24" s="34" customFormat="1" ht="27" customHeight="1" x14ac:dyDescent="0.35">
      <c r="M168" s="35"/>
      <c r="N168" s="697"/>
      <c r="O168" s="697"/>
      <c r="P168" s="697"/>
      <c r="Q168" s="697"/>
      <c r="R168" s="697"/>
      <c r="S168" s="697"/>
      <c r="T168" s="697"/>
      <c r="U168" s="697"/>
      <c r="V168" s="697"/>
      <c r="W168"/>
      <c r="X168"/>
    </row>
    <row r="169" spans="6:24" s="34" customFormat="1" ht="18" customHeight="1" x14ac:dyDescent="0.35">
      <c r="G169" s="34" t="s">
        <v>111</v>
      </c>
      <c r="M169" s="35" t="s">
        <v>1</v>
      </c>
      <c r="N169" s="56" t="str">
        <f>N77</f>
        <v>081329446066</v>
      </c>
      <c r="O169" s="56"/>
      <c r="P169" s="56"/>
      <c r="Q169" s="56"/>
      <c r="R169" s="56"/>
      <c r="S169" s="56"/>
      <c r="T169" s="56"/>
      <c r="U169" s="56"/>
      <c r="V169" s="56"/>
      <c r="W169"/>
      <c r="X169"/>
    </row>
    <row r="170" spans="6:24" s="34" customFormat="1" ht="18" customHeight="1" x14ac:dyDescent="0.35">
      <c r="F170" s="34">
        <v>13</v>
      </c>
      <c r="G170" s="34" t="s">
        <v>112</v>
      </c>
      <c r="M170" s="35"/>
      <c r="N170" s="55"/>
      <c r="O170" s="55"/>
      <c r="P170" s="55"/>
      <c r="Q170" s="55"/>
      <c r="R170" s="55"/>
      <c r="S170" s="55"/>
      <c r="T170" s="55"/>
      <c r="U170" s="55"/>
      <c r="V170" s="55"/>
      <c r="W170"/>
      <c r="X170"/>
    </row>
    <row r="171" spans="6:24" s="34" customFormat="1" ht="18" customHeight="1" x14ac:dyDescent="0.35">
      <c r="G171" s="34" t="s">
        <v>113</v>
      </c>
      <c r="M171" s="35" t="s">
        <v>1</v>
      </c>
      <c r="N171" s="45" t="str">
        <f>N79</f>
        <v>PENGUSAHA/WIRASWASTA</v>
      </c>
      <c r="O171" s="45"/>
      <c r="P171" s="45"/>
      <c r="Q171" s="45"/>
      <c r="R171" s="45"/>
      <c r="S171" s="45"/>
      <c r="T171" s="45"/>
      <c r="U171" s="45"/>
      <c r="V171" s="45"/>
      <c r="W171"/>
      <c r="X171"/>
    </row>
    <row r="172" spans="6:24" s="34" customFormat="1" ht="18" customHeight="1" x14ac:dyDescent="0.35">
      <c r="G172" s="34" t="s">
        <v>114</v>
      </c>
      <c r="M172" s="35" t="s">
        <v>1</v>
      </c>
      <c r="N172" s="45" t="str">
        <f>N80</f>
        <v>PENGUSAHA/WIRASWASTA</v>
      </c>
      <c r="O172" s="45"/>
      <c r="P172" s="45"/>
      <c r="Q172" s="45"/>
      <c r="R172" s="45"/>
      <c r="S172" s="45"/>
      <c r="T172" s="45"/>
      <c r="U172" s="45"/>
      <c r="V172" s="45"/>
      <c r="W172"/>
      <c r="X172"/>
    </row>
    <row r="173" spans="6:24" s="34" customFormat="1" ht="18" customHeight="1" x14ac:dyDescent="0.35">
      <c r="F173" s="34">
        <v>14</v>
      </c>
      <c r="G173" s="34" t="s">
        <v>115</v>
      </c>
      <c r="M173" s="35"/>
      <c r="N173" s="35"/>
      <c r="O173" s="35"/>
      <c r="P173" s="35"/>
      <c r="Q173" s="35"/>
      <c r="R173" s="35"/>
      <c r="S173" s="35"/>
      <c r="T173" s="35"/>
      <c r="U173" s="35"/>
      <c r="V173" s="35"/>
      <c r="W173"/>
      <c r="X173"/>
    </row>
    <row r="174" spans="6:24" s="34" customFormat="1" ht="18" customHeight="1" x14ac:dyDescent="0.35">
      <c r="G174" s="34" t="s">
        <v>116</v>
      </c>
      <c r="M174" s="35" t="s">
        <v>1</v>
      </c>
      <c r="N174" s="45" t="str">
        <f>N82</f>
        <v/>
      </c>
      <c r="O174" s="45"/>
      <c r="P174" s="45"/>
      <c r="Q174" s="45"/>
      <c r="R174" s="45"/>
      <c r="S174" s="45"/>
      <c r="T174" s="45"/>
      <c r="U174" s="45"/>
      <c r="V174" s="45"/>
      <c r="W174"/>
      <c r="X174"/>
    </row>
    <row r="175" spans="6:24" s="34" customFormat="1" ht="18" customHeight="1" x14ac:dyDescent="0.35">
      <c r="G175" s="34" t="s">
        <v>117</v>
      </c>
      <c r="M175" s="35" t="s">
        <v>1</v>
      </c>
      <c r="N175" s="45" t="str">
        <f>N83</f>
        <v/>
      </c>
      <c r="O175" s="45"/>
      <c r="P175" s="45"/>
      <c r="Q175" s="45"/>
      <c r="R175" s="45"/>
      <c r="S175" s="45"/>
      <c r="T175" s="45"/>
      <c r="U175" s="45"/>
      <c r="V175" s="45"/>
      <c r="W175"/>
      <c r="X175"/>
    </row>
    <row r="176" spans="6:24" s="34" customFormat="1" ht="18" customHeight="1" x14ac:dyDescent="0.35">
      <c r="G176" s="34" t="s">
        <v>110</v>
      </c>
      <c r="M176" s="35" t="s">
        <v>1</v>
      </c>
      <c r="N176" s="702" t="str">
        <f>N84</f>
        <v/>
      </c>
      <c r="O176" s="702"/>
      <c r="P176" s="702"/>
      <c r="Q176" s="702"/>
      <c r="R176" s="702"/>
      <c r="S176" s="702"/>
      <c r="T176" s="702"/>
      <c r="U176" s="702"/>
      <c r="V176" s="702"/>
      <c r="W176"/>
      <c r="X176"/>
    </row>
    <row r="177" spans="6:24" s="34" customFormat="1" ht="18" customHeight="1" x14ac:dyDescent="0.35">
      <c r="M177" s="35"/>
      <c r="N177" s="703"/>
      <c r="O177" s="703"/>
      <c r="P177" s="703"/>
      <c r="Q177" s="703"/>
      <c r="R177" s="703"/>
      <c r="S177" s="703"/>
      <c r="T177" s="703"/>
      <c r="U177" s="703"/>
      <c r="V177" s="703"/>
      <c r="W177"/>
      <c r="X177"/>
    </row>
    <row r="178" spans="6:24" x14ac:dyDescent="0.35">
      <c r="F178" s="34"/>
      <c r="G178" s="34" t="s">
        <v>119</v>
      </c>
      <c r="H178" s="34"/>
      <c r="I178" s="34"/>
      <c r="J178" s="34"/>
      <c r="K178" s="34"/>
      <c r="L178" s="34"/>
      <c r="M178" s="35" t="s">
        <v>1</v>
      </c>
      <c r="N178" s="45" t="str">
        <f>N86</f>
        <v/>
      </c>
      <c r="O178" s="45"/>
      <c r="P178" s="45"/>
      <c r="Q178" s="45"/>
      <c r="R178" s="45"/>
      <c r="S178" s="45"/>
      <c r="T178" s="45"/>
      <c r="U178" s="45"/>
      <c r="V178" s="45"/>
    </row>
    <row r="179" spans="6:24" x14ac:dyDescent="0.35">
      <c r="N179"/>
      <c r="P179" s="38"/>
    </row>
    <row r="180" spans="6:24" x14ac:dyDescent="0.35">
      <c r="P180" s="38"/>
    </row>
    <row r="181" spans="6:24" x14ac:dyDescent="0.35">
      <c r="N181" s="38" t="s">
        <v>129</v>
      </c>
      <c r="P181" s="38"/>
    </row>
    <row r="182" spans="6:24" x14ac:dyDescent="0.35">
      <c r="N182" s="38" t="s">
        <v>130</v>
      </c>
      <c r="P182" s="38"/>
    </row>
    <row r="183" spans="6:24" x14ac:dyDescent="0.35">
      <c r="P183" s="38"/>
    </row>
    <row r="184" spans="6:24" x14ac:dyDescent="0.35">
      <c r="P184" s="38"/>
    </row>
    <row r="185" spans="6:24" x14ac:dyDescent="0.35">
      <c r="P185" s="38"/>
    </row>
    <row r="186" spans="6:24" x14ac:dyDescent="0.35">
      <c r="P186" s="38"/>
    </row>
    <row r="187" spans="6:24" x14ac:dyDescent="0.35">
      <c r="N187" s="38" t="str">
        <f>'set-dakol'!H13</f>
        <v>Arini Intan Rustriana, S.Pd., M.M.</v>
      </c>
      <c r="P187" s="38"/>
    </row>
    <row r="188" spans="6:24" x14ac:dyDescent="0.35">
      <c r="P188" s="38"/>
    </row>
    <row r="189" spans="6:24" x14ac:dyDescent="0.35">
      <c r="P189" s="38"/>
    </row>
    <row r="190" spans="6:24" x14ac:dyDescent="0.35">
      <c r="P190" s="38"/>
    </row>
    <row r="191" spans="6:24" x14ac:dyDescent="0.35">
      <c r="P191" s="38"/>
    </row>
    <row r="200" spans="5:24" ht="15" customHeight="1" x14ac:dyDescent="0.35">
      <c r="E200" s="49"/>
      <c r="F200" s="49"/>
      <c r="G200" s="695"/>
      <c r="H200" s="695"/>
      <c r="I200" s="695"/>
      <c r="J200" s="695"/>
      <c r="K200" s="695"/>
      <c r="L200" s="695"/>
      <c r="M200" s="695"/>
      <c r="N200" s="695"/>
      <c r="O200" s="695"/>
      <c r="P200" s="695"/>
      <c r="Q200" s="695"/>
      <c r="R200" s="695"/>
      <c r="S200" s="695"/>
      <c r="T200" s="695"/>
      <c r="U200" s="695"/>
      <c r="V200" s="695"/>
      <c r="W200" s="49"/>
      <c r="X200" s="49"/>
    </row>
    <row r="201" spans="5:24" ht="15" customHeight="1" x14ac:dyDescent="0.35">
      <c r="E201" s="49"/>
      <c r="F201" s="49"/>
      <c r="G201" s="695"/>
      <c r="H201" s="695"/>
      <c r="I201" s="695"/>
      <c r="J201" s="695"/>
      <c r="K201" s="695"/>
      <c r="L201" s="695"/>
      <c r="M201" s="695"/>
      <c r="N201" s="695"/>
      <c r="O201" s="695"/>
      <c r="P201" s="695"/>
      <c r="Q201" s="695"/>
      <c r="R201" s="695"/>
      <c r="S201" s="695"/>
      <c r="T201" s="695"/>
      <c r="U201" s="695"/>
      <c r="V201" s="695"/>
      <c r="W201" s="49"/>
      <c r="X201" s="49"/>
    </row>
    <row r="202" spans="5:24" ht="15.75" customHeight="1" x14ac:dyDescent="0.35">
      <c r="E202" s="49"/>
      <c r="F202" s="49"/>
      <c r="G202" s="695"/>
      <c r="H202" s="695"/>
      <c r="I202" s="695"/>
      <c r="J202" s="695"/>
      <c r="K202" s="695"/>
      <c r="L202" s="695"/>
      <c r="M202" s="695"/>
      <c r="N202" s="695"/>
      <c r="O202" s="695"/>
      <c r="P202" s="695"/>
      <c r="Q202" s="695"/>
      <c r="R202" s="695"/>
      <c r="S202" s="695"/>
      <c r="T202" s="695"/>
      <c r="U202" s="695"/>
      <c r="V202" s="695"/>
      <c r="W202" s="49"/>
      <c r="X202" s="49"/>
    </row>
    <row r="203" spans="5:24" ht="15" customHeight="1" x14ac:dyDescent="0.35">
      <c r="E203" s="49"/>
      <c r="F203" s="49"/>
      <c r="G203" s="695"/>
      <c r="H203" s="695"/>
      <c r="I203" s="695"/>
      <c r="J203" s="695"/>
      <c r="K203" s="695"/>
      <c r="L203" s="695"/>
      <c r="M203" s="695"/>
      <c r="N203" s="695"/>
      <c r="O203" s="695"/>
      <c r="P203" s="695"/>
      <c r="Q203" s="695"/>
      <c r="R203" s="695"/>
      <c r="S203" s="695"/>
      <c r="T203" s="695"/>
      <c r="U203" s="695"/>
      <c r="V203" s="695"/>
      <c r="W203" s="49"/>
      <c r="X203" s="49"/>
    </row>
    <row r="204" spans="5:24" ht="15" customHeight="1" x14ac:dyDescent="0.35">
      <c r="E204" s="49"/>
      <c r="F204" s="49"/>
      <c r="G204" s="695"/>
      <c r="H204" s="695"/>
      <c r="I204" s="695"/>
      <c r="J204" s="695"/>
      <c r="K204" s="695"/>
      <c r="L204" s="695"/>
      <c r="M204" s="695"/>
      <c r="N204" s="695"/>
      <c r="O204" s="695"/>
      <c r="P204" s="695"/>
      <c r="Q204" s="695"/>
      <c r="R204" s="695"/>
      <c r="S204" s="695"/>
      <c r="T204" s="695"/>
      <c r="U204" s="695"/>
      <c r="V204" s="695"/>
      <c r="W204" s="49"/>
      <c r="X204" s="49"/>
    </row>
    <row r="205" spans="5:24" ht="15" customHeight="1" x14ac:dyDescent="0.35">
      <c r="E205" s="49"/>
      <c r="F205" s="49"/>
      <c r="G205" s="695"/>
      <c r="H205" s="695"/>
      <c r="I205" s="695"/>
      <c r="J205" s="695"/>
      <c r="K205" s="695"/>
      <c r="L205" s="695"/>
      <c r="M205" s="695"/>
      <c r="N205" s="695"/>
      <c r="O205" s="695"/>
      <c r="P205" s="695"/>
      <c r="Q205" s="695"/>
      <c r="R205" s="695"/>
      <c r="S205" s="695"/>
      <c r="T205" s="695"/>
      <c r="U205" s="695"/>
      <c r="V205" s="695"/>
      <c r="W205" s="49"/>
      <c r="X205" s="49"/>
    </row>
    <row r="206" spans="5:24" ht="15" customHeight="1" x14ac:dyDescent="0.35">
      <c r="G206" s="695"/>
      <c r="H206" s="695"/>
      <c r="I206" s="695"/>
      <c r="J206" s="695"/>
      <c r="K206" s="695"/>
      <c r="L206" s="695"/>
      <c r="M206" s="695"/>
      <c r="N206" s="695"/>
      <c r="O206" s="695"/>
      <c r="P206" s="695"/>
      <c r="Q206" s="695"/>
      <c r="R206" s="695"/>
      <c r="S206" s="695"/>
      <c r="T206" s="695"/>
      <c r="U206" s="695"/>
      <c r="V206" s="695"/>
    </row>
    <row r="207" spans="5:24" ht="15" customHeight="1" x14ac:dyDescent="0.35">
      <c r="G207" s="50"/>
      <c r="H207" s="50"/>
      <c r="I207" s="50"/>
      <c r="J207" s="50"/>
      <c r="K207" s="50"/>
      <c r="L207" s="50"/>
      <c r="M207" s="50"/>
      <c r="N207" s="50"/>
      <c r="O207" s="50"/>
      <c r="P207" s="50"/>
      <c r="Q207" s="50"/>
      <c r="R207" s="50"/>
      <c r="S207" s="50"/>
      <c r="T207" s="50"/>
      <c r="U207" s="50"/>
      <c r="V207" s="50"/>
    </row>
    <row r="208" spans="5:24" ht="15" customHeight="1" x14ac:dyDescent="0.35">
      <c r="G208" s="50"/>
      <c r="H208" s="50"/>
      <c r="I208" s="50"/>
      <c r="J208" s="50"/>
      <c r="K208" s="50"/>
      <c r="L208" s="50"/>
      <c r="M208" s="50"/>
      <c r="N208" s="50"/>
      <c r="O208" s="50"/>
      <c r="P208" s="50"/>
      <c r="Q208" s="50"/>
      <c r="R208" s="50"/>
      <c r="S208" s="50"/>
      <c r="T208" s="50"/>
      <c r="U208" s="50"/>
      <c r="V208" s="50"/>
    </row>
    <row r="209" spans="6:22" ht="15" customHeight="1" x14ac:dyDescent="0.35">
      <c r="G209" s="50"/>
      <c r="H209" s="50"/>
      <c r="I209" s="50"/>
      <c r="J209" s="50"/>
      <c r="K209" s="50"/>
      <c r="L209" s="50"/>
      <c r="M209" s="50"/>
      <c r="N209" s="50"/>
      <c r="O209" s="50"/>
      <c r="P209" s="50"/>
      <c r="Q209" s="50"/>
      <c r="R209" s="50"/>
      <c r="S209" s="50"/>
      <c r="T209" s="50"/>
      <c r="U209" s="50"/>
      <c r="V209" s="50"/>
    </row>
    <row r="210" spans="6:22" ht="15" customHeight="1" x14ac:dyDescent="0.35">
      <c r="G210" s="50"/>
      <c r="H210" s="50"/>
      <c r="I210" s="50"/>
      <c r="J210" s="50"/>
      <c r="K210" s="50"/>
      <c r="L210" s="50"/>
      <c r="M210" s="50"/>
      <c r="N210" s="50"/>
      <c r="O210" s="50"/>
      <c r="P210" s="50"/>
      <c r="Q210" s="50"/>
      <c r="R210" s="50"/>
      <c r="S210" s="50"/>
      <c r="T210" s="50"/>
      <c r="U210" s="50"/>
      <c r="V210" s="50"/>
    </row>
    <row r="211" spans="6:22" s="34" customFormat="1" ht="22.5" customHeight="1" x14ac:dyDescent="0.35">
      <c r="F211" s="34">
        <v>1</v>
      </c>
      <c r="G211" s="46" t="s">
        <v>120</v>
      </c>
      <c r="H211" s="46"/>
      <c r="I211" s="46"/>
      <c r="J211" s="46"/>
      <c r="K211" s="46"/>
      <c r="L211" s="47"/>
      <c r="M211" s="35" t="s">
        <v>1</v>
      </c>
      <c r="N211" s="59" t="str">
        <f>'set-dakol'!H3</f>
        <v>PKBM GENERASI BANGSA</v>
      </c>
      <c r="O211" s="48"/>
      <c r="P211" s="48"/>
      <c r="Q211" s="48"/>
      <c r="R211" s="48"/>
      <c r="S211" s="48"/>
      <c r="T211" s="48"/>
      <c r="U211" s="48"/>
      <c r="V211" s="48"/>
    </row>
    <row r="212" spans="6:22" s="34" customFormat="1" ht="22.5" customHeight="1" x14ac:dyDescent="0.35">
      <c r="F212" s="34">
        <v>2</v>
      </c>
      <c r="G212" s="694" t="s">
        <v>121</v>
      </c>
      <c r="H212" s="694"/>
      <c r="I212" s="694"/>
      <c r="J212" s="694"/>
      <c r="K212" s="46"/>
      <c r="L212" s="47"/>
      <c r="M212" s="35" t="s">
        <v>1</v>
      </c>
      <c r="N212" s="59" t="str">
        <f>'set-dakol'!J4</f>
        <v>P1781946</v>
      </c>
      <c r="O212" s="48"/>
      <c r="P212" s="48"/>
      <c r="Q212" s="48"/>
      <c r="R212" s="48"/>
      <c r="S212" s="48"/>
      <c r="T212" s="48"/>
      <c r="U212" s="48"/>
      <c r="V212" s="48"/>
    </row>
    <row r="213" spans="6:22" s="34" customFormat="1" ht="35.25" customHeight="1" x14ac:dyDescent="0.35">
      <c r="F213" s="34">
        <v>3</v>
      </c>
      <c r="G213" s="46" t="s">
        <v>122</v>
      </c>
      <c r="H213" s="46"/>
      <c r="I213" s="46"/>
      <c r="J213" s="46"/>
      <c r="K213" s="46"/>
      <c r="L213" s="47"/>
      <c r="M213" s="35" t="s">
        <v>1</v>
      </c>
      <c r="N213" s="693" t="str">
        <f>'set-dakol'!H5</f>
        <v>Jl. Terusan Islamic Center - Sigempol KM 03 , Limbangan Wetan Brebes Jawa Tengah</v>
      </c>
      <c r="O213" s="693"/>
      <c r="P213" s="693"/>
      <c r="Q213" s="693"/>
      <c r="R213" s="693"/>
      <c r="S213" s="693"/>
      <c r="T213" s="693"/>
      <c r="U213" s="693"/>
      <c r="V213" s="693"/>
    </row>
    <row r="214" spans="6:22" s="34" customFormat="1" ht="22.5" customHeight="1" x14ac:dyDescent="0.35">
      <c r="F214" s="34">
        <v>5</v>
      </c>
      <c r="G214" s="694" t="s">
        <v>4</v>
      </c>
      <c r="H214" s="694"/>
      <c r="I214" s="694"/>
      <c r="J214" s="694"/>
      <c r="K214" s="46"/>
      <c r="L214" s="47"/>
      <c r="M214" s="35" t="s">
        <v>1</v>
      </c>
      <c r="N214" s="59" t="str">
        <f>'set-dakol'!H7</f>
        <v>Brebes</v>
      </c>
      <c r="O214" s="48"/>
      <c r="P214" s="48"/>
      <c r="Q214" s="48"/>
      <c r="R214" s="48"/>
      <c r="S214" s="48"/>
      <c r="T214" s="48"/>
      <c r="U214" s="48"/>
      <c r="V214" s="48"/>
    </row>
    <row r="215" spans="6:22" s="34" customFormat="1" ht="22.5" customHeight="1" x14ac:dyDescent="0.35">
      <c r="F215" s="34">
        <v>6</v>
      </c>
      <c r="G215" s="694" t="s">
        <v>123</v>
      </c>
      <c r="H215" s="694"/>
      <c r="I215" s="694"/>
      <c r="J215" s="694"/>
      <c r="K215" s="46"/>
      <c r="L215" s="47"/>
      <c r="M215" s="35" t="s">
        <v>1</v>
      </c>
      <c r="N215" s="59" t="str">
        <f>'set-dakol'!H8</f>
        <v>Brebes</v>
      </c>
      <c r="O215" s="48"/>
      <c r="P215" s="48"/>
      <c r="Q215" s="48"/>
      <c r="R215" s="48"/>
      <c r="S215" s="48"/>
      <c r="T215" s="48"/>
      <c r="U215" s="48"/>
      <c r="V215" s="48"/>
    </row>
    <row r="216" spans="6:22" s="34" customFormat="1" ht="22.5" customHeight="1" x14ac:dyDescent="0.35">
      <c r="F216" s="34">
        <v>7</v>
      </c>
      <c r="G216" s="694" t="s">
        <v>6</v>
      </c>
      <c r="H216" s="694"/>
      <c r="I216" s="694"/>
      <c r="J216" s="694"/>
      <c r="K216" s="46"/>
      <c r="L216" s="47"/>
      <c r="M216" s="35" t="s">
        <v>1</v>
      </c>
      <c r="N216" s="59" t="str">
        <f>'set-dakol'!H9</f>
        <v>Jawa Tengah</v>
      </c>
      <c r="O216" s="48"/>
      <c r="P216" s="48"/>
      <c r="Q216" s="48"/>
      <c r="R216" s="48"/>
      <c r="S216" s="48"/>
      <c r="T216" s="48"/>
      <c r="U216" s="48"/>
      <c r="V216" s="48"/>
    </row>
    <row r="217" spans="6:22" s="34" customFormat="1" ht="22.5" customHeight="1" x14ac:dyDescent="0.35">
      <c r="F217" s="34">
        <v>8</v>
      </c>
      <c r="G217" s="694" t="s">
        <v>8</v>
      </c>
      <c r="H217" s="694"/>
      <c r="I217" s="694"/>
      <c r="J217" s="694"/>
      <c r="K217" s="46"/>
      <c r="L217" s="47"/>
      <c r="M217" s="35" t="s">
        <v>1</v>
      </c>
      <c r="N217" s="59">
        <f>'set-dakol'!H14</f>
        <v>0</v>
      </c>
      <c r="O217" s="48"/>
      <c r="P217" s="48"/>
      <c r="Q217" s="48"/>
      <c r="R217" s="48"/>
      <c r="S217" s="48"/>
      <c r="T217" s="48"/>
      <c r="U217" s="48"/>
      <c r="V217" s="48"/>
    </row>
    <row r="218" spans="6:22" s="34" customFormat="1" ht="22.5" customHeight="1" x14ac:dyDescent="0.35">
      <c r="F218" s="34">
        <v>9</v>
      </c>
      <c r="G218" s="694" t="s">
        <v>124</v>
      </c>
      <c r="H218" s="694"/>
      <c r="I218" s="694"/>
      <c r="J218" s="694"/>
      <c r="K218" s="46"/>
      <c r="L218" s="47"/>
      <c r="M218" s="35" t="s">
        <v>1</v>
      </c>
      <c r="N218" s="59">
        <f>'set-dakol'!H15</f>
        <v>0</v>
      </c>
      <c r="O218" s="48"/>
      <c r="P218" s="48"/>
      <c r="Q218" s="48"/>
      <c r="R218" s="48"/>
      <c r="S218" s="48"/>
      <c r="T218" s="48"/>
      <c r="U218" s="48"/>
      <c r="V218" s="48"/>
    </row>
    <row r="219" spans="6:22" s="34" customFormat="1" ht="22.5" customHeight="1" x14ac:dyDescent="0.35">
      <c r="F219" s="34">
        <v>10</v>
      </c>
      <c r="G219" s="694" t="s">
        <v>125</v>
      </c>
      <c r="H219" s="694"/>
      <c r="I219" s="694"/>
      <c r="J219" s="694"/>
      <c r="K219" s="46"/>
      <c r="L219" s="47"/>
      <c r="M219" s="35" t="s">
        <v>1</v>
      </c>
      <c r="N219" s="59">
        <f>'set-dakol'!H16</f>
        <v>0</v>
      </c>
      <c r="O219" s="48"/>
      <c r="P219" s="48"/>
      <c r="Q219" s="48"/>
      <c r="R219" s="48"/>
      <c r="S219" s="48"/>
      <c r="T219" s="48"/>
      <c r="U219" s="48"/>
      <c r="V219" s="48"/>
    </row>
    <row r="220" spans="6:22" s="34" customFormat="1" ht="22.5" customHeight="1" x14ac:dyDescent="0.35">
      <c r="F220" s="34">
        <v>11</v>
      </c>
      <c r="G220" s="46" t="s">
        <v>9</v>
      </c>
      <c r="H220" s="46"/>
      <c r="I220" s="46"/>
      <c r="J220" s="46"/>
      <c r="K220" s="46"/>
      <c r="L220" s="47"/>
      <c r="M220" s="35" t="s">
        <v>1</v>
      </c>
      <c r="N220" s="59">
        <f>'set-dakol'!H17</f>
        <v>0</v>
      </c>
      <c r="O220" s="48"/>
      <c r="P220" s="48"/>
      <c r="Q220" s="48"/>
      <c r="R220" s="48"/>
      <c r="S220" s="48"/>
      <c r="T220" s="48"/>
      <c r="U220" s="48"/>
      <c r="V220" s="48"/>
    </row>
    <row r="221" spans="6:22" x14ac:dyDescent="0.35">
      <c r="P221" s="38"/>
    </row>
    <row r="222" spans="6:22" x14ac:dyDescent="0.35">
      <c r="P222" s="38"/>
    </row>
    <row r="223" spans="6:22" x14ac:dyDescent="0.35">
      <c r="P223" s="38"/>
    </row>
    <row r="224" spans="6:22" x14ac:dyDescent="0.35">
      <c r="P224" s="38"/>
    </row>
    <row r="225" spans="16:16" x14ac:dyDescent="0.35">
      <c r="P225" s="38"/>
    </row>
    <row r="226" spans="16:16" x14ac:dyDescent="0.35">
      <c r="P226" s="38"/>
    </row>
    <row r="227" spans="16:16" x14ac:dyDescent="0.35">
      <c r="P227" s="38"/>
    </row>
    <row r="228" spans="16:16" x14ac:dyDescent="0.35">
      <c r="P228" s="38"/>
    </row>
    <row r="229" spans="16:16" x14ac:dyDescent="0.35">
      <c r="P229" s="38"/>
    </row>
    <row r="230" spans="16:16" x14ac:dyDescent="0.35">
      <c r="P230" s="38"/>
    </row>
    <row r="239" spans="16:16" ht="6.75" customHeight="1" x14ac:dyDescent="0.35"/>
    <row r="240" spans="16:16" ht="10.5" customHeight="1" x14ac:dyDescent="0.35"/>
    <row r="241" spans="9:20" ht="9" customHeight="1" x14ac:dyDescent="0.35"/>
    <row r="242" spans="9:20" s="15" customFormat="1" ht="33.75" customHeight="1" x14ac:dyDescent="0.35"/>
    <row r="243" spans="9:20" ht="15.5" x14ac:dyDescent="0.35">
      <c r="I243" s="708" t="s">
        <v>132</v>
      </c>
      <c r="J243" s="708"/>
      <c r="K243" s="708"/>
      <c r="L243" s="708"/>
      <c r="M243" s="708"/>
      <c r="N243" s="708"/>
      <c r="O243" s="708"/>
      <c r="P243" s="708"/>
      <c r="Q243" s="708"/>
      <c r="R243" s="708"/>
      <c r="S243" s="708"/>
      <c r="T243" s="708"/>
    </row>
  </sheetData>
  <mergeCells count="38">
    <mergeCell ref="G33:V33"/>
    <mergeCell ref="G122:V122"/>
    <mergeCell ref="G123:V123"/>
    <mergeCell ref="G29:V29"/>
    <mergeCell ref="G30:V30"/>
    <mergeCell ref="G42:V45"/>
    <mergeCell ref="G38:V41"/>
    <mergeCell ref="E55:X55"/>
    <mergeCell ref="N65:V66"/>
    <mergeCell ref="N75:V76"/>
    <mergeCell ref="G104:V107"/>
    <mergeCell ref="N84:V85"/>
    <mergeCell ref="G32:V32"/>
    <mergeCell ref="I243:T243"/>
    <mergeCell ref="G217:J217"/>
    <mergeCell ref="G218:J218"/>
    <mergeCell ref="G219:J219"/>
    <mergeCell ref="G214:J214"/>
    <mergeCell ref="G215:J215"/>
    <mergeCell ref="G216:J216"/>
    <mergeCell ref="G131:V134"/>
    <mergeCell ref="G135:V138"/>
    <mergeCell ref="E148:X148"/>
    <mergeCell ref="N176:V177"/>
    <mergeCell ref="G125:V125"/>
    <mergeCell ref="G126:V126"/>
    <mergeCell ref="N213:V213"/>
    <mergeCell ref="G212:J212"/>
    <mergeCell ref="G200:V206"/>
    <mergeCell ref="N167:V168"/>
    <mergeCell ref="N157:V158"/>
    <mergeCell ref="W2:X3"/>
    <mergeCell ref="W4:X5"/>
    <mergeCell ref="K2:K3"/>
    <mergeCell ref="G11:V14"/>
    <mergeCell ref="T2:V3"/>
    <mergeCell ref="T4:V5"/>
    <mergeCell ref="E2:J3"/>
  </mergeCells>
  <dataValidations disablePrompts="1" count="1">
    <dataValidation type="list" allowBlank="1" showInputMessage="1" showErrorMessage="1" sqref="G215:J215" xr:uid="{00000000-0002-0000-1000-000000000000}">
      <formula1>"Kabupaten; Kota"</formula1>
    </dataValidation>
  </dataValidations>
  <pageMargins left="0.46" right="0.4" top="0.59" bottom="0.35" header="0.38" footer="0.2"/>
  <pageSetup paperSize="9" orientation="portrait" horizontalDpi="0" verticalDpi="0" r:id="rId1"/>
  <ignoredErrors>
    <ignoredError sqref="N214 N15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03" r:id="rId4" name="Drop Down 7">
              <controlPr defaultSize="0" autoLine="0" autoPict="0">
                <anchor>
                  <from>
                    <xdr:col>4</xdr:col>
                    <xdr:colOff>0</xdr:colOff>
                    <xdr:row>3</xdr:row>
                    <xdr:rowOff>19050</xdr:rowOff>
                  </from>
                  <to>
                    <xdr:col>11</xdr:col>
                    <xdr:colOff>0</xdr:colOff>
                    <xdr:row>4</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E1:N28"/>
  <sheetViews>
    <sheetView zoomScale="90" zoomScaleNormal="90" workbookViewId="0">
      <selection activeCell="D1" sqref="D1"/>
    </sheetView>
  </sheetViews>
  <sheetFormatPr defaultRowHeight="14.5" x14ac:dyDescent="0.35"/>
  <cols>
    <col min="3" max="3" width="8.54296875" customWidth="1"/>
    <col min="4" max="4" width="2.7265625" customWidth="1"/>
    <col min="5" max="5" width="4" style="34" customWidth="1"/>
    <col min="6" max="6" width="30.26953125" style="34" bestFit="1" customWidth="1"/>
    <col min="7" max="7" width="19.26953125" style="34" customWidth="1"/>
    <col min="8" max="8" width="8.81640625" style="34" customWidth="1"/>
    <col min="9" max="9" width="3" style="27" customWidth="1"/>
    <col min="10" max="10" width="4" style="34" customWidth="1"/>
    <col min="11" max="11" width="46.81640625" style="34" customWidth="1"/>
    <col min="12" max="12" width="24.54296875" style="34" customWidth="1"/>
    <col min="13" max="13" width="19.54296875" style="34" customWidth="1"/>
    <col min="14" max="14" width="8.1796875" style="34" customWidth="1"/>
  </cols>
  <sheetData>
    <row r="1" spans="5:14" x14ac:dyDescent="0.35">
      <c r="E1" s="730" t="s">
        <v>84</v>
      </c>
      <c r="F1" s="731"/>
      <c r="G1" s="732"/>
      <c r="H1" s="727" t="s">
        <v>85</v>
      </c>
      <c r="I1" s="113"/>
      <c r="J1" s="737" t="s">
        <v>83</v>
      </c>
      <c r="K1" s="737"/>
      <c r="L1" s="737"/>
      <c r="M1" s="737"/>
      <c r="N1" s="737"/>
    </row>
    <row r="2" spans="5:14" x14ac:dyDescent="0.35">
      <c r="E2" s="733"/>
      <c r="F2" s="734"/>
      <c r="G2" s="735"/>
      <c r="H2" s="727"/>
      <c r="I2" s="113"/>
      <c r="J2" s="737"/>
      <c r="K2" s="737"/>
      <c r="L2" s="737"/>
      <c r="M2" s="737"/>
      <c r="N2" s="737"/>
    </row>
    <row r="3" spans="5:14" ht="18" customHeight="1" x14ac:dyDescent="0.35">
      <c r="E3" s="729" t="s">
        <v>69</v>
      </c>
      <c r="F3" s="729" t="s">
        <v>70</v>
      </c>
      <c r="G3" s="722" t="s">
        <v>87</v>
      </c>
      <c r="H3" s="724" t="s">
        <v>72</v>
      </c>
      <c r="I3" s="114"/>
      <c r="J3" s="736" t="s">
        <v>82</v>
      </c>
      <c r="K3" s="736"/>
      <c r="L3" s="736"/>
      <c r="M3" s="736" t="s">
        <v>68</v>
      </c>
      <c r="N3" s="736"/>
    </row>
    <row r="4" spans="5:14" ht="18" customHeight="1" x14ac:dyDescent="0.35">
      <c r="E4" s="729"/>
      <c r="F4" s="729"/>
      <c r="G4" s="723"/>
      <c r="H4" s="724"/>
      <c r="I4" s="114"/>
      <c r="J4" s="736"/>
      <c r="K4" s="736"/>
      <c r="L4" s="736"/>
      <c r="M4" s="115" t="s">
        <v>195</v>
      </c>
      <c r="N4" s="116" t="s">
        <v>198</v>
      </c>
    </row>
    <row r="5" spans="5:14" ht="18" customHeight="1" x14ac:dyDescent="0.35">
      <c r="E5" s="728" t="s">
        <v>2392</v>
      </c>
      <c r="F5" s="728"/>
      <c r="G5" s="728"/>
      <c r="H5" s="728"/>
      <c r="I5" s="114"/>
      <c r="J5" s="729" t="s">
        <v>69</v>
      </c>
      <c r="K5" s="729" t="s">
        <v>70</v>
      </c>
      <c r="L5" s="729" t="s">
        <v>88</v>
      </c>
      <c r="M5" s="117" t="s">
        <v>208</v>
      </c>
      <c r="N5" s="118" t="s">
        <v>197</v>
      </c>
    </row>
    <row r="6" spans="5:14" ht="18" customHeight="1" x14ac:dyDescent="0.35">
      <c r="E6" s="28">
        <v>1</v>
      </c>
      <c r="F6" s="21" t="s">
        <v>89</v>
      </c>
      <c r="G6" s="24" t="s">
        <v>2424</v>
      </c>
      <c r="H6" s="29">
        <v>70</v>
      </c>
      <c r="I6" s="114"/>
      <c r="J6" s="729"/>
      <c r="K6" s="729"/>
      <c r="L6" s="729"/>
      <c r="M6" s="117" t="s">
        <v>209</v>
      </c>
      <c r="N6" s="118" t="s">
        <v>207</v>
      </c>
    </row>
    <row r="7" spans="5:14" ht="18" customHeight="1" x14ac:dyDescent="0.35">
      <c r="E7" s="28">
        <v>2</v>
      </c>
      <c r="F7" s="21" t="s">
        <v>237</v>
      </c>
      <c r="G7" s="24" t="s">
        <v>2398</v>
      </c>
      <c r="H7" s="29">
        <v>70</v>
      </c>
      <c r="I7" s="114"/>
      <c r="J7" s="720" t="s">
        <v>73</v>
      </c>
      <c r="K7" s="721"/>
      <c r="L7" s="721"/>
      <c r="M7" s="119" t="s">
        <v>71</v>
      </c>
      <c r="N7" s="119" t="s">
        <v>72</v>
      </c>
    </row>
    <row r="8" spans="5:14" ht="18" customHeight="1" x14ac:dyDescent="0.35">
      <c r="E8" s="28">
        <v>3</v>
      </c>
      <c r="F8" s="22" t="s">
        <v>2397</v>
      </c>
      <c r="G8" s="23" t="s">
        <v>2399</v>
      </c>
      <c r="H8" s="29">
        <v>70</v>
      </c>
      <c r="I8" s="114"/>
      <c r="J8" s="28">
        <v>1</v>
      </c>
      <c r="K8" s="21" t="s">
        <v>74</v>
      </c>
      <c r="L8" s="30" t="str">
        <f>F8</f>
        <v>Aqidah dan Manhaj</v>
      </c>
      <c r="M8" s="29">
        <v>2</v>
      </c>
      <c r="N8" s="29">
        <v>70</v>
      </c>
    </row>
    <row r="9" spans="5:14" ht="15.5" x14ac:dyDescent="0.35">
      <c r="E9" s="28">
        <v>4</v>
      </c>
      <c r="F9" s="22" t="s">
        <v>238</v>
      </c>
      <c r="G9" s="23" t="s">
        <v>2400</v>
      </c>
      <c r="H9" s="29">
        <v>70</v>
      </c>
      <c r="I9" s="114"/>
      <c r="J9" s="28">
        <v>2</v>
      </c>
      <c r="K9" s="21" t="s">
        <v>210</v>
      </c>
      <c r="L9" s="30" t="str">
        <f>F7</f>
        <v>Akhlaq</v>
      </c>
      <c r="M9" s="29">
        <v>2</v>
      </c>
      <c r="N9" s="29">
        <v>70</v>
      </c>
    </row>
    <row r="10" spans="5:14" ht="18" customHeight="1" x14ac:dyDescent="0.35">
      <c r="E10" s="28">
        <v>5</v>
      </c>
      <c r="F10" s="22" t="s">
        <v>2394</v>
      </c>
      <c r="G10" s="23" t="s">
        <v>2401</v>
      </c>
      <c r="H10" s="29">
        <v>70</v>
      </c>
      <c r="I10" s="114"/>
      <c r="J10" s="28">
        <v>3</v>
      </c>
      <c r="K10" s="22" t="s">
        <v>75</v>
      </c>
      <c r="L10" s="30" t="str">
        <f>F18</f>
        <v>Bahasa Indonesia</v>
      </c>
      <c r="M10" s="28">
        <v>1</v>
      </c>
      <c r="N10" s="29">
        <v>70</v>
      </c>
    </row>
    <row r="11" spans="5:14" ht="18" customHeight="1" x14ac:dyDescent="0.35">
      <c r="E11" s="28">
        <v>6</v>
      </c>
      <c r="F11" s="22" t="s">
        <v>2395</v>
      </c>
      <c r="G11" s="23" t="s">
        <v>2402</v>
      </c>
      <c r="H11" s="29">
        <v>70</v>
      </c>
      <c r="I11" s="114"/>
      <c r="J11" s="28">
        <v>4</v>
      </c>
      <c r="K11" s="22" t="s">
        <v>76</v>
      </c>
      <c r="L11" s="30" t="str">
        <f>F19</f>
        <v>Bahasa Inggris</v>
      </c>
      <c r="M11" s="28">
        <v>1</v>
      </c>
      <c r="N11" s="29">
        <v>70</v>
      </c>
    </row>
    <row r="12" spans="5:14" ht="18" customHeight="1" x14ac:dyDescent="0.35">
      <c r="E12" s="28">
        <v>7</v>
      </c>
      <c r="F12" s="22" t="s">
        <v>86</v>
      </c>
      <c r="G12" s="23" t="s">
        <v>2403</v>
      </c>
      <c r="H12" s="29">
        <v>70</v>
      </c>
      <c r="I12" s="114"/>
      <c r="J12" s="28">
        <v>5</v>
      </c>
      <c r="K12" s="22" t="s">
        <v>77</v>
      </c>
      <c r="L12" s="30" t="str">
        <f>F20</f>
        <v>Matematika</v>
      </c>
      <c r="M12" s="28">
        <v>1</v>
      </c>
      <c r="N12" s="29">
        <v>70</v>
      </c>
    </row>
    <row r="13" spans="5:14" ht="18" customHeight="1" x14ac:dyDescent="0.35">
      <c r="E13" s="28">
        <v>8</v>
      </c>
      <c r="F13" s="22" t="s">
        <v>239</v>
      </c>
      <c r="G13" s="23" t="s">
        <v>2404</v>
      </c>
      <c r="H13" s="29">
        <v>70</v>
      </c>
      <c r="I13" s="114"/>
      <c r="J13" s="28">
        <v>6</v>
      </c>
      <c r="K13" s="22" t="s">
        <v>78</v>
      </c>
      <c r="L13" s="30" t="str">
        <f>F21</f>
        <v>Ilmu Pengetahuan Alam</v>
      </c>
      <c r="M13" s="28">
        <v>1</v>
      </c>
      <c r="N13" s="29">
        <v>70</v>
      </c>
    </row>
    <row r="14" spans="5:14" ht="18" customHeight="1" x14ac:dyDescent="0.35">
      <c r="E14" s="28">
        <v>9</v>
      </c>
      <c r="F14" s="22" t="s">
        <v>240</v>
      </c>
      <c r="G14" s="23" t="s">
        <v>2405</v>
      </c>
      <c r="H14" s="29">
        <v>70</v>
      </c>
      <c r="I14" s="114"/>
      <c r="J14" s="28">
        <v>7</v>
      </c>
      <c r="K14" s="22" t="s">
        <v>79</v>
      </c>
      <c r="L14" s="30" t="str">
        <f>F22</f>
        <v>Ilmu Pengetahuan Sosial</v>
      </c>
      <c r="M14" s="28">
        <v>1</v>
      </c>
      <c r="N14" s="29">
        <v>70</v>
      </c>
    </row>
    <row r="15" spans="5:14" ht="18" customHeight="1" x14ac:dyDescent="0.35">
      <c r="E15" s="28">
        <v>10</v>
      </c>
      <c r="F15" s="53" t="s">
        <v>2396</v>
      </c>
      <c r="G15" s="53" t="s">
        <v>2406</v>
      </c>
      <c r="H15" s="29">
        <v>70</v>
      </c>
      <c r="I15" s="114"/>
      <c r="J15" s="725" t="s">
        <v>80</v>
      </c>
      <c r="K15" s="726"/>
      <c r="L15" s="726"/>
      <c r="M15" s="726"/>
      <c r="N15" s="726"/>
    </row>
    <row r="16" spans="5:14" ht="18" customHeight="1" x14ac:dyDescent="0.35">
      <c r="E16" s="28">
        <v>11</v>
      </c>
      <c r="F16" s="53" t="s">
        <v>2479</v>
      </c>
      <c r="G16" s="53" t="s">
        <v>2478</v>
      </c>
      <c r="H16" s="29">
        <v>70</v>
      </c>
      <c r="I16" s="114"/>
      <c r="J16" s="28">
        <f>J14+1</f>
        <v>8</v>
      </c>
      <c r="K16" s="31" t="s">
        <v>91</v>
      </c>
      <c r="L16" s="36"/>
      <c r="M16" s="32"/>
      <c r="N16" s="32"/>
    </row>
    <row r="17" spans="5:14" ht="18" customHeight="1" x14ac:dyDescent="0.35">
      <c r="E17" s="120" t="s">
        <v>222</v>
      </c>
      <c r="F17" s="120"/>
      <c r="G17" s="120"/>
      <c r="H17" s="120"/>
      <c r="I17" s="114"/>
      <c r="J17" s="28"/>
      <c r="K17" s="31" t="s">
        <v>89</v>
      </c>
      <c r="L17" s="36" t="str">
        <f>F6</f>
        <v>Tahfizh Al-Qur'an</v>
      </c>
      <c r="M17" s="32">
        <v>2</v>
      </c>
      <c r="N17" s="32">
        <v>70</v>
      </c>
    </row>
    <row r="18" spans="5:14" ht="18" customHeight="1" x14ac:dyDescent="0.35">
      <c r="E18" s="28">
        <v>12</v>
      </c>
      <c r="F18" s="31" t="s">
        <v>75</v>
      </c>
      <c r="G18" s="25" t="s">
        <v>2407</v>
      </c>
      <c r="H18" s="29">
        <v>70</v>
      </c>
      <c r="I18" s="114"/>
      <c r="J18" s="28"/>
      <c r="K18" s="33" t="s">
        <v>90</v>
      </c>
      <c r="L18" s="36" t="str">
        <f>F7</f>
        <v>Akhlaq</v>
      </c>
      <c r="M18" s="32">
        <v>1</v>
      </c>
      <c r="N18" s="32">
        <v>70</v>
      </c>
    </row>
    <row r="19" spans="5:14" ht="18" customHeight="1" x14ac:dyDescent="0.35">
      <c r="E19" s="28">
        <v>13</v>
      </c>
      <c r="F19" s="31" t="s">
        <v>76</v>
      </c>
      <c r="G19" s="25" t="s">
        <v>2408</v>
      </c>
      <c r="H19" s="29">
        <v>70</v>
      </c>
      <c r="I19" s="114"/>
      <c r="J19" s="28">
        <f>J16+1</f>
        <v>9</v>
      </c>
      <c r="K19" s="31" t="s">
        <v>92</v>
      </c>
      <c r="L19" s="36"/>
      <c r="M19" s="32"/>
      <c r="N19" s="32"/>
    </row>
    <row r="20" spans="5:14" ht="18" customHeight="1" x14ac:dyDescent="0.35">
      <c r="E20" s="28">
        <v>14</v>
      </c>
      <c r="F20" s="33" t="s">
        <v>77</v>
      </c>
      <c r="G20" s="26" t="s">
        <v>2409</v>
      </c>
      <c r="H20" s="29">
        <v>70</v>
      </c>
      <c r="I20" s="114"/>
      <c r="J20" s="28"/>
      <c r="K20" s="31" t="s">
        <v>81</v>
      </c>
      <c r="L20" s="36" t="str">
        <f>F8</f>
        <v>Aqidah dan Manhaj</v>
      </c>
      <c r="M20" s="32">
        <v>2</v>
      </c>
      <c r="N20" s="32">
        <v>70</v>
      </c>
    </row>
    <row r="21" spans="5:14" ht="18" customHeight="1" x14ac:dyDescent="0.35">
      <c r="E21" s="28">
        <v>15</v>
      </c>
      <c r="F21" s="31" t="s">
        <v>78</v>
      </c>
      <c r="G21" s="25" t="s">
        <v>2410</v>
      </c>
      <c r="H21" s="29">
        <v>70</v>
      </c>
      <c r="I21" s="114"/>
      <c r="J21" s="28"/>
      <c r="K21" s="31" t="s">
        <v>211</v>
      </c>
      <c r="L21" s="36"/>
      <c r="M21" s="32"/>
      <c r="N21" s="32"/>
    </row>
    <row r="22" spans="5:14" ht="18" customHeight="1" x14ac:dyDescent="0.35">
      <c r="E22" s="28">
        <v>16</v>
      </c>
      <c r="F22" s="31" t="s">
        <v>79</v>
      </c>
      <c r="G22" s="25" t="s">
        <v>2411</v>
      </c>
      <c r="H22" s="29">
        <v>70</v>
      </c>
      <c r="I22" s="114"/>
      <c r="J22" s="30"/>
      <c r="K22" s="31" t="s">
        <v>241</v>
      </c>
      <c r="L22" s="36" t="str">
        <f>F18</f>
        <v>Bahasa Indonesia</v>
      </c>
      <c r="M22" s="32">
        <v>1</v>
      </c>
      <c r="N22" s="32">
        <v>70</v>
      </c>
    </row>
    <row r="23" spans="5:14" ht="18" customHeight="1" x14ac:dyDescent="0.35">
      <c r="E23" s="28">
        <v>17</v>
      </c>
      <c r="F23" s="53" t="s">
        <v>2393</v>
      </c>
      <c r="G23" s="53" t="s">
        <v>2412</v>
      </c>
      <c r="H23" s="29">
        <v>70</v>
      </c>
      <c r="I23" s="114"/>
      <c r="J23" s="30"/>
      <c r="K23" s="31" t="s">
        <v>93</v>
      </c>
      <c r="L23" s="36" t="str">
        <f>F20</f>
        <v>Matematika</v>
      </c>
      <c r="M23" s="32">
        <v>1</v>
      </c>
      <c r="N23" s="32">
        <v>70</v>
      </c>
    </row>
    <row r="24" spans="5:14" ht="18" customHeight="1" x14ac:dyDescent="0.35">
      <c r="I24" s="121"/>
      <c r="J24" s="122"/>
      <c r="K24" s="122"/>
      <c r="L24" s="122"/>
      <c r="M24" s="122"/>
      <c r="N24" s="122"/>
    </row>
    <row r="25" spans="5:14" ht="15.75" customHeight="1" x14ac:dyDescent="0.35">
      <c r="I25" s="46"/>
      <c r="J25" s="122"/>
      <c r="K25" s="122"/>
      <c r="L25" s="122"/>
      <c r="M25" s="122"/>
      <c r="N25" s="122"/>
    </row>
    <row r="26" spans="5:14" ht="18" customHeight="1" x14ac:dyDescent="0.35">
      <c r="I26" s="34"/>
      <c r="J26"/>
      <c r="K26"/>
      <c r="L26"/>
      <c r="M26"/>
      <c r="N26"/>
    </row>
    <row r="27" spans="5:14" ht="18" customHeight="1" x14ac:dyDescent="0.35">
      <c r="I27" s="34"/>
      <c r="J27"/>
      <c r="K27"/>
      <c r="L27"/>
      <c r="M27"/>
      <c r="N27"/>
    </row>
    <row r="28" spans="5:14" ht="18" customHeight="1" x14ac:dyDescent="0.35">
      <c r="I28" s="34"/>
      <c r="J28"/>
      <c r="L28"/>
      <c r="M28"/>
      <c r="N28"/>
    </row>
  </sheetData>
  <mergeCells count="15">
    <mergeCell ref="J7:L7"/>
    <mergeCell ref="G3:G4"/>
    <mergeCell ref="H3:H4"/>
    <mergeCell ref="J15:N15"/>
    <mergeCell ref="H1:H2"/>
    <mergeCell ref="E5:H5"/>
    <mergeCell ref="E3:E4"/>
    <mergeCell ref="F3:F4"/>
    <mergeCell ref="E1:G2"/>
    <mergeCell ref="J3:L4"/>
    <mergeCell ref="J1:N2"/>
    <mergeCell ref="M3:N3"/>
    <mergeCell ref="J5:J6"/>
    <mergeCell ref="K5:K6"/>
    <mergeCell ref="L5:L6"/>
  </mergeCells>
  <pageMargins left="0.7" right="0.7" top="0.75" bottom="0.75" header="0.3" footer="0.3"/>
  <ignoredErrors>
    <ignoredError sqref="L10:L14 J16:J20" unlockedFormula="1"/>
  </ignoredErrors>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E1:AH54"/>
  <sheetViews>
    <sheetView showGridLines="0" topLeftCell="G1" zoomScale="25" zoomScaleNormal="25" workbookViewId="0">
      <selection activeCell="O79" sqref="O79"/>
    </sheetView>
  </sheetViews>
  <sheetFormatPr defaultRowHeight="14.5" x14ac:dyDescent="0.35"/>
  <cols>
    <col min="4" max="4" width="6" customWidth="1"/>
    <col min="5" max="5" width="5.453125" style="18" customWidth="1"/>
    <col min="6" max="6" width="40.54296875" style="19" bestFit="1" customWidth="1"/>
    <col min="7" max="7" width="23.453125" style="19" customWidth="1"/>
    <col min="8" max="8" width="18.7265625" style="19" bestFit="1" customWidth="1"/>
    <col min="9" max="9" width="20.7265625" style="19" customWidth="1"/>
    <col min="10" max="10" width="16" style="18" customWidth="1"/>
    <col min="11" max="11" width="14" style="18" customWidth="1"/>
    <col min="12" max="12" width="14" style="18" bestFit="1" customWidth="1"/>
    <col min="13" max="13" width="18" style="20" bestFit="1" customWidth="1"/>
    <col min="14" max="14" width="8.7265625" style="18" bestFit="1" customWidth="1"/>
    <col min="15" max="15" width="25.1796875" style="18" bestFit="1" customWidth="1"/>
    <col min="16" max="16" width="87" style="52" bestFit="1" customWidth="1"/>
    <col min="17" max="17" width="8.54296875" style="18" bestFit="1" customWidth="1"/>
    <col min="18" max="18" width="11.7265625" style="18" bestFit="1" customWidth="1"/>
    <col min="19" max="19" width="21.81640625" style="18" bestFit="1" customWidth="1"/>
    <col min="20" max="20" width="43.453125" style="18" bestFit="1" customWidth="1"/>
    <col min="21" max="21" width="68.7265625" style="18" bestFit="1" customWidth="1"/>
    <col min="22" max="22" width="5.7265625" style="18" bestFit="1" customWidth="1"/>
    <col min="23" max="23" width="7.453125" style="18" bestFit="1" customWidth="1"/>
    <col min="24" max="24" width="23.26953125" style="18" bestFit="1" customWidth="1"/>
    <col min="25" max="25" width="28.81640625" style="18" bestFit="1" customWidth="1"/>
    <col min="26" max="26" width="26" style="18" bestFit="1" customWidth="1"/>
    <col min="27" max="27" width="87" style="18" bestFit="1" customWidth="1"/>
    <col min="28" max="28" width="15.81640625" style="18" bestFit="1" customWidth="1"/>
    <col min="29" max="29" width="16.7265625" style="18" bestFit="1" customWidth="1"/>
    <col min="30" max="30" width="19" style="18" bestFit="1" customWidth="1"/>
    <col min="31" max="31" width="6.81640625" style="18" bestFit="1" customWidth="1"/>
    <col min="32" max="32" width="8.54296875" style="18" bestFit="1" customWidth="1"/>
    <col min="33" max="33" width="8.81640625" style="18" bestFit="1" customWidth="1"/>
    <col min="34" max="34" width="11.1796875" style="18" bestFit="1" customWidth="1"/>
  </cols>
  <sheetData>
    <row r="1" spans="5:34" ht="18" customHeight="1" x14ac:dyDescent="0.35">
      <c r="E1" s="16">
        <v>1</v>
      </c>
      <c r="F1" s="16">
        <v>2</v>
      </c>
      <c r="G1" s="16">
        <v>3</v>
      </c>
      <c r="H1" s="16">
        <v>4</v>
      </c>
      <c r="I1" s="16">
        <v>5</v>
      </c>
      <c r="J1" s="16">
        <v>6</v>
      </c>
      <c r="K1" s="16">
        <v>7</v>
      </c>
      <c r="L1" s="16">
        <v>8</v>
      </c>
      <c r="M1" s="16">
        <v>9</v>
      </c>
      <c r="N1" s="16">
        <v>10</v>
      </c>
      <c r="O1" s="16">
        <v>11</v>
      </c>
      <c r="P1" s="16">
        <v>12</v>
      </c>
      <c r="Q1" s="16">
        <v>13</v>
      </c>
      <c r="R1" s="16">
        <v>14</v>
      </c>
      <c r="S1" s="16">
        <v>15</v>
      </c>
      <c r="T1" s="16">
        <v>16</v>
      </c>
      <c r="U1" s="16">
        <v>17</v>
      </c>
      <c r="V1" s="16">
        <v>18</v>
      </c>
      <c r="W1" s="16">
        <v>19</v>
      </c>
      <c r="X1" s="16">
        <v>20</v>
      </c>
      <c r="Y1" s="16">
        <v>21</v>
      </c>
      <c r="Z1" s="16">
        <v>22</v>
      </c>
      <c r="AA1" s="16">
        <v>23</v>
      </c>
      <c r="AB1" s="16">
        <v>24</v>
      </c>
      <c r="AC1" s="16">
        <v>25</v>
      </c>
      <c r="AD1" s="16">
        <v>26</v>
      </c>
      <c r="AE1" s="16">
        <v>27</v>
      </c>
      <c r="AF1" s="16">
        <v>28</v>
      </c>
      <c r="AG1" s="16">
        <v>29</v>
      </c>
      <c r="AH1" s="16">
        <v>30</v>
      </c>
    </row>
    <row r="2" spans="5:34" ht="18" customHeight="1" x14ac:dyDescent="0.35">
      <c r="E2" s="741" t="s">
        <v>39</v>
      </c>
      <c r="F2" s="743" t="s">
        <v>40</v>
      </c>
      <c r="G2" s="741" t="s">
        <v>226</v>
      </c>
      <c r="H2" s="741" t="s">
        <v>224</v>
      </c>
      <c r="I2" s="741" t="s">
        <v>225</v>
      </c>
      <c r="J2" s="741" t="s">
        <v>41</v>
      </c>
      <c r="K2" s="741" t="s">
        <v>42</v>
      </c>
      <c r="L2" s="741" t="s">
        <v>43</v>
      </c>
      <c r="M2" s="744" t="s">
        <v>44</v>
      </c>
      <c r="N2" s="743" t="s">
        <v>45</v>
      </c>
      <c r="O2" s="743" t="s">
        <v>46</v>
      </c>
      <c r="P2" s="743" t="s">
        <v>47</v>
      </c>
      <c r="Q2" s="738" t="s">
        <v>48</v>
      </c>
      <c r="R2" s="739"/>
      <c r="S2" s="740"/>
      <c r="T2" s="741" t="s">
        <v>49</v>
      </c>
      <c r="U2" s="741"/>
      <c r="V2" s="742" t="s">
        <v>50</v>
      </c>
      <c r="W2" s="742"/>
      <c r="X2" s="742"/>
      <c r="Y2" s="742" t="s">
        <v>51</v>
      </c>
      <c r="Z2" s="742"/>
      <c r="AA2" s="743" t="s">
        <v>52</v>
      </c>
      <c r="AB2" s="746" t="s">
        <v>53</v>
      </c>
      <c r="AC2" s="742" t="s">
        <v>54</v>
      </c>
      <c r="AD2" s="742"/>
      <c r="AE2" s="748" t="s">
        <v>55</v>
      </c>
      <c r="AF2" s="749"/>
      <c r="AG2" s="749"/>
      <c r="AH2" s="749"/>
    </row>
    <row r="3" spans="5:34" ht="18" customHeight="1" x14ac:dyDescent="0.35">
      <c r="E3" s="741"/>
      <c r="F3" s="743"/>
      <c r="G3" s="741"/>
      <c r="H3" s="741"/>
      <c r="I3" s="741"/>
      <c r="J3" s="741"/>
      <c r="K3" s="741"/>
      <c r="L3" s="741"/>
      <c r="M3" s="745"/>
      <c r="N3" s="743"/>
      <c r="O3" s="743"/>
      <c r="P3" s="743"/>
      <c r="Q3" s="102" t="s">
        <v>56</v>
      </c>
      <c r="R3" s="102" t="s">
        <v>57</v>
      </c>
      <c r="S3" s="102" t="s">
        <v>67</v>
      </c>
      <c r="T3" s="101" t="s">
        <v>58</v>
      </c>
      <c r="U3" s="101" t="s">
        <v>59</v>
      </c>
      <c r="V3" s="101" t="s">
        <v>66</v>
      </c>
      <c r="W3" s="101" t="s">
        <v>60</v>
      </c>
      <c r="X3" s="101" t="s">
        <v>61</v>
      </c>
      <c r="Y3" s="101" t="s">
        <v>62</v>
      </c>
      <c r="Z3" s="101" t="s">
        <v>63</v>
      </c>
      <c r="AA3" s="743"/>
      <c r="AB3" s="747"/>
      <c r="AC3" s="101" t="s">
        <v>62</v>
      </c>
      <c r="AD3" s="101" t="s">
        <v>63</v>
      </c>
      <c r="AE3" s="101" t="s">
        <v>64</v>
      </c>
      <c r="AF3" s="101" t="s">
        <v>59</v>
      </c>
      <c r="AG3" s="101" t="s">
        <v>65</v>
      </c>
      <c r="AH3" s="101" t="s">
        <v>135</v>
      </c>
    </row>
    <row r="4" spans="5:34" ht="18" customHeight="1" x14ac:dyDescent="0.35">
      <c r="E4" s="100"/>
      <c r="F4" s="182"/>
      <c r="G4" s="124"/>
      <c r="H4" s="100"/>
      <c r="I4" s="123"/>
      <c r="J4" s="366"/>
      <c r="K4" s="100"/>
      <c r="L4" s="100"/>
      <c r="M4" s="103"/>
      <c r="N4" s="102"/>
      <c r="O4" s="102"/>
      <c r="P4" s="102"/>
      <c r="Q4" s="102"/>
      <c r="R4" s="102"/>
      <c r="S4" s="102"/>
      <c r="T4" s="101"/>
      <c r="U4" s="101"/>
      <c r="V4" s="101"/>
      <c r="W4" s="101"/>
      <c r="X4" s="101"/>
      <c r="Y4" s="101"/>
      <c r="Z4" s="101"/>
      <c r="AA4" s="102"/>
      <c r="AB4" s="104"/>
      <c r="AC4" s="101"/>
      <c r="AD4" s="101"/>
      <c r="AE4" s="101"/>
      <c r="AF4" s="101"/>
      <c r="AG4" s="101"/>
      <c r="AH4" s="101"/>
    </row>
    <row r="5" spans="5:34" ht="18" customHeight="1" x14ac:dyDescent="0.35">
      <c r="E5" s="221">
        <v>1</v>
      </c>
      <c r="F5" s="370" t="s">
        <v>2482</v>
      </c>
      <c r="G5" s="223" t="s">
        <v>2528</v>
      </c>
      <c r="H5" s="371" t="s">
        <v>2930</v>
      </c>
      <c r="I5" s="372" t="s">
        <v>2974</v>
      </c>
      <c r="J5" s="299" t="s">
        <v>2529</v>
      </c>
      <c r="K5" s="186" t="s">
        <v>2530</v>
      </c>
      <c r="L5" s="187" t="s">
        <v>2531</v>
      </c>
      <c r="M5" s="188" t="s">
        <v>2532</v>
      </c>
      <c r="N5" s="189">
        <v>3</v>
      </c>
      <c r="O5" s="190" t="s">
        <v>2533</v>
      </c>
      <c r="P5" s="187" t="s">
        <v>2534</v>
      </c>
      <c r="Q5" s="190"/>
      <c r="R5" s="190"/>
      <c r="S5" s="190"/>
      <c r="T5" s="191" t="s">
        <v>2535</v>
      </c>
      <c r="U5" s="192" t="s">
        <v>2536</v>
      </c>
      <c r="V5" s="190"/>
      <c r="W5" s="190"/>
      <c r="X5" s="190"/>
      <c r="Y5" s="187" t="s">
        <v>2537</v>
      </c>
      <c r="Z5" s="193" t="s">
        <v>2538</v>
      </c>
      <c r="AA5" s="193" t="s">
        <v>2534</v>
      </c>
      <c r="AB5" s="194" t="s">
        <v>2539</v>
      </c>
      <c r="AC5" s="187" t="s">
        <v>2540</v>
      </c>
      <c r="AD5" s="193" t="s">
        <v>2541</v>
      </c>
      <c r="AE5" s="195"/>
      <c r="AF5" s="196"/>
      <c r="AG5" s="196"/>
      <c r="AH5" s="196"/>
    </row>
    <row r="6" spans="5:34" ht="18" customHeight="1" x14ac:dyDescent="0.35">
      <c r="E6" s="221">
        <v>2</v>
      </c>
      <c r="F6" s="370" t="s">
        <v>2483</v>
      </c>
      <c r="G6" s="223" t="s">
        <v>2542</v>
      </c>
      <c r="H6" s="371" t="s">
        <v>2931</v>
      </c>
      <c r="I6" s="372" t="s">
        <v>2975</v>
      </c>
      <c r="J6" s="299" t="s">
        <v>2543</v>
      </c>
      <c r="K6" s="186" t="s">
        <v>2530</v>
      </c>
      <c r="L6" s="187" t="s">
        <v>2544</v>
      </c>
      <c r="M6" s="188" t="s">
        <v>2545</v>
      </c>
      <c r="N6" s="189">
        <v>2</v>
      </c>
      <c r="O6" s="190" t="s">
        <v>2533</v>
      </c>
      <c r="P6" s="185" t="s">
        <v>2546</v>
      </c>
      <c r="Q6" s="190"/>
      <c r="R6" s="190"/>
      <c r="S6" s="190"/>
      <c r="T6" s="197" t="s">
        <v>2547</v>
      </c>
      <c r="U6" s="192" t="s">
        <v>2548</v>
      </c>
      <c r="V6" s="190"/>
      <c r="W6" s="190"/>
      <c r="X6" s="190"/>
      <c r="Y6" s="185" t="s">
        <v>2549</v>
      </c>
      <c r="Z6" s="193" t="s">
        <v>2550</v>
      </c>
      <c r="AA6" s="193" t="s">
        <v>2546</v>
      </c>
      <c r="AB6" s="194" t="s">
        <v>2551</v>
      </c>
      <c r="AC6" s="187" t="s">
        <v>2552</v>
      </c>
      <c r="AD6" s="193" t="s">
        <v>2553</v>
      </c>
      <c r="AE6" s="183"/>
      <c r="AF6" s="17"/>
      <c r="AG6" s="17"/>
      <c r="AH6" s="17"/>
    </row>
    <row r="7" spans="5:34" ht="18" customHeight="1" x14ac:dyDescent="0.35">
      <c r="E7" s="221">
        <v>3</v>
      </c>
      <c r="F7" s="370" t="s">
        <v>2484</v>
      </c>
      <c r="G7" s="223" t="s">
        <v>2554</v>
      </c>
      <c r="H7" s="371" t="s">
        <v>2932</v>
      </c>
      <c r="I7" s="372" t="s">
        <v>2976</v>
      </c>
      <c r="J7" s="299" t="s">
        <v>2555</v>
      </c>
      <c r="K7" s="186" t="s">
        <v>2530</v>
      </c>
      <c r="L7" s="187" t="s">
        <v>2544</v>
      </c>
      <c r="M7" s="188" t="s">
        <v>2556</v>
      </c>
      <c r="N7" s="189">
        <v>2</v>
      </c>
      <c r="O7" s="190" t="s">
        <v>2533</v>
      </c>
      <c r="P7" s="185" t="s">
        <v>2557</v>
      </c>
      <c r="Q7" s="190"/>
      <c r="R7" s="190"/>
      <c r="S7" s="190"/>
      <c r="T7" s="197" t="s">
        <v>2535</v>
      </c>
      <c r="U7" s="192" t="s">
        <v>2536</v>
      </c>
      <c r="V7" s="199"/>
      <c r="W7" s="199"/>
      <c r="X7" s="199"/>
      <c r="Y7" s="200" t="s">
        <v>2558</v>
      </c>
      <c r="Z7" s="193" t="s">
        <v>2559</v>
      </c>
      <c r="AA7" s="193" t="s">
        <v>2557</v>
      </c>
      <c r="AB7" s="194" t="s">
        <v>2560</v>
      </c>
      <c r="AC7" s="187" t="s">
        <v>2540</v>
      </c>
      <c r="AD7" s="193" t="s">
        <v>2541</v>
      </c>
      <c r="AE7" s="183"/>
      <c r="AF7" s="17"/>
      <c r="AG7" s="17"/>
      <c r="AH7" s="17"/>
    </row>
    <row r="8" spans="5:34" ht="18" customHeight="1" x14ac:dyDescent="0.35">
      <c r="E8" s="221">
        <v>4</v>
      </c>
      <c r="F8" s="370" t="s">
        <v>2485</v>
      </c>
      <c r="G8" s="223" t="s">
        <v>2561</v>
      </c>
      <c r="H8" s="371" t="s">
        <v>2933</v>
      </c>
      <c r="I8" s="372" t="s">
        <v>2977</v>
      </c>
      <c r="J8" s="299" t="s">
        <v>2562</v>
      </c>
      <c r="K8" s="186" t="s">
        <v>2530</v>
      </c>
      <c r="L8" s="201" t="s">
        <v>2544</v>
      </c>
      <c r="M8" s="188" t="s">
        <v>2563</v>
      </c>
      <c r="N8" s="189">
        <v>1</v>
      </c>
      <c r="O8" s="190" t="s">
        <v>2533</v>
      </c>
      <c r="P8" s="185" t="s">
        <v>2564</v>
      </c>
      <c r="Q8" s="190"/>
      <c r="R8" s="190"/>
      <c r="S8" s="190"/>
      <c r="T8" s="197" t="s">
        <v>2565</v>
      </c>
      <c r="U8" s="192" t="s">
        <v>2566</v>
      </c>
      <c r="V8" s="190"/>
      <c r="W8" s="190"/>
      <c r="X8" s="190"/>
      <c r="Y8" s="200" t="s">
        <v>2567</v>
      </c>
      <c r="Z8" s="193" t="s">
        <v>2568</v>
      </c>
      <c r="AA8" s="193" t="s">
        <v>2564</v>
      </c>
      <c r="AB8" s="194" t="s">
        <v>2569</v>
      </c>
      <c r="AC8" s="187" t="s">
        <v>2540</v>
      </c>
      <c r="AD8" s="193" t="s">
        <v>2541</v>
      </c>
      <c r="AE8" s="183"/>
      <c r="AF8" s="17"/>
      <c r="AG8" s="17"/>
      <c r="AH8" s="17"/>
    </row>
    <row r="9" spans="5:34" ht="18" customHeight="1" x14ac:dyDescent="0.35">
      <c r="E9" s="221">
        <v>5</v>
      </c>
      <c r="F9" s="370" t="s">
        <v>2486</v>
      </c>
      <c r="G9" s="223" t="s">
        <v>2570</v>
      </c>
      <c r="H9" s="371" t="s">
        <v>2934</v>
      </c>
      <c r="I9" s="372" t="s">
        <v>2978</v>
      </c>
      <c r="J9" s="299" t="s">
        <v>2571</v>
      </c>
      <c r="K9" s="186" t="s">
        <v>2530</v>
      </c>
      <c r="L9" s="185" t="s">
        <v>2572</v>
      </c>
      <c r="M9" s="202" t="s">
        <v>2573</v>
      </c>
      <c r="N9" s="189">
        <v>1</v>
      </c>
      <c r="O9" s="190" t="s">
        <v>2533</v>
      </c>
      <c r="P9" s="185" t="s">
        <v>2574</v>
      </c>
      <c r="Q9" s="190"/>
      <c r="R9" s="190"/>
      <c r="S9" s="190"/>
      <c r="T9" s="197" t="s">
        <v>2575</v>
      </c>
      <c r="U9" s="192" t="s">
        <v>2576</v>
      </c>
      <c r="V9" s="190"/>
      <c r="W9" s="190"/>
      <c r="X9" s="190"/>
      <c r="Y9" s="185" t="s">
        <v>2577</v>
      </c>
      <c r="Z9" s="193" t="s">
        <v>2578</v>
      </c>
      <c r="AA9" s="193" t="s">
        <v>2574</v>
      </c>
      <c r="AB9" s="194" t="s">
        <v>2579</v>
      </c>
      <c r="AC9" s="185" t="s">
        <v>2580</v>
      </c>
      <c r="AD9" s="193" t="s">
        <v>2541</v>
      </c>
      <c r="AE9" s="183"/>
      <c r="AF9" s="17"/>
      <c r="AG9" s="17"/>
      <c r="AH9" s="17"/>
    </row>
    <row r="10" spans="5:34" ht="18" customHeight="1" x14ac:dyDescent="0.35">
      <c r="E10" s="221">
        <v>6</v>
      </c>
      <c r="F10" s="370" t="s">
        <v>2487</v>
      </c>
      <c r="G10" s="223" t="s">
        <v>2581</v>
      </c>
      <c r="H10" s="371" t="s">
        <v>2935</v>
      </c>
      <c r="I10" s="372" t="s">
        <v>2979</v>
      </c>
      <c r="J10" s="299" t="s">
        <v>2582</v>
      </c>
      <c r="K10" s="186" t="s">
        <v>2530</v>
      </c>
      <c r="L10" s="187" t="s">
        <v>2544</v>
      </c>
      <c r="M10" s="188" t="s">
        <v>2583</v>
      </c>
      <c r="N10" s="189">
        <v>1</v>
      </c>
      <c r="O10" s="190" t="s">
        <v>2533</v>
      </c>
      <c r="P10" s="185" t="s">
        <v>2584</v>
      </c>
      <c r="Q10" s="190"/>
      <c r="R10" s="190"/>
      <c r="S10" s="190"/>
      <c r="T10" s="197" t="s">
        <v>2585</v>
      </c>
      <c r="U10" s="192" t="s">
        <v>2586</v>
      </c>
      <c r="V10" s="190"/>
      <c r="W10" s="190"/>
      <c r="X10" s="190"/>
      <c r="Y10" s="185" t="s">
        <v>2587</v>
      </c>
      <c r="Z10" s="193" t="s">
        <v>2588</v>
      </c>
      <c r="AA10" s="193" t="s">
        <v>2584</v>
      </c>
      <c r="AB10" s="194" t="s">
        <v>2589</v>
      </c>
      <c r="AC10" s="187" t="s">
        <v>2540</v>
      </c>
      <c r="AD10" s="193" t="s">
        <v>2552</v>
      </c>
      <c r="AE10" s="203"/>
      <c r="AF10" s="204"/>
      <c r="AG10" s="204"/>
      <c r="AH10" s="204"/>
    </row>
    <row r="11" spans="5:34" ht="18" customHeight="1" x14ac:dyDescent="0.35">
      <c r="E11" s="221">
        <v>7</v>
      </c>
      <c r="F11" s="370" t="s">
        <v>2488</v>
      </c>
      <c r="G11" s="223" t="s">
        <v>2590</v>
      </c>
      <c r="H11" s="371" t="s">
        <v>2936</v>
      </c>
      <c r="I11" s="372" t="s">
        <v>2980</v>
      </c>
      <c r="J11" s="299" t="s">
        <v>2591</v>
      </c>
      <c r="K11" s="186" t="s">
        <v>2530</v>
      </c>
      <c r="L11" s="187" t="s">
        <v>2592</v>
      </c>
      <c r="M11" s="188" t="s">
        <v>2593</v>
      </c>
      <c r="N11" s="189">
        <v>2</v>
      </c>
      <c r="O11" s="190" t="s">
        <v>2533</v>
      </c>
      <c r="P11" s="185" t="s">
        <v>2594</v>
      </c>
      <c r="Q11" s="190"/>
      <c r="R11" s="190"/>
      <c r="S11" s="190"/>
      <c r="T11" s="197" t="s">
        <v>2595</v>
      </c>
      <c r="U11" s="192" t="s">
        <v>2596</v>
      </c>
      <c r="V11" s="199"/>
      <c r="W11" s="199"/>
      <c r="X11" s="199"/>
      <c r="Y11" s="200" t="s">
        <v>2597</v>
      </c>
      <c r="Z11" s="193" t="s">
        <v>2598</v>
      </c>
      <c r="AA11" s="193" t="s">
        <v>2594</v>
      </c>
      <c r="AB11" s="194" t="s">
        <v>2599</v>
      </c>
      <c r="AC11" s="187" t="s">
        <v>2600</v>
      </c>
      <c r="AD11" s="193" t="s">
        <v>2541</v>
      </c>
      <c r="AE11" s="203"/>
      <c r="AF11" s="204"/>
      <c r="AG11" s="204"/>
      <c r="AH11" s="204"/>
    </row>
    <row r="12" spans="5:34" ht="18" customHeight="1" x14ac:dyDescent="0.35">
      <c r="E12" s="221">
        <v>8</v>
      </c>
      <c r="F12" s="370" t="s">
        <v>2489</v>
      </c>
      <c r="G12" s="223" t="s">
        <v>2601</v>
      </c>
      <c r="H12" s="371" t="s">
        <v>2937</v>
      </c>
      <c r="I12" s="372" t="s">
        <v>2981</v>
      </c>
      <c r="J12" s="299" t="s">
        <v>2602</v>
      </c>
      <c r="K12" s="186" t="s">
        <v>2530</v>
      </c>
      <c r="L12" s="187" t="s">
        <v>2544</v>
      </c>
      <c r="M12" s="188" t="s">
        <v>2603</v>
      </c>
      <c r="N12" s="189">
        <v>3</v>
      </c>
      <c r="O12" s="190" t="s">
        <v>2533</v>
      </c>
      <c r="P12" s="185" t="s">
        <v>2604</v>
      </c>
      <c r="Q12" s="190"/>
      <c r="R12" s="190"/>
      <c r="S12" s="190"/>
      <c r="T12" s="197" t="s">
        <v>2605</v>
      </c>
      <c r="U12" s="192" t="s">
        <v>2606</v>
      </c>
      <c r="V12" s="199"/>
      <c r="W12" s="199"/>
      <c r="X12" s="199"/>
      <c r="Y12" s="185" t="s">
        <v>2607</v>
      </c>
      <c r="Z12" s="193" t="s">
        <v>2608</v>
      </c>
      <c r="AA12" s="193" t="s">
        <v>2604</v>
      </c>
      <c r="AB12" s="194" t="s">
        <v>2609</v>
      </c>
      <c r="AC12" s="187" t="s">
        <v>2553</v>
      </c>
      <c r="AD12" s="193" t="s">
        <v>2553</v>
      </c>
      <c r="AE12" s="203"/>
      <c r="AF12" s="204"/>
      <c r="AG12" s="204"/>
      <c r="AH12" s="204"/>
    </row>
    <row r="13" spans="5:34" ht="18" customHeight="1" x14ac:dyDescent="0.35">
      <c r="E13" s="221">
        <v>9</v>
      </c>
      <c r="F13" s="370" t="s">
        <v>2490</v>
      </c>
      <c r="G13" s="223" t="s">
        <v>2610</v>
      </c>
      <c r="H13" s="371" t="s">
        <v>2938</v>
      </c>
      <c r="I13" s="372" t="s">
        <v>2982</v>
      </c>
      <c r="J13" s="299" t="s">
        <v>2611</v>
      </c>
      <c r="K13" s="186" t="s">
        <v>2530</v>
      </c>
      <c r="L13" s="187" t="s">
        <v>2612</v>
      </c>
      <c r="M13" s="188" t="s">
        <v>2613</v>
      </c>
      <c r="N13" s="189">
        <v>1</v>
      </c>
      <c r="O13" s="190" t="s">
        <v>2533</v>
      </c>
      <c r="P13" s="185" t="s">
        <v>2614</v>
      </c>
      <c r="Q13" s="190"/>
      <c r="R13" s="190"/>
      <c r="S13" s="190"/>
      <c r="T13" s="197" t="s">
        <v>2615</v>
      </c>
      <c r="U13" s="205" t="s">
        <v>2616</v>
      </c>
      <c r="V13" s="199"/>
      <c r="W13" s="199"/>
      <c r="X13" s="190"/>
      <c r="Y13" s="185" t="s">
        <v>2617</v>
      </c>
      <c r="Z13" s="193" t="s">
        <v>2618</v>
      </c>
      <c r="AA13" s="193" t="s">
        <v>2614</v>
      </c>
      <c r="AB13" s="194" t="s">
        <v>2619</v>
      </c>
      <c r="AC13" s="187" t="s">
        <v>2540</v>
      </c>
      <c r="AD13" s="193" t="s">
        <v>2553</v>
      </c>
      <c r="AE13" s="203"/>
      <c r="AF13" s="204"/>
      <c r="AG13" s="204"/>
      <c r="AH13" s="204"/>
    </row>
    <row r="14" spans="5:34" ht="18" customHeight="1" x14ac:dyDescent="0.35">
      <c r="E14" s="221">
        <v>10</v>
      </c>
      <c r="F14" s="370" t="s">
        <v>2491</v>
      </c>
      <c r="G14" s="223" t="s">
        <v>2620</v>
      </c>
      <c r="H14" s="371" t="s">
        <v>2939</v>
      </c>
      <c r="I14" s="372" t="s">
        <v>2983</v>
      </c>
      <c r="J14" s="299" t="s">
        <v>2621</v>
      </c>
      <c r="K14" s="186" t="s">
        <v>2530</v>
      </c>
      <c r="L14" s="187" t="s">
        <v>2592</v>
      </c>
      <c r="M14" s="188" t="s">
        <v>2622</v>
      </c>
      <c r="N14" s="189">
        <v>2</v>
      </c>
      <c r="O14" s="190" t="s">
        <v>2533</v>
      </c>
      <c r="P14" s="187" t="s">
        <v>2623</v>
      </c>
      <c r="Q14" s="190"/>
      <c r="R14" s="190"/>
      <c r="S14" s="190"/>
      <c r="T14" s="191" t="s">
        <v>2624</v>
      </c>
      <c r="U14" s="192" t="s">
        <v>2625</v>
      </c>
      <c r="V14" s="199"/>
      <c r="W14" s="199"/>
      <c r="X14" s="199"/>
      <c r="Y14" s="187" t="s">
        <v>2626</v>
      </c>
      <c r="Z14" s="193" t="s">
        <v>2627</v>
      </c>
      <c r="AA14" s="193" t="s">
        <v>2623</v>
      </c>
      <c r="AB14" s="194" t="s">
        <v>2628</v>
      </c>
      <c r="AC14" s="187" t="s">
        <v>2540</v>
      </c>
      <c r="AD14" s="193" t="s">
        <v>2541</v>
      </c>
      <c r="AE14" s="203"/>
      <c r="AF14" s="204"/>
      <c r="AG14" s="204"/>
      <c r="AH14" s="204"/>
    </row>
    <row r="15" spans="5:34" ht="18" customHeight="1" x14ac:dyDescent="0.35">
      <c r="E15" s="221">
        <v>11</v>
      </c>
      <c r="F15" s="370" t="s">
        <v>2492</v>
      </c>
      <c r="G15" s="223" t="s">
        <v>2629</v>
      </c>
      <c r="H15" s="371" t="s">
        <v>2940</v>
      </c>
      <c r="I15" s="372" t="s">
        <v>2984</v>
      </c>
      <c r="J15" s="299" t="s">
        <v>2630</v>
      </c>
      <c r="K15" s="186" t="s">
        <v>2530</v>
      </c>
      <c r="L15" s="187" t="s">
        <v>2631</v>
      </c>
      <c r="M15" s="188" t="s">
        <v>2632</v>
      </c>
      <c r="N15" s="189">
        <v>1</v>
      </c>
      <c r="O15" s="190" t="s">
        <v>2533</v>
      </c>
      <c r="P15" s="185" t="s">
        <v>2633</v>
      </c>
      <c r="Q15" s="190"/>
      <c r="R15" s="190"/>
      <c r="S15" s="190"/>
      <c r="T15" s="197" t="s">
        <v>2634</v>
      </c>
      <c r="U15" s="192" t="s">
        <v>2635</v>
      </c>
      <c r="V15" s="190"/>
      <c r="W15" s="190"/>
      <c r="X15" s="190"/>
      <c r="Y15" s="185" t="s">
        <v>2636</v>
      </c>
      <c r="Z15" s="193" t="s">
        <v>2637</v>
      </c>
      <c r="AA15" s="193" t="s">
        <v>2633</v>
      </c>
      <c r="AB15" s="194" t="s">
        <v>2638</v>
      </c>
      <c r="AC15" s="187" t="s">
        <v>2639</v>
      </c>
      <c r="AD15" s="193" t="s">
        <v>2640</v>
      </c>
      <c r="AE15" s="203"/>
      <c r="AF15" s="204"/>
      <c r="AG15" s="204"/>
      <c r="AH15" s="204"/>
    </row>
    <row r="16" spans="5:34" ht="18" customHeight="1" x14ac:dyDescent="0.35">
      <c r="E16" s="221">
        <v>12</v>
      </c>
      <c r="F16" s="370" t="s">
        <v>2493</v>
      </c>
      <c r="G16" s="223" t="s">
        <v>2641</v>
      </c>
      <c r="H16" s="371" t="s">
        <v>2941</v>
      </c>
      <c r="I16" s="372" t="s">
        <v>2985</v>
      </c>
      <c r="J16" s="299" t="s">
        <v>2642</v>
      </c>
      <c r="K16" s="186" t="s">
        <v>2530</v>
      </c>
      <c r="L16" s="187" t="s">
        <v>2643</v>
      </c>
      <c r="M16" s="188" t="s">
        <v>2644</v>
      </c>
      <c r="N16" s="189">
        <v>2</v>
      </c>
      <c r="O16" s="190" t="s">
        <v>2533</v>
      </c>
      <c r="P16" s="187" t="s">
        <v>2645</v>
      </c>
      <c r="Q16" s="190"/>
      <c r="R16" s="190"/>
      <c r="S16" s="190"/>
      <c r="T16" s="191" t="s">
        <v>2646</v>
      </c>
      <c r="U16" s="192" t="s">
        <v>2647</v>
      </c>
      <c r="V16" s="199"/>
      <c r="W16" s="199"/>
      <c r="X16" s="199"/>
      <c r="Y16" s="187" t="s">
        <v>2648</v>
      </c>
      <c r="Z16" s="193" t="s">
        <v>2649</v>
      </c>
      <c r="AA16" s="193" t="s">
        <v>2645</v>
      </c>
      <c r="AB16" s="194" t="s">
        <v>2650</v>
      </c>
      <c r="AC16" s="187" t="s">
        <v>2651</v>
      </c>
      <c r="AD16" s="193" t="s">
        <v>2541</v>
      </c>
      <c r="AE16" s="203"/>
      <c r="AF16" s="204"/>
      <c r="AG16" s="204"/>
      <c r="AH16" s="204"/>
    </row>
    <row r="17" spans="5:34" ht="18" customHeight="1" x14ac:dyDescent="0.35">
      <c r="E17" s="221">
        <v>13</v>
      </c>
      <c r="F17" s="370" t="s">
        <v>2494</v>
      </c>
      <c r="G17" s="223" t="s">
        <v>2652</v>
      </c>
      <c r="H17" s="371" t="s">
        <v>2942</v>
      </c>
      <c r="I17" s="372" t="s">
        <v>2986</v>
      </c>
      <c r="J17" s="299" t="s">
        <v>2653</v>
      </c>
      <c r="K17" s="186" t="s">
        <v>2530</v>
      </c>
      <c r="L17" s="187" t="s">
        <v>2544</v>
      </c>
      <c r="M17" s="188" t="s">
        <v>2654</v>
      </c>
      <c r="N17" s="189">
        <v>1</v>
      </c>
      <c r="O17" s="190" t="s">
        <v>2533</v>
      </c>
      <c r="P17" s="185" t="s">
        <v>2655</v>
      </c>
      <c r="Q17" s="190"/>
      <c r="R17" s="190"/>
      <c r="S17" s="190"/>
      <c r="T17" s="197" t="s">
        <v>2535</v>
      </c>
      <c r="U17" s="192" t="s">
        <v>2536</v>
      </c>
      <c r="V17" s="199"/>
      <c r="W17" s="199"/>
      <c r="X17" s="199"/>
      <c r="Y17" s="200" t="s">
        <v>2656</v>
      </c>
      <c r="Z17" s="193" t="s">
        <v>2657</v>
      </c>
      <c r="AA17" s="193" t="s">
        <v>2655</v>
      </c>
      <c r="AB17" s="194" t="s">
        <v>2658</v>
      </c>
      <c r="AC17" s="187" t="s">
        <v>2553</v>
      </c>
      <c r="AD17" s="193" t="s">
        <v>2553</v>
      </c>
      <c r="AE17" s="203"/>
      <c r="AF17" s="204"/>
      <c r="AG17" s="204"/>
      <c r="AH17" s="204"/>
    </row>
    <row r="18" spans="5:34" ht="18" customHeight="1" x14ac:dyDescent="0.35">
      <c r="E18" s="221">
        <v>14</v>
      </c>
      <c r="F18" s="370" t="s">
        <v>2495</v>
      </c>
      <c r="G18" s="223" t="s">
        <v>2659</v>
      </c>
      <c r="H18" s="371" t="s">
        <v>2943</v>
      </c>
      <c r="I18" s="372" t="s">
        <v>2987</v>
      </c>
      <c r="J18" s="299" t="s">
        <v>2660</v>
      </c>
      <c r="K18" s="186" t="s">
        <v>2530</v>
      </c>
      <c r="L18" s="187" t="s">
        <v>2661</v>
      </c>
      <c r="M18" s="188" t="s">
        <v>2662</v>
      </c>
      <c r="N18" s="189">
        <v>1</v>
      </c>
      <c r="O18" s="190" t="s">
        <v>2533</v>
      </c>
      <c r="P18" s="185" t="s">
        <v>2663</v>
      </c>
      <c r="Q18" s="190"/>
      <c r="R18" s="190"/>
      <c r="S18" s="190"/>
      <c r="T18" s="197" t="s">
        <v>2664</v>
      </c>
      <c r="U18" s="192" t="s">
        <v>2665</v>
      </c>
      <c r="V18" s="199"/>
      <c r="W18" s="199"/>
      <c r="X18" s="199"/>
      <c r="Y18" s="200" t="s">
        <v>2666</v>
      </c>
      <c r="Z18" s="193" t="s">
        <v>2667</v>
      </c>
      <c r="AA18" s="193" t="s">
        <v>2663</v>
      </c>
      <c r="AB18" s="194" t="s">
        <v>2668</v>
      </c>
      <c r="AC18" s="187" t="s">
        <v>2540</v>
      </c>
      <c r="AD18" s="193" t="s">
        <v>2540</v>
      </c>
      <c r="AE18" s="203"/>
      <c r="AF18" s="204"/>
      <c r="AG18" s="204"/>
      <c r="AH18" s="204"/>
    </row>
    <row r="19" spans="5:34" ht="18" customHeight="1" x14ac:dyDescent="0.35">
      <c r="E19" s="222">
        <v>15</v>
      </c>
      <c r="F19" s="370" t="s">
        <v>2496</v>
      </c>
      <c r="G19" s="223" t="s">
        <v>2669</v>
      </c>
      <c r="H19" s="371" t="s">
        <v>2944</v>
      </c>
      <c r="I19" s="372" t="s">
        <v>2988</v>
      </c>
      <c r="J19" s="299" t="s">
        <v>2670</v>
      </c>
      <c r="K19" s="186" t="s">
        <v>2530</v>
      </c>
      <c r="L19" s="187" t="s">
        <v>2671</v>
      </c>
      <c r="M19" s="188" t="s">
        <v>2672</v>
      </c>
      <c r="N19" s="189">
        <v>2</v>
      </c>
      <c r="O19" s="190" t="s">
        <v>2533</v>
      </c>
      <c r="P19" s="185" t="s">
        <v>2673</v>
      </c>
      <c r="Q19" s="190"/>
      <c r="R19" s="190"/>
      <c r="S19" s="190"/>
      <c r="T19" s="197" t="s">
        <v>2674</v>
      </c>
      <c r="U19" s="192" t="s">
        <v>2675</v>
      </c>
      <c r="V19" s="199"/>
      <c r="W19" s="199"/>
      <c r="X19" s="199"/>
      <c r="Y19" s="200" t="s">
        <v>2676</v>
      </c>
      <c r="Z19" s="193" t="s">
        <v>2677</v>
      </c>
      <c r="AA19" s="367" t="s">
        <v>2673</v>
      </c>
      <c r="AB19" s="368" t="s">
        <v>2678</v>
      </c>
      <c r="AC19" s="185" t="s">
        <v>2552</v>
      </c>
      <c r="AD19" s="367" t="s">
        <v>2541</v>
      </c>
      <c r="AE19" s="206"/>
      <c r="AF19" s="204"/>
      <c r="AG19" s="204"/>
      <c r="AH19" s="204"/>
    </row>
    <row r="20" spans="5:34" ht="18" customHeight="1" x14ac:dyDescent="0.35">
      <c r="E20" s="222">
        <v>16</v>
      </c>
      <c r="F20" s="370" t="s">
        <v>2497</v>
      </c>
      <c r="G20" s="223" t="s">
        <v>2679</v>
      </c>
      <c r="H20" s="371" t="s">
        <v>2945</v>
      </c>
      <c r="I20" s="372" t="s">
        <v>2989</v>
      </c>
      <c r="J20" s="299" t="s">
        <v>2680</v>
      </c>
      <c r="K20" s="186" t="s">
        <v>2530</v>
      </c>
      <c r="L20" s="187" t="s">
        <v>2681</v>
      </c>
      <c r="M20" s="188" t="s">
        <v>2682</v>
      </c>
      <c r="N20" s="189">
        <v>3</v>
      </c>
      <c r="O20" s="190" t="s">
        <v>2533</v>
      </c>
      <c r="P20" s="187" t="s">
        <v>2683</v>
      </c>
      <c r="Q20" s="190"/>
      <c r="R20" s="190"/>
      <c r="S20" s="190"/>
      <c r="T20" s="191" t="s">
        <v>2684</v>
      </c>
      <c r="U20" s="192" t="s">
        <v>2685</v>
      </c>
      <c r="V20" s="199"/>
      <c r="W20" s="199"/>
      <c r="X20" s="199"/>
      <c r="Y20" s="187" t="s">
        <v>2686</v>
      </c>
      <c r="Z20" s="193" t="s">
        <v>2687</v>
      </c>
      <c r="AA20" s="367" t="s">
        <v>2683</v>
      </c>
      <c r="AB20" s="368" t="s">
        <v>2688</v>
      </c>
      <c r="AC20" s="185" t="s">
        <v>2600</v>
      </c>
      <c r="AD20" s="367" t="s">
        <v>2600</v>
      </c>
      <c r="AE20" s="206"/>
      <c r="AF20" s="204"/>
      <c r="AG20" s="204"/>
      <c r="AH20" s="204"/>
    </row>
    <row r="21" spans="5:34" ht="18" customHeight="1" x14ac:dyDescent="0.35">
      <c r="E21" s="222">
        <v>17</v>
      </c>
      <c r="F21" s="370" t="s">
        <v>2498</v>
      </c>
      <c r="G21" s="223" t="s">
        <v>2689</v>
      </c>
      <c r="H21" s="371" t="s">
        <v>2946</v>
      </c>
      <c r="I21" s="372" t="s">
        <v>2990</v>
      </c>
      <c r="J21" s="299" t="s">
        <v>2690</v>
      </c>
      <c r="K21" s="186" t="s">
        <v>2530</v>
      </c>
      <c r="L21" s="187" t="s">
        <v>2544</v>
      </c>
      <c r="M21" s="188" t="s">
        <v>2691</v>
      </c>
      <c r="N21" s="189">
        <v>1</v>
      </c>
      <c r="O21" s="190" t="s">
        <v>2533</v>
      </c>
      <c r="P21" s="185" t="s">
        <v>2692</v>
      </c>
      <c r="Q21" s="190"/>
      <c r="R21" s="190"/>
      <c r="S21" s="190"/>
      <c r="T21" s="197" t="s">
        <v>2605</v>
      </c>
      <c r="U21" s="192" t="s">
        <v>2606</v>
      </c>
      <c r="V21" s="199"/>
      <c r="W21" s="199"/>
      <c r="X21" s="199"/>
      <c r="Y21" s="185" t="s">
        <v>2693</v>
      </c>
      <c r="Z21" s="193" t="s">
        <v>2694</v>
      </c>
      <c r="AA21" s="367" t="s">
        <v>2692</v>
      </c>
      <c r="AB21" s="368" t="s">
        <v>2695</v>
      </c>
      <c r="AC21" s="185" t="s">
        <v>2552</v>
      </c>
      <c r="AD21" s="367" t="s">
        <v>2600</v>
      </c>
      <c r="AE21" s="206"/>
      <c r="AF21" s="204"/>
      <c r="AG21" s="204"/>
      <c r="AH21" s="204"/>
    </row>
    <row r="22" spans="5:34" ht="18" customHeight="1" x14ac:dyDescent="0.35">
      <c r="E22" s="222">
        <v>18</v>
      </c>
      <c r="F22" s="370" t="s">
        <v>2499</v>
      </c>
      <c r="G22" s="223" t="s">
        <v>2696</v>
      </c>
      <c r="H22" s="371" t="s">
        <v>2947</v>
      </c>
      <c r="I22" s="372" t="s">
        <v>2991</v>
      </c>
      <c r="J22" s="299" t="s">
        <v>2697</v>
      </c>
      <c r="K22" s="186" t="s">
        <v>2530</v>
      </c>
      <c r="L22" s="187" t="s">
        <v>2544</v>
      </c>
      <c r="M22" s="188" t="s">
        <v>2698</v>
      </c>
      <c r="N22" s="189">
        <v>1</v>
      </c>
      <c r="O22" s="190" t="s">
        <v>2533</v>
      </c>
      <c r="P22" s="187" t="s">
        <v>2699</v>
      </c>
      <c r="Q22" s="190"/>
      <c r="R22" s="190"/>
      <c r="S22" s="190"/>
      <c r="T22" s="191" t="s">
        <v>2535</v>
      </c>
      <c r="U22" s="192" t="s">
        <v>2536</v>
      </c>
      <c r="V22" s="199"/>
      <c r="W22" s="199"/>
      <c r="X22" s="199"/>
      <c r="Y22" s="187" t="s">
        <v>2700</v>
      </c>
      <c r="Z22" s="193" t="s">
        <v>2701</v>
      </c>
      <c r="AA22" s="367" t="s">
        <v>2699</v>
      </c>
      <c r="AB22" s="368" t="s">
        <v>2702</v>
      </c>
      <c r="AC22" s="185" t="s">
        <v>2540</v>
      </c>
      <c r="AD22" s="367" t="s">
        <v>2541</v>
      </c>
      <c r="AE22" s="206"/>
      <c r="AF22" s="204"/>
      <c r="AG22" s="204"/>
      <c r="AH22" s="204"/>
    </row>
    <row r="23" spans="5:34" ht="18" customHeight="1" x14ac:dyDescent="0.35">
      <c r="E23" s="222">
        <v>19</v>
      </c>
      <c r="F23" s="370" t="s">
        <v>2500</v>
      </c>
      <c r="G23" s="223" t="s">
        <v>2703</v>
      </c>
      <c r="H23" s="371" t="s">
        <v>2948</v>
      </c>
      <c r="I23" s="372" t="s">
        <v>2992</v>
      </c>
      <c r="J23" s="299" t="s">
        <v>2704</v>
      </c>
      <c r="K23" s="186" t="s">
        <v>2530</v>
      </c>
      <c r="L23" s="201" t="s">
        <v>2544</v>
      </c>
      <c r="M23" s="188" t="s">
        <v>2705</v>
      </c>
      <c r="N23" s="189">
        <v>1</v>
      </c>
      <c r="O23" s="190" t="s">
        <v>2533</v>
      </c>
      <c r="P23" s="185" t="s">
        <v>2706</v>
      </c>
      <c r="Q23" s="190"/>
      <c r="R23" s="190"/>
      <c r="S23" s="190"/>
      <c r="T23" s="197" t="s">
        <v>2707</v>
      </c>
      <c r="U23" s="192" t="s">
        <v>2708</v>
      </c>
      <c r="V23" s="199"/>
      <c r="W23" s="199"/>
      <c r="X23" s="199"/>
      <c r="Y23" s="185" t="s">
        <v>2709</v>
      </c>
      <c r="Z23" s="193" t="s">
        <v>2710</v>
      </c>
      <c r="AA23" s="367" t="s">
        <v>2706</v>
      </c>
      <c r="AB23" s="368" t="s">
        <v>2711</v>
      </c>
      <c r="AC23" s="185" t="s">
        <v>2540</v>
      </c>
      <c r="AD23" s="367" t="s">
        <v>2541</v>
      </c>
      <c r="AE23" s="206"/>
      <c r="AF23" s="206"/>
      <c r="AG23" s="206"/>
      <c r="AH23" s="206"/>
    </row>
    <row r="24" spans="5:34" ht="18" customHeight="1" x14ac:dyDescent="0.35">
      <c r="E24" s="222">
        <v>20</v>
      </c>
      <c r="F24" s="370" t="s">
        <v>2501</v>
      </c>
      <c r="G24" s="223" t="s">
        <v>2712</v>
      </c>
      <c r="H24" s="371" t="s">
        <v>2949</v>
      </c>
      <c r="I24" s="372" t="s">
        <v>2993</v>
      </c>
      <c r="J24" s="299" t="s">
        <v>2713</v>
      </c>
      <c r="K24" s="186" t="s">
        <v>2530</v>
      </c>
      <c r="L24" s="187" t="s">
        <v>2544</v>
      </c>
      <c r="M24" s="188" t="s">
        <v>2714</v>
      </c>
      <c r="N24" s="189">
        <v>1</v>
      </c>
      <c r="O24" s="190" t="s">
        <v>2533</v>
      </c>
      <c r="P24" s="185" t="s">
        <v>2715</v>
      </c>
      <c r="Q24" s="190"/>
      <c r="R24" s="190"/>
      <c r="S24" s="190"/>
      <c r="T24" s="197" t="s">
        <v>2716</v>
      </c>
      <c r="U24" s="192" t="s">
        <v>2717</v>
      </c>
      <c r="V24" s="199"/>
      <c r="W24" s="199"/>
      <c r="X24" s="199"/>
      <c r="Y24" s="185" t="s">
        <v>2718</v>
      </c>
      <c r="Z24" s="193" t="s">
        <v>2719</v>
      </c>
      <c r="AA24" s="367" t="s">
        <v>2715</v>
      </c>
      <c r="AB24" s="368" t="s">
        <v>2720</v>
      </c>
      <c r="AC24" s="185" t="s">
        <v>2552</v>
      </c>
      <c r="AD24" s="367" t="s">
        <v>2553</v>
      </c>
      <c r="AE24" s="206"/>
      <c r="AF24" s="206"/>
      <c r="AG24" s="206"/>
      <c r="AH24" s="206"/>
    </row>
    <row r="25" spans="5:34" ht="15.5" x14ac:dyDescent="0.35">
      <c r="E25" s="222">
        <v>21</v>
      </c>
      <c r="F25" s="370" t="s">
        <v>2502</v>
      </c>
      <c r="G25" s="364" t="s">
        <v>2721</v>
      </c>
      <c r="H25" s="371" t="s">
        <v>2950</v>
      </c>
      <c r="I25" s="373" t="s">
        <v>2994</v>
      </c>
      <c r="J25" s="299" t="s">
        <v>2722</v>
      </c>
      <c r="K25" s="198" t="s">
        <v>2530</v>
      </c>
      <c r="L25" s="187" t="s">
        <v>2723</v>
      </c>
      <c r="M25" s="188" t="s">
        <v>2724</v>
      </c>
      <c r="N25" s="189">
        <v>1</v>
      </c>
      <c r="O25" s="190" t="s">
        <v>2533</v>
      </c>
      <c r="P25" s="185" t="s">
        <v>2725</v>
      </c>
      <c r="Q25" s="190"/>
      <c r="R25" s="190"/>
      <c r="S25" s="190"/>
      <c r="T25" s="197" t="s">
        <v>2726</v>
      </c>
      <c r="U25" s="192" t="s">
        <v>2727</v>
      </c>
      <c r="V25" s="199"/>
      <c r="W25" s="199"/>
      <c r="X25" s="199"/>
      <c r="Y25" s="207" t="s">
        <v>2728</v>
      </c>
      <c r="Z25" s="193" t="s">
        <v>2729</v>
      </c>
      <c r="AA25" s="193" t="s">
        <v>2725</v>
      </c>
      <c r="AB25" s="194" t="s">
        <v>2730</v>
      </c>
      <c r="AC25" s="187" t="s">
        <v>2600</v>
      </c>
      <c r="AD25" s="193" t="s">
        <v>2541</v>
      </c>
      <c r="AE25" s="203"/>
      <c r="AF25" s="206"/>
      <c r="AG25" s="206"/>
      <c r="AH25" s="206"/>
    </row>
    <row r="26" spans="5:34" ht="15.5" x14ac:dyDescent="0.35">
      <c r="E26" s="222">
        <v>22</v>
      </c>
      <c r="F26" s="370" t="s">
        <v>2503</v>
      </c>
      <c r="G26" s="364" t="s">
        <v>2731</v>
      </c>
      <c r="H26" s="371" t="s">
        <v>2951</v>
      </c>
      <c r="I26" s="373" t="s">
        <v>2995</v>
      </c>
      <c r="J26" s="299" t="s">
        <v>2732</v>
      </c>
      <c r="K26" s="198" t="s">
        <v>2530</v>
      </c>
      <c r="L26" s="187" t="s">
        <v>2733</v>
      </c>
      <c r="M26" s="188" t="s">
        <v>2734</v>
      </c>
      <c r="N26" s="189">
        <v>3</v>
      </c>
      <c r="O26" s="190" t="s">
        <v>2533</v>
      </c>
      <c r="P26" s="185" t="s">
        <v>2735</v>
      </c>
      <c r="Q26" s="190"/>
      <c r="R26" s="190"/>
      <c r="S26" s="190"/>
      <c r="T26" s="197" t="s">
        <v>2736</v>
      </c>
      <c r="U26" s="192" t="s">
        <v>2737</v>
      </c>
      <c r="V26" s="199"/>
      <c r="W26" s="199"/>
      <c r="X26" s="199"/>
      <c r="Y26" s="200" t="s">
        <v>2738</v>
      </c>
      <c r="Z26" s="193" t="s">
        <v>2739</v>
      </c>
      <c r="AA26" s="193" t="s">
        <v>2735</v>
      </c>
      <c r="AB26" s="194" t="s">
        <v>2740</v>
      </c>
      <c r="AC26" s="187" t="s">
        <v>2741</v>
      </c>
      <c r="AD26" s="193" t="s">
        <v>2541</v>
      </c>
      <c r="AE26" s="203"/>
      <c r="AF26" s="206"/>
      <c r="AG26" s="206"/>
      <c r="AH26" s="206"/>
    </row>
    <row r="27" spans="5:34" ht="15.5" x14ac:dyDescent="0.35">
      <c r="E27" s="222">
        <v>23</v>
      </c>
      <c r="F27" s="370" t="s">
        <v>2504</v>
      </c>
      <c r="G27" s="364" t="s">
        <v>2742</v>
      </c>
      <c r="H27" s="371" t="s">
        <v>2952</v>
      </c>
      <c r="I27" s="373" t="s">
        <v>2996</v>
      </c>
      <c r="J27" s="299" t="s">
        <v>2743</v>
      </c>
      <c r="K27" s="198" t="s">
        <v>2530</v>
      </c>
      <c r="L27" s="187" t="s">
        <v>2592</v>
      </c>
      <c r="M27" s="188" t="s">
        <v>2744</v>
      </c>
      <c r="N27" s="189">
        <v>2</v>
      </c>
      <c r="O27" s="190" t="s">
        <v>2533</v>
      </c>
      <c r="P27" s="185" t="s">
        <v>2745</v>
      </c>
      <c r="Q27" s="190"/>
      <c r="R27" s="190"/>
      <c r="S27" s="190"/>
      <c r="T27" s="197" t="s">
        <v>2664</v>
      </c>
      <c r="U27" s="190" t="s">
        <v>2665</v>
      </c>
      <c r="V27" s="190"/>
      <c r="W27" s="190"/>
      <c r="X27" s="190"/>
      <c r="Y27" s="185" t="s">
        <v>2746</v>
      </c>
      <c r="Z27" s="189" t="s">
        <v>2747</v>
      </c>
      <c r="AA27" s="208" t="s">
        <v>2745</v>
      </c>
      <c r="AB27" s="186" t="s">
        <v>2748</v>
      </c>
      <c r="AC27" s="187" t="s">
        <v>2600</v>
      </c>
      <c r="AD27" s="189" t="s">
        <v>2541</v>
      </c>
      <c r="AE27" s="183"/>
      <c r="AF27" s="17"/>
      <c r="AG27" s="17"/>
      <c r="AH27" s="17"/>
    </row>
    <row r="28" spans="5:34" ht="20.149999999999999" customHeight="1" x14ac:dyDescent="0.35">
      <c r="E28" s="222">
        <v>24</v>
      </c>
      <c r="F28" s="370" t="s">
        <v>2505</v>
      </c>
      <c r="G28" s="224" t="s">
        <v>2749</v>
      </c>
      <c r="H28" s="371" t="s">
        <v>2953</v>
      </c>
      <c r="I28" s="373" t="s">
        <v>2997</v>
      </c>
      <c r="J28" s="299" t="s">
        <v>2750</v>
      </c>
      <c r="K28" s="198" t="s">
        <v>2530</v>
      </c>
      <c r="L28" s="185" t="s">
        <v>2751</v>
      </c>
      <c r="M28" s="202" t="s">
        <v>2752</v>
      </c>
      <c r="N28" s="199">
        <v>1</v>
      </c>
      <c r="O28" s="190" t="s">
        <v>2533</v>
      </c>
      <c r="P28" s="185" t="s">
        <v>2753</v>
      </c>
      <c r="Q28" s="190"/>
      <c r="R28" s="190"/>
      <c r="S28" s="190"/>
      <c r="T28" s="197" t="s">
        <v>2754</v>
      </c>
      <c r="U28" s="192" t="s">
        <v>2755</v>
      </c>
      <c r="V28" s="199"/>
      <c r="W28" s="199"/>
      <c r="X28" s="199"/>
      <c r="Y28" s="185" t="s">
        <v>2756</v>
      </c>
      <c r="Z28" s="190" t="s">
        <v>2757</v>
      </c>
      <c r="AA28" s="192" t="s">
        <v>2753</v>
      </c>
      <c r="AB28" s="190" t="s">
        <v>2758</v>
      </c>
      <c r="AC28" s="187" t="s">
        <v>2540</v>
      </c>
      <c r="AD28" s="190" t="s">
        <v>2540</v>
      </c>
      <c r="AE28" s="203"/>
      <c r="AF28" s="204"/>
      <c r="AG28" s="204"/>
      <c r="AH28" s="204"/>
    </row>
    <row r="29" spans="5:34" ht="20.149999999999999" customHeight="1" x14ac:dyDescent="0.35">
      <c r="E29" s="222">
        <v>25</v>
      </c>
      <c r="F29" s="370" t="s">
        <v>2506</v>
      </c>
      <c r="G29" s="224" t="s">
        <v>2759</v>
      </c>
      <c r="H29" s="371" t="s">
        <v>2954</v>
      </c>
      <c r="I29" s="373" t="s">
        <v>2998</v>
      </c>
      <c r="J29" s="299" t="s">
        <v>2760</v>
      </c>
      <c r="K29" s="198" t="s">
        <v>2530</v>
      </c>
      <c r="L29" s="201" t="s">
        <v>2761</v>
      </c>
      <c r="M29" s="188" t="s">
        <v>2762</v>
      </c>
      <c r="N29" s="199">
        <v>2</v>
      </c>
      <c r="O29" s="190" t="s">
        <v>2533</v>
      </c>
      <c r="P29" s="187" t="s">
        <v>2763</v>
      </c>
      <c r="Q29" s="190"/>
      <c r="R29" s="190"/>
      <c r="S29" s="190"/>
      <c r="T29" s="191" t="s">
        <v>2764</v>
      </c>
      <c r="U29" s="192" t="s">
        <v>2765</v>
      </c>
      <c r="V29" s="199"/>
      <c r="W29" s="199"/>
      <c r="X29" s="199"/>
      <c r="Y29" s="187" t="s">
        <v>2766</v>
      </c>
      <c r="Z29" s="190" t="s">
        <v>2767</v>
      </c>
      <c r="AA29" s="192" t="s">
        <v>2763</v>
      </c>
      <c r="AB29" s="190" t="s">
        <v>2768</v>
      </c>
      <c r="AC29" s="187" t="s">
        <v>2540</v>
      </c>
      <c r="AD29" s="190" t="s">
        <v>2540</v>
      </c>
      <c r="AE29" s="203"/>
      <c r="AF29" s="204"/>
      <c r="AG29" s="204"/>
      <c r="AH29" s="204"/>
    </row>
    <row r="30" spans="5:34" ht="20.149999999999999" customHeight="1" x14ac:dyDescent="0.35">
      <c r="E30" s="222">
        <v>26</v>
      </c>
      <c r="F30" s="370" t="s">
        <v>2507</v>
      </c>
      <c r="G30" s="224" t="s">
        <v>2769</v>
      </c>
      <c r="H30" s="371" t="s">
        <v>2955</v>
      </c>
      <c r="I30" s="373" t="s">
        <v>2999</v>
      </c>
      <c r="J30" s="299" t="s">
        <v>2770</v>
      </c>
      <c r="K30" s="198" t="s">
        <v>2530</v>
      </c>
      <c r="L30" s="187" t="s">
        <v>23</v>
      </c>
      <c r="M30" s="188" t="s">
        <v>2771</v>
      </c>
      <c r="N30" s="199">
        <v>1</v>
      </c>
      <c r="O30" s="190" t="s">
        <v>2533</v>
      </c>
      <c r="P30" s="187" t="s">
        <v>2772</v>
      </c>
      <c r="Q30" s="190"/>
      <c r="R30" s="190"/>
      <c r="S30" s="190"/>
      <c r="T30" s="187" t="s">
        <v>2773</v>
      </c>
      <c r="U30" s="192" t="s">
        <v>2774</v>
      </c>
      <c r="V30" s="199"/>
      <c r="W30" s="199"/>
      <c r="X30" s="199"/>
      <c r="Y30" s="187" t="s">
        <v>2775</v>
      </c>
      <c r="Z30" s="190" t="s">
        <v>2776</v>
      </c>
      <c r="AA30" s="192" t="s">
        <v>2772</v>
      </c>
      <c r="AB30" s="199" t="s">
        <v>2777</v>
      </c>
      <c r="AC30" s="187" t="s">
        <v>2540</v>
      </c>
      <c r="AD30" s="190" t="s">
        <v>2541</v>
      </c>
      <c r="AE30" s="203"/>
      <c r="AF30" s="204"/>
      <c r="AG30" s="204"/>
      <c r="AH30" s="204"/>
    </row>
    <row r="31" spans="5:34" ht="20.149999999999999" customHeight="1" x14ac:dyDescent="0.35">
      <c r="E31" s="222">
        <v>27</v>
      </c>
      <c r="F31" s="370" t="s">
        <v>2508</v>
      </c>
      <c r="G31" s="224" t="s">
        <v>2778</v>
      </c>
      <c r="H31" s="371" t="s">
        <v>2956</v>
      </c>
      <c r="I31" s="373" t="s">
        <v>3000</v>
      </c>
      <c r="J31" s="299" t="s">
        <v>2779</v>
      </c>
      <c r="K31" s="198" t="s">
        <v>2530</v>
      </c>
      <c r="L31" s="201" t="s">
        <v>2544</v>
      </c>
      <c r="M31" s="188" t="s">
        <v>2780</v>
      </c>
      <c r="N31" s="199">
        <v>1</v>
      </c>
      <c r="O31" s="190" t="s">
        <v>2533</v>
      </c>
      <c r="P31" s="187" t="s">
        <v>2781</v>
      </c>
      <c r="Q31" s="190"/>
      <c r="R31" s="190"/>
      <c r="S31" s="190"/>
      <c r="T31" s="191" t="s">
        <v>2782</v>
      </c>
      <c r="U31" s="192" t="s">
        <v>2783</v>
      </c>
      <c r="V31" s="199"/>
      <c r="W31" s="199"/>
      <c r="X31" s="199"/>
      <c r="Y31" s="187" t="s">
        <v>2784</v>
      </c>
      <c r="Z31" s="190" t="s">
        <v>2785</v>
      </c>
      <c r="AA31" s="192" t="s">
        <v>2781</v>
      </c>
      <c r="AB31" s="190" t="s">
        <v>2786</v>
      </c>
      <c r="AC31" s="187" t="s">
        <v>2552</v>
      </c>
      <c r="AD31" s="190" t="s">
        <v>2600</v>
      </c>
      <c r="AE31" s="203"/>
      <c r="AF31" s="204"/>
      <c r="AG31" s="204"/>
      <c r="AH31" s="204"/>
    </row>
    <row r="32" spans="5:34" ht="20.149999999999999" customHeight="1" x14ac:dyDescent="0.35">
      <c r="E32" s="222">
        <v>28</v>
      </c>
      <c r="F32" s="370" t="s">
        <v>2509</v>
      </c>
      <c r="G32" s="224" t="s">
        <v>2787</v>
      </c>
      <c r="H32" s="371" t="s">
        <v>2957</v>
      </c>
      <c r="I32" s="373" t="s">
        <v>3001</v>
      </c>
      <c r="J32" s="374" t="s">
        <v>3020</v>
      </c>
      <c r="K32" s="198" t="s">
        <v>2530</v>
      </c>
      <c r="L32" s="201" t="s">
        <v>2612</v>
      </c>
      <c r="M32" s="209" t="s">
        <v>2788</v>
      </c>
      <c r="N32" s="199">
        <v>1</v>
      </c>
      <c r="O32" s="190" t="s">
        <v>2533</v>
      </c>
      <c r="P32" s="187" t="s">
        <v>2789</v>
      </c>
      <c r="Q32" s="190"/>
      <c r="R32" s="190"/>
      <c r="S32" s="190"/>
      <c r="T32" s="191" t="s">
        <v>2790</v>
      </c>
      <c r="U32" s="205" t="s">
        <v>2791</v>
      </c>
      <c r="V32" s="199"/>
      <c r="W32" s="199"/>
      <c r="X32" s="199"/>
      <c r="Y32" s="187" t="s">
        <v>2792</v>
      </c>
      <c r="Z32" s="190" t="s">
        <v>2793</v>
      </c>
      <c r="AA32" s="192" t="s">
        <v>2789</v>
      </c>
      <c r="AB32" s="190" t="s">
        <v>2794</v>
      </c>
      <c r="AC32" s="187" t="s">
        <v>2553</v>
      </c>
      <c r="AD32" s="190" t="s">
        <v>2553</v>
      </c>
      <c r="AE32" s="203"/>
      <c r="AF32" s="204"/>
      <c r="AG32" s="204"/>
      <c r="AH32" s="204"/>
    </row>
    <row r="33" spans="5:34" ht="20.149999999999999" customHeight="1" x14ac:dyDescent="0.35">
      <c r="E33" s="222">
        <v>29</v>
      </c>
      <c r="F33" s="370" t="s">
        <v>2510</v>
      </c>
      <c r="G33" s="224" t="s">
        <v>2795</v>
      </c>
      <c r="H33" s="371" t="s">
        <v>2958</v>
      </c>
      <c r="I33" s="373" t="s">
        <v>3002</v>
      </c>
      <c r="J33" s="299" t="s">
        <v>2796</v>
      </c>
      <c r="K33" s="198" t="s">
        <v>2530</v>
      </c>
      <c r="L33" s="201" t="s">
        <v>2544</v>
      </c>
      <c r="M33" s="188" t="s">
        <v>2797</v>
      </c>
      <c r="N33" s="210">
        <v>1</v>
      </c>
      <c r="O33" s="211" t="s">
        <v>2533</v>
      </c>
      <c r="P33" s="187" t="s">
        <v>2798</v>
      </c>
      <c r="Q33" s="211"/>
      <c r="R33" s="211"/>
      <c r="S33" s="211"/>
      <c r="T33" s="197" t="s">
        <v>2799</v>
      </c>
      <c r="U33" s="200" t="s">
        <v>2800</v>
      </c>
      <c r="V33" s="210"/>
      <c r="W33" s="210"/>
      <c r="X33" s="210"/>
      <c r="Y33" s="187" t="s">
        <v>2801</v>
      </c>
      <c r="Z33" s="211" t="s">
        <v>2802</v>
      </c>
      <c r="AA33" s="212" t="s">
        <v>2798</v>
      </c>
      <c r="AB33" s="211" t="s">
        <v>2803</v>
      </c>
      <c r="AC33" s="187" t="s">
        <v>2651</v>
      </c>
      <c r="AD33" s="211" t="s">
        <v>2541</v>
      </c>
      <c r="AE33" s="204"/>
      <c r="AF33" s="204"/>
      <c r="AG33" s="204"/>
      <c r="AH33" s="204"/>
    </row>
    <row r="34" spans="5:34" ht="20.149999999999999" customHeight="1" x14ac:dyDescent="0.35">
      <c r="E34" s="222">
        <v>30</v>
      </c>
      <c r="F34" s="370" t="s">
        <v>2511</v>
      </c>
      <c r="G34" s="224" t="s">
        <v>2804</v>
      </c>
      <c r="H34" s="371" t="s">
        <v>2959</v>
      </c>
      <c r="I34" s="373" t="s">
        <v>3003</v>
      </c>
      <c r="J34" s="374" t="s">
        <v>3019</v>
      </c>
      <c r="K34" s="198" t="s">
        <v>2530</v>
      </c>
      <c r="L34" s="201" t="s">
        <v>2544</v>
      </c>
      <c r="M34" s="188" t="s">
        <v>2805</v>
      </c>
      <c r="N34" s="210">
        <v>2</v>
      </c>
      <c r="O34" s="211" t="s">
        <v>2533</v>
      </c>
      <c r="P34" s="187" t="s">
        <v>2806</v>
      </c>
      <c r="Q34" s="211"/>
      <c r="R34" s="211"/>
      <c r="S34" s="211"/>
      <c r="T34" s="191" t="s">
        <v>2716</v>
      </c>
      <c r="U34" s="212" t="s">
        <v>2717</v>
      </c>
      <c r="V34" s="210"/>
      <c r="W34" s="210"/>
      <c r="X34" s="210"/>
      <c r="Y34" s="187" t="s">
        <v>2807</v>
      </c>
      <c r="Z34" s="211" t="s">
        <v>2808</v>
      </c>
      <c r="AA34" s="212" t="s">
        <v>2806</v>
      </c>
      <c r="AB34" s="211" t="s">
        <v>2809</v>
      </c>
      <c r="AC34" s="187" t="s">
        <v>2540</v>
      </c>
      <c r="AD34" s="211" t="s">
        <v>2540</v>
      </c>
      <c r="AE34" s="204"/>
      <c r="AF34" s="204"/>
      <c r="AG34" s="204"/>
      <c r="AH34" s="204"/>
    </row>
    <row r="35" spans="5:34" ht="20.149999999999999" customHeight="1" x14ac:dyDescent="0.35">
      <c r="E35" s="222">
        <v>31</v>
      </c>
      <c r="F35" s="370" t="s">
        <v>2512</v>
      </c>
      <c r="G35" s="224" t="s">
        <v>2810</v>
      </c>
      <c r="H35" s="371" t="s">
        <v>2960</v>
      </c>
      <c r="I35" s="373" t="s">
        <v>3004</v>
      </c>
      <c r="J35" s="299" t="s">
        <v>2811</v>
      </c>
      <c r="K35" s="198" t="s">
        <v>2530</v>
      </c>
      <c r="L35" s="201" t="s">
        <v>2812</v>
      </c>
      <c r="M35" s="188" t="s">
        <v>2813</v>
      </c>
      <c r="N35" s="210">
        <v>2</v>
      </c>
      <c r="O35" s="211" t="s">
        <v>2533</v>
      </c>
      <c r="P35" s="187" t="s">
        <v>2814</v>
      </c>
      <c r="Q35" s="211"/>
      <c r="R35" s="211"/>
      <c r="S35" s="211"/>
      <c r="T35" s="191" t="s">
        <v>2815</v>
      </c>
      <c r="U35" s="212" t="s">
        <v>2816</v>
      </c>
      <c r="V35" s="210"/>
      <c r="W35" s="210"/>
      <c r="X35" s="211"/>
      <c r="Y35" s="187" t="s">
        <v>2817</v>
      </c>
      <c r="Z35" s="211" t="s">
        <v>2818</v>
      </c>
      <c r="AA35" s="212" t="s">
        <v>2814</v>
      </c>
      <c r="AB35" s="211" t="s">
        <v>2819</v>
      </c>
      <c r="AC35" s="187" t="s">
        <v>2600</v>
      </c>
      <c r="AD35" s="211" t="s">
        <v>2541</v>
      </c>
      <c r="AE35" s="204"/>
      <c r="AF35" s="204"/>
      <c r="AG35" s="204"/>
      <c r="AH35" s="204"/>
    </row>
    <row r="36" spans="5:34" ht="20.149999999999999" customHeight="1" x14ac:dyDescent="0.35">
      <c r="E36" s="222">
        <v>32</v>
      </c>
      <c r="F36" s="370" t="s">
        <v>2513</v>
      </c>
      <c r="G36" s="224" t="s">
        <v>2820</v>
      </c>
      <c r="H36" s="371" t="s">
        <v>2961</v>
      </c>
      <c r="I36" s="373" t="s">
        <v>3005</v>
      </c>
      <c r="J36" s="299" t="s">
        <v>2821</v>
      </c>
      <c r="K36" s="198" t="s">
        <v>2530</v>
      </c>
      <c r="L36" s="201" t="s">
        <v>23</v>
      </c>
      <c r="M36" s="188" t="s">
        <v>2822</v>
      </c>
      <c r="N36" s="210">
        <v>1</v>
      </c>
      <c r="O36" s="211" t="s">
        <v>2533</v>
      </c>
      <c r="P36" s="187" t="s">
        <v>2823</v>
      </c>
      <c r="Q36" s="211"/>
      <c r="R36" s="211"/>
      <c r="S36" s="211"/>
      <c r="T36" s="191" t="s">
        <v>2824</v>
      </c>
      <c r="U36" s="212" t="s">
        <v>2825</v>
      </c>
      <c r="V36" s="210"/>
      <c r="W36" s="210"/>
      <c r="X36" s="211"/>
      <c r="Y36" s="187" t="s">
        <v>2826</v>
      </c>
      <c r="Z36" s="211" t="s">
        <v>2827</v>
      </c>
      <c r="AA36" s="212" t="s">
        <v>2823</v>
      </c>
      <c r="AB36" s="211" t="s">
        <v>2828</v>
      </c>
      <c r="AC36" s="187" t="s">
        <v>2540</v>
      </c>
      <c r="AD36" s="211" t="s">
        <v>2553</v>
      </c>
      <c r="AE36" s="204"/>
      <c r="AF36" s="204"/>
      <c r="AG36" s="204"/>
      <c r="AH36" s="204"/>
    </row>
    <row r="37" spans="5:34" ht="20.149999999999999" customHeight="1" x14ac:dyDescent="0.35">
      <c r="E37" s="222">
        <v>33</v>
      </c>
      <c r="F37" s="370" t="s">
        <v>2514</v>
      </c>
      <c r="G37" s="224" t="s">
        <v>2829</v>
      </c>
      <c r="H37" s="371" t="s">
        <v>2962</v>
      </c>
      <c r="I37" s="373" t="s">
        <v>3006</v>
      </c>
      <c r="J37" s="299" t="s">
        <v>2830</v>
      </c>
      <c r="K37" s="198" t="s">
        <v>2530</v>
      </c>
      <c r="L37" s="201" t="s">
        <v>2544</v>
      </c>
      <c r="M37" s="188" t="s">
        <v>2831</v>
      </c>
      <c r="N37" s="210">
        <v>1</v>
      </c>
      <c r="O37" s="211" t="s">
        <v>2533</v>
      </c>
      <c r="P37" s="187" t="s">
        <v>2832</v>
      </c>
      <c r="Q37" s="211"/>
      <c r="R37" s="211"/>
      <c r="S37" s="211"/>
      <c r="T37" s="191" t="s">
        <v>2605</v>
      </c>
      <c r="U37" s="212" t="s">
        <v>2606</v>
      </c>
      <c r="V37" s="210"/>
      <c r="W37" s="210"/>
      <c r="X37" s="211"/>
      <c r="Y37" s="187" t="s">
        <v>2833</v>
      </c>
      <c r="Z37" s="211" t="s">
        <v>2834</v>
      </c>
      <c r="AA37" s="212" t="s">
        <v>2832</v>
      </c>
      <c r="AB37" s="211" t="s">
        <v>2835</v>
      </c>
      <c r="AC37" s="187" t="s">
        <v>2540</v>
      </c>
      <c r="AD37" s="211" t="s">
        <v>2540</v>
      </c>
      <c r="AE37" s="204"/>
      <c r="AF37" s="204"/>
      <c r="AG37" s="204"/>
      <c r="AH37" s="204"/>
    </row>
    <row r="38" spans="5:34" ht="20.149999999999999" customHeight="1" x14ac:dyDescent="0.35">
      <c r="E38" s="222">
        <v>34</v>
      </c>
      <c r="F38" s="370" t="s">
        <v>2515</v>
      </c>
      <c r="G38" s="224" t="s">
        <v>2836</v>
      </c>
      <c r="H38" s="371" t="s">
        <v>2963</v>
      </c>
      <c r="I38" s="373" t="s">
        <v>3007</v>
      </c>
      <c r="J38" s="299" t="s">
        <v>2837</v>
      </c>
      <c r="K38" s="198" t="s">
        <v>2530</v>
      </c>
      <c r="L38" s="201" t="s">
        <v>2544</v>
      </c>
      <c r="M38" s="188" t="s">
        <v>2838</v>
      </c>
      <c r="N38" s="210">
        <v>1</v>
      </c>
      <c r="O38" s="211" t="s">
        <v>2533</v>
      </c>
      <c r="P38" s="187" t="s">
        <v>2839</v>
      </c>
      <c r="Q38" s="211"/>
      <c r="R38" s="211"/>
      <c r="S38" s="211"/>
      <c r="T38" s="191" t="s">
        <v>2605</v>
      </c>
      <c r="U38" s="212" t="s">
        <v>2606</v>
      </c>
      <c r="V38" s="210"/>
      <c r="W38" s="210"/>
      <c r="X38" s="211"/>
      <c r="Y38" s="187" t="s">
        <v>2840</v>
      </c>
      <c r="Z38" s="211" t="s">
        <v>2841</v>
      </c>
      <c r="AA38" s="212" t="s">
        <v>2839</v>
      </c>
      <c r="AB38" s="211" t="s">
        <v>2842</v>
      </c>
      <c r="AC38" s="187" t="s">
        <v>2540</v>
      </c>
      <c r="AD38" s="211" t="s">
        <v>2553</v>
      </c>
      <c r="AE38" s="204"/>
      <c r="AF38" s="204"/>
      <c r="AG38" s="204"/>
      <c r="AH38" s="204"/>
    </row>
    <row r="39" spans="5:34" ht="20.149999999999999" customHeight="1" x14ac:dyDescent="0.35">
      <c r="E39" s="222">
        <v>35</v>
      </c>
      <c r="F39" s="370" t="s">
        <v>2516</v>
      </c>
      <c r="G39" s="224" t="s">
        <v>2843</v>
      </c>
      <c r="H39" s="371" t="s">
        <v>2964</v>
      </c>
      <c r="I39" s="373" t="s">
        <v>3008</v>
      </c>
      <c r="J39" s="299" t="s">
        <v>2844</v>
      </c>
      <c r="K39" s="198" t="s">
        <v>2530</v>
      </c>
      <c r="L39" s="201" t="s">
        <v>23</v>
      </c>
      <c r="M39" s="188" t="s">
        <v>2845</v>
      </c>
      <c r="N39" s="210">
        <v>2</v>
      </c>
      <c r="O39" s="211" t="s">
        <v>2533</v>
      </c>
      <c r="P39" s="187" t="s">
        <v>2846</v>
      </c>
      <c r="Q39" s="211"/>
      <c r="R39" s="211"/>
      <c r="S39" s="211"/>
      <c r="T39" s="191" t="s">
        <v>2847</v>
      </c>
      <c r="U39" s="212" t="s">
        <v>2848</v>
      </c>
      <c r="V39" s="210"/>
      <c r="W39" s="210"/>
      <c r="X39" s="211"/>
      <c r="Y39" s="187" t="s">
        <v>2849</v>
      </c>
      <c r="Z39" s="211" t="s">
        <v>2850</v>
      </c>
      <c r="AA39" s="212" t="s">
        <v>2846</v>
      </c>
      <c r="AB39" s="211" t="s">
        <v>2851</v>
      </c>
      <c r="AC39" s="187" t="s">
        <v>2540</v>
      </c>
      <c r="AD39" s="211" t="s">
        <v>2541</v>
      </c>
      <c r="AE39" s="204"/>
      <c r="AF39" s="204"/>
      <c r="AG39" s="204"/>
      <c r="AH39" s="204"/>
    </row>
    <row r="40" spans="5:34" ht="20.149999999999999" customHeight="1" x14ac:dyDescent="0.35">
      <c r="E40" s="222">
        <v>36</v>
      </c>
      <c r="F40" s="370" t="s">
        <v>2517</v>
      </c>
      <c r="G40" s="224" t="s">
        <v>2852</v>
      </c>
      <c r="H40" s="371" t="s">
        <v>2965</v>
      </c>
      <c r="I40" s="373" t="s">
        <v>3009</v>
      </c>
      <c r="J40" s="299" t="s">
        <v>2853</v>
      </c>
      <c r="K40" s="198" t="s">
        <v>2530</v>
      </c>
      <c r="L40" s="201" t="s">
        <v>2544</v>
      </c>
      <c r="M40" s="188" t="s">
        <v>2854</v>
      </c>
      <c r="N40" s="210">
        <v>1</v>
      </c>
      <c r="O40" s="211" t="s">
        <v>2533</v>
      </c>
      <c r="P40" s="187" t="s">
        <v>2855</v>
      </c>
      <c r="Q40" s="211"/>
      <c r="R40" s="211"/>
      <c r="S40" s="211"/>
      <c r="T40" s="191" t="s">
        <v>2856</v>
      </c>
      <c r="U40" s="212" t="s">
        <v>2857</v>
      </c>
      <c r="V40" s="210"/>
      <c r="W40" s="210"/>
      <c r="X40" s="211"/>
      <c r="Y40" s="187" t="s">
        <v>2858</v>
      </c>
      <c r="Z40" s="211" t="s">
        <v>2859</v>
      </c>
      <c r="AA40" s="212" t="s">
        <v>2855</v>
      </c>
      <c r="AB40" s="211" t="s">
        <v>2860</v>
      </c>
      <c r="AC40" s="187" t="s">
        <v>2540</v>
      </c>
      <c r="AD40" s="211" t="s">
        <v>2552</v>
      </c>
      <c r="AE40" s="204"/>
      <c r="AF40" s="204"/>
      <c r="AG40" s="204"/>
      <c r="AH40" s="204"/>
    </row>
    <row r="41" spans="5:34" ht="20.149999999999999" customHeight="1" x14ac:dyDescent="0.35">
      <c r="E41" s="222">
        <v>37</v>
      </c>
      <c r="F41" s="370" t="s">
        <v>2518</v>
      </c>
      <c r="G41" s="224" t="s">
        <v>2861</v>
      </c>
      <c r="H41" s="371" t="s">
        <v>2966</v>
      </c>
      <c r="I41" s="373" t="s">
        <v>3010</v>
      </c>
      <c r="J41" s="299" t="s">
        <v>2862</v>
      </c>
      <c r="K41" s="198" t="s">
        <v>2530</v>
      </c>
      <c r="L41" s="201" t="s">
        <v>2612</v>
      </c>
      <c r="M41" s="188" t="s">
        <v>2863</v>
      </c>
      <c r="N41" s="210">
        <v>3</v>
      </c>
      <c r="O41" s="211" t="s">
        <v>2533</v>
      </c>
      <c r="P41" s="187" t="s">
        <v>2864</v>
      </c>
      <c r="Q41" s="211"/>
      <c r="R41" s="211"/>
      <c r="S41" s="211"/>
      <c r="T41" s="191" t="s">
        <v>2865</v>
      </c>
      <c r="U41" s="212" t="s">
        <v>2612</v>
      </c>
      <c r="V41" s="210"/>
      <c r="W41" s="210"/>
      <c r="X41" s="211"/>
      <c r="Y41" s="187" t="s">
        <v>2866</v>
      </c>
      <c r="Z41" s="211" t="s">
        <v>2867</v>
      </c>
      <c r="AA41" s="212" t="s">
        <v>2864</v>
      </c>
      <c r="AB41" s="211" t="s">
        <v>2868</v>
      </c>
      <c r="AC41" s="187" t="s">
        <v>2869</v>
      </c>
      <c r="AD41" s="211" t="s">
        <v>2541</v>
      </c>
      <c r="AE41" s="204"/>
      <c r="AF41" s="204"/>
      <c r="AG41" s="204"/>
      <c r="AH41" s="204"/>
    </row>
    <row r="42" spans="5:34" ht="20.149999999999999" customHeight="1" x14ac:dyDescent="0.35">
      <c r="E42" s="222">
        <v>38</v>
      </c>
      <c r="F42" s="370" t="s">
        <v>2519</v>
      </c>
      <c r="G42" s="224" t="s">
        <v>2870</v>
      </c>
      <c r="H42" s="371" t="s">
        <v>2967</v>
      </c>
      <c r="I42" s="373" t="s">
        <v>3011</v>
      </c>
      <c r="J42" s="299" t="s">
        <v>2871</v>
      </c>
      <c r="K42" s="198" t="s">
        <v>2530</v>
      </c>
      <c r="L42" s="201" t="s">
        <v>2592</v>
      </c>
      <c r="M42" s="188" t="s">
        <v>2872</v>
      </c>
      <c r="N42" s="210">
        <v>4</v>
      </c>
      <c r="O42" s="211" t="s">
        <v>2873</v>
      </c>
      <c r="P42" s="187" t="s">
        <v>2874</v>
      </c>
      <c r="Q42" s="211"/>
      <c r="R42" s="211"/>
      <c r="S42" s="211"/>
      <c r="T42" s="191" t="s">
        <v>2875</v>
      </c>
      <c r="U42" s="212" t="s">
        <v>2876</v>
      </c>
      <c r="V42" s="210"/>
      <c r="W42" s="210"/>
      <c r="X42" s="211"/>
      <c r="Y42" s="187"/>
      <c r="Z42" s="211"/>
      <c r="AA42" s="212"/>
      <c r="AB42" s="211"/>
      <c r="AC42" s="187"/>
      <c r="AD42" s="211" t="e">
        <v>#N/A</v>
      </c>
      <c r="AE42" s="204" t="s">
        <v>2877</v>
      </c>
      <c r="AF42" s="204" t="s">
        <v>2874</v>
      </c>
      <c r="AG42" s="204" t="s">
        <v>2878</v>
      </c>
      <c r="AH42" s="204" t="s">
        <v>2540</v>
      </c>
    </row>
    <row r="43" spans="5:34" ht="20.149999999999999" customHeight="1" x14ac:dyDescent="0.35">
      <c r="E43" s="222">
        <v>39</v>
      </c>
      <c r="F43" s="370" t="s">
        <v>2520</v>
      </c>
      <c r="G43" s="224"/>
      <c r="H43" s="371"/>
      <c r="I43" s="373" t="s">
        <v>3012</v>
      </c>
      <c r="J43" s="299"/>
      <c r="K43" s="198" t="s">
        <v>2530</v>
      </c>
      <c r="L43" s="201"/>
      <c r="M43" s="188" t="s">
        <v>2879</v>
      </c>
      <c r="N43" s="210"/>
      <c r="O43" s="211" t="s">
        <v>2533</v>
      </c>
      <c r="P43" s="187" t="s">
        <v>2880</v>
      </c>
      <c r="Q43" s="211"/>
      <c r="R43" s="211"/>
      <c r="S43" s="211"/>
      <c r="T43" s="191"/>
      <c r="U43" s="212"/>
      <c r="V43" s="210"/>
      <c r="W43" s="210"/>
      <c r="X43" s="211"/>
      <c r="Y43" s="187"/>
      <c r="Z43" s="211"/>
      <c r="AA43" s="212" t="s">
        <v>2880</v>
      </c>
      <c r="AB43" s="211"/>
      <c r="AC43" s="187" t="e">
        <v>#N/A</v>
      </c>
      <c r="AD43" s="211" t="e">
        <v>#N/A</v>
      </c>
      <c r="AE43" s="204"/>
      <c r="AF43" s="204"/>
      <c r="AG43" s="204"/>
      <c r="AH43" s="204"/>
    </row>
    <row r="44" spans="5:34" ht="20.149999999999999" customHeight="1" x14ac:dyDescent="0.35">
      <c r="E44" s="222">
        <v>40</v>
      </c>
      <c r="F44" s="370" t="s">
        <v>2521</v>
      </c>
      <c r="G44" s="224"/>
      <c r="H44" s="34"/>
      <c r="I44" s="373" t="s">
        <v>3012</v>
      </c>
      <c r="J44" s="299"/>
      <c r="K44" s="198" t="s">
        <v>2530</v>
      </c>
      <c r="L44" s="201"/>
      <c r="M44" s="188" t="s">
        <v>2879</v>
      </c>
      <c r="N44" s="210"/>
      <c r="O44" s="211" t="s">
        <v>2533</v>
      </c>
      <c r="P44" s="187" t="s">
        <v>2880</v>
      </c>
      <c r="Q44" s="211"/>
      <c r="R44" s="211"/>
      <c r="S44" s="211"/>
      <c r="T44" s="191"/>
      <c r="U44" s="212"/>
      <c r="V44" s="210"/>
      <c r="W44" s="210"/>
      <c r="X44" s="211"/>
      <c r="Y44" s="187"/>
      <c r="Z44" s="211"/>
      <c r="AA44" s="212" t="s">
        <v>2880</v>
      </c>
      <c r="AB44" s="211"/>
      <c r="AC44" s="187" t="e">
        <v>#N/A</v>
      </c>
      <c r="AD44" s="211" t="e">
        <v>#N/A</v>
      </c>
      <c r="AE44" s="204"/>
      <c r="AF44" s="204"/>
      <c r="AG44" s="204"/>
      <c r="AH44" s="204"/>
    </row>
    <row r="45" spans="5:34" ht="20.149999999999999" customHeight="1" x14ac:dyDescent="0.35">
      <c r="E45" s="222">
        <v>41</v>
      </c>
      <c r="F45" s="370" t="s">
        <v>2522</v>
      </c>
      <c r="G45" s="224" t="s">
        <v>2881</v>
      </c>
      <c r="H45" s="371" t="s">
        <v>2968</v>
      </c>
      <c r="I45" s="373" t="s">
        <v>3013</v>
      </c>
      <c r="J45" s="299" t="s">
        <v>2882</v>
      </c>
      <c r="K45" s="198" t="s">
        <v>2530</v>
      </c>
      <c r="L45" s="201" t="s">
        <v>2544</v>
      </c>
      <c r="M45" s="188" t="s">
        <v>2883</v>
      </c>
      <c r="N45" s="210">
        <v>2</v>
      </c>
      <c r="O45" s="211" t="s">
        <v>2533</v>
      </c>
      <c r="P45" s="187" t="s">
        <v>2884</v>
      </c>
      <c r="Q45" s="211"/>
      <c r="R45" s="211"/>
      <c r="S45" s="211"/>
      <c r="T45" s="191" t="s">
        <v>2535</v>
      </c>
      <c r="U45" s="212" t="s">
        <v>2536</v>
      </c>
      <c r="V45" s="210"/>
      <c r="W45" s="210"/>
      <c r="X45" s="211"/>
      <c r="Y45" s="187" t="s">
        <v>2885</v>
      </c>
      <c r="Z45" s="211" t="s">
        <v>2886</v>
      </c>
      <c r="AA45" s="212" t="s">
        <v>2884</v>
      </c>
      <c r="AB45" s="211" t="s">
        <v>2887</v>
      </c>
      <c r="AC45" s="187" t="s">
        <v>2651</v>
      </c>
      <c r="AD45" s="211" t="s">
        <v>2541</v>
      </c>
      <c r="AE45" s="204"/>
      <c r="AF45" s="204"/>
      <c r="AG45" s="204"/>
      <c r="AH45" s="204"/>
    </row>
    <row r="46" spans="5:34" ht="20.149999999999999" customHeight="1" x14ac:dyDescent="0.35">
      <c r="E46" s="222">
        <v>42</v>
      </c>
      <c r="F46" s="370" t="s">
        <v>2523</v>
      </c>
      <c r="G46" s="224" t="s">
        <v>2888</v>
      </c>
      <c r="H46" s="371" t="s">
        <v>2969</v>
      </c>
      <c r="I46" s="373" t="s">
        <v>3014</v>
      </c>
      <c r="J46" s="299" t="s">
        <v>2889</v>
      </c>
      <c r="K46" s="198" t="s">
        <v>2530</v>
      </c>
      <c r="L46" s="201" t="s">
        <v>2544</v>
      </c>
      <c r="M46" s="188" t="s">
        <v>2622</v>
      </c>
      <c r="N46" s="210">
        <v>7</v>
      </c>
      <c r="O46" s="211" t="s">
        <v>2533</v>
      </c>
      <c r="P46" s="187" t="s">
        <v>2890</v>
      </c>
      <c r="Q46" s="211"/>
      <c r="R46" s="211"/>
      <c r="S46" s="211"/>
      <c r="T46" s="191" t="s">
        <v>2535</v>
      </c>
      <c r="U46" s="212" t="s">
        <v>2536</v>
      </c>
      <c r="V46" s="210"/>
      <c r="W46" s="210"/>
      <c r="X46" s="211"/>
      <c r="Y46" s="187" t="s">
        <v>2891</v>
      </c>
      <c r="Z46" s="211" t="s">
        <v>2892</v>
      </c>
      <c r="AA46" s="212" t="s">
        <v>2890</v>
      </c>
      <c r="AB46" s="211" t="s">
        <v>2893</v>
      </c>
      <c r="AC46" s="187" t="s">
        <v>2651</v>
      </c>
      <c r="AD46" s="211" t="s">
        <v>2541</v>
      </c>
      <c r="AE46" s="204"/>
      <c r="AF46" s="204"/>
      <c r="AG46" s="204"/>
      <c r="AH46" s="204"/>
    </row>
    <row r="47" spans="5:34" ht="20.149999999999999" customHeight="1" x14ac:dyDescent="0.35">
      <c r="E47" s="222">
        <v>43</v>
      </c>
      <c r="F47" s="370" t="s">
        <v>2524</v>
      </c>
      <c r="G47" s="224" t="s">
        <v>2894</v>
      </c>
      <c r="H47" s="371" t="s">
        <v>2970</v>
      </c>
      <c r="I47" s="373" t="s">
        <v>3015</v>
      </c>
      <c r="J47" s="299" t="s">
        <v>2895</v>
      </c>
      <c r="K47" s="198" t="s">
        <v>2530</v>
      </c>
      <c r="L47" s="201" t="s">
        <v>2544</v>
      </c>
      <c r="M47" s="210" t="s">
        <v>2896</v>
      </c>
      <c r="N47" s="210">
        <v>2</v>
      </c>
      <c r="O47" s="211" t="s">
        <v>2533</v>
      </c>
      <c r="P47" s="187" t="s">
        <v>2897</v>
      </c>
      <c r="Q47" s="211"/>
      <c r="R47" s="211"/>
      <c r="S47" s="211"/>
      <c r="T47" s="191" t="s">
        <v>2898</v>
      </c>
      <c r="U47" s="212" t="s">
        <v>2899</v>
      </c>
      <c r="V47" s="210"/>
      <c r="W47" s="210"/>
      <c r="X47" s="210"/>
      <c r="Y47" s="187" t="s">
        <v>2900</v>
      </c>
      <c r="Z47" s="211" t="s">
        <v>2901</v>
      </c>
      <c r="AA47" s="212" t="s">
        <v>2897</v>
      </c>
      <c r="AB47" s="211" t="s">
        <v>2902</v>
      </c>
      <c r="AC47" s="187" t="s">
        <v>2651</v>
      </c>
      <c r="AD47" s="211" t="s">
        <v>2541</v>
      </c>
      <c r="AE47" s="204"/>
      <c r="AF47" s="204"/>
      <c r="AG47" s="204"/>
      <c r="AH47" s="204"/>
    </row>
    <row r="48" spans="5:34" ht="20.149999999999999" customHeight="1" x14ac:dyDescent="0.35">
      <c r="E48" s="222">
        <v>44</v>
      </c>
      <c r="F48" s="370" t="s">
        <v>2525</v>
      </c>
      <c r="G48" s="224" t="s">
        <v>2903</v>
      </c>
      <c r="H48" s="371" t="s">
        <v>2971</v>
      </c>
      <c r="I48" s="373" t="s">
        <v>3016</v>
      </c>
      <c r="J48" s="299" t="s">
        <v>2904</v>
      </c>
      <c r="K48" s="198" t="s">
        <v>2530</v>
      </c>
      <c r="L48" s="201" t="s">
        <v>23</v>
      </c>
      <c r="M48" s="210" t="s">
        <v>2905</v>
      </c>
      <c r="N48" s="210">
        <v>1</v>
      </c>
      <c r="O48" s="211" t="s">
        <v>2533</v>
      </c>
      <c r="P48" s="187" t="s">
        <v>2906</v>
      </c>
      <c r="Q48" s="211"/>
      <c r="R48" s="211"/>
      <c r="S48" s="211"/>
      <c r="T48" s="191" t="s">
        <v>2907</v>
      </c>
      <c r="U48" s="212" t="s">
        <v>2908</v>
      </c>
      <c r="V48" s="210"/>
      <c r="W48" s="210"/>
      <c r="X48" s="210"/>
      <c r="Y48" s="187" t="s">
        <v>2909</v>
      </c>
      <c r="Z48" s="211" t="s">
        <v>2910</v>
      </c>
      <c r="AA48" s="212" t="s">
        <v>2906</v>
      </c>
      <c r="AB48" s="211" t="s">
        <v>2911</v>
      </c>
      <c r="AC48" s="187" t="s">
        <v>2540</v>
      </c>
      <c r="AD48" s="211" t="s">
        <v>2540</v>
      </c>
      <c r="AE48" s="204"/>
      <c r="AF48" s="204"/>
      <c r="AG48" s="204"/>
      <c r="AH48" s="204"/>
    </row>
    <row r="49" spans="5:34" ht="20.149999999999999" customHeight="1" x14ac:dyDescent="0.35">
      <c r="E49" s="222">
        <v>45</v>
      </c>
      <c r="F49" s="370" t="s">
        <v>2526</v>
      </c>
      <c r="G49" s="369" t="s">
        <v>2912</v>
      </c>
      <c r="H49" s="371" t="s">
        <v>2972</v>
      </c>
      <c r="I49" s="214" t="s">
        <v>3017</v>
      </c>
      <c r="J49" s="299" t="s">
        <v>2913</v>
      </c>
      <c r="K49" s="206" t="s">
        <v>2530</v>
      </c>
      <c r="L49" s="206" t="s">
        <v>2592</v>
      </c>
      <c r="M49" s="215" t="s">
        <v>2914</v>
      </c>
      <c r="N49" s="206">
        <v>2</v>
      </c>
      <c r="O49" s="211" t="s">
        <v>2533</v>
      </c>
      <c r="P49" s="216" t="s">
        <v>2915</v>
      </c>
      <c r="Q49" s="206"/>
      <c r="R49" s="206"/>
      <c r="S49" s="206"/>
      <c r="T49" s="206" t="s">
        <v>2916</v>
      </c>
      <c r="U49" s="213" t="s">
        <v>2917</v>
      </c>
      <c r="V49" s="206"/>
      <c r="W49" s="206"/>
      <c r="X49" s="206"/>
      <c r="Y49" s="206" t="s">
        <v>2918</v>
      </c>
      <c r="Z49" s="206" t="s">
        <v>2919</v>
      </c>
      <c r="AA49" s="213" t="s">
        <v>2915</v>
      </c>
      <c r="AB49" s="206" t="s">
        <v>2920</v>
      </c>
      <c r="AC49" s="206" t="s">
        <v>2600</v>
      </c>
      <c r="AD49" s="206" t="s">
        <v>2541</v>
      </c>
      <c r="AE49" s="204"/>
      <c r="AF49" s="204"/>
      <c r="AG49" s="204"/>
      <c r="AH49" s="204"/>
    </row>
    <row r="50" spans="5:34" ht="20.149999999999999" customHeight="1" x14ac:dyDescent="0.35">
      <c r="E50" s="222">
        <v>46</v>
      </c>
      <c r="F50" s="370" t="s">
        <v>2527</v>
      </c>
      <c r="G50" s="369" t="s">
        <v>2921</v>
      </c>
      <c r="H50" s="371" t="s">
        <v>2973</v>
      </c>
      <c r="I50" s="214" t="s">
        <v>3018</v>
      </c>
      <c r="J50" s="299" t="s">
        <v>2922</v>
      </c>
      <c r="K50" s="206" t="s">
        <v>2530</v>
      </c>
      <c r="L50" s="206" t="s">
        <v>2592</v>
      </c>
      <c r="M50" s="215" t="s">
        <v>2923</v>
      </c>
      <c r="N50" s="206">
        <v>2</v>
      </c>
      <c r="O50" s="211" t="s">
        <v>2533</v>
      </c>
      <c r="P50" s="216" t="s">
        <v>2924</v>
      </c>
      <c r="Q50" s="206"/>
      <c r="R50" s="206"/>
      <c r="S50" s="206"/>
      <c r="T50" s="206" t="s">
        <v>2925</v>
      </c>
      <c r="U50" s="213" t="s">
        <v>2926</v>
      </c>
      <c r="V50" s="206"/>
      <c r="W50" s="206"/>
      <c r="X50" s="206"/>
      <c r="Y50" s="206" t="s">
        <v>2927</v>
      </c>
      <c r="Z50" s="206" t="s">
        <v>2928</v>
      </c>
      <c r="AA50" s="213" t="s">
        <v>2924</v>
      </c>
      <c r="AB50" s="206" t="s">
        <v>2929</v>
      </c>
      <c r="AC50" s="206" t="s">
        <v>2600</v>
      </c>
      <c r="AD50" s="206" t="s">
        <v>2541</v>
      </c>
      <c r="AE50" s="204"/>
      <c r="AF50" s="204"/>
      <c r="AG50" s="204"/>
      <c r="AH50" s="204"/>
    </row>
    <row r="51" spans="5:34" ht="20.149999999999999" customHeight="1" x14ac:dyDescent="0.35">
      <c r="E51" s="222">
        <v>47</v>
      </c>
      <c r="F51" s="225"/>
      <c r="G51" s="206"/>
      <c r="H51" s="206"/>
      <c r="I51" s="214"/>
      <c r="J51" s="206"/>
      <c r="K51" s="206"/>
      <c r="L51" s="206"/>
      <c r="M51" s="215"/>
      <c r="N51" s="206"/>
      <c r="O51" s="211"/>
      <c r="P51" s="216"/>
      <c r="Q51" s="206"/>
      <c r="R51" s="206"/>
      <c r="S51" s="206"/>
      <c r="T51" s="206"/>
      <c r="U51" s="213"/>
      <c r="V51" s="206"/>
      <c r="W51" s="206"/>
      <c r="X51" s="206"/>
      <c r="Y51" s="206"/>
      <c r="Z51" s="206"/>
      <c r="AA51" s="213"/>
      <c r="AB51" s="206"/>
      <c r="AC51" s="206"/>
      <c r="AD51" s="206"/>
      <c r="AE51" s="204"/>
      <c r="AF51" s="204"/>
      <c r="AG51" s="204"/>
      <c r="AH51" s="204"/>
    </row>
    <row r="52" spans="5:34" ht="20.149999999999999" customHeight="1" x14ac:dyDescent="0.35">
      <c r="E52" s="222">
        <v>48</v>
      </c>
      <c r="F52" s="213"/>
      <c r="G52" s="206"/>
      <c r="H52" s="206"/>
      <c r="I52" s="214"/>
      <c r="J52" s="206"/>
      <c r="K52" s="206"/>
      <c r="L52" s="206"/>
      <c r="M52" s="215"/>
      <c r="N52" s="206"/>
      <c r="O52" s="211"/>
      <c r="P52" s="216"/>
      <c r="Q52" s="206"/>
      <c r="R52" s="206"/>
      <c r="S52" s="206"/>
      <c r="T52" s="206"/>
      <c r="U52" s="213"/>
      <c r="V52" s="206"/>
      <c r="W52" s="206"/>
      <c r="X52" s="206"/>
      <c r="Y52" s="206"/>
      <c r="Z52" s="206"/>
      <c r="AA52" s="213"/>
      <c r="AB52" s="206"/>
      <c r="AC52" s="206"/>
      <c r="AD52" s="206"/>
      <c r="AE52" s="204"/>
      <c r="AF52" s="204"/>
      <c r="AG52" s="204"/>
      <c r="AH52" s="204"/>
    </row>
    <row r="53" spans="5:34" ht="20.149999999999999" customHeight="1" x14ac:dyDescent="0.35">
      <c r="E53" s="222">
        <v>49</v>
      </c>
      <c r="F53" s="217"/>
      <c r="G53" s="204"/>
      <c r="H53" s="204"/>
      <c r="I53" s="218"/>
      <c r="J53" s="204"/>
      <c r="K53" s="204"/>
      <c r="L53" s="204"/>
      <c r="M53" s="219"/>
      <c r="N53" s="204"/>
      <c r="O53" s="211"/>
      <c r="P53" s="220"/>
      <c r="Q53" s="204"/>
      <c r="R53" s="204"/>
      <c r="S53" s="204"/>
      <c r="T53" s="204"/>
      <c r="U53" s="217"/>
      <c r="V53" s="204"/>
      <c r="W53" s="204"/>
      <c r="X53" s="204"/>
      <c r="Y53" s="204"/>
      <c r="Z53" s="204"/>
      <c r="AA53" s="217"/>
      <c r="AB53" s="204"/>
      <c r="AC53" s="204"/>
      <c r="AD53" s="204"/>
      <c r="AE53" s="204"/>
      <c r="AF53" s="204"/>
      <c r="AG53" s="204"/>
      <c r="AH53" s="204"/>
    </row>
    <row r="54" spans="5:34" ht="20.149999999999999" customHeight="1" x14ac:dyDescent="0.35">
      <c r="E54" s="222">
        <v>50</v>
      </c>
      <c r="F54" s="217"/>
      <c r="G54" s="204"/>
      <c r="H54" s="204"/>
      <c r="I54" s="218"/>
      <c r="J54" s="204"/>
      <c r="K54" s="204"/>
      <c r="L54" s="204"/>
      <c r="M54" s="219"/>
      <c r="N54" s="204"/>
      <c r="O54" s="211"/>
      <c r="P54" s="220"/>
      <c r="Q54" s="204"/>
      <c r="R54" s="204"/>
      <c r="S54" s="204"/>
      <c r="T54" s="204"/>
      <c r="U54" s="217"/>
      <c r="V54" s="204"/>
      <c r="W54" s="204"/>
      <c r="X54" s="204"/>
      <c r="Y54" s="204"/>
      <c r="Z54" s="204"/>
      <c r="AA54" s="217"/>
      <c r="AB54" s="204"/>
      <c r="AC54" s="204"/>
      <c r="AD54" s="204"/>
      <c r="AE54" s="204"/>
      <c r="AF54" s="204"/>
      <c r="AG54" s="204"/>
      <c r="AH54" s="204"/>
    </row>
  </sheetData>
  <mergeCells count="20">
    <mergeCell ref="Y2:Z2"/>
    <mergeCell ref="AA2:AA3"/>
    <mergeCell ref="AB2:AB3"/>
    <mergeCell ref="AE2:AH2"/>
    <mergeCell ref="AC2:AD2"/>
    <mergeCell ref="Q2:S2"/>
    <mergeCell ref="T2:U2"/>
    <mergeCell ref="V2:X2"/>
    <mergeCell ref="P2:P3"/>
    <mergeCell ref="E2:E3"/>
    <mergeCell ref="F2:F3"/>
    <mergeCell ref="H2:H3"/>
    <mergeCell ref="J2:J3"/>
    <mergeCell ref="K2:K3"/>
    <mergeCell ref="L2:L3"/>
    <mergeCell ref="M2:M3"/>
    <mergeCell ref="N2:N3"/>
    <mergeCell ref="O2:O3"/>
    <mergeCell ref="I2:I3"/>
    <mergeCell ref="G2:G3"/>
  </mergeCells>
  <pageMargins left="0.7" right="0.7" top="0.75" bottom="0.75" header="0.3" footer="0.3"/>
  <pageSetup paperSize="9"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448A5-ED35-46D4-830E-521355CF5F16}">
  <dimension ref="A1:AX40"/>
  <sheetViews>
    <sheetView topLeftCell="A4" workbookViewId="0">
      <selection activeCell="H17" sqref="H17"/>
    </sheetView>
  </sheetViews>
  <sheetFormatPr defaultRowHeight="15" customHeight="1" x14ac:dyDescent="0.35"/>
  <cols>
    <col min="1" max="1" width="28.90625" customWidth="1"/>
    <col min="2" max="2" width="4.08984375" customWidth="1"/>
    <col min="3" max="3" width="22.6328125" bestFit="1" customWidth="1"/>
    <col min="4" max="4" width="20.26953125" bestFit="1" customWidth="1"/>
    <col min="5" max="50" width="5.453125" style="423" customWidth="1"/>
  </cols>
  <sheetData>
    <row r="1" spans="1:50" ht="15" customHeight="1" x14ac:dyDescent="0.35">
      <c r="A1" s="386" t="s">
        <v>3025</v>
      </c>
      <c r="B1" s="386"/>
      <c r="C1" s="756" t="s">
        <v>39</v>
      </c>
      <c r="D1" s="756"/>
      <c r="E1" s="387">
        <v>1</v>
      </c>
      <c r="F1" s="387">
        <v>2</v>
      </c>
      <c r="G1" s="387">
        <v>3</v>
      </c>
      <c r="H1" s="387">
        <v>4</v>
      </c>
      <c r="I1" s="387">
        <v>5</v>
      </c>
      <c r="J1" s="387">
        <v>6</v>
      </c>
      <c r="K1" s="387">
        <v>7</v>
      </c>
      <c r="L1" s="387">
        <v>8</v>
      </c>
      <c r="M1" s="387">
        <v>9</v>
      </c>
      <c r="N1" s="387">
        <v>10</v>
      </c>
      <c r="O1" s="387">
        <v>11</v>
      </c>
      <c r="P1" s="387">
        <v>12</v>
      </c>
      <c r="Q1" s="387">
        <v>13</v>
      </c>
      <c r="R1" s="387">
        <v>14</v>
      </c>
      <c r="S1" s="388">
        <v>15</v>
      </c>
      <c r="T1" s="388">
        <v>16</v>
      </c>
      <c r="U1" s="388">
        <v>17</v>
      </c>
      <c r="V1" s="388">
        <v>18</v>
      </c>
      <c r="W1" s="388">
        <v>19</v>
      </c>
      <c r="X1" s="388">
        <v>20</v>
      </c>
      <c r="Y1" s="388">
        <v>21</v>
      </c>
      <c r="Z1" s="388">
        <v>22</v>
      </c>
      <c r="AA1" s="388">
        <v>23</v>
      </c>
      <c r="AB1" s="388">
        <v>24</v>
      </c>
      <c r="AC1" s="388">
        <v>25</v>
      </c>
      <c r="AD1" s="388">
        <v>26</v>
      </c>
      <c r="AE1" s="388">
        <v>27</v>
      </c>
      <c r="AF1" s="388">
        <v>28</v>
      </c>
      <c r="AG1" s="388">
        <v>29</v>
      </c>
      <c r="AH1" s="388">
        <v>30</v>
      </c>
      <c r="AI1" s="388">
        <v>31</v>
      </c>
      <c r="AJ1" s="388">
        <v>32</v>
      </c>
      <c r="AK1" s="388">
        <v>33</v>
      </c>
      <c r="AL1" s="388">
        <v>34</v>
      </c>
      <c r="AM1" s="388">
        <v>35</v>
      </c>
      <c r="AN1" s="388">
        <v>36</v>
      </c>
      <c r="AO1" s="388">
        <v>37</v>
      </c>
      <c r="AP1" s="388">
        <v>38</v>
      </c>
      <c r="AQ1" s="388">
        <v>39</v>
      </c>
      <c r="AR1" s="388">
        <v>40</v>
      </c>
      <c r="AS1" s="388">
        <v>41</v>
      </c>
      <c r="AT1" s="388">
        <v>42</v>
      </c>
      <c r="AU1" s="388">
        <v>43</v>
      </c>
      <c r="AV1" s="388">
        <v>44</v>
      </c>
      <c r="AW1" s="388">
        <v>45</v>
      </c>
      <c r="AX1" s="388">
        <v>46</v>
      </c>
    </row>
    <row r="2" spans="1:50" ht="15" customHeight="1" x14ac:dyDescent="0.35">
      <c r="B2" s="386"/>
      <c r="C2" s="424"/>
      <c r="D2" s="424"/>
      <c r="E2" s="387"/>
      <c r="F2" s="387"/>
      <c r="G2" s="387"/>
      <c r="H2" s="387"/>
      <c r="I2" s="387"/>
      <c r="J2" s="387"/>
      <c r="K2" s="387"/>
      <c r="L2" s="387"/>
      <c r="M2" s="387"/>
      <c r="N2" s="387"/>
      <c r="O2" s="387"/>
      <c r="P2" s="387"/>
      <c r="Q2" s="387"/>
      <c r="R2" s="387"/>
      <c r="S2" s="388"/>
      <c r="T2" s="388"/>
      <c r="U2" s="388"/>
      <c r="V2" s="388"/>
      <c r="W2" s="388"/>
      <c r="X2" s="388"/>
      <c r="Y2" s="388"/>
      <c r="Z2" s="388"/>
      <c r="AA2" s="388"/>
      <c r="AB2" s="388"/>
      <c r="AC2" s="388"/>
      <c r="AD2" s="388"/>
      <c r="AE2" s="388"/>
      <c r="AF2" s="388"/>
      <c r="AG2" s="388"/>
      <c r="AH2" s="388"/>
      <c r="AI2" s="388"/>
      <c r="AJ2" s="388"/>
      <c r="AK2" s="388"/>
      <c r="AL2" s="388"/>
      <c r="AM2" s="388"/>
      <c r="AN2" s="388"/>
      <c r="AO2" s="388"/>
      <c r="AP2" s="388"/>
      <c r="AQ2" s="388"/>
      <c r="AR2" s="388"/>
      <c r="AS2" s="388"/>
      <c r="AT2" s="388"/>
      <c r="AU2" s="388"/>
      <c r="AV2" s="388"/>
      <c r="AW2" s="388"/>
      <c r="AX2" s="388"/>
    </row>
    <row r="3" spans="1:50" ht="15" customHeight="1" x14ac:dyDescent="0.35">
      <c r="A3" s="386" t="s">
        <v>3026</v>
      </c>
      <c r="B3" s="386"/>
      <c r="C3" s="756" t="s">
        <v>226</v>
      </c>
      <c r="D3" s="756"/>
      <c r="E3" s="389" t="s">
        <v>2528</v>
      </c>
      <c r="F3" s="389" t="s">
        <v>2542</v>
      </c>
      <c r="G3" s="389" t="s">
        <v>2554</v>
      </c>
      <c r="H3" s="389" t="s">
        <v>2561</v>
      </c>
      <c r="I3" s="389" t="s">
        <v>2570</v>
      </c>
      <c r="J3" s="389" t="s">
        <v>2581</v>
      </c>
      <c r="K3" s="389" t="s">
        <v>2590</v>
      </c>
      <c r="L3" s="389" t="s">
        <v>2601</v>
      </c>
      <c r="M3" s="389" t="s">
        <v>2610</v>
      </c>
      <c r="N3" s="389" t="s">
        <v>2620</v>
      </c>
      <c r="O3" s="389" t="s">
        <v>2629</v>
      </c>
      <c r="P3" s="389" t="s">
        <v>2641</v>
      </c>
      <c r="Q3" s="389" t="s">
        <v>2652</v>
      </c>
      <c r="R3" s="389" t="s">
        <v>2659</v>
      </c>
      <c r="S3" s="389" t="s">
        <v>2669</v>
      </c>
      <c r="T3" s="389" t="s">
        <v>2679</v>
      </c>
      <c r="U3" s="389" t="s">
        <v>2689</v>
      </c>
      <c r="V3" s="389" t="s">
        <v>2696</v>
      </c>
      <c r="W3" s="389" t="s">
        <v>2703</v>
      </c>
      <c r="X3" s="389" t="s">
        <v>2712</v>
      </c>
      <c r="Y3" s="390" t="s">
        <v>2721</v>
      </c>
      <c r="Z3" s="390" t="s">
        <v>2731</v>
      </c>
      <c r="AA3" s="390" t="s">
        <v>2742</v>
      </c>
      <c r="AB3" s="391" t="s">
        <v>2749</v>
      </c>
      <c r="AC3" s="391" t="s">
        <v>2759</v>
      </c>
      <c r="AD3" s="391" t="s">
        <v>2769</v>
      </c>
      <c r="AE3" s="391" t="s">
        <v>2778</v>
      </c>
      <c r="AF3" s="391" t="s">
        <v>2787</v>
      </c>
      <c r="AG3" s="391" t="s">
        <v>2795</v>
      </c>
      <c r="AH3" s="391" t="s">
        <v>2804</v>
      </c>
      <c r="AI3" s="391" t="s">
        <v>2810</v>
      </c>
      <c r="AJ3" s="391" t="s">
        <v>2820</v>
      </c>
      <c r="AK3" s="391" t="s">
        <v>2829</v>
      </c>
      <c r="AL3" s="391" t="s">
        <v>2836</v>
      </c>
      <c r="AM3" s="391" t="s">
        <v>2843</v>
      </c>
      <c r="AN3" s="391" t="s">
        <v>2852</v>
      </c>
      <c r="AO3" s="391" t="s">
        <v>2861</v>
      </c>
      <c r="AP3" s="391" t="s">
        <v>2870</v>
      </c>
      <c r="AQ3" s="391"/>
      <c r="AR3" s="391"/>
      <c r="AS3" s="391" t="s">
        <v>2881</v>
      </c>
      <c r="AT3" s="391" t="s">
        <v>2888</v>
      </c>
      <c r="AU3" s="391" t="s">
        <v>2894</v>
      </c>
      <c r="AV3" s="391" t="s">
        <v>2903</v>
      </c>
      <c r="AW3" s="392" t="s">
        <v>2912</v>
      </c>
      <c r="AX3" s="392" t="s">
        <v>2921</v>
      </c>
    </row>
    <row r="4" spans="1:50" ht="15" customHeight="1" x14ac:dyDescent="0.35">
      <c r="B4" s="386"/>
      <c r="C4" s="757" t="s">
        <v>40</v>
      </c>
      <c r="D4" s="757"/>
      <c r="E4" s="370" t="s">
        <v>2482</v>
      </c>
      <c r="F4" s="370" t="s">
        <v>2483</v>
      </c>
      <c r="G4" s="370" t="s">
        <v>2484</v>
      </c>
      <c r="H4" s="370" t="s">
        <v>2485</v>
      </c>
      <c r="I4" s="370" t="s">
        <v>2486</v>
      </c>
      <c r="J4" s="370" t="s">
        <v>2487</v>
      </c>
      <c r="K4" s="370" t="s">
        <v>2488</v>
      </c>
      <c r="L4" s="370" t="s">
        <v>2489</v>
      </c>
      <c r="M4" s="370" t="s">
        <v>2490</v>
      </c>
      <c r="N4" s="370" t="s">
        <v>2491</v>
      </c>
      <c r="O4" s="370" t="s">
        <v>2492</v>
      </c>
      <c r="P4" s="370" t="s">
        <v>2493</v>
      </c>
      <c r="Q4" s="370" t="s">
        <v>2494</v>
      </c>
      <c r="R4" s="370" t="s">
        <v>2495</v>
      </c>
      <c r="S4" s="370" t="s">
        <v>2496</v>
      </c>
      <c r="T4" s="370" t="s">
        <v>2497</v>
      </c>
      <c r="U4" s="370" t="s">
        <v>2498</v>
      </c>
      <c r="V4" s="370" t="s">
        <v>2499</v>
      </c>
      <c r="W4" s="370" t="s">
        <v>2500</v>
      </c>
      <c r="X4" s="370" t="s">
        <v>2501</v>
      </c>
      <c r="Y4" s="370" t="s">
        <v>2502</v>
      </c>
      <c r="Z4" s="370" t="s">
        <v>2503</v>
      </c>
      <c r="AA4" s="370" t="s">
        <v>2504</v>
      </c>
      <c r="AB4" s="370" t="s">
        <v>2505</v>
      </c>
      <c r="AC4" s="370" t="s">
        <v>2506</v>
      </c>
      <c r="AD4" s="370" t="s">
        <v>2507</v>
      </c>
      <c r="AE4" s="370" t="s">
        <v>2508</v>
      </c>
      <c r="AF4" s="370" t="s">
        <v>2509</v>
      </c>
      <c r="AG4" s="370" t="s">
        <v>2510</v>
      </c>
      <c r="AH4" s="370" t="s">
        <v>2511</v>
      </c>
      <c r="AI4" s="370" t="s">
        <v>2512</v>
      </c>
      <c r="AJ4" s="370" t="s">
        <v>2513</v>
      </c>
      <c r="AK4" s="370" t="s">
        <v>2514</v>
      </c>
      <c r="AL4" s="370" t="s">
        <v>2515</v>
      </c>
      <c r="AM4" s="370" t="s">
        <v>2516</v>
      </c>
      <c r="AN4" s="370" t="s">
        <v>2517</v>
      </c>
      <c r="AO4" s="370" t="s">
        <v>2518</v>
      </c>
      <c r="AP4" s="370" t="s">
        <v>2519</v>
      </c>
      <c r="AQ4" s="370" t="s">
        <v>2520</v>
      </c>
      <c r="AR4" s="370" t="s">
        <v>2521</v>
      </c>
      <c r="AS4" s="370" t="s">
        <v>2522</v>
      </c>
      <c r="AT4" s="370" t="s">
        <v>2523</v>
      </c>
      <c r="AU4" s="370" t="s">
        <v>2524</v>
      </c>
      <c r="AV4" s="370" t="s">
        <v>2525</v>
      </c>
      <c r="AW4" s="370" t="s">
        <v>2526</v>
      </c>
      <c r="AX4" s="370" t="s">
        <v>2527</v>
      </c>
    </row>
    <row r="6" spans="1:50" ht="15" customHeight="1" x14ac:dyDescent="0.35">
      <c r="A6" s="386" t="s">
        <v>3027</v>
      </c>
      <c r="B6" s="386"/>
      <c r="C6" s="756" t="s">
        <v>224</v>
      </c>
      <c r="D6" s="756"/>
      <c r="E6" s="393" t="s">
        <v>2930</v>
      </c>
      <c r="F6" s="393" t="s">
        <v>2931</v>
      </c>
      <c r="G6" s="393" t="s">
        <v>2932</v>
      </c>
      <c r="H6" s="393" t="s">
        <v>2933</v>
      </c>
      <c r="I6" s="393" t="s">
        <v>2934</v>
      </c>
      <c r="J6" s="393" t="s">
        <v>2935</v>
      </c>
      <c r="K6" s="393" t="s">
        <v>2936</v>
      </c>
      <c r="L6" s="393" t="s">
        <v>2937</v>
      </c>
      <c r="M6" s="393" t="s">
        <v>2938</v>
      </c>
      <c r="N6" s="393" t="s">
        <v>2939</v>
      </c>
      <c r="O6" s="393" t="s">
        <v>2940</v>
      </c>
      <c r="P6" s="393" t="s">
        <v>2941</v>
      </c>
      <c r="Q6" s="393" t="s">
        <v>2942</v>
      </c>
      <c r="R6" s="393" t="s">
        <v>2943</v>
      </c>
      <c r="S6" s="393" t="s">
        <v>2944</v>
      </c>
      <c r="T6" s="393" t="s">
        <v>2945</v>
      </c>
      <c r="U6" s="393" t="s">
        <v>2946</v>
      </c>
      <c r="V6" s="393" t="s">
        <v>2947</v>
      </c>
      <c r="W6" s="393" t="s">
        <v>2948</v>
      </c>
      <c r="X6" s="393" t="s">
        <v>2949</v>
      </c>
      <c r="Y6" s="393" t="s">
        <v>2950</v>
      </c>
      <c r="Z6" s="393" t="s">
        <v>2951</v>
      </c>
      <c r="AA6" s="393" t="s">
        <v>2952</v>
      </c>
      <c r="AB6" s="393" t="s">
        <v>2953</v>
      </c>
      <c r="AC6" s="393" t="s">
        <v>2954</v>
      </c>
      <c r="AD6" s="393" t="s">
        <v>2955</v>
      </c>
      <c r="AE6" s="393" t="s">
        <v>2956</v>
      </c>
      <c r="AF6" s="393" t="s">
        <v>2957</v>
      </c>
      <c r="AG6" s="393" t="s">
        <v>2958</v>
      </c>
      <c r="AH6" s="393" t="s">
        <v>2959</v>
      </c>
      <c r="AI6" s="393" t="s">
        <v>2960</v>
      </c>
      <c r="AJ6" s="393" t="s">
        <v>2961</v>
      </c>
      <c r="AK6" s="393" t="s">
        <v>2962</v>
      </c>
      <c r="AL6" s="393" t="s">
        <v>2963</v>
      </c>
      <c r="AM6" s="393" t="s">
        <v>2964</v>
      </c>
      <c r="AN6" s="393" t="s">
        <v>2965</v>
      </c>
      <c r="AO6" s="393" t="s">
        <v>2966</v>
      </c>
      <c r="AP6" s="393" t="s">
        <v>2967</v>
      </c>
      <c r="AQ6" s="393"/>
      <c r="AR6" s="386"/>
      <c r="AS6" s="393" t="s">
        <v>2968</v>
      </c>
      <c r="AT6" s="393" t="s">
        <v>2969</v>
      </c>
      <c r="AU6" s="393" t="s">
        <v>2970</v>
      </c>
      <c r="AV6" s="393" t="s">
        <v>2971</v>
      </c>
      <c r="AW6" s="393" t="s">
        <v>2972</v>
      </c>
      <c r="AX6" s="393" t="s">
        <v>2973</v>
      </c>
    </row>
    <row r="7" spans="1:50" ht="15" customHeight="1" x14ac:dyDescent="0.35">
      <c r="A7" s="386" t="s">
        <v>98</v>
      </c>
      <c r="B7" s="386"/>
      <c r="C7" s="756" t="s">
        <v>225</v>
      </c>
      <c r="D7" s="756"/>
      <c r="E7" s="394" t="s">
        <v>2974</v>
      </c>
      <c r="F7" s="394" t="s">
        <v>2975</v>
      </c>
      <c r="G7" s="394" t="s">
        <v>2976</v>
      </c>
      <c r="H7" s="394" t="s">
        <v>2977</v>
      </c>
      <c r="I7" s="394" t="s">
        <v>2978</v>
      </c>
      <c r="J7" s="394" t="s">
        <v>2979</v>
      </c>
      <c r="K7" s="394" t="s">
        <v>2980</v>
      </c>
      <c r="L7" s="394" t="s">
        <v>2981</v>
      </c>
      <c r="M7" s="394" t="s">
        <v>2982</v>
      </c>
      <c r="N7" s="394" t="s">
        <v>2983</v>
      </c>
      <c r="O7" s="394" t="s">
        <v>2984</v>
      </c>
      <c r="P7" s="394" t="s">
        <v>2985</v>
      </c>
      <c r="Q7" s="394" t="s">
        <v>2986</v>
      </c>
      <c r="R7" s="394" t="s">
        <v>2987</v>
      </c>
      <c r="S7" s="394" t="s">
        <v>2988</v>
      </c>
      <c r="T7" s="394" t="s">
        <v>2989</v>
      </c>
      <c r="U7" s="394" t="s">
        <v>2990</v>
      </c>
      <c r="V7" s="394" t="s">
        <v>2991</v>
      </c>
      <c r="W7" s="394" t="s">
        <v>2992</v>
      </c>
      <c r="X7" s="394" t="s">
        <v>2993</v>
      </c>
      <c r="Y7" s="395" t="s">
        <v>2994</v>
      </c>
      <c r="Z7" s="395" t="s">
        <v>2995</v>
      </c>
      <c r="AA7" s="395" t="s">
        <v>2996</v>
      </c>
      <c r="AB7" s="395" t="s">
        <v>2997</v>
      </c>
      <c r="AC7" s="395" t="s">
        <v>2998</v>
      </c>
      <c r="AD7" s="395" t="s">
        <v>2999</v>
      </c>
      <c r="AE7" s="395" t="s">
        <v>3000</v>
      </c>
      <c r="AF7" s="395" t="s">
        <v>3001</v>
      </c>
      <c r="AG7" s="395" t="s">
        <v>3002</v>
      </c>
      <c r="AH7" s="395" t="s">
        <v>3003</v>
      </c>
      <c r="AI7" s="395" t="s">
        <v>3004</v>
      </c>
      <c r="AJ7" s="395" t="s">
        <v>3005</v>
      </c>
      <c r="AK7" s="395" t="s">
        <v>3006</v>
      </c>
      <c r="AL7" s="395" t="s">
        <v>3007</v>
      </c>
      <c r="AM7" s="395" t="s">
        <v>3008</v>
      </c>
      <c r="AN7" s="395" t="s">
        <v>3009</v>
      </c>
      <c r="AO7" s="395" t="s">
        <v>3010</v>
      </c>
      <c r="AP7" s="395" t="s">
        <v>3011</v>
      </c>
      <c r="AQ7" s="395" t="s">
        <v>3012</v>
      </c>
      <c r="AR7" s="395" t="s">
        <v>3012</v>
      </c>
      <c r="AS7" s="395" t="s">
        <v>3013</v>
      </c>
      <c r="AT7" s="395" t="s">
        <v>3014</v>
      </c>
      <c r="AU7" s="395" t="s">
        <v>3015</v>
      </c>
      <c r="AV7" s="395" t="s">
        <v>3016</v>
      </c>
      <c r="AW7" s="214" t="s">
        <v>3017</v>
      </c>
      <c r="AX7" s="214" t="s">
        <v>3018</v>
      </c>
    </row>
    <row r="8" spans="1:50" ht="15" customHeight="1" x14ac:dyDescent="0.35">
      <c r="A8" s="386" t="s">
        <v>3028</v>
      </c>
      <c r="B8" s="386"/>
      <c r="C8" s="756" t="s">
        <v>41</v>
      </c>
      <c r="D8" s="756"/>
      <c r="E8" s="396" t="s">
        <v>2529</v>
      </c>
      <c r="F8" s="396" t="s">
        <v>2543</v>
      </c>
      <c r="G8" s="396" t="s">
        <v>2555</v>
      </c>
      <c r="H8" s="396" t="s">
        <v>2562</v>
      </c>
      <c r="I8" s="396" t="s">
        <v>2571</v>
      </c>
      <c r="J8" s="396" t="s">
        <v>2582</v>
      </c>
      <c r="K8" s="396" t="s">
        <v>2591</v>
      </c>
      <c r="L8" s="396" t="s">
        <v>2602</v>
      </c>
      <c r="M8" s="396" t="s">
        <v>2611</v>
      </c>
      <c r="N8" s="396" t="s">
        <v>2621</v>
      </c>
      <c r="O8" s="396" t="s">
        <v>2630</v>
      </c>
      <c r="P8" s="396" t="s">
        <v>2642</v>
      </c>
      <c r="Q8" s="396" t="s">
        <v>2653</v>
      </c>
      <c r="R8" s="396" t="s">
        <v>2660</v>
      </c>
      <c r="S8" s="396" t="s">
        <v>2670</v>
      </c>
      <c r="T8" s="396" t="s">
        <v>2680</v>
      </c>
      <c r="U8" s="396" t="s">
        <v>2690</v>
      </c>
      <c r="V8" s="396" t="s">
        <v>2697</v>
      </c>
      <c r="W8" s="396" t="s">
        <v>2704</v>
      </c>
      <c r="X8" s="396" t="s">
        <v>2713</v>
      </c>
      <c r="Y8" s="396" t="s">
        <v>2722</v>
      </c>
      <c r="Z8" s="396" t="s">
        <v>2732</v>
      </c>
      <c r="AA8" s="396" t="s">
        <v>2743</v>
      </c>
      <c r="AB8" s="396" t="s">
        <v>2750</v>
      </c>
      <c r="AC8" s="396" t="s">
        <v>2760</v>
      </c>
      <c r="AD8" s="396" t="s">
        <v>2770</v>
      </c>
      <c r="AE8" s="396" t="s">
        <v>2779</v>
      </c>
      <c r="AF8" s="397" t="s">
        <v>3020</v>
      </c>
      <c r="AG8" s="396" t="s">
        <v>2796</v>
      </c>
      <c r="AH8" s="397" t="s">
        <v>3019</v>
      </c>
      <c r="AI8" s="396" t="s">
        <v>2811</v>
      </c>
      <c r="AJ8" s="396" t="s">
        <v>2821</v>
      </c>
      <c r="AK8" s="396" t="s">
        <v>2830</v>
      </c>
      <c r="AL8" s="396" t="s">
        <v>2837</v>
      </c>
      <c r="AM8" s="396" t="s">
        <v>2844</v>
      </c>
      <c r="AN8" s="396" t="s">
        <v>2853</v>
      </c>
      <c r="AO8" s="396" t="s">
        <v>2862</v>
      </c>
      <c r="AP8" s="396" t="s">
        <v>2871</v>
      </c>
      <c r="AQ8" s="396"/>
      <c r="AR8" s="396"/>
      <c r="AS8" s="396" t="s">
        <v>2882</v>
      </c>
      <c r="AT8" s="396" t="s">
        <v>2889</v>
      </c>
      <c r="AU8" s="396" t="s">
        <v>2895</v>
      </c>
      <c r="AV8" s="396" t="s">
        <v>2904</v>
      </c>
      <c r="AW8" s="396" t="s">
        <v>2913</v>
      </c>
      <c r="AX8" s="396" t="s">
        <v>2922</v>
      </c>
    </row>
    <row r="9" spans="1:50" ht="15" customHeight="1" x14ac:dyDescent="0.35">
      <c r="A9" s="386" t="s">
        <v>3029</v>
      </c>
      <c r="B9" s="386"/>
      <c r="C9" s="756" t="s">
        <v>42</v>
      </c>
      <c r="D9" s="756"/>
      <c r="E9" s="398" t="s">
        <v>2530</v>
      </c>
      <c r="F9" s="398" t="s">
        <v>2530</v>
      </c>
      <c r="G9" s="398" t="s">
        <v>2530</v>
      </c>
      <c r="H9" s="398" t="s">
        <v>2530</v>
      </c>
      <c r="I9" s="398" t="s">
        <v>2530</v>
      </c>
      <c r="J9" s="398" t="s">
        <v>2530</v>
      </c>
      <c r="K9" s="398" t="s">
        <v>2530</v>
      </c>
      <c r="L9" s="398" t="s">
        <v>2530</v>
      </c>
      <c r="M9" s="398" t="s">
        <v>2530</v>
      </c>
      <c r="N9" s="398" t="s">
        <v>2530</v>
      </c>
      <c r="O9" s="398" t="s">
        <v>2530</v>
      </c>
      <c r="P9" s="398" t="s">
        <v>2530</v>
      </c>
      <c r="Q9" s="398" t="s">
        <v>2530</v>
      </c>
      <c r="R9" s="398" t="s">
        <v>2530</v>
      </c>
      <c r="S9" s="398" t="s">
        <v>2530</v>
      </c>
      <c r="T9" s="398" t="s">
        <v>2530</v>
      </c>
      <c r="U9" s="398" t="s">
        <v>2530</v>
      </c>
      <c r="V9" s="398" t="s">
        <v>2530</v>
      </c>
      <c r="W9" s="398" t="s">
        <v>2530</v>
      </c>
      <c r="X9" s="398" t="s">
        <v>2530</v>
      </c>
      <c r="Y9" s="399" t="s">
        <v>2530</v>
      </c>
      <c r="Z9" s="399" t="s">
        <v>2530</v>
      </c>
      <c r="AA9" s="399" t="s">
        <v>2530</v>
      </c>
      <c r="AB9" s="399" t="s">
        <v>2530</v>
      </c>
      <c r="AC9" s="399" t="s">
        <v>2530</v>
      </c>
      <c r="AD9" s="399" t="s">
        <v>2530</v>
      </c>
      <c r="AE9" s="399" t="s">
        <v>2530</v>
      </c>
      <c r="AF9" s="399" t="s">
        <v>2530</v>
      </c>
      <c r="AG9" s="399" t="s">
        <v>2530</v>
      </c>
      <c r="AH9" s="399" t="s">
        <v>2530</v>
      </c>
      <c r="AI9" s="399" t="s">
        <v>2530</v>
      </c>
      <c r="AJ9" s="399" t="s">
        <v>2530</v>
      </c>
      <c r="AK9" s="399" t="s">
        <v>2530</v>
      </c>
      <c r="AL9" s="399" t="s">
        <v>2530</v>
      </c>
      <c r="AM9" s="399" t="s">
        <v>2530</v>
      </c>
      <c r="AN9" s="399" t="s">
        <v>2530</v>
      </c>
      <c r="AO9" s="399" t="s">
        <v>2530</v>
      </c>
      <c r="AP9" s="399" t="s">
        <v>2530</v>
      </c>
      <c r="AQ9" s="399" t="s">
        <v>2530</v>
      </c>
      <c r="AR9" s="399" t="s">
        <v>2530</v>
      </c>
      <c r="AS9" s="399" t="s">
        <v>2530</v>
      </c>
      <c r="AT9" s="399" t="s">
        <v>2530</v>
      </c>
      <c r="AU9" s="399" t="s">
        <v>2530</v>
      </c>
      <c r="AV9" s="399" t="s">
        <v>2530</v>
      </c>
      <c r="AW9" s="400" t="s">
        <v>2530</v>
      </c>
      <c r="AX9" s="400" t="s">
        <v>2530</v>
      </c>
    </row>
    <row r="10" spans="1:50" ht="15" customHeight="1" x14ac:dyDescent="0.35">
      <c r="A10" s="386" t="s">
        <v>3030</v>
      </c>
      <c r="B10" s="386"/>
      <c r="C10" s="756" t="s">
        <v>43</v>
      </c>
      <c r="D10" s="756"/>
      <c r="E10" s="401" t="s">
        <v>2531</v>
      </c>
      <c r="F10" s="401" t="s">
        <v>2544</v>
      </c>
      <c r="G10" s="401" t="s">
        <v>2544</v>
      </c>
      <c r="H10" s="402" t="s">
        <v>2544</v>
      </c>
      <c r="I10" s="403" t="s">
        <v>2572</v>
      </c>
      <c r="J10" s="401" t="s">
        <v>2544</v>
      </c>
      <c r="K10" s="401" t="s">
        <v>2592</v>
      </c>
      <c r="L10" s="401" t="s">
        <v>2544</v>
      </c>
      <c r="M10" s="401" t="s">
        <v>2612</v>
      </c>
      <c r="N10" s="401" t="s">
        <v>2592</v>
      </c>
      <c r="O10" s="401" t="s">
        <v>2631</v>
      </c>
      <c r="P10" s="401" t="s">
        <v>2643</v>
      </c>
      <c r="Q10" s="401" t="s">
        <v>2544</v>
      </c>
      <c r="R10" s="401" t="s">
        <v>2661</v>
      </c>
      <c r="S10" s="401" t="s">
        <v>2671</v>
      </c>
      <c r="T10" s="401" t="s">
        <v>2681</v>
      </c>
      <c r="U10" s="401" t="s">
        <v>2544</v>
      </c>
      <c r="V10" s="401" t="s">
        <v>2544</v>
      </c>
      <c r="W10" s="402" t="s">
        <v>2544</v>
      </c>
      <c r="X10" s="401" t="s">
        <v>2544</v>
      </c>
      <c r="Y10" s="401" t="s">
        <v>2723</v>
      </c>
      <c r="Z10" s="401" t="s">
        <v>2733</v>
      </c>
      <c r="AA10" s="401" t="s">
        <v>2592</v>
      </c>
      <c r="AB10" s="403" t="s">
        <v>2751</v>
      </c>
      <c r="AC10" s="402" t="s">
        <v>2761</v>
      </c>
      <c r="AD10" s="401" t="s">
        <v>23</v>
      </c>
      <c r="AE10" s="402" t="s">
        <v>2544</v>
      </c>
      <c r="AF10" s="402" t="s">
        <v>2612</v>
      </c>
      <c r="AG10" s="402" t="s">
        <v>2544</v>
      </c>
      <c r="AH10" s="402" t="s">
        <v>2544</v>
      </c>
      <c r="AI10" s="402" t="s">
        <v>2812</v>
      </c>
      <c r="AJ10" s="402" t="s">
        <v>23</v>
      </c>
      <c r="AK10" s="402" t="s">
        <v>2544</v>
      </c>
      <c r="AL10" s="402" t="s">
        <v>2544</v>
      </c>
      <c r="AM10" s="402" t="s">
        <v>23</v>
      </c>
      <c r="AN10" s="402" t="s">
        <v>2544</v>
      </c>
      <c r="AO10" s="402" t="s">
        <v>2612</v>
      </c>
      <c r="AP10" s="402" t="s">
        <v>2592</v>
      </c>
      <c r="AQ10" s="402"/>
      <c r="AR10" s="402"/>
      <c r="AS10" s="402" t="s">
        <v>2544</v>
      </c>
      <c r="AT10" s="402" t="s">
        <v>2544</v>
      </c>
      <c r="AU10" s="402" t="s">
        <v>2544</v>
      </c>
      <c r="AV10" s="402" t="s">
        <v>23</v>
      </c>
      <c r="AW10" s="400" t="s">
        <v>2592</v>
      </c>
      <c r="AX10" s="400" t="s">
        <v>2592</v>
      </c>
    </row>
    <row r="11" spans="1:50" ht="15" customHeight="1" x14ac:dyDescent="0.35">
      <c r="A11" s="386" t="s">
        <v>3031</v>
      </c>
      <c r="B11" s="386"/>
      <c r="C11" s="760" t="s">
        <v>44</v>
      </c>
      <c r="D11" s="761"/>
      <c r="E11" s="404" t="s">
        <v>2532</v>
      </c>
      <c r="F11" s="404" t="s">
        <v>2545</v>
      </c>
      <c r="G11" s="404" t="s">
        <v>2556</v>
      </c>
      <c r="H11" s="404" t="s">
        <v>2563</v>
      </c>
      <c r="I11" s="405" t="s">
        <v>2573</v>
      </c>
      <c r="J11" s="404" t="s">
        <v>2583</v>
      </c>
      <c r="K11" s="404" t="s">
        <v>2593</v>
      </c>
      <c r="L11" s="404" t="s">
        <v>2603</v>
      </c>
      <c r="M11" s="404" t="s">
        <v>2613</v>
      </c>
      <c r="N11" s="404" t="s">
        <v>2622</v>
      </c>
      <c r="O11" s="404" t="s">
        <v>2632</v>
      </c>
      <c r="P11" s="404" t="s">
        <v>2644</v>
      </c>
      <c r="Q11" s="404" t="s">
        <v>2654</v>
      </c>
      <c r="R11" s="404" t="s">
        <v>2662</v>
      </c>
      <c r="S11" s="404" t="s">
        <v>2672</v>
      </c>
      <c r="T11" s="404" t="s">
        <v>2682</v>
      </c>
      <c r="U11" s="404" t="s">
        <v>2691</v>
      </c>
      <c r="V11" s="404" t="s">
        <v>2698</v>
      </c>
      <c r="W11" s="404" t="s">
        <v>2705</v>
      </c>
      <c r="X11" s="404" t="s">
        <v>2714</v>
      </c>
      <c r="Y11" s="404" t="s">
        <v>2724</v>
      </c>
      <c r="Z11" s="404" t="s">
        <v>2734</v>
      </c>
      <c r="AA11" s="404" t="s">
        <v>2744</v>
      </c>
      <c r="AB11" s="405" t="s">
        <v>2752</v>
      </c>
      <c r="AC11" s="404" t="s">
        <v>2762</v>
      </c>
      <c r="AD11" s="404" t="s">
        <v>2771</v>
      </c>
      <c r="AE11" s="404" t="s">
        <v>2780</v>
      </c>
      <c r="AF11" s="406" t="s">
        <v>2788</v>
      </c>
      <c r="AG11" s="404" t="s">
        <v>2797</v>
      </c>
      <c r="AH11" s="404" t="s">
        <v>2805</v>
      </c>
      <c r="AI11" s="404" t="s">
        <v>2813</v>
      </c>
      <c r="AJ11" s="404" t="s">
        <v>2822</v>
      </c>
      <c r="AK11" s="404" t="s">
        <v>2831</v>
      </c>
      <c r="AL11" s="404" t="s">
        <v>2838</v>
      </c>
      <c r="AM11" s="404" t="s">
        <v>2845</v>
      </c>
      <c r="AN11" s="404" t="s">
        <v>2854</v>
      </c>
      <c r="AO11" s="404" t="s">
        <v>2863</v>
      </c>
      <c r="AP11" s="404" t="s">
        <v>2872</v>
      </c>
      <c r="AQ11" s="404" t="s">
        <v>2879</v>
      </c>
      <c r="AR11" s="404" t="s">
        <v>2879</v>
      </c>
      <c r="AS11" s="404" t="s">
        <v>2883</v>
      </c>
      <c r="AT11" s="404" t="s">
        <v>2622</v>
      </c>
      <c r="AU11" s="211" t="s">
        <v>2896</v>
      </c>
      <c r="AV11" s="211" t="s">
        <v>2905</v>
      </c>
      <c r="AW11" s="407" t="s">
        <v>2914</v>
      </c>
      <c r="AX11" s="407" t="s">
        <v>2923</v>
      </c>
    </row>
    <row r="12" spans="1:50" ht="15" customHeight="1" x14ac:dyDescent="0.35">
      <c r="A12" s="386" t="s">
        <v>192</v>
      </c>
      <c r="B12" s="386"/>
      <c r="C12" s="757" t="s">
        <v>45</v>
      </c>
      <c r="D12" s="757"/>
      <c r="E12" s="408">
        <v>3</v>
      </c>
      <c r="F12" s="408">
        <v>2</v>
      </c>
      <c r="G12" s="408">
        <v>2</v>
      </c>
      <c r="H12" s="408">
        <v>1</v>
      </c>
      <c r="I12" s="408">
        <v>1</v>
      </c>
      <c r="J12" s="408">
        <v>1</v>
      </c>
      <c r="K12" s="408">
        <v>2</v>
      </c>
      <c r="L12" s="408">
        <v>3</v>
      </c>
      <c r="M12" s="408">
        <v>1</v>
      </c>
      <c r="N12" s="408">
        <v>2</v>
      </c>
      <c r="O12" s="408">
        <v>1</v>
      </c>
      <c r="P12" s="408">
        <v>2</v>
      </c>
      <c r="Q12" s="408">
        <v>1</v>
      </c>
      <c r="R12" s="408">
        <v>1</v>
      </c>
      <c r="S12" s="408">
        <v>2</v>
      </c>
      <c r="T12" s="408">
        <v>3</v>
      </c>
      <c r="U12" s="408">
        <v>1</v>
      </c>
      <c r="V12" s="408">
        <v>1</v>
      </c>
      <c r="W12" s="408">
        <v>1</v>
      </c>
      <c r="X12" s="408">
        <v>1</v>
      </c>
      <c r="Y12" s="408">
        <v>1</v>
      </c>
      <c r="Z12" s="408">
        <v>3</v>
      </c>
      <c r="AA12" s="408">
        <v>2</v>
      </c>
      <c r="AB12" s="190">
        <v>1</v>
      </c>
      <c r="AC12" s="190">
        <v>2</v>
      </c>
      <c r="AD12" s="190">
        <v>1</v>
      </c>
      <c r="AE12" s="190">
        <v>1</v>
      </c>
      <c r="AF12" s="190">
        <v>1</v>
      </c>
      <c r="AG12" s="211">
        <v>1</v>
      </c>
      <c r="AH12" s="211">
        <v>2</v>
      </c>
      <c r="AI12" s="211">
        <v>2</v>
      </c>
      <c r="AJ12" s="211">
        <v>1</v>
      </c>
      <c r="AK12" s="211">
        <v>1</v>
      </c>
      <c r="AL12" s="211">
        <v>1</v>
      </c>
      <c r="AM12" s="211">
        <v>2</v>
      </c>
      <c r="AN12" s="211">
        <v>1</v>
      </c>
      <c r="AO12" s="211">
        <v>3</v>
      </c>
      <c r="AP12" s="211">
        <v>4</v>
      </c>
      <c r="AQ12" s="211"/>
      <c r="AR12" s="211"/>
      <c r="AS12" s="211">
        <v>2</v>
      </c>
      <c r="AT12" s="211">
        <v>7</v>
      </c>
      <c r="AU12" s="211">
        <v>2</v>
      </c>
      <c r="AV12" s="211">
        <v>1</v>
      </c>
      <c r="AW12" s="400">
        <v>2</v>
      </c>
      <c r="AX12" s="400">
        <v>2</v>
      </c>
    </row>
    <row r="13" spans="1:50" ht="15" customHeight="1" x14ac:dyDescent="0.35">
      <c r="A13" s="386" t="s">
        <v>3032</v>
      </c>
      <c r="B13" s="386"/>
      <c r="C13" s="757" t="s">
        <v>46</v>
      </c>
      <c r="D13" s="757"/>
      <c r="E13" s="190" t="s">
        <v>2533</v>
      </c>
      <c r="F13" s="190" t="s">
        <v>2533</v>
      </c>
      <c r="G13" s="190" t="s">
        <v>2533</v>
      </c>
      <c r="H13" s="190" t="s">
        <v>2533</v>
      </c>
      <c r="I13" s="190" t="s">
        <v>2533</v>
      </c>
      <c r="J13" s="190" t="s">
        <v>2533</v>
      </c>
      <c r="K13" s="190" t="s">
        <v>2533</v>
      </c>
      <c r="L13" s="190" t="s">
        <v>2533</v>
      </c>
      <c r="M13" s="190" t="s">
        <v>2533</v>
      </c>
      <c r="N13" s="190" t="s">
        <v>2533</v>
      </c>
      <c r="O13" s="190" t="s">
        <v>2533</v>
      </c>
      <c r="P13" s="190" t="s">
        <v>2533</v>
      </c>
      <c r="Q13" s="190" t="s">
        <v>2533</v>
      </c>
      <c r="R13" s="190" t="s">
        <v>2533</v>
      </c>
      <c r="S13" s="190" t="s">
        <v>2533</v>
      </c>
      <c r="T13" s="190" t="s">
        <v>2533</v>
      </c>
      <c r="U13" s="190" t="s">
        <v>2533</v>
      </c>
      <c r="V13" s="190" t="s">
        <v>2533</v>
      </c>
      <c r="W13" s="190" t="s">
        <v>2533</v>
      </c>
      <c r="X13" s="190" t="s">
        <v>2533</v>
      </c>
      <c r="Y13" s="190" t="s">
        <v>2533</v>
      </c>
      <c r="Z13" s="190" t="s">
        <v>2533</v>
      </c>
      <c r="AA13" s="190" t="s">
        <v>2533</v>
      </c>
      <c r="AB13" s="190" t="s">
        <v>2533</v>
      </c>
      <c r="AC13" s="190" t="s">
        <v>2533</v>
      </c>
      <c r="AD13" s="190" t="s">
        <v>2533</v>
      </c>
      <c r="AE13" s="190" t="s">
        <v>2533</v>
      </c>
      <c r="AF13" s="190" t="s">
        <v>2533</v>
      </c>
      <c r="AG13" s="211" t="s">
        <v>2533</v>
      </c>
      <c r="AH13" s="211" t="s">
        <v>2533</v>
      </c>
      <c r="AI13" s="211" t="s">
        <v>2533</v>
      </c>
      <c r="AJ13" s="211" t="s">
        <v>2533</v>
      </c>
      <c r="AK13" s="211" t="s">
        <v>2533</v>
      </c>
      <c r="AL13" s="211" t="s">
        <v>2533</v>
      </c>
      <c r="AM13" s="211" t="s">
        <v>2533</v>
      </c>
      <c r="AN13" s="211" t="s">
        <v>2533</v>
      </c>
      <c r="AO13" s="211" t="s">
        <v>2533</v>
      </c>
      <c r="AP13" s="211" t="s">
        <v>2873</v>
      </c>
      <c r="AQ13" s="211" t="s">
        <v>2533</v>
      </c>
      <c r="AR13" s="211" t="s">
        <v>2533</v>
      </c>
      <c r="AS13" s="211" t="s">
        <v>2533</v>
      </c>
      <c r="AT13" s="211" t="s">
        <v>2533</v>
      </c>
      <c r="AU13" s="211" t="s">
        <v>2533</v>
      </c>
      <c r="AV13" s="211" t="s">
        <v>2533</v>
      </c>
      <c r="AW13" s="211" t="s">
        <v>2533</v>
      </c>
      <c r="AX13" s="211" t="s">
        <v>2533</v>
      </c>
    </row>
    <row r="14" spans="1:50" ht="15" customHeight="1" x14ac:dyDescent="0.35">
      <c r="A14" s="386" t="s">
        <v>3033</v>
      </c>
      <c r="B14" s="386"/>
      <c r="C14" s="757" t="s">
        <v>47</v>
      </c>
      <c r="D14" s="757"/>
      <c r="E14" s="401" t="s">
        <v>2534</v>
      </c>
      <c r="F14" s="403" t="s">
        <v>2546</v>
      </c>
      <c r="G14" s="403" t="s">
        <v>2557</v>
      </c>
      <c r="H14" s="403" t="s">
        <v>2564</v>
      </c>
      <c r="I14" s="403" t="s">
        <v>2574</v>
      </c>
      <c r="J14" s="403" t="s">
        <v>2584</v>
      </c>
      <c r="K14" s="403" t="s">
        <v>2594</v>
      </c>
      <c r="L14" s="403" t="s">
        <v>2604</v>
      </c>
      <c r="M14" s="403" t="s">
        <v>2614</v>
      </c>
      <c r="N14" s="401" t="s">
        <v>2623</v>
      </c>
      <c r="O14" s="403" t="s">
        <v>2633</v>
      </c>
      <c r="P14" s="401" t="s">
        <v>2645</v>
      </c>
      <c r="Q14" s="403" t="s">
        <v>2655</v>
      </c>
      <c r="R14" s="403" t="s">
        <v>2663</v>
      </c>
      <c r="S14" s="403" t="s">
        <v>2673</v>
      </c>
      <c r="T14" s="401" t="s">
        <v>2683</v>
      </c>
      <c r="U14" s="403" t="s">
        <v>2692</v>
      </c>
      <c r="V14" s="401" t="s">
        <v>2699</v>
      </c>
      <c r="W14" s="403" t="s">
        <v>2706</v>
      </c>
      <c r="X14" s="403" t="s">
        <v>2715</v>
      </c>
      <c r="Y14" s="403" t="s">
        <v>2725</v>
      </c>
      <c r="Z14" s="403" t="s">
        <v>2735</v>
      </c>
      <c r="AA14" s="403" t="s">
        <v>2745</v>
      </c>
      <c r="AB14" s="403" t="s">
        <v>2753</v>
      </c>
      <c r="AC14" s="401" t="s">
        <v>2763</v>
      </c>
      <c r="AD14" s="401" t="s">
        <v>2772</v>
      </c>
      <c r="AE14" s="401" t="s">
        <v>2781</v>
      </c>
      <c r="AF14" s="401" t="s">
        <v>2789</v>
      </c>
      <c r="AG14" s="401" t="s">
        <v>2798</v>
      </c>
      <c r="AH14" s="401" t="s">
        <v>2806</v>
      </c>
      <c r="AI14" s="401" t="s">
        <v>2814</v>
      </c>
      <c r="AJ14" s="401" t="s">
        <v>2823</v>
      </c>
      <c r="AK14" s="401" t="s">
        <v>2832</v>
      </c>
      <c r="AL14" s="401" t="s">
        <v>2839</v>
      </c>
      <c r="AM14" s="401" t="s">
        <v>2846</v>
      </c>
      <c r="AN14" s="401" t="s">
        <v>2855</v>
      </c>
      <c r="AO14" s="401" t="s">
        <v>2864</v>
      </c>
      <c r="AP14" s="401" t="s">
        <v>2874</v>
      </c>
      <c r="AQ14" s="401" t="s">
        <v>2880</v>
      </c>
      <c r="AR14" s="401" t="s">
        <v>2880</v>
      </c>
      <c r="AS14" s="401" t="s">
        <v>2884</v>
      </c>
      <c r="AT14" s="401" t="s">
        <v>2890</v>
      </c>
      <c r="AU14" s="401" t="s">
        <v>2897</v>
      </c>
      <c r="AV14" s="401" t="s">
        <v>2906</v>
      </c>
      <c r="AW14" s="216" t="s">
        <v>2915</v>
      </c>
      <c r="AX14" s="216" t="s">
        <v>2924</v>
      </c>
    </row>
    <row r="15" spans="1:50" ht="15" customHeight="1" x14ac:dyDescent="0.35">
      <c r="A15" s="386" t="s">
        <v>3034</v>
      </c>
      <c r="B15" s="386"/>
      <c r="C15" s="753" t="s">
        <v>48</v>
      </c>
      <c r="D15" s="384" t="s">
        <v>56</v>
      </c>
      <c r="E15" s="190"/>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211"/>
      <c r="AH15" s="211"/>
      <c r="AI15" s="211"/>
      <c r="AJ15" s="211"/>
      <c r="AK15" s="211"/>
      <c r="AL15" s="211"/>
      <c r="AM15" s="211"/>
      <c r="AN15" s="211"/>
      <c r="AO15" s="211"/>
      <c r="AP15" s="211"/>
      <c r="AQ15" s="211"/>
      <c r="AR15" s="211"/>
      <c r="AS15" s="211"/>
      <c r="AT15" s="211"/>
      <c r="AU15" s="211"/>
      <c r="AV15" s="211"/>
      <c r="AW15" s="400"/>
      <c r="AX15" s="400"/>
    </row>
    <row r="16" spans="1:50" ht="15" customHeight="1" x14ac:dyDescent="0.35">
      <c r="A16" s="386" t="s">
        <v>3035</v>
      </c>
      <c r="B16" s="386"/>
      <c r="C16" s="754"/>
      <c r="D16" s="384" t="s">
        <v>57</v>
      </c>
      <c r="E16" s="190"/>
      <c r="F16" s="190"/>
      <c r="G16" s="190"/>
      <c r="H16" s="190"/>
      <c r="I16" s="190"/>
      <c r="J16" s="190"/>
      <c r="K16" s="190"/>
      <c r="L16" s="190"/>
      <c r="M16" s="190"/>
      <c r="N16" s="190"/>
      <c r="O16" s="190"/>
      <c r="P16" s="190"/>
      <c r="Q16" s="190"/>
      <c r="R16" s="190"/>
      <c r="S16" s="190"/>
      <c r="T16" s="190"/>
      <c r="U16" s="190"/>
      <c r="V16" s="190"/>
      <c r="W16" s="190"/>
      <c r="X16" s="190"/>
      <c r="Y16" s="190"/>
      <c r="Z16" s="190"/>
      <c r="AA16" s="190"/>
      <c r="AB16" s="190"/>
      <c r="AC16" s="190"/>
      <c r="AD16" s="190"/>
      <c r="AE16" s="190"/>
      <c r="AF16" s="190"/>
      <c r="AG16" s="211"/>
      <c r="AH16" s="211"/>
      <c r="AI16" s="211"/>
      <c r="AJ16" s="211"/>
      <c r="AK16" s="211"/>
      <c r="AL16" s="211"/>
      <c r="AM16" s="211"/>
      <c r="AN16" s="211"/>
      <c r="AO16" s="211"/>
      <c r="AP16" s="211"/>
      <c r="AQ16" s="211"/>
      <c r="AR16" s="211"/>
      <c r="AS16" s="211"/>
      <c r="AT16" s="211"/>
      <c r="AU16" s="211"/>
      <c r="AV16" s="211"/>
      <c r="AW16" s="400"/>
      <c r="AX16" s="400"/>
    </row>
    <row r="17" spans="1:50" ht="15" customHeight="1" x14ac:dyDescent="0.35">
      <c r="A17" s="386" t="s">
        <v>3036</v>
      </c>
      <c r="B17" s="386"/>
      <c r="C17" s="755"/>
      <c r="D17" s="384" t="s">
        <v>67</v>
      </c>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211"/>
      <c r="AH17" s="211"/>
      <c r="AI17" s="211"/>
      <c r="AJ17" s="211"/>
      <c r="AK17" s="211"/>
      <c r="AL17" s="211"/>
      <c r="AM17" s="211"/>
      <c r="AN17" s="211"/>
      <c r="AO17" s="211"/>
      <c r="AP17" s="211"/>
      <c r="AQ17" s="211"/>
      <c r="AR17" s="211"/>
      <c r="AS17" s="211"/>
      <c r="AT17" s="211"/>
      <c r="AU17" s="211"/>
      <c r="AV17" s="211"/>
      <c r="AW17" s="400"/>
      <c r="AX17" s="400"/>
    </row>
    <row r="18" spans="1:50" ht="15" customHeight="1" x14ac:dyDescent="0.35">
      <c r="A18" s="386" t="s">
        <v>3037</v>
      </c>
      <c r="B18" s="386"/>
      <c r="C18" s="756" t="s">
        <v>49</v>
      </c>
      <c r="D18" s="385" t="s">
        <v>58</v>
      </c>
      <c r="E18" s="409" t="s">
        <v>2535</v>
      </c>
      <c r="F18" s="410" t="s">
        <v>2547</v>
      </c>
      <c r="G18" s="410" t="s">
        <v>2535</v>
      </c>
      <c r="H18" s="410" t="s">
        <v>2565</v>
      </c>
      <c r="I18" s="410" t="s">
        <v>2575</v>
      </c>
      <c r="J18" s="410" t="s">
        <v>2585</v>
      </c>
      <c r="K18" s="410" t="s">
        <v>2595</v>
      </c>
      <c r="L18" s="410" t="s">
        <v>2605</v>
      </c>
      <c r="M18" s="410" t="s">
        <v>2615</v>
      </c>
      <c r="N18" s="409" t="s">
        <v>2624</v>
      </c>
      <c r="O18" s="410" t="s">
        <v>2634</v>
      </c>
      <c r="P18" s="409" t="s">
        <v>2646</v>
      </c>
      <c r="Q18" s="410" t="s">
        <v>2535</v>
      </c>
      <c r="R18" s="410" t="s">
        <v>2664</v>
      </c>
      <c r="S18" s="410" t="s">
        <v>2674</v>
      </c>
      <c r="T18" s="409" t="s">
        <v>2684</v>
      </c>
      <c r="U18" s="410" t="s">
        <v>2605</v>
      </c>
      <c r="V18" s="409" t="s">
        <v>2535</v>
      </c>
      <c r="W18" s="410" t="s">
        <v>2707</v>
      </c>
      <c r="X18" s="410" t="s">
        <v>2716</v>
      </c>
      <c r="Y18" s="410" t="s">
        <v>2726</v>
      </c>
      <c r="Z18" s="410" t="s">
        <v>2736</v>
      </c>
      <c r="AA18" s="410" t="s">
        <v>2664</v>
      </c>
      <c r="AB18" s="410" t="s">
        <v>2754</v>
      </c>
      <c r="AC18" s="409" t="s">
        <v>2764</v>
      </c>
      <c r="AD18" s="401" t="s">
        <v>2773</v>
      </c>
      <c r="AE18" s="409" t="s">
        <v>2782</v>
      </c>
      <c r="AF18" s="409" t="s">
        <v>2790</v>
      </c>
      <c r="AG18" s="410" t="s">
        <v>2799</v>
      </c>
      <c r="AH18" s="409" t="s">
        <v>2716</v>
      </c>
      <c r="AI18" s="409" t="s">
        <v>2815</v>
      </c>
      <c r="AJ18" s="409" t="s">
        <v>2824</v>
      </c>
      <c r="AK18" s="409" t="s">
        <v>2605</v>
      </c>
      <c r="AL18" s="409" t="s">
        <v>2605</v>
      </c>
      <c r="AM18" s="409" t="s">
        <v>2847</v>
      </c>
      <c r="AN18" s="409" t="s">
        <v>2856</v>
      </c>
      <c r="AO18" s="409" t="s">
        <v>2865</v>
      </c>
      <c r="AP18" s="409" t="s">
        <v>2875</v>
      </c>
      <c r="AQ18" s="409"/>
      <c r="AR18" s="409"/>
      <c r="AS18" s="409" t="s">
        <v>2535</v>
      </c>
      <c r="AT18" s="409" t="s">
        <v>2535</v>
      </c>
      <c r="AU18" s="409" t="s">
        <v>2898</v>
      </c>
      <c r="AV18" s="409" t="s">
        <v>2907</v>
      </c>
      <c r="AW18" s="400" t="s">
        <v>2916</v>
      </c>
      <c r="AX18" s="400" t="s">
        <v>2925</v>
      </c>
    </row>
    <row r="19" spans="1:50" ht="15" customHeight="1" x14ac:dyDescent="0.35">
      <c r="A19" s="386" t="s">
        <v>3038</v>
      </c>
      <c r="B19" s="386"/>
      <c r="C19" s="756"/>
      <c r="D19" s="385" t="s">
        <v>59</v>
      </c>
      <c r="E19" s="192" t="s">
        <v>2536</v>
      </c>
      <c r="F19" s="192" t="s">
        <v>2548</v>
      </c>
      <c r="G19" s="192" t="s">
        <v>2536</v>
      </c>
      <c r="H19" s="192" t="s">
        <v>2566</v>
      </c>
      <c r="I19" s="192" t="s">
        <v>2576</v>
      </c>
      <c r="J19" s="192" t="s">
        <v>2586</v>
      </c>
      <c r="K19" s="192" t="s">
        <v>2596</v>
      </c>
      <c r="L19" s="192" t="s">
        <v>2606</v>
      </c>
      <c r="M19" s="192" t="s">
        <v>2616</v>
      </c>
      <c r="N19" s="192" t="s">
        <v>2625</v>
      </c>
      <c r="O19" s="192" t="s">
        <v>2635</v>
      </c>
      <c r="P19" s="192" t="s">
        <v>2647</v>
      </c>
      <c r="Q19" s="192" t="s">
        <v>2536</v>
      </c>
      <c r="R19" s="192" t="s">
        <v>2665</v>
      </c>
      <c r="S19" s="192" t="s">
        <v>2675</v>
      </c>
      <c r="T19" s="192" t="s">
        <v>2685</v>
      </c>
      <c r="U19" s="192" t="s">
        <v>2606</v>
      </c>
      <c r="V19" s="192" t="s">
        <v>2536</v>
      </c>
      <c r="W19" s="192" t="s">
        <v>2708</v>
      </c>
      <c r="X19" s="192" t="s">
        <v>2717</v>
      </c>
      <c r="Y19" s="192" t="s">
        <v>2727</v>
      </c>
      <c r="Z19" s="192" t="s">
        <v>2737</v>
      </c>
      <c r="AA19" s="190" t="s">
        <v>2665</v>
      </c>
      <c r="AB19" s="192" t="s">
        <v>2755</v>
      </c>
      <c r="AC19" s="192" t="s">
        <v>2765</v>
      </c>
      <c r="AD19" s="192" t="s">
        <v>2774</v>
      </c>
      <c r="AE19" s="192" t="s">
        <v>2783</v>
      </c>
      <c r="AF19" s="192" t="s">
        <v>2791</v>
      </c>
      <c r="AG19" s="212" t="s">
        <v>2800</v>
      </c>
      <c r="AH19" s="212" t="s">
        <v>2717</v>
      </c>
      <c r="AI19" s="212" t="s">
        <v>2816</v>
      </c>
      <c r="AJ19" s="212" t="s">
        <v>2825</v>
      </c>
      <c r="AK19" s="212" t="s">
        <v>2606</v>
      </c>
      <c r="AL19" s="212" t="s">
        <v>2606</v>
      </c>
      <c r="AM19" s="212" t="s">
        <v>2848</v>
      </c>
      <c r="AN19" s="212" t="s">
        <v>2857</v>
      </c>
      <c r="AO19" s="212" t="s">
        <v>2612</v>
      </c>
      <c r="AP19" s="212" t="s">
        <v>2876</v>
      </c>
      <c r="AQ19" s="212"/>
      <c r="AR19" s="212"/>
      <c r="AS19" s="212" t="s">
        <v>2536</v>
      </c>
      <c r="AT19" s="212" t="s">
        <v>2536</v>
      </c>
      <c r="AU19" s="212" t="s">
        <v>2899</v>
      </c>
      <c r="AV19" s="212" t="s">
        <v>2908</v>
      </c>
      <c r="AW19" s="216" t="s">
        <v>2917</v>
      </c>
      <c r="AX19" s="216" t="s">
        <v>2926</v>
      </c>
    </row>
    <row r="20" spans="1:50" ht="15" customHeight="1" x14ac:dyDescent="0.35">
      <c r="A20" s="386" t="s">
        <v>3039</v>
      </c>
      <c r="B20" s="386"/>
      <c r="C20" s="750" t="s">
        <v>50</v>
      </c>
      <c r="D20" s="385" t="s">
        <v>66</v>
      </c>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211"/>
      <c r="AH20" s="211"/>
      <c r="AI20" s="211"/>
      <c r="AJ20" s="211"/>
      <c r="AK20" s="211"/>
      <c r="AL20" s="211"/>
      <c r="AM20" s="211"/>
      <c r="AN20" s="211"/>
      <c r="AO20" s="211"/>
      <c r="AP20" s="211"/>
      <c r="AQ20" s="211"/>
      <c r="AR20" s="211"/>
      <c r="AS20" s="211"/>
      <c r="AT20" s="211"/>
      <c r="AU20" s="211"/>
      <c r="AV20" s="211"/>
      <c r="AW20" s="400"/>
      <c r="AX20" s="400"/>
    </row>
    <row r="21" spans="1:50" ht="15" customHeight="1" x14ac:dyDescent="0.35">
      <c r="A21" s="386" t="s">
        <v>3040</v>
      </c>
      <c r="B21" s="386"/>
      <c r="C21" s="750"/>
      <c r="D21" s="385" t="s">
        <v>60</v>
      </c>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211"/>
      <c r="AH21" s="211"/>
      <c r="AI21" s="211"/>
      <c r="AJ21" s="211"/>
      <c r="AK21" s="211"/>
      <c r="AL21" s="211"/>
      <c r="AM21" s="211"/>
      <c r="AN21" s="211"/>
      <c r="AO21" s="211"/>
      <c r="AP21" s="211"/>
      <c r="AQ21" s="211"/>
      <c r="AR21" s="211"/>
      <c r="AS21" s="211"/>
      <c r="AT21" s="211"/>
      <c r="AU21" s="211"/>
      <c r="AV21" s="211"/>
      <c r="AW21" s="400"/>
      <c r="AX21" s="400"/>
    </row>
    <row r="22" spans="1:50" ht="15" customHeight="1" x14ac:dyDescent="0.35">
      <c r="A22" s="386" t="s">
        <v>3041</v>
      </c>
      <c r="B22" s="386"/>
      <c r="C22" s="750"/>
      <c r="D22" s="385" t="s">
        <v>61</v>
      </c>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211"/>
      <c r="AH22" s="211"/>
      <c r="AI22" s="211"/>
      <c r="AJ22" s="211"/>
      <c r="AK22" s="211"/>
      <c r="AL22" s="211"/>
      <c r="AM22" s="211"/>
      <c r="AN22" s="211"/>
      <c r="AO22" s="211"/>
      <c r="AP22" s="211"/>
      <c r="AQ22" s="211"/>
      <c r="AR22" s="211"/>
      <c r="AS22" s="211"/>
      <c r="AT22" s="211"/>
      <c r="AU22" s="211"/>
      <c r="AV22" s="211"/>
      <c r="AW22" s="400"/>
      <c r="AX22" s="400"/>
    </row>
    <row r="23" spans="1:50" ht="15" customHeight="1" x14ac:dyDescent="0.35">
      <c r="A23" s="386" t="s">
        <v>3042</v>
      </c>
      <c r="B23" s="386"/>
      <c r="C23" s="750" t="s">
        <v>51</v>
      </c>
      <c r="D23" s="385" t="s">
        <v>62</v>
      </c>
      <c r="E23" s="401" t="s">
        <v>2537</v>
      </c>
      <c r="F23" s="403" t="s">
        <v>2549</v>
      </c>
      <c r="G23" s="212" t="s">
        <v>2558</v>
      </c>
      <c r="H23" s="212" t="s">
        <v>2567</v>
      </c>
      <c r="I23" s="403" t="s">
        <v>2577</v>
      </c>
      <c r="J23" s="403" t="s">
        <v>2587</v>
      </c>
      <c r="K23" s="212" t="s">
        <v>2597</v>
      </c>
      <c r="L23" s="403" t="s">
        <v>2607</v>
      </c>
      <c r="M23" s="403" t="s">
        <v>2617</v>
      </c>
      <c r="N23" s="401" t="s">
        <v>2626</v>
      </c>
      <c r="O23" s="403" t="s">
        <v>2636</v>
      </c>
      <c r="P23" s="401" t="s">
        <v>2648</v>
      </c>
      <c r="Q23" s="212" t="s">
        <v>2656</v>
      </c>
      <c r="R23" s="212" t="s">
        <v>2666</v>
      </c>
      <c r="S23" s="212" t="s">
        <v>2676</v>
      </c>
      <c r="T23" s="401" t="s">
        <v>2686</v>
      </c>
      <c r="U23" s="403" t="s">
        <v>2693</v>
      </c>
      <c r="V23" s="401" t="s">
        <v>2700</v>
      </c>
      <c r="W23" s="403" t="s">
        <v>2709</v>
      </c>
      <c r="X23" s="403" t="s">
        <v>2718</v>
      </c>
      <c r="Y23" s="411" t="s">
        <v>2728</v>
      </c>
      <c r="Z23" s="212" t="s">
        <v>2738</v>
      </c>
      <c r="AA23" s="403" t="s">
        <v>2746</v>
      </c>
      <c r="AB23" s="403" t="s">
        <v>2756</v>
      </c>
      <c r="AC23" s="401" t="s">
        <v>2766</v>
      </c>
      <c r="AD23" s="401" t="s">
        <v>2775</v>
      </c>
      <c r="AE23" s="401" t="s">
        <v>2784</v>
      </c>
      <c r="AF23" s="401" t="s">
        <v>2792</v>
      </c>
      <c r="AG23" s="401" t="s">
        <v>2801</v>
      </c>
      <c r="AH23" s="401" t="s">
        <v>2807</v>
      </c>
      <c r="AI23" s="401" t="s">
        <v>2817</v>
      </c>
      <c r="AJ23" s="401" t="s">
        <v>2826</v>
      </c>
      <c r="AK23" s="401" t="s">
        <v>2833</v>
      </c>
      <c r="AL23" s="401" t="s">
        <v>2840</v>
      </c>
      <c r="AM23" s="401" t="s">
        <v>2849</v>
      </c>
      <c r="AN23" s="401" t="s">
        <v>2858</v>
      </c>
      <c r="AO23" s="401" t="s">
        <v>2866</v>
      </c>
      <c r="AP23" s="401"/>
      <c r="AQ23" s="401"/>
      <c r="AR23" s="401"/>
      <c r="AS23" s="401" t="s">
        <v>2885</v>
      </c>
      <c r="AT23" s="401" t="s">
        <v>2891</v>
      </c>
      <c r="AU23" s="401" t="s">
        <v>2900</v>
      </c>
      <c r="AV23" s="401" t="s">
        <v>2909</v>
      </c>
      <c r="AW23" s="400" t="s">
        <v>2918</v>
      </c>
      <c r="AX23" s="400" t="s">
        <v>2927</v>
      </c>
    </row>
    <row r="24" spans="1:50" ht="15" customHeight="1" x14ac:dyDescent="0.35">
      <c r="A24" s="386" t="s">
        <v>3043</v>
      </c>
      <c r="B24" s="386"/>
      <c r="C24" s="750"/>
      <c r="D24" s="385" t="s">
        <v>63</v>
      </c>
      <c r="E24" s="412" t="s">
        <v>2538</v>
      </c>
      <c r="F24" s="412" t="s">
        <v>2550</v>
      </c>
      <c r="G24" s="412" t="s">
        <v>2559</v>
      </c>
      <c r="H24" s="412" t="s">
        <v>2568</v>
      </c>
      <c r="I24" s="412" t="s">
        <v>2578</v>
      </c>
      <c r="J24" s="412" t="s">
        <v>2588</v>
      </c>
      <c r="K24" s="412" t="s">
        <v>2598</v>
      </c>
      <c r="L24" s="412" t="s">
        <v>2608</v>
      </c>
      <c r="M24" s="412" t="s">
        <v>2618</v>
      </c>
      <c r="N24" s="412" t="s">
        <v>2627</v>
      </c>
      <c r="O24" s="412" t="s">
        <v>2637</v>
      </c>
      <c r="P24" s="412" t="s">
        <v>2649</v>
      </c>
      <c r="Q24" s="412" t="s">
        <v>2657</v>
      </c>
      <c r="R24" s="412" t="s">
        <v>2667</v>
      </c>
      <c r="S24" s="412" t="s">
        <v>2677</v>
      </c>
      <c r="T24" s="412" t="s">
        <v>2687</v>
      </c>
      <c r="U24" s="412" t="s">
        <v>2694</v>
      </c>
      <c r="V24" s="412" t="s">
        <v>2701</v>
      </c>
      <c r="W24" s="412" t="s">
        <v>2710</v>
      </c>
      <c r="X24" s="412" t="s">
        <v>2719</v>
      </c>
      <c r="Y24" s="412" t="s">
        <v>2729</v>
      </c>
      <c r="Z24" s="412" t="s">
        <v>2739</v>
      </c>
      <c r="AA24" s="408" t="s">
        <v>2747</v>
      </c>
      <c r="AB24" s="190" t="s">
        <v>2757</v>
      </c>
      <c r="AC24" s="190" t="s">
        <v>2767</v>
      </c>
      <c r="AD24" s="190" t="s">
        <v>2776</v>
      </c>
      <c r="AE24" s="190" t="s">
        <v>2785</v>
      </c>
      <c r="AF24" s="190" t="s">
        <v>2793</v>
      </c>
      <c r="AG24" s="211" t="s">
        <v>2802</v>
      </c>
      <c r="AH24" s="211" t="s">
        <v>2808</v>
      </c>
      <c r="AI24" s="211" t="s">
        <v>2818</v>
      </c>
      <c r="AJ24" s="211" t="s">
        <v>2827</v>
      </c>
      <c r="AK24" s="211" t="s">
        <v>2834</v>
      </c>
      <c r="AL24" s="211" t="s">
        <v>2841</v>
      </c>
      <c r="AM24" s="211" t="s">
        <v>2850</v>
      </c>
      <c r="AN24" s="211" t="s">
        <v>2859</v>
      </c>
      <c r="AO24" s="211" t="s">
        <v>2867</v>
      </c>
      <c r="AP24" s="211"/>
      <c r="AQ24" s="211"/>
      <c r="AR24" s="211"/>
      <c r="AS24" s="211" t="s">
        <v>2886</v>
      </c>
      <c r="AT24" s="211" t="s">
        <v>2892</v>
      </c>
      <c r="AU24" s="211" t="s">
        <v>2901</v>
      </c>
      <c r="AV24" s="211" t="s">
        <v>2910</v>
      </c>
      <c r="AW24" s="400" t="s">
        <v>2919</v>
      </c>
      <c r="AX24" s="400" t="s">
        <v>2928</v>
      </c>
    </row>
    <row r="25" spans="1:50" ht="15" customHeight="1" x14ac:dyDescent="0.35">
      <c r="A25" s="386" t="s">
        <v>3044</v>
      </c>
      <c r="B25" s="386"/>
      <c r="C25" s="757" t="s">
        <v>52</v>
      </c>
      <c r="D25" s="757"/>
      <c r="E25" s="412" t="s">
        <v>2534</v>
      </c>
      <c r="F25" s="412" t="s">
        <v>2546</v>
      </c>
      <c r="G25" s="412" t="s">
        <v>2557</v>
      </c>
      <c r="H25" s="412" t="s">
        <v>2564</v>
      </c>
      <c r="I25" s="412" t="s">
        <v>2574</v>
      </c>
      <c r="J25" s="412" t="s">
        <v>2584</v>
      </c>
      <c r="K25" s="412" t="s">
        <v>2594</v>
      </c>
      <c r="L25" s="412" t="s">
        <v>2604</v>
      </c>
      <c r="M25" s="412" t="s">
        <v>2614</v>
      </c>
      <c r="N25" s="412" t="s">
        <v>2623</v>
      </c>
      <c r="O25" s="412" t="s">
        <v>2633</v>
      </c>
      <c r="P25" s="412" t="s">
        <v>2645</v>
      </c>
      <c r="Q25" s="412" t="s">
        <v>2655</v>
      </c>
      <c r="R25" s="412" t="s">
        <v>2663</v>
      </c>
      <c r="S25" s="413" t="s">
        <v>2673</v>
      </c>
      <c r="T25" s="413" t="s">
        <v>2683</v>
      </c>
      <c r="U25" s="413" t="s">
        <v>2692</v>
      </c>
      <c r="V25" s="413" t="s">
        <v>2699</v>
      </c>
      <c r="W25" s="413" t="s">
        <v>2706</v>
      </c>
      <c r="X25" s="413" t="s">
        <v>2715</v>
      </c>
      <c r="Y25" s="412" t="s">
        <v>2725</v>
      </c>
      <c r="Z25" s="412" t="s">
        <v>2735</v>
      </c>
      <c r="AA25" s="414" t="s">
        <v>2745</v>
      </c>
      <c r="AB25" s="192" t="s">
        <v>2753</v>
      </c>
      <c r="AC25" s="192" t="s">
        <v>2763</v>
      </c>
      <c r="AD25" s="192" t="s">
        <v>2772</v>
      </c>
      <c r="AE25" s="192" t="s">
        <v>2781</v>
      </c>
      <c r="AF25" s="192" t="s">
        <v>2789</v>
      </c>
      <c r="AG25" s="212" t="s">
        <v>2798</v>
      </c>
      <c r="AH25" s="212" t="s">
        <v>2806</v>
      </c>
      <c r="AI25" s="212" t="s">
        <v>2814</v>
      </c>
      <c r="AJ25" s="212" t="s">
        <v>2823</v>
      </c>
      <c r="AK25" s="212" t="s">
        <v>2832</v>
      </c>
      <c r="AL25" s="212" t="s">
        <v>2839</v>
      </c>
      <c r="AM25" s="212" t="s">
        <v>2846</v>
      </c>
      <c r="AN25" s="212" t="s">
        <v>2855</v>
      </c>
      <c r="AO25" s="212" t="s">
        <v>2864</v>
      </c>
      <c r="AP25" s="212"/>
      <c r="AQ25" s="212" t="s">
        <v>2880</v>
      </c>
      <c r="AR25" s="212" t="s">
        <v>2880</v>
      </c>
      <c r="AS25" s="212" t="s">
        <v>2884</v>
      </c>
      <c r="AT25" s="212" t="s">
        <v>2890</v>
      </c>
      <c r="AU25" s="212" t="s">
        <v>2897</v>
      </c>
      <c r="AV25" s="212" t="s">
        <v>2906</v>
      </c>
      <c r="AW25" s="216" t="s">
        <v>2915</v>
      </c>
      <c r="AX25" s="216" t="s">
        <v>2924</v>
      </c>
    </row>
    <row r="26" spans="1:50" ht="15" customHeight="1" x14ac:dyDescent="0.35">
      <c r="A26" s="386" t="s">
        <v>3045</v>
      </c>
      <c r="B26" s="386"/>
      <c r="C26" s="758" t="s">
        <v>53</v>
      </c>
      <c r="D26" s="759"/>
      <c r="E26" s="415" t="s">
        <v>2539</v>
      </c>
      <c r="F26" s="415" t="s">
        <v>2551</v>
      </c>
      <c r="G26" s="415" t="s">
        <v>2560</v>
      </c>
      <c r="H26" s="415" t="s">
        <v>2569</v>
      </c>
      <c r="I26" s="415" t="s">
        <v>2579</v>
      </c>
      <c r="J26" s="415" t="s">
        <v>2589</v>
      </c>
      <c r="K26" s="415" t="s">
        <v>2599</v>
      </c>
      <c r="L26" s="415" t="s">
        <v>2609</v>
      </c>
      <c r="M26" s="415" t="s">
        <v>2619</v>
      </c>
      <c r="N26" s="415" t="s">
        <v>2628</v>
      </c>
      <c r="O26" s="415" t="s">
        <v>2638</v>
      </c>
      <c r="P26" s="415" t="s">
        <v>2650</v>
      </c>
      <c r="Q26" s="415" t="s">
        <v>2658</v>
      </c>
      <c r="R26" s="415" t="s">
        <v>2668</v>
      </c>
      <c r="S26" s="416" t="s">
        <v>2678</v>
      </c>
      <c r="T26" s="416" t="s">
        <v>2688</v>
      </c>
      <c r="U26" s="416" t="s">
        <v>2695</v>
      </c>
      <c r="V26" s="416" t="s">
        <v>2702</v>
      </c>
      <c r="W26" s="416" t="s">
        <v>2711</v>
      </c>
      <c r="X26" s="416" t="s">
        <v>2720</v>
      </c>
      <c r="Y26" s="415" t="s">
        <v>2730</v>
      </c>
      <c r="Z26" s="415" t="s">
        <v>2740</v>
      </c>
      <c r="AA26" s="398" t="s">
        <v>2748</v>
      </c>
      <c r="AB26" s="190" t="s">
        <v>2758</v>
      </c>
      <c r="AC26" s="190" t="s">
        <v>2768</v>
      </c>
      <c r="AD26" s="190" t="s">
        <v>2777</v>
      </c>
      <c r="AE26" s="190" t="s">
        <v>2786</v>
      </c>
      <c r="AF26" s="190" t="s">
        <v>2794</v>
      </c>
      <c r="AG26" s="211" t="s">
        <v>2803</v>
      </c>
      <c r="AH26" s="211" t="s">
        <v>2809</v>
      </c>
      <c r="AI26" s="211" t="s">
        <v>2819</v>
      </c>
      <c r="AJ26" s="211" t="s">
        <v>2828</v>
      </c>
      <c r="AK26" s="211" t="s">
        <v>2835</v>
      </c>
      <c r="AL26" s="211" t="s">
        <v>2842</v>
      </c>
      <c r="AM26" s="211" t="s">
        <v>2851</v>
      </c>
      <c r="AN26" s="211" t="s">
        <v>2860</v>
      </c>
      <c r="AO26" s="211" t="s">
        <v>2868</v>
      </c>
      <c r="AP26" s="211"/>
      <c r="AQ26" s="211"/>
      <c r="AR26" s="211"/>
      <c r="AS26" s="211" t="s">
        <v>2887</v>
      </c>
      <c r="AT26" s="211" t="s">
        <v>2893</v>
      </c>
      <c r="AU26" s="211" t="s">
        <v>2902</v>
      </c>
      <c r="AV26" s="211" t="s">
        <v>2911</v>
      </c>
      <c r="AW26" s="400" t="s">
        <v>2920</v>
      </c>
      <c r="AX26" s="400" t="s">
        <v>2929</v>
      </c>
    </row>
    <row r="27" spans="1:50" ht="15" customHeight="1" x14ac:dyDescent="0.35">
      <c r="A27" s="386" t="s">
        <v>3046</v>
      </c>
      <c r="B27" s="386"/>
      <c r="C27" s="750" t="s">
        <v>54</v>
      </c>
      <c r="D27" s="385" t="s">
        <v>62</v>
      </c>
      <c r="E27" s="401" t="s">
        <v>2540</v>
      </c>
      <c r="F27" s="401" t="s">
        <v>2552</v>
      </c>
      <c r="G27" s="401" t="s">
        <v>2540</v>
      </c>
      <c r="H27" s="401" t="s">
        <v>2540</v>
      </c>
      <c r="I27" s="403" t="s">
        <v>2580</v>
      </c>
      <c r="J27" s="401" t="s">
        <v>2540</v>
      </c>
      <c r="K27" s="401" t="s">
        <v>2600</v>
      </c>
      <c r="L27" s="401" t="s">
        <v>2553</v>
      </c>
      <c r="M27" s="401" t="s">
        <v>2540</v>
      </c>
      <c r="N27" s="401" t="s">
        <v>2540</v>
      </c>
      <c r="O27" s="401" t="s">
        <v>2639</v>
      </c>
      <c r="P27" s="401" t="s">
        <v>2651</v>
      </c>
      <c r="Q27" s="401" t="s">
        <v>2553</v>
      </c>
      <c r="R27" s="401" t="s">
        <v>2540</v>
      </c>
      <c r="S27" s="403" t="s">
        <v>2552</v>
      </c>
      <c r="T27" s="403" t="s">
        <v>2600</v>
      </c>
      <c r="U27" s="403" t="s">
        <v>2552</v>
      </c>
      <c r="V27" s="403" t="s">
        <v>2540</v>
      </c>
      <c r="W27" s="403" t="s">
        <v>2540</v>
      </c>
      <c r="X27" s="403" t="s">
        <v>2552</v>
      </c>
      <c r="Y27" s="401" t="s">
        <v>2600</v>
      </c>
      <c r="Z27" s="401" t="s">
        <v>2741</v>
      </c>
      <c r="AA27" s="401" t="s">
        <v>2600</v>
      </c>
      <c r="AB27" s="401" t="s">
        <v>2540</v>
      </c>
      <c r="AC27" s="401" t="s">
        <v>2540</v>
      </c>
      <c r="AD27" s="401" t="s">
        <v>2540</v>
      </c>
      <c r="AE27" s="401" t="s">
        <v>2552</v>
      </c>
      <c r="AF27" s="401" t="s">
        <v>2553</v>
      </c>
      <c r="AG27" s="401" t="s">
        <v>2651</v>
      </c>
      <c r="AH27" s="401" t="s">
        <v>2540</v>
      </c>
      <c r="AI27" s="401" t="s">
        <v>2600</v>
      </c>
      <c r="AJ27" s="401" t="s">
        <v>2540</v>
      </c>
      <c r="AK27" s="401" t="s">
        <v>2540</v>
      </c>
      <c r="AL27" s="401" t="s">
        <v>2540</v>
      </c>
      <c r="AM27" s="401" t="s">
        <v>2540</v>
      </c>
      <c r="AN27" s="401" t="s">
        <v>2540</v>
      </c>
      <c r="AO27" s="401" t="s">
        <v>2869</v>
      </c>
      <c r="AP27" s="401"/>
      <c r="AQ27" s="401" t="e">
        <v>#N/A</v>
      </c>
      <c r="AR27" s="401" t="e">
        <v>#N/A</v>
      </c>
      <c r="AS27" s="401" t="s">
        <v>2651</v>
      </c>
      <c r="AT27" s="401" t="s">
        <v>2651</v>
      </c>
      <c r="AU27" s="401" t="s">
        <v>2651</v>
      </c>
      <c r="AV27" s="401" t="s">
        <v>2540</v>
      </c>
      <c r="AW27" s="400" t="s">
        <v>2600</v>
      </c>
      <c r="AX27" s="400" t="s">
        <v>2600</v>
      </c>
    </row>
    <row r="28" spans="1:50" ht="15" customHeight="1" x14ac:dyDescent="0.35">
      <c r="A28" s="386" t="s">
        <v>3047</v>
      </c>
      <c r="B28" s="386"/>
      <c r="C28" s="750"/>
      <c r="D28" s="385" t="s">
        <v>63</v>
      </c>
      <c r="E28" s="412" t="s">
        <v>2541</v>
      </c>
      <c r="F28" s="412" t="s">
        <v>2553</v>
      </c>
      <c r="G28" s="412" t="s">
        <v>2541</v>
      </c>
      <c r="H28" s="412" t="s">
        <v>2541</v>
      </c>
      <c r="I28" s="412" t="s">
        <v>2541</v>
      </c>
      <c r="J28" s="412" t="s">
        <v>2552</v>
      </c>
      <c r="K28" s="412" t="s">
        <v>2541</v>
      </c>
      <c r="L28" s="412" t="s">
        <v>2553</v>
      </c>
      <c r="M28" s="412" t="s">
        <v>2553</v>
      </c>
      <c r="N28" s="412" t="s">
        <v>2541</v>
      </c>
      <c r="O28" s="412" t="s">
        <v>2640</v>
      </c>
      <c r="P28" s="412" t="s">
        <v>2541</v>
      </c>
      <c r="Q28" s="412" t="s">
        <v>2553</v>
      </c>
      <c r="R28" s="412" t="s">
        <v>2540</v>
      </c>
      <c r="S28" s="413" t="s">
        <v>2541</v>
      </c>
      <c r="T28" s="413" t="s">
        <v>2600</v>
      </c>
      <c r="U28" s="413" t="s">
        <v>2600</v>
      </c>
      <c r="V28" s="413" t="s">
        <v>2541</v>
      </c>
      <c r="W28" s="413" t="s">
        <v>2541</v>
      </c>
      <c r="X28" s="413" t="s">
        <v>2553</v>
      </c>
      <c r="Y28" s="412" t="s">
        <v>2541</v>
      </c>
      <c r="Z28" s="412" t="s">
        <v>2541</v>
      </c>
      <c r="AA28" s="408" t="s">
        <v>2541</v>
      </c>
      <c r="AB28" s="190" t="s">
        <v>2540</v>
      </c>
      <c r="AC28" s="190" t="s">
        <v>2540</v>
      </c>
      <c r="AD28" s="190" t="s">
        <v>2541</v>
      </c>
      <c r="AE28" s="190" t="s">
        <v>2600</v>
      </c>
      <c r="AF28" s="190" t="s">
        <v>2553</v>
      </c>
      <c r="AG28" s="211" t="s">
        <v>2541</v>
      </c>
      <c r="AH28" s="211" t="s">
        <v>2540</v>
      </c>
      <c r="AI28" s="211" t="s">
        <v>2541</v>
      </c>
      <c r="AJ28" s="211" t="s">
        <v>2553</v>
      </c>
      <c r="AK28" s="211" t="s">
        <v>2540</v>
      </c>
      <c r="AL28" s="211" t="s">
        <v>2553</v>
      </c>
      <c r="AM28" s="211" t="s">
        <v>2541</v>
      </c>
      <c r="AN28" s="211" t="s">
        <v>2552</v>
      </c>
      <c r="AO28" s="211" t="s">
        <v>2541</v>
      </c>
      <c r="AP28" s="211" t="e">
        <v>#N/A</v>
      </c>
      <c r="AQ28" s="211" t="e">
        <v>#N/A</v>
      </c>
      <c r="AR28" s="211" t="e">
        <v>#N/A</v>
      </c>
      <c r="AS28" s="211" t="s">
        <v>2541</v>
      </c>
      <c r="AT28" s="211" t="s">
        <v>2541</v>
      </c>
      <c r="AU28" s="211" t="s">
        <v>2541</v>
      </c>
      <c r="AV28" s="211" t="s">
        <v>2540</v>
      </c>
      <c r="AW28" s="400" t="s">
        <v>2541</v>
      </c>
      <c r="AX28" s="400" t="s">
        <v>2541</v>
      </c>
    </row>
    <row r="29" spans="1:50" ht="15" customHeight="1" x14ac:dyDescent="0.35">
      <c r="A29" s="386" t="s">
        <v>3048</v>
      </c>
      <c r="B29" s="386"/>
      <c r="C29" s="751" t="s">
        <v>55</v>
      </c>
      <c r="D29" s="385" t="s">
        <v>64</v>
      </c>
      <c r="E29" s="417"/>
      <c r="F29" s="418"/>
      <c r="G29" s="418"/>
      <c r="H29" s="418"/>
      <c r="I29" s="418"/>
      <c r="J29" s="419"/>
      <c r="K29" s="419"/>
      <c r="L29" s="419"/>
      <c r="M29" s="419"/>
      <c r="N29" s="419"/>
      <c r="O29" s="419"/>
      <c r="P29" s="419"/>
      <c r="Q29" s="419"/>
      <c r="R29" s="419"/>
      <c r="S29" s="400"/>
      <c r="T29" s="400"/>
      <c r="U29" s="400"/>
      <c r="V29" s="400"/>
      <c r="W29" s="400"/>
      <c r="X29" s="400"/>
      <c r="Y29" s="419"/>
      <c r="Z29" s="419"/>
      <c r="AA29" s="418"/>
      <c r="AB29" s="419"/>
      <c r="AC29" s="419"/>
      <c r="AD29" s="419"/>
      <c r="AE29" s="419"/>
      <c r="AF29" s="419"/>
      <c r="AG29" s="420"/>
      <c r="AH29" s="420"/>
      <c r="AI29" s="420"/>
      <c r="AJ29" s="420"/>
      <c r="AK29" s="420"/>
      <c r="AL29" s="420"/>
      <c r="AM29" s="420"/>
      <c r="AN29" s="420"/>
      <c r="AO29" s="420"/>
      <c r="AP29" s="420" t="s">
        <v>2877</v>
      </c>
      <c r="AQ29" s="420"/>
      <c r="AR29" s="420"/>
      <c r="AS29" s="420"/>
      <c r="AT29" s="420"/>
      <c r="AU29" s="420"/>
      <c r="AV29" s="420"/>
      <c r="AW29" s="420"/>
      <c r="AX29" s="420"/>
    </row>
    <row r="30" spans="1:50" ht="15" customHeight="1" x14ac:dyDescent="0.35">
      <c r="A30" s="386" t="s">
        <v>3049</v>
      </c>
      <c r="B30" s="386"/>
      <c r="C30" s="752"/>
      <c r="D30" s="385" t="s">
        <v>59</v>
      </c>
      <c r="E30" s="421"/>
      <c r="F30" s="422"/>
      <c r="G30" s="422"/>
      <c r="H30" s="422"/>
      <c r="I30" s="422"/>
      <c r="J30" s="420"/>
      <c r="K30" s="420"/>
      <c r="L30" s="420"/>
      <c r="M30" s="420"/>
      <c r="N30" s="420"/>
      <c r="O30" s="420"/>
      <c r="P30" s="420"/>
      <c r="Q30" s="420"/>
      <c r="R30" s="420"/>
      <c r="S30" s="420"/>
      <c r="T30" s="420"/>
      <c r="U30" s="420"/>
      <c r="V30" s="420"/>
      <c r="W30" s="400"/>
      <c r="X30" s="400"/>
      <c r="Y30" s="400"/>
      <c r="Z30" s="400"/>
      <c r="AA30" s="422"/>
      <c r="AB30" s="420"/>
      <c r="AC30" s="420"/>
      <c r="AD30" s="420"/>
      <c r="AE30" s="420"/>
      <c r="AF30" s="420"/>
      <c r="AG30" s="420"/>
      <c r="AH30" s="420"/>
      <c r="AI30" s="420"/>
      <c r="AJ30" s="420"/>
      <c r="AK30" s="420"/>
      <c r="AL30" s="420"/>
      <c r="AM30" s="420"/>
      <c r="AN30" s="420"/>
      <c r="AO30" s="420"/>
      <c r="AP30" s="420" t="s">
        <v>2874</v>
      </c>
      <c r="AQ30" s="420"/>
      <c r="AR30" s="420"/>
      <c r="AS30" s="420"/>
      <c r="AT30" s="420"/>
      <c r="AU30" s="420"/>
      <c r="AV30" s="420"/>
      <c r="AW30" s="420"/>
      <c r="AX30" s="420"/>
    </row>
    <row r="31" spans="1:50" ht="15" customHeight="1" x14ac:dyDescent="0.35">
      <c r="A31" s="386" t="s">
        <v>3050</v>
      </c>
      <c r="B31" s="386"/>
      <c r="C31" s="752"/>
      <c r="D31" s="385" t="s">
        <v>65</v>
      </c>
      <c r="E31" s="421"/>
      <c r="F31" s="422"/>
      <c r="G31" s="422"/>
      <c r="H31" s="422"/>
      <c r="I31" s="422"/>
      <c r="J31" s="420"/>
      <c r="K31" s="420"/>
      <c r="L31" s="420"/>
      <c r="M31" s="420"/>
      <c r="N31" s="420"/>
      <c r="O31" s="420"/>
      <c r="P31" s="420"/>
      <c r="Q31" s="420"/>
      <c r="R31" s="420"/>
      <c r="S31" s="420"/>
      <c r="T31" s="420"/>
      <c r="U31" s="420"/>
      <c r="V31" s="420"/>
      <c r="W31" s="400"/>
      <c r="X31" s="400"/>
      <c r="Y31" s="400"/>
      <c r="Z31" s="400"/>
      <c r="AA31" s="422"/>
      <c r="AB31" s="420"/>
      <c r="AC31" s="420"/>
      <c r="AD31" s="420"/>
      <c r="AE31" s="420"/>
      <c r="AF31" s="420"/>
      <c r="AG31" s="420"/>
      <c r="AH31" s="420"/>
      <c r="AI31" s="420"/>
      <c r="AJ31" s="420"/>
      <c r="AK31" s="420"/>
      <c r="AL31" s="420"/>
      <c r="AM31" s="420"/>
      <c r="AN31" s="420"/>
      <c r="AO31" s="420"/>
      <c r="AP31" s="420" t="s">
        <v>2878</v>
      </c>
      <c r="AQ31" s="420"/>
      <c r="AR31" s="420"/>
      <c r="AS31" s="420"/>
      <c r="AT31" s="420"/>
      <c r="AU31" s="420"/>
      <c r="AV31" s="420"/>
      <c r="AW31" s="420"/>
      <c r="AX31" s="420"/>
    </row>
    <row r="32" spans="1:50" ht="15" customHeight="1" x14ac:dyDescent="0.35">
      <c r="A32" s="386" t="s">
        <v>3051</v>
      </c>
      <c r="B32" s="386"/>
      <c r="C32" s="752"/>
      <c r="D32" s="385" t="s">
        <v>135</v>
      </c>
      <c r="E32" s="421"/>
      <c r="F32" s="422"/>
      <c r="G32" s="422"/>
      <c r="H32" s="422"/>
      <c r="I32" s="422"/>
      <c r="J32" s="420"/>
      <c r="K32" s="420"/>
      <c r="L32" s="420"/>
      <c r="M32" s="420"/>
      <c r="N32" s="420"/>
      <c r="O32" s="420"/>
      <c r="P32" s="420"/>
      <c r="Q32" s="420"/>
      <c r="R32" s="420"/>
      <c r="S32" s="420"/>
      <c r="T32" s="420"/>
      <c r="U32" s="420"/>
      <c r="V32" s="420"/>
      <c r="W32" s="400"/>
      <c r="X32" s="400"/>
      <c r="Y32" s="400"/>
      <c r="Z32" s="400"/>
      <c r="AA32" s="422"/>
      <c r="AB32" s="420"/>
      <c r="AC32" s="420"/>
      <c r="AD32" s="420"/>
      <c r="AE32" s="420"/>
      <c r="AF32" s="420"/>
      <c r="AG32" s="420"/>
      <c r="AH32" s="420"/>
      <c r="AI32" s="420"/>
      <c r="AJ32" s="420"/>
      <c r="AK32" s="420"/>
      <c r="AL32" s="420"/>
      <c r="AM32" s="420"/>
      <c r="AN32" s="420"/>
      <c r="AO32" s="420"/>
      <c r="AP32" s="420" t="s">
        <v>2540</v>
      </c>
      <c r="AQ32" s="420"/>
      <c r="AR32" s="420"/>
      <c r="AS32" s="420"/>
      <c r="AT32" s="420"/>
      <c r="AU32" s="420"/>
      <c r="AV32" s="420"/>
      <c r="AW32" s="420"/>
      <c r="AX32" s="420"/>
    </row>
    <row r="33" spans="1:2" ht="15" customHeight="1" x14ac:dyDescent="0.35">
      <c r="A33" s="386" t="s">
        <v>3052</v>
      </c>
      <c r="B33" s="386"/>
    </row>
    <row r="34" spans="1:2" ht="15" customHeight="1" x14ac:dyDescent="0.35">
      <c r="A34" s="386" t="s">
        <v>3053</v>
      </c>
      <c r="B34" s="386"/>
    </row>
    <row r="35" spans="1:2" ht="15" customHeight="1" x14ac:dyDescent="0.35">
      <c r="A35" s="386" t="s">
        <v>3054</v>
      </c>
      <c r="B35" s="386"/>
    </row>
    <row r="36" spans="1:2" ht="15" customHeight="1" x14ac:dyDescent="0.35">
      <c r="A36" s="386" t="s">
        <v>3055</v>
      </c>
      <c r="B36" s="386"/>
    </row>
    <row r="37" spans="1:2" ht="15" customHeight="1" x14ac:dyDescent="0.35">
      <c r="A37" s="386" t="s">
        <v>3056</v>
      </c>
      <c r="B37" s="386"/>
    </row>
    <row r="38" spans="1:2" ht="15" customHeight="1" x14ac:dyDescent="0.35">
      <c r="A38" s="386" t="s">
        <v>3057</v>
      </c>
      <c r="B38" s="386"/>
    </row>
    <row r="39" spans="1:2" ht="15" customHeight="1" x14ac:dyDescent="0.35">
      <c r="A39" s="386" t="s">
        <v>3058</v>
      </c>
      <c r="B39" s="386"/>
    </row>
    <row r="40" spans="1:2" ht="15" customHeight="1" x14ac:dyDescent="0.35">
      <c r="A40" s="386" t="s">
        <v>3059</v>
      </c>
    </row>
  </sheetData>
  <mergeCells count="20">
    <mergeCell ref="C14:D14"/>
    <mergeCell ref="C1:D1"/>
    <mergeCell ref="C3:D3"/>
    <mergeCell ref="C4:D4"/>
    <mergeCell ref="C6:D6"/>
    <mergeCell ref="C7:D7"/>
    <mergeCell ref="C8:D8"/>
    <mergeCell ref="C9:D9"/>
    <mergeCell ref="C10:D10"/>
    <mergeCell ref="C11:D11"/>
    <mergeCell ref="C12:D12"/>
    <mergeCell ref="C13:D13"/>
    <mergeCell ref="C27:C28"/>
    <mergeCell ref="C29:C32"/>
    <mergeCell ref="C15:C17"/>
    <mergeCell ref="C18:C19"/>
    <mergeCell ref="C20:C22"/>
    <mergeCell ref="C23:C24"/>
    <mergeCell ref="C25:D25"/>
    <mergeCell ref="C26:D26"/>
  </mergeCells>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2A29E-87A7-4DF6-B979-A5A49D3D07EB}">
  <dimension ref="A1:AX40"/>
  <sheetViews>
    <sheetView workbookViewId="0">
      <selection activeCell="A3" sqref="A3"/>
    </sheetView>
  </sheetViews>
  <sheetFormatPr defaultRowHeight="15" customHeight="1" x14ac:dyDescent="0.35"/>
  <cols>
    <col min="1" max="1" width="28.90625" customWidth="1"/>
    <col min="2" max="2" width="4.08984375" customWidth="1"/>
    <col min="3" max="3" width="22.6328125" bestFit="1" customWidth="1"/>
    <col min="4" max="4" width="20.26953125" bestFit="1" customWidth="1"/>
    <col min="5" max="50" width="5.453125" style="423" customWidth="1"/>
  </cols>
  <sheetData>
    <row r="1" spans="1:50" ht="15" customHeight="1" x14ac:dyDescent="0.35">
      <c r="A1" s="386" t="s">
        <v>3025</v>
      </c>
      <c r="B1" s="386"/>
      <c r="C1" s="756" t="s">
        <v>39</v>
      </c>
      <c r="D1" s="756"/>
      <c r="E1" s="387">
        <v>1</v>
      </c>
      <c r="F1" s="387">
        <v>2</v>
      </c>
      <c r="G1" s="387">
        <v>3</v>
      </c>
      <c r="H1" s="387">
        <v>4</v>
      </c>
      <c r="I1" s="387">
        <v>5</v>
      </c>
      <c r="J1" s="387">
        <v>6</v>
      </c>
      <c r="K1" s="387">
        <v>7</v>
      </c>
      <c r="L1" s="387">
        <v>8</v>
      </c>
      <c r="M1" s="387">
        <v>9</v>
      </c>
      <c r="N1" s="387">
        <v>10</v>
      </c>
      <c r="O1" s="387">
        <v>11</v>
      </c>
      <c r="P1" s="387">
        <v>12</v>
      </c>
      <c r="Q1" s="387">
        <v>13</v>
      </c>
      <c r="R1" s="387">
        <v>14</v>
      </c>
      <c r="S1" s="388">
        <v>15</v>
      </c>
      <c r="T1" s="388">
        <v>16</v>
      </c>
      <c r="U1" s="388">
        <v>17</v>
      </c>
      <c r="V1" s="388">
        <v>18</v>
      </c>
      <c r="W1" s="388">
        <v>19</v>
      </c>
      <c r="X1" s="388">
        <v>20</v>
      </c>
      <c r="Y1" s="388">
        <v>21</v>
      </c>
      <c r="Z1" s="388">
        <v>22</v>
      </c>
      <c r="AA1" s="388">
        <v>23</v>
      </c>
      <c r="AB1" s="388">
        <v>24</v>
      </c>
      <c r="AC1" s="388">
        <v>25</v>
      </c>
      <c r="AD1" s="388">
        <v>26</v>
      </c>
      <c r="AE1" s="388">
        <v>27</v>
      </c>
      <c r="AF1" s="388">
        <v>28</v>
      </c>
      <c r="AG1" s="388">
        <v>29</v>
      </c>
      <c r="AH1" s="388">
        <v>30</v>
      </c>
      <c r="AI1" s="388">
        <v>31</v>
      </c>
      <c r="AJ1" s="388">
        <v>32</v>
      </c>
      <c r="AK1" s="388">
        <v>33</v>
      </c>
      <c r="AL1" s="388">
        <v>34</v>
      </c>
      <c r="AM1" s="388">
        <v>35</v>
      </c>
      <c r="AN1" s="388">
        <v>36</v>
      </c>
      <c r="AO1" s="388">
        <v>37</v>
      </c>
      <c r="AP1" s="388">
        <v>38</v>
      </c>
      <c r="AQ1" s="388">
        <v>39</v>
      </c>
      <c r="AR1" s="388">
        <v>40</v>
      </c>
      <c r="AS1" s="388">
        <v>41</v>
      </c>
      <c r="AT1" s="388">
        <v>42</v>
      </c>
      <c r="AU1" s="388">
        <v>43</v>
      </c>
      <c r="AV1" s="388">
        <v>44</v>
      </c>
      <c r="AW1" s="388">
        <v>45</v>
      </c>
      <c r="AX1" s="388">
        <v>46</v>
      </c>
    </row>
    <row r="2" spans="1:50" ht="15" customHeight="1" x14ac:dyDescent="0.35">
      <c r="B2" s="386"/>
      <c r="C2" s="424"/>
      <c r="D2" s="424"/>
      <c r="E2" s="387"/>
      <c r="F2" s="387"/>
      <c r="G2" s="387"/>
      <c r="H2" s="387"/>
      <c r="I2" s="387"/>
      <c r="J2" s="387"/>
      <c r="K2" s="387"/>
      <c r="L2" s="387"/>
      <c r="M2" s="387"/>
      <c r="N2" s="387"/>
      <c r="O2" s="387"/>
      <c r="P2" s="387"/>
      <c r="Q2" s="387"/>
      <c r="R2" s="387"/>
      <c r="S2" s="388"/>
      <c r="T2" s="388"/>
      <c r="U2" s="388"/>
      <c r="V2" s="388"/>
      <c r="W2" s="388"/>
      <c r="X2" s="388"/>
      <c r="Y2" s="388"/>
      <c r="Z2" s="388"/>
      <c r="AA2" s="388"/>
      <c r="AB2" s="388"/>
      <c r="AC2" s="388"/>
      <c r="AD2" s="388"/>
      <c r="AE2" s="388"/>
      <c r="AF2" s="388"/>
      <c r="AG2" s="388"/>
      <c r="AH2" s="388"/>
      <c r="AI2" s="388"/>
      <c r="AJ2" s="388"/>
      <c r="AK2" s="388"/>
      <c r="AL2" s="388"/>
      <c r="AM2" s="388"/>
      <c r="AN2" s="388"/>
      <c r="AO2" s="388"/>
      <c r="AP2" s="388"/>
      <c r="AQ2" s="388"/>
      <c r="AR2" s="388"/>
      <c r="AS2" s="388"/>
      <c r="AT2" s="388"/>
      <c r="AU2" s="388"/>
      <c r="AV2" s="388"/>
      <c r="AW2" s="388"/>
      <c r="AX2" s="388"/>
    </row>
    <row r="3" spans="1:50" ht="15" customHeight="1" x14ac:dyDescent="0.35">
      <c r="A3" s="386" t="s">
        <v>3026</v>
      </c>
      <c r="B3" s="386"/>
      <c r="C3" s="756" t="s">
        <v>226</v>
      </c>
      <c r="D3" s="756"/>
      <c r="E3" s="389" t="s">
        <v>2528</v>
      </c>
      <c r="F3" s="389" t="s">
        <v>2542</v>
      </c>
      <c r="G3" s="389" t="s">
        <v>2554</v>
      </c>
      <c r="H3" s="389" t="s">
        <v>2561</v>
      </c>
      <c r="I3" s="389" t="s">
        <v>2570</v>
      </c>
      <c r="J3" s="389" t="s">
        <v>2581</v>
      </c>
      <c r="K3" s="389" t="s">
        <v>2590</v>
      </c>
      <c r="L3" s="389" t="s">
        <v>2601</v>
      </c>
      <c r="M3" s="389" t="s">
        <v>2610</v>
      </c>
      <c r="N3" s="389" t="s">
        <v>2620</v>
      </c>
      <c r="O3" s="389" t="s">
        <v>2629</v>
      </c>
      <c r="P3" s="389" t="s">
        <v>2641</v>
      </c>
      <c r="Q3" s="389" t="s">
        <v>2652</v>
      </c>
      <c r="R3" s="389" t="s">
        <v>2659</v>
      </c>
      <c r="S3" s="389" t="s">
        <v>2669</v>
      </c>
      <c r="T3" s="389" t="s">
        <v>2679</v>
      </c>
      <c r="U3" s="389" t="s">
        <v>2689</v>
      </c>
      <c r="V3" s="389" t="s">
        <v>2696</v>
      </c>
      <c r="W3" s="389" t="s">
        <v>2703</v>
      </c>
      <c r="X3" s="389" t="s">
        <v>2712</v>
      </c>
      <c r="Y3" s="390" t="s">
        <v>2721</v>
      </c>
      <c r="Z3" s="390" t="s">
        <v>2731</v>
      </c>
      <c r="AA3" s="390" t="s">
        <v>2742</v>
      </c>
      <c r="AB3" s="391" t="s">
        <v>2749</v>
      </c>
      <c r="AC3" s="391" t="s">
        <v>2759</v>
      </c>
      <c r="AD3" s="391" t="s">
        <v>2769</v>
      </c>
      <c r="AE3" s="391" t="s">
        <v>2778</v>
      </c>
      <c r="AF3" s="391" t="s">
        <v>2787</v>
      </c>
      <c r="AG3" s="391" t="s">
        <v>2795</v>
      </c>
      <c r="AH3" s="391" t="s">
        <v>2804</v>
      </c>
      <c r="AI3" s="391" t="s">
        <v>2810</v>
      </c>
      <c r="AJ3" s="391" t="s">
        <v>2820</v>
      </c>
      <c r="AK3" s="391" t="s">
        <v>2829</v>
      </c>
      <c r="AL3" s="391" t="s">
        <v>2836</v>
      </c>
      <c r="AM3" s="391" t="s">
        <v>2843</v>
      </c>
      <c r="AN3" s="391" t="s">
        <v>2852</v>
      </c>
      <c r="AO3" s="391" t="s">
        <v>2861</v>
      </c>
      <c r="AP3" s="391" t="s">
        <v>2870</v>
      </c>
      <c r="AQ3" s="391"/>
      <c r="AR3" s="391"/>
      <c r="AS3" s="391" t="s">
        <v>2881</v>
      </c>
      <c r="AT3" s="391" t="s">
        <v>2888</v>
      </c>
      <c r="AU3" s="391" t="s">
        <v>2894</v>
      </c>
      <c r="AV3" s="391" t="s">
        <v>2903</v>
      </c>
      <c r="AW3" s="392" t="s">
        <v>2912</v>
      </c>
      <c r="AX3" s="392" t="s">
        <v>2921</v>
      </c>
    </row>
    <row r="4" spans="1:50" ht="15" customHeight="1" x14ac:dyDescent="0.35">
      <c r="B4" s="386"/>
      <c r="C4" s="757" t="s">
        <v>40</v>
      </c>
      <c r="D4" s="757"/>
      <c r="E4" s="370" t="s">
        <v>2482</v>
      </c>
      <c r="F4" s="370" t="s">
        <v>2483</v>
      </c>
      <c r="G4" s="370" t="s">
        <v>2484</v>
      </c>
      <c r="H4" s="370" t="s">
        <v>2485</v>
      </c>
      <c r="I4" s="370" t="s">
        <v>2486</v>
      </c>
      <c r="J4" s="370" t="s">
        <v>2487</v>
      </c>
      <c r="K4" s="370" t="s">
        <v>2488</v>
      </c>
      <c r="L4" s="370" t="s">
        <v>2489</v>
      </c>
      <c r="M4" s="370" t="s">
        <v>2490</v>
      </c>
      <c r="N4" s="370" t="s">
        <v>2491</v>
      </c>
      <c r="O4" s="370" t="s">
        <v>2492</v>
      </c>
      <c r="P4" s="370" t="s">
        <v>2493</v>
      </c>
      <c r="Q4" s="370" t="s">
        <v>2494</v>
      </c>
      <c r="R4" s="370" t="s">
        <v>2495</v>
      </c>
      <c r="S4" s="370" t="s">
        <v>2496</v>
      </c>
      <c r="T4" s="370" t="s">
        <v>2497</v>
      </c>
      <c r="U4" s="370" t="s">
        <v>2498</v>
      </c>
      <c r="V4" s="370" t="s">
        <v>2499</v>
      </c>
      <c r="W4" s="370" t="s">
        <v>2500</v>
      </c>
      <c r="X4" s="370" t="s">
        <v>2501</v>
      </c>
      <c r="Y4" s="370" t="s">
        <v>2502</v>
      </c>
      <c r="Z4" s="370" t="s">
        <v>2503</v>
      </c>
      <c r="AA4" s="370" t="s">
        <v>2504</v>
      </c>
      <c r="AB4" s="370" t="s">
        <v>2505</v>
      </c>
      <c r="AC4" s="370" t="s">
        <v>2506</v>
      </c>
      <c r="AD4" s="370" t="s">
        <v>2507</v>
      </c>
      <c r="AE4" s="370" t="s">
        <v>2508</v>
      </c>
      <c r="AF4" s="370" t="s">
        <v>2509</v>
      </c>
      <c r="AG4" s="370" t="s">
        <v>2510</v>
      </c>
      <c r="AH4" s="370" t="s">
        <v>2511</v>
      </c>
      <c r="AI4" s="370" t="s">
        <v>2512</v>
      </c>
      <c r="AJ4" s="370" t="s">
        <v>2513</v>
      </c>
      <c r="AK4" s="370" t="s">
        <v>2514</v>
      </c>
      <c r="AL4" s="370" t="s">
        <v>2515</v>
      </c>
      <c r="AM4" s="370" t="s">
        <v>2516</v>
      </c>
      <c r="AN4" s="370" t="s">
        <v>2517</v>
      </c>
      <c r="AO4" s="370" t="s">
        <v>2518</v>
      </c>
      <c r="AP4" s="370" t="s">
        <v>2519</v>
      </c>
      <c r="AQ4" s="370" t="s">
        <v>2520</v>
      </c>
      <c r="AR4" s="370" t="s">
        <v>2521</v>
      </c>
      <c r="AS4" s="370" t="s">
        <v>2522</v>
      </c>
      <c r="AT4" s="370" t="s">
        <v>2523</v>
      </c>
      <c r="AU4" s="370" t="s">
        <v>2524</v>
      </c>
      <c r="AV4" s="370" t="s">
        <v>2525</v>
      </c>
      <c r="AW4" s="370" t="s">
        <v>2526</v>
      </c>
      <c r="AX4" s="370" t="s">
        <v>2527</v>
      </c>
    </row>
    <row r="6" spans="1:50" ht="15" customHeight="1" x14ac:dyDescent="0.35">
      <c r="A6" s="386" t="s">
        <v>3027</v>
      </c>
      <c r="B6" s="386"/>
      <c r="C6" s="756" t="s">
        <v>224</v>
      </c>
      <c r="D6" s="756"/>
      <c r="E6" s="393" t="s">
        <v>2930</v>
      </c>
      <c r="F6" s="393" t="s">
        <v>2931</v>
      </c>
      <c r="G6" s="393" t="s">
        <v>2932</v>
      </c>
      <c r="H6" s="393" t="s">
        <v>2933</v>
      </c>
      <c r="I6" s="393" t="s">
        <v>2934</v>
      </c>
      <c r="J6" s="393" t="s">
        <v>2935</v>
      </c>
      <c r="K6" s="393" t="s">
        <v>2936</v>
      </c>
      <c r="L6" s="393" t="s">
        <v>2937</v>
      </c>
      <c r="M6" s="393" t="s">
        <v>2938</v>
      </c>
      <c r="N6" s="393" t="s">
        <v>2939</v>
      </c>
      <c r="O6" s="393" t="s">
        <v>2940</v>
      </c>
      <c r="P6" s="393" t="s">
        <v>2941</v>
      </c>
      <c r="Q6" s="393" t="s">
        <v>2942</v>
      </c>
      <c r="R6" s="393" t="s">
        <v>2943</v>
      </c>
      <c r="S6" s="393" t="s">
        <v>2944</v>
      </c>
      <c r="T6" s="393" t="s">
        <v>2945</v>
      </c>
      <c r="U6" s="393" t="s">
        <v>2946</v>
      </c>
      <c r="V6" s="393" t="s">
        <v>2947</v>
      </c>
      <c r="W6" s="393" t="s">
        <v>2948</v>
      </c>
      <c r="X6" s="393" t="s">
        <v>2949</v>
      </c>
      <c r="Y6" s="393" t="s">
        <v>2950</v>
      </c>
      <c r="Z6" s="393" t="s">
        <v>2951</v>
      </c>
      <c r="AA6" s="393" t="s">
        <v>2952</v>
      </c>
      <c r="AB6" s="393" t="s">
        <v>2953</v>
      </c>
      <c r="AC6" s="393" t="s">
        <v>2954</v>
      </c>
      <c r="AD6" s="393" t="s">
        <v>2955</v>
      </c>
      <c r="AE6" s="393" t="s">
        <v>2956</v>
      </c>
      <c r="AF6" s="393" t="s">
        <v>2957</v>
      </c>
      <c r="AG6" s="393" t="s">
        <v>2958</v>
      </c>
      <c r="AH6" s="393" t="s">
        <v>2959</v>
      </c>
      <c r="AI6" s="393" t="s">
        <v>2960</v>
      </c>
      <c r="AJ6" s="393" t="s">
        <v>2961</v>
      </c>
      <c r="AK6" s="393" t="s">
        <v>2962</v>
      </c>
      <c r="AL6" s="393" t="s">
        <v>2963</v>
      </c>
      <c r="AM6" s="393" t="s">
        <v>2964</v>
      </c>
      <c r="AN6" s="393" t="s">
        <v>2965</v>
      </c>
      <c r="AO6" s="393" t="s">
        <v>2966</v>
      </c>
      <c r="AP6" s="393" t="s">
        <v>2967</v>
      </c>
      <c r="AQ6" s="393"/>
      <c r="AR6" s="386"/>
      <c r="AS6" s="393" t="s">
        <v>2968</v>
      </c>
      <c r="AT6" s="393" t="s">
        <v>2969</v>
      </c>
      <c r="AU6" s="393" t="s">
        <v>2970</v>
      </c>
      <c r="AV6" s="393" t="s">
        <v>2971</v>
      </c>
      <c r="AW6" s="393" t="s">
        <v>2972</v>
      </c>
      <c r="AX6" s="393" t="s">
        <v>2973</v>
      </c>
    </row>
    <row r="7" spans="1:50" ht="15" customHeight="1" x14ac:dyDescent="0.35">
      <c r="A7" s="386" t="s">
        <v>98</v>
      </c>
      <c r="B7" s="386"/>
      <c r="C7" s="756" t="s">
        <v>225</v>
      </c>
      <c r="D7" s="756"/>
      <c r="E7" s="394" t="s">
        <v>2974</v>
      </c>
      <c r="F7" s="394" t="s">
        <v>2975</v>
      </c>
      <c r="G7" s="394" t="s">
        <v>2976</v>
      </c>
      <c r="H7" s="394" t="s">
        <v>2977</v>
      </c>
      <c r="I7" s="394" t="s">
        <v>2978</v>
      </c>
      <c r="J7" s="394" t="s">
        <v>2979</v>
      </c>
      <c r="K7" s="394" t="s">
        <v>2980</v>
      </c>
      <c r="L7" s="394" t="s">
        <v>2981</v>
      </c>
      <c r="M7" s="394" t="s">
        <v>2982</v>
      </c>
      <c r="N7" s="394" t="s">
        <v>2983</v>
      </c>
      <c r="O7" s="394" t="s">
        <v>2984</v>
      </c>
      <c r="P7" s="394" t="s">
        <v>2985</v>
      </c>
      <c r="Q7" s="394" t="s">
        <v>2986</v>
      </c>
      <c r="R7" s="394" t="s">
        <v>2987</v>
      </c>
      <c r="S7" s="394" t="s">
        <v>2988</v>
      </c>
      <c r="T7" s="394" t="s">
        <v>2989</v>
      </c>
      <c r="U7" s="394" t="s">
        <v>2990</v>
      </c>
      <c r="V7" s="394" t="s">
        <v>2991</v>
      </c>
      <c r="W7" s="394" t="s">
        <v>2992</v>
      </c>
      <c r="X7" s="394" t="s">
        <v>2993</v>
      </c>
      <c r="Y7" s="395" t="s">
        <v>2994</v>
      </c>
      <c r="Z7" s="395" t="s">
        <v>2995</v>
      </c>
      <c r="AA7" s="395" t="s">
        <v>2996</v>
      </c>
      <c r="AB7" s="395" t="s">
        <v>2997</v>
      </c>
      <c r="AC7" s="395" t="s">
        <v>2998</v>
      </c>
      <c r="AD7" s="395" t="s">
        <v>2999</v>
      </c>
      <c r="AE7" s="395" t="s">
        <v>3000</v>
      </c>
      <c r="AF7" s="395" t="s">
        <v>3001</v>
      </c>
      <c r="AG7" s="395" t="s">
        <v>3002</v>
      </c>
      <c r="AH7" s="395" t="s">
        <v>3003</v>
      </c>
      <c r="AI7" s="395" t="s">
        <v>3004</v>
      </c>
      <c r="AJ7" s="395" t="s">
        <v>3005</v>
      </c>
      <c r="AK7" s="395" t="s">
        <v>3006</v>
      </c>
      <c r="AL7" s="395" t="s">
        <v>3007</v>
      </c>
      <c r="AM7" s="395" t="s">
        <v>3008</v>
      </c>
      <c r="AN7" s="395" t="s">
        <v>3009</v>
      </c>
      <c r="AO7" s="395" t="s">
        <v>3010</v>
      </c>
      <c r="AP7" s="395" t="s">
        <v>3011</v>
      </c>
      <c r="AQ7" s="395" t="s">
        <v>3012</v>
      </c>
      <c r="AR7" s="395" t="s">
        <v>3012</v>
      </c>
      <c r="AS7" s="395" t="s">
        <v>3013</v>
      </c>
      <c r="AT7" s="395" t="s">
        <v>3014</v>
      </c>
      <c r="AU7" s="395" t="s">
        <v>3015</v>
      </c>
      <c r="AV7" s="395" t="s">
        <v>3016</v>
      </c>
      <c r="AW7" s="214" t="s">
        <v>3017</v>
      </c>
      <c r="AX7" s="214" t="s">
        <v>3018</v>
      </c>
    </row>
    <row r="8" spans="1:50" ht="15" customHeight="1" x14ac:dyDescent="0.35">
      <c r="A8" s="386" t="s">
        <v>3028</v>
      </c>
      <c r="B8" s="386"/>
      <c r="C8" s="756" t="s">
        <v>41</v>
      </c>
      <c r="D8" s="756"/>
      <c r="E8" s="396" t="s">
        <v>2529</v>
      </c>
      <c r="F8" s="396" t="s">
        <v>2543</v>
      </c>
      <c r="G8" s="396" t="s">
        <v>2555</v>
      </c>
      <c r="H8" s="396" t="s">
        <v>2562</v>
      </c>
      <c r="I8" s="396" t="s">
        <v>2571</v>
      </c>
      <c r="J8" s="396" t="s">
        <v>2582</v>
      </c>
      <c r="K8" s="396" t="s">
        <v>2591</v>
      </c>
      <c r="L8" s="396" t="s">
        <v>2602</v>
      </c>
      <c r="M8" s="396" t="s">
        <v>2611</v>
      </c>
      <c r="N8" s="396" t="s">
        <v>2621</v>
      </c>
      <c r="O8" s="396" t="s">
        <v>2630</v>
      </c>
      <c r="P8" s="396" t="s">
        <v>2642</v>
      </c>
      <c r="Q8" s="396" t="s">
        <v>2653</v>
      </c>
      <c r="R8" s="396" t="s">
        <v>2660</v>
      </c>
      <c r="S8" s="396" t="s">
        <v>2670</v>
      </c>
      <c r="T8" s="396" t="s">
        <v>2680</v>
      </c>
      <c r="U8" s="396" t="s">
        <v>2690</v>
      </c>
      <c r="V8" s="396" t="s">
        <v>2697</v>
      </c>
      <c r="W8" s="396" t="s">
        <v>2704</v>
      </c>
      <c r="X8" s="396" t="s">
        <v>2713</v>
      </c>
      <c r="Y8" s="396" t="s">
        <v>2722</v>
      </c>
      <c r="Z8" s="396" t="s">
        <v>2732</v>
      </c>
      <c r="AA8" s="396" t="s">
        <v>2743</v>
      </c>
      <c r="AB8" s="396" t="s">
        <v>2750</v>
      </c>
      <c r="AC8" s="396" t="s">
        <v>2760</v>
      </c>
      <c r="AD8" s="396" t="s">
        <v>2770</v>
      </c>
      <c r="AE8" s="396" t="s">
        <v>2779</v>
      </c>
      <c r="AF8" s="397" t="s">
        <v>3020</v>
      </c>
      <c r="AG8" s="396" t="s">
        <v>2796</v>
      </c>
      <c r="AH8" s="397" t="s">
        <v>3019</v>
      </c>
      <c r="AI8" s="396" t="s">
        <v>2811</v>
      </c>
      <c r="AJ8" s="396" t="s">
        <v>2821</v>
      </c>
      <c r="AK8" s="396" t="s">
        <v>2830</v>
      </c>
      <c r="AL8" s="396" t="s">
        <v>2837</v>
      </c>
      <c r="AM8" s="396" t="s">
        <v>2844</v>
      </c>
      <c r="AN8" s="396" t="s">
        <v>2853</v>
      </c>
      <c r="AO8" s="396" t="s">
        <v>2862</v>
      </c>
      <c r="AP8" s="396" t="s">
        <v>2871</v>
      </c>
      <c r="AQ8" s="396"/>
      <c r="AR8" s="396"/>
      <c r="AS8" s="396" t="s">
        <v>2882</v>
      </c>
      <c r="AT8" s="396" t="s">
        <v>2889</v>
      </c>
      <c r="AU8" s="396" t="s">
        <v>2895</v>
      </c>
      <c r="AV8" s="396" t="s">
        <v>2904</v>
      </c>
      <c r="AW8" s="396" t="s">
        <v>2913</v>
      </c>
      <c r="AX8" s="396" t="s">
        <v>2922</v>
      </c>
    </row>
    <row r="9" spans="1:50" ht="15" customHeight="1" x14ac:dyDescent="0.35">
      <c r="A9" s="386" t="s">
        <v>3029</v>
      </c>
      <c r="B9" s="386"/>
      <c r="C9" s="756" t="s">
        <v>42</v>
      </c>
      <c r="D9" s="756"/>
      <c r="E9" s="398" t="s">
        <v>2530</v>
      </c>
      <c r="F9" s="398" t="s">
        <v>2530</v>
      </c>
      <c r="G9" s="398" t="s">
        <v>2530</v>
      </c>
      <c r="H9" s="398" t="s">
        <v>2530</v>
      </c>
      <c r="I9" s="398" t="s">
        <v>2530</v>
      </c>
      <c r="J9" s="398" t="s">
        <v>2530</v>
      </c>
      <c r="K9" s="398" t="s">
        <v>2530</v>
      </c>
      <c r="L9" s="398" t="s">
        <v>2530</v>
      </c>
      <c r="M9" s="398" t="s">
        <v>2530</v>
      </c>
      <c r="N9" s="398" t="s">
        <v>2530</v>
      </c>
      <c r="O9" s="398" t="s">
        <v>2530</v>
      </c>
      <c r="P9" s="398" t="s">
        <v>2530</v>
      </c>
      <c r="Q9" s="398" t="s">
        <v>2530</v>
      </c>
      <c r="R9" s="398" t="s">
        <v>2530</v>
      </c>
      <c r="S9" s="398" t="s">
        <v>2530</v>
      </c>
      <c r="T9" s="398" t="s">
        <v>2530</v>
      </c>
      <c r="U9" s="398" t="s">
        <v>2530</v>
      </c>
      <c r="V9" s="398" t="s">
        <v>2530</v>
      </c>
      <c r="W9" s="398" t="s">
        <v>2530</v>
      </c>
      <c r="X9" s="398" t="s">
        <v>2530</v>
      </c>
      <c r="Y9" s="399" t="s">
        <v>2530</v>
      </c>
      <c r="Z9" s="399" t="s">
        <v>2530</v>
      </c>
      <c r="AA9" s="399" t="s">
        <v>2530</v>
      </c>
      <c r="AB9" s="399" t="s">
        <v>2530</v>
      </c>
      <c r="AC9" s="399" t="s">
        <v>2530</v>
      </c>
      <c r="AD9" s="399" t="s">
        <v>2530</v>
      </c>
      <c r="AE9" s="399" t="s">
        <v>2530</v>
      </c>
      <c r="AF9" s="399" t="s">
        <v>2530</v>
      </c>
      <c r="AG9" s="399" t="s">
        <v>2530</v>
      </c>
      <c r="AH9" s="399" t="s">
        <v>2530</v>
      </c>
      <c r="AI9" s="399" t="s">
        <v>2530</v>
      </c>
      <c r="AJ9" s="399" t="s">
        <v>2530</v>
      </c>
      <c r="AK9" s="399" t="s">
        <v>2530</v>
      </c>
      <c r="AL9" s="399" t="s">
        <v>2530</v>
      </c>
      <c r="AM9" s="399" t="s">
        <v>2530</v>
      </c>
      <c r="AN9" s="399" t="s">
        <v>2530</v>
      </c>
      <c r="AO9" s="399" t="s">
        <v>2530</v>
      </c>
      <c r="AP9" s="399" t="s">
        <v>2530</v>
      </c>
      <c r="AQ9" s="399" t="s">
        <v>2530</v>
      </c>
      <c r="AR9" s="399" t="s">
        <v>2530</v>
      </c>
      <c r="AS9" s="399" t="s">
        <v>2530</v>
      </c>
      <c r="AT9" s="399" t="s">
        <v>2530</v>
      </c>
      <c r="AU9" s="399" t="s">
        <v>2530</v>
      </c>
      <c r="AV9" s="399" t="s">
        <v>2530</v>
      </c>
      <c r="AW9" s="400" t="s">
        <v>2530</v>
      </c>
      <c r="AX9" s="400" t="s">
        <v>2530</v>
      </c>
    </row>
    <row r="10" spans="1:50" ht="15" customHeight="1" x14ac:dyDescent="0.35">
      <c r="A10" s="386" t="s">
        <v>3030</v>
      </c>
      <c r="B10" s="386"/>
      <c r="C10" s="756" t="s">
        <v>43</v>
      </c>
      <c r="D10" s="756"/>
      <c r="E10" s="401" t="s">
        <v>2531</v>
      </c>
      <c r="F10" s="401" t="s">
        <v>2544</v>
      </c>
      <c r="G10" s="401" t="s">
        <v>2544</v>
      </c>
      <c r="H10" s="402" t="s">
        <v>2544</v>
      </c>
      <c r="I10" s="403" t="s">
        <v>2572</v>
      </c>
      <c r="J10" s="401" t="s">
        <v>2544</v>
      </c>
      <c r="K10" s="401" t="s">
        <v>2592</v>
      </c>
      <c r="L10" s="401" t="s">
        <v>2544</v>
      </c>
      <c r="M10" s="401" t="s">
        <v>2612</v>
      </c>
      <c r="N10" s="401" t="s">
        <v>2592</v>
      </c>
      <c r="O10" s="401" t="s">
        <v>2631</v>
      </c>
      <c r="P10" s="401" t="s">
        <v>2643</v>
      </c>
      <c r="Q10" s="401" t="s">
        <v>2544</v>
      </c>
      <c r="R10" s="401" t="s">
        <v>2661</v>
      </c>
      <c r="S10" s="401" t="s">
        <v>2671</v>
      </c>
      <c r="T10" s="401" t="s">
        <v>2681</v>
      </c>
      <c r="U10" s="401" t="s">
        <v>2544</v>
      </c>
      <c r="V10" s="401" t="s">
        <v>2544</v>
      </c>
      <c r="W10" s="402" t="s">
        <v>2544</v>
      </c>
      <c r="X10" s="401" t="s">
        <v>2544</v>
      </c>
      <c r="Y10" s="401" t="s">
        <v>2723</v>
      </c>
      <c r="Z10" s="401" t="s">
        <v>2733</v>
      </c>
      <c r="AA10" s="401" t="s">
        <v>2592</v>
      </c>
      <c r="AB10" s="403" t="s">
        <v>2751</v>
      </c>
      <c r="AC10" s="402" t="s">
        <v>2761</v>
      </c>
      <c r="AD10" s="401" t="s">
        <v>23</v>
      </c>
      <c r="AE10" s="402" t="s">
        <v>2544</v>
      </c>
      <c r="AF10" s="402" t="s">
        <v>2612</v>
      </c>
      <c r="AG10" s="402" t="s">
        <v>2544</v>
      </c>
      <c r="AH10" s="402" t="s">
        <v>2544</v>
      </c>
      <c r="AI10" s="402" t="s">
        <v>2812</v>
      </c>
      <c r="AJ10" s="402" t="s">
        <v>23</v>
      </c>
      <c r="AK10" s="402" t="s">
        <v>2544</v>
      </c>
      <c r="AL10" s="402" t="s">
        <v>2544</v>
      </c>
      <c r="AM10" s="402" t="s">
        <v>23</v>
      </c>
      <c r="AN10" s="402" t="s">
        <v>2544</v>
      </c>
      <c r="AO10" s="402" t="s">
        <v>2612</v>
      </c>
      <c r="AP10" s="402" t="s">
        <v>2592</v>
      </c>
      <c r="AQ10" s="402"/>
      <c r="AR10" s="402"/>
      <c r="AS10" s="402" t="s">
        <v>2544</v>
      </c>
      <c r="AT10" s="402" t="s">
        <v>2544</v>
      </c>
      <c r="AU10" s="402" t="s">
        <v>2544</v>
      </c>
      <c r="AV10" s="402" t="s">
        <v>23</v>
      </c>
      <c r="AW10" s="400" t="s">
        <v>2592</v>
      </c>
      <c r="AX10" s="400" t="s">
        <v>2592</v>
      </c>
    </row>
    <row r="11" spans="1:50" ht="15" customHeight="1" x14ac:dyDescent="0.35">
      <c r="A11" s="386" t="s">
        <v>3031</v>
      </c>
      <c r="B11" s="386"/>
      <c r="C11" s="760" t="s">
        <v>44</v>
      </c>
      <c r="D11" s="761"/>
      <c r="E11" s="404" t="s">
        <v>2532</v>
      </c>
      <c r="F11" s="404" t="s">
        <v>2545</v>
      </c>
      <c r="G11" s="404" t="s">
        <v>2556</v>
      </c>
      <c r="H11" s="404" t="s">
        <v>2563</v>
      </c>
      <c r="I11" s="405" t="s">
        <v>2573</v>
      </c>
      <c r="J11" s="404" t="s">
        <v>2583</v>
      </c>
      <c r="K11" s="404" t="s">
        <v>2593</v>
      </c>
      <c r="L11" s="404" t="s">
        <v>2603</v>
      </c>
      <c r="M11" s="404" t="s">
        <v>2613</v>
      </c>
      <c r="N11" s="404" t="s">
        <v>2622</v>
      </c>
      <c r="O11" s="404" t="s">
        <v>2632</v>
      </c>
      <c r="P11" s="404" t="s">
        <v>2644</v>
      </c>
      <c r="Q11" s="404" t="s">
        <v>2654</v>
      </c>
      <c r="R11" s="404" t="s">
        <v>2662</v>
      </c>
      <c r="S11" s="404" t="s">
        <v>2672</v>
      </c>
      <c r="T11" s="404" t="s">
        <v>2682</v>
      </c>
      <c r="U11" s="404" t="s">
        <v>2691</v>
      </c>
      <c r="V11" s="404" t="s">
        <v>2698</v>
      </c>
      <c r="W11" s="404" t="s">
        <v>2705</v>
      </c>
      <c r="X11" s="404" t="s">
        <v>2714</v>
      </c>
      <c r="Y11" s="404" t="s">
        <v>2724</v>
      </c>
      <c r="Z11" s="404" t="s">
        <v>2734</v>
      </c>
      <c r="AA11" s="404" t="s">
        <v>2744</v>
      </c>
      <c r="AB11" s="405" t="s">
        <v>2752</v>
      </c>
      <c r="AC11" s="404" t="s">
        <v>2762</v>
      </c>
      <c r="AD11" s="404" t="s">
        <v>2771</v>
      </c>
      <c r="AE11" s="404" t="s">
        <v>2780</v>
      </c>
      <c r="AF11" s="406" t="s">
        <v>2788</v>
      </c>
      <c r="AG11" s="404" t="s">
        <v>2797</v>
      </c>
      <c r="AH11" s="404" t="s">
        <v>2805</v>
      </c>
      <c r="AI11" s="404" t="s">
        <v>2813</v>
      </c>
      <c r="AJ11" s="404" t="s">
        <v>2822</v>
      </c>
      <c r="AK11" s="404" t="s">
        <v>2831</v>
      </c>
      <c r="AL11" s="404" t="s">
        <v>2838</v>
      </c>
      <c r="AM11" s="404" t="s">
        <v>2845</v>
      </c>
      <c r="AN11" s="404" t="s">
        <v>2854</v>
      </c>
      <c r="AO11" s="404" t="s">
        <v>2863</v>
      </c>
      <c r="AP11" s="404" t="s">
        <v>2872</v>
      </c>
      <c r="AQ11" s="404" t="s">
        <v>2879</v>
      </c>
      <c r="AR11" s="404" t="s">
        <v>2879</v>
      </c>
      <c r="AS11" s="404" t="s">
        <v>2883</v>
      </c>
      <c r="AT11" s="404" t="s">
        <v>2622</v>
      </c>
      <c r="AU11" s="211" t="s">
        <v>2896</v>
      </c>
      <c r="AV11" s="211" t="s">
        <v>2905</v>
      </c>
      <c r="AW11" s="407" t="s">
        <v>2914</v>
      </c>
      <c r="AX11" s="407" t="s">
        <v>2923</v>
      </c>
    </row>
    <row r="12" spans="1:50" ht="15" customHeight="1" x14ac:dyDescent="0.35">
      <c r="A12" s="386" t="s">
        <v>192</v>
      </c>
      <c r="B12" s="386"/>
      <c r="C12" s="757" t="s">
        <v>45</v>
      </c>
      <c r="D12" s="757"/>
      <c r="E12" s="408">
        <v>3</v>
      </c>
      <c r="F12" s="408">
        <v>2</v>
      </c>
      <c r="G12" s="408">
        <v>2</v>
      </c>
      <c r="H12" s="408">
        <v>1</v>
      </c>
      <c r="I12" s="408">
        <v>1</v>
      </c>
      <c r="J12" s="408">
        <v>1</v>
      </c>
      <c r="K12" s="408">
        <v>2</v>
      </c>
      <c r="L12" s="408">
        <v>3</v>
      </c>
      <c r="M12" s="408">
        <v>1</v>
      </c>
      <c r="N12" s="408">
        <v>2</v>
      </c>
      <c r="O12" s="408">
        <v>1</v>
      </c>
      <c r="P12" s="408">
        <v>2</v>
      </c>
      <c r="Q12" s="408">
        <v>1</v>
      </c>
      <c r="R12" s="408">
        <v>1</v>
      </c>
      <c r="S12" s="408">
        <v>2</v>
      </c>
      <c r="T12" s="408">
        <v>3</v>
      </c>
      <c r="U12" s="408">
        <v>1</v>
      </c>
      <c r="V12" s="408">
        <v>1</v>
      </c>
      <c r="W12" s="408">
        <v>1</v>
      </c>
      <c r="X12" s="408">
        <v>1</v>
      </c>
      <c r="Y12" s="408">
        <v>1</v>
      </c>
      <c r="Z12" s="408">
        <v>3</v>
      </c>
      <c r="AA12" s="408">
        <v>2</v>
      </c>
      <c r="AB12" s="190">
        <v>1</v>
      </c>
      <c r="AC12" s="190">
        <v>2</v>
      </c>
      <c r="AD12" s="190">
        <v>1</v>
      </c>
      <c r="AE12" s="190">
        <v>1</v>
      </c>
      <c r="AF12" s="190">
        <v>1</v>
      </c>
      <c r="AG12" s="211">
        <v>1</v>
      </c>
      <c r="AH12" s="211">
        <v>2</v>
      </c>
      <c r="AI12" s="211">
        <v>2</v>
      </c>
      <c r="AJ12" s="211">
        <v>1</v>
      </c>
      <c r="AK12" s="211">
        <v>1</v>
      </c>
      <c r="AL12" s="211">
        <v>1</v>
      </c>
      <c r="AM12" s="211">
        <v>2</v>
      </c>
      <c r="AN12" s="211">
        <v>1</v>
      </c>
      <c r="AO12" s="211">
        <v>3</v>
      </c>
      <c r="AP12" s="211">
        <v>4</v>
      </c>
      <c r="AQ12" s="211"/>
      <c r="AR12" s="211"/>
      <c r="AS12" s="211">
        <v>2</v>
      </c>
      <c r="AT12" s="211">
        <v>7</v>
      </c>
      <c r="AU12" s="211">
        <v>2</v>
      </c>
      <c r="AV12" s="211">
        <v>1</v>
      </c>
      <c r="AW12" s="400">
        <v>2</v>
      </c>
      <c r="AX12" s="400">
        <v>2</v>
      </c>
    </row>
    <row r="13" spans="1:50" ht="15" customHeight="1" x14ac:dyDescent="0.35">
      <c r="A13" s="386" t="s">
        <v>3032</v>
      </c>
      <c r="B13" s="386"/>
      <c r="C13" s="757" t="s">
        <v>46</v>
      </c>
      <c r="D13" s="757"/>
      <c r="E13" s="190" t="s">
        <v>2533</v>
      </c>
      <c r="F13" s="190" t="s">
        <v>2533</v>
      </c>
      <c r="G13" s="190" t="s">
        <v>2533</v>
      </c>
      <c r="H13" s="190" t="s">
        <v>2533</v>
      </c>
      <c r="I13" s="190" t="s">
        <v>2533</v>
      </c>
      <c r="J13" s="190" t="s">
        <v>2533</v>
      </c>
      <c r="K13" s="190" t="s">
        <v>2533</v>
      </c>
      <c r="L13" s="190" t="s">
        <v>2533</v>
      </c>
      <c r="M13" s="190" t="s">
        <v>2533</v>
      </c>
      <c r="N13" s="190" t="s">
        <v>2533</v>
      </c>
      <c r="O13" s="190" t="s">
        <v>2533</v>
      </c>
      <c r="P13" s="190" t="s">
        <v>2533</v>
      </c>
      <c r="Q13" s="190" t="s">
        <v>2533</v>
      </c>
      <c r="R13" s="190" t="s">
        <v>2533</v>
      </c>
      <c r="S13" s="190" t="s">
        <v>2533</v>
      </c>
      <c r="T13" s="190" t="s">
        <v>2533</v>
      </c>
      <c r="U13" s="190" t="s">
        <v>2533</v>
      </c>
      <c r="V13" s="190" t="s">
        <v>2533</v>
      </c>
      <c r="W13" s="190" t="s">
        <v>2533</v>
      </c>
      <c r="X13" s="190" t="s">
        <v>2533</v>
      </c>
      <c r="Y13" s="190" t="s">
        <v>2533</v>
      </c>
      <c r="Z13" s="190" t="s">
        <v>2533</v>
      </c>
      <c r="AA13" s="190" t="s">
        <v>2533</v>
      </c>
      <c r="AB13" s="190" t="s">
        <v>2533</v>
      </c>
      <c r="AC13" s="190" t="s">
        <v>2533</v>
      </c>
      <c r="AD13" s="190" t="s">
        <v>2533</v>
      </c>
      <c r="AE13" s="190" t="s">
        <v>2533</v>
      </c>
      <c r="AF13" s="190" t="s">
        <v>2533</v>
      </c>
      <c r="AG13" s="211" t="s">
        <v>2533</v>
      </c>
      <c r="AH13" s="211" t="s">
        <v>2533</v>
      </c>
      <c r="AI13" s="211" t="s">
        <v>2533</v>
      </c>
      <c r="AJ13" s="211" t="s">
        <v>2533</v>
      </c>
      <c r="AK13" s="211" t="s">
        <v>2533</v>
      </c>
      <c r="AL13" s="211" t="s">
        <v>2533</v>
      </c>
      <c r="AM13" s="211" t="s">
        <v>2533</v>
      </c>
      <c r="AN13" s="211" t="s">
        <v>2533</v>
      </c>
      <c r="AO13" s="211" t="s">
        <v>2533</v>
      </c>
      <c r="AP13" s="211" t="s">
        <v>2873</v>
      </c>
      <c r="AQ13" s="211" t="s">
        <v>2533</v>
      </c>
      <c r="AR13" s="211" t="s">
        <v>2533</v>
      </c>
      <c r="AS13" s="211" t="s">
        <v>2533</v>
      </c>
      <c r="AT13" s="211" t="s">
        <v>2533</v>
      </c>
      <c r="AU13" s="211" t="s">
        <v>2533</v>
      </c>
      <c r="AV13" s="211" t="s">
        <v>2533</v>
      </c>
      <c r="AW13" s="211" t="s">
        <v>2533</v>
      </c>
      <c r="AX13" s="211" t="s">
        <v>2533</v>
      </c>
    </row>
    <row r="14" spans="1:50" ht="15" customHeight="1" x14ac:dyDescent="0.35">
      <c r="A14" s="386" t="s">
        <v>3033</v>
      </c>
      <c r="B14" s="386"/>
      <c r="C14" s="757" t="s">
        <v>47</v>
      </c>
      <c r="D14" s="757"/>
      <c r="E14" s="401" t="s">
        <v>2534</v>
      </c>
      <c r="F14" s="403" t="s">
        <v>2546</v>
      </c>
      <c r="G14" s="403" t="s">
        <v>2557</v>
      </c>
      <c r="H14" s="403" t="s">
        <v>2564</v>
      </c>
      <c r="I14" s="403" t="s">
        <v>2574</v>
      </c>
      <c r="J14" s="403" t="s">
        <v>2584</v>
      </c>
      <c r="K14" s="403" t="s">
        <v>2594</v>
      </c>
      <c r="L14" s="403" t="s">
        <v>2604</v>
      </c>
      <c r="M14" s="403" t="s">
        <v>2614</v>
      </c>
      <c r="N14" s="401" t="s">
        <v>2623</v>
      </c>
      <c r="O14" s="403" t="s">
        <v>2633</v>
      </c>
      <c r="P14" s="401" t="s">
        <v>2645</v>
      </c>
      <c r="Q14" s="403" t="s">
        <v>2655</v>
      </c>
      <c r="R14" s="403" t="s">
        <v>2663</v>
      </c>
      <c r="S14" s="403" t="s">
        <v>2673</v>
      </c>
      <c r="T14" s="401" t="s">
        <v>2683</v>
      </c>
      <c r="U14" s="403" t="s">
        <v>2692</v>
      </c>
      <c r="V14" s="401" t="s">
        <v>2699</v>
      </c>
      <c r="W14" s="403" t="s">
        <v>2706</v>
      </c>
      <c r="X14" s="403" t="s">
        <v>2715</v>
      </c>
      <c r="Y14" s="403" t="s">
        <v>2725</v>
      </c>
      <c r="Z14" s="403" t="s">
        <v>2735</v>
      </c>
      <c r="AA14" s="403" t="s">
        <v>2745</v>
      </c>
      <c r="AB14" s="403" t="s">
        <v>2753</v>
      </c>
      <c r="AC14" s="401" t="s">
        <v>2763</v>
      </c>
      <c r="AD14" s="401" t="s">
        <v>2772</v>
      </c>
      <c r="AE14" s="401" t="s">
        <v>2781</v>
      </c>
      <c r="AF14" s="401" t="s">
        <v>2789</v>
      </c>
      <c r="AG14" s="401" t="s">
        <v>2798</v>
      </c>
      <c r="AH14" s="401" t="s">
        <v>2806</v>
      </c>
      <c r="AI14" s="401" t="s">
        <v>2814</v>
      </c>
      <c r="AJ14" s="401" t="s">
        <v>2823</v>
      </c>
      <c r="AK14" s="401" t="s">
        <v>2832</v>
      </c>
      <c r="AL14" s="401" t="s">
        <v>2839</v>
      </c>
      <c r="AM14" s="401" t="s">
        <v>2846</v>
      </c>
      <c r="AN14" s="401" t="s">
        <v>2855</v>
      </c>
      <c r="AO14" s="401" t="s">
        <v>2864</v>
      </c>
      <c r="AP14" s="401" t="s">
        <v>2874</v>
      </c>
      <c r="AQ14" s="401" t="s">
        <v>2880</v>
      </c>
      <c r="AR14" s="401" t="s">
        <v>2880</v>
      </c>
      <c r="AS14" s="401" t="s">
        <v>2884</v>
      </c>
      <c r="AT14" s="401" t="s">
        <v>2890</v>
      </c>
      <c r="AU14" s="401" t="s">
        <v>2897</v>
      </c>
      <c r="AV14" s="401" t="s">
        <v>2906</v>
      </c>
      <c r="AW14" s="216" t="s">
        <v>2915</v>
      </c>
      <c r="AX14" s="216" t="s">
        <v>2924</v>
      </c>
    </row>
    <row r="15" spans="1:50" ht="15" customHeight="1" x14ac:dyDescent="0.35">
      <c r="A15" s="386" t="s">
        <v>3034</v>
      </c>
      <c r="B15" s="386"/>
      <c r="C15" s="753" t="s">
        <v>48</v>
      </c>
      <c r="D15" s="384" t="s">
        <v>56</v>
      </c>
      <c r="E15" s="190"/>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211"/>
      <c r="AH15" s="211"/>
      <c r="AI15" s="211"/>
      <c r="AJ15" s="211"/>
      <c r="AK15" s="211"/>
      <c r="AL15" s="211"/>
      <c r="AM15" s="211"/>
      <c r="AN15" s="211"/>
      <c r="AO15" s="211"/>
      <c r="AP15" s="211"/>
      <c r="AQ15" s="211"/>
      <c r="AR15" s="211"/>
      <c r="AS15" s="211"/>
      <c r="AT15" s="211"/>
      <c r="AU15" s="211"/>
      <c r="AV15" s="211"/>
      <c r="AW15" s="400"/>
      <c r="AX15" s="400"/>
    </row>
    <row r="16" spans="1:50" ht="15" customHeight="1" x14ac:dyDescent="0.35">
      <c r="A16" s="386" t="s">
        <v>3035</v>
      </c>
      <c r="B16" s="386"/>
      <c r="C16" s="754"/>
      <c r="D16" s="384" t="s">
        <v>57</v>
      </c>
      <c r="E16" s="190"/>
      <c r="F16" s="190"/>
      <c r="G16" s="190"/>
      <c r="H16" s="190"/>
      <c r="I16" s="190"/>
      <c r="J16" s="190"/>
      <c r="K16" s="190"/>
      <c r="L16" s="190"/>
      <c r="M16" s="190"/>
      <c r="N16" s="190"/>
      <c r="O16" s="190"/>
      <c r="P16" s="190"/>
      <c r="Q16" s="190"/>
      <c r="R16" s="190"/>
      <c r="S16" s="190"/>
      <c r="T16" s="190"/>
      <c r="U16" s="190"/>
      <c r="V16" s="190"/>
      <c r="W16" s="190"/>
      <c r="X16" s="190"/>
      <c r="Y16" s="190"/>
      <c r="Z16" s="190"/>
      <c r="AA16" s="190"/>
      <c r="AB16" s="190"/>
      <c r="AC16" s="190"/>
      <c r="AD16" s="190"/>
      <c r="AE16" s="190"/>
      <c r="AF16" s="190"/>
      <c r="AG16" s="211"/>
      <c r="AH16" s="211"/>
      <c r="AI16" s="211"/>
      <c r="AJ16" s="211"/>
      <c r="AK16" s="211"/>
      <c r="AL16" s="211"/>
      <c r="AM16" s="211"/>
      <c r="AN16" s="211"/>
      <c r="AO16" s="211"/>
      <c r="AP16" s="211"/>
      <c r="AQ16" s="211"/>
      <c r="AR16" s="211"/>
      <c r="AS16" s="211"/>
      <c r="AT16" s="211"/>
      <c r="AU16" s="211"/>
      <c r="AV16" s="211"/>
      <c r="AW16" s="400"/>
      <c r="AX16" s="400"/>
    </row>
    <row r="17" spans="1:50" ht="15" customHeight="1" x14ac:dyDescent="0.35">
      <c r="A17" s="386" t="s">
        <v>3036</v>
      </c>
      <c r="B17" s="386"/>
      <c r="C17" s="755"/>
      <c r="D17" s="384" t="s">
        <v>67</v>
      </c>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211"/>
      <c r="AH17" s="211"/>
      <c r="AI17" s="211"/>
      <c r="AJ17" s="211"/>
      <c r="AK17" s="211"/>
      <c r="AL17" s="211"/>
      <c r="AM17" s="211"/>
      <c r="AN17" s="211"/>
      <c r="AO17" s="211"/>
      <c r="AP17" s="211"/>
      <c r="AQ17" s="211"/>
      <c r="AR17" s="211"/>
      <c r="AS17" s="211"/>
      <c r="AT17" s="211"/>
      <c r="AU17" s="211"/>
      <c r="AV17" s="211"/>
      <c r="AW17" s="400"/>
      <c r="AX17" s="400"/>
    </row>
    <row r="18" spans="1:50" ht="15" customHeight="1" x14ac:dyDescent="0.35">
      <c r="A18" s="386" t="s">
        <v>3037</v>
      </c>
      <c r="B18" s="386"/>
      <c r="C18" s="756" t="s">
        <v>49</v>
      </c>
      <c r="D18" s="385" t="s">
        <v>58</v>
      </c>
      <c r="E18" s="409" t="s">
        <v>2535</v>
      </c>
      <c r="F18" s="410" t="s">
        <v>2547</v>
      </c>
      <c r="G18" s="410" t="s">
        <v>2535</v>
      </c>
      <c r="H18" s="410" t="s">
        <v>2565</v>
      </c>
      <c r="I18" s="410" t="s">
        <v>2575</v>
      </c>
      <c r="J18" s="410" t="s">
        <v>2585</v>
      </c>
      <c r="K18" s="410" t="s">
        <v>2595</v>
      </c>
      <c r="L18" s="410" t="s">
        <v>2605</v>
      </c>
      <c r="M18" s="410" t="s">
        <v>2615</v>
      </c>
      <c r="N18" s="409" t="s">
        <v>2624</v>
      </c>
      <c r="O18" s="410" t="s">
        <v>2634</v>
      </c>
      <c r="P18" s="409" t="s">
        <v>2646</v>
      </c>
      <c r="Q18" s="410" t="s">
        <v>2535</v>
      </c>
      <c r="R18" s="410" t="s">
        <v>2664</v>
      </c>
      <c r="S18" s="410" t="s">
        <v>2674</v>
      </c>
      <c r="T18" s="409" t="s">
        <v>2684</v>
      </c>
      <c r="U18" s="410" t="s">
        <v>2605</v>
      </c>
      <c r="V18" s="409" t="s">
        <v>2535</v>
      </c>
      <c r="W18" s="410" t="s">
        <v>2707</v>
      </c>
      <c r="X18" s="410" t="s">
        <v>2716</v>
      </c>
      <c r="Y18" s="410" t="s">
        <v>2726</v>
      </c>
      <c r="Z18" s="410" t="s">
        <v>2736</v>
      </c>
      <c r="AA18" s="410" t="s">
        <v>2664</v>
      </c>
      <c r="AB18" s="410" t="s">
        <v>2754</v>
      </c>
      <c r="AC18" s="409" t="s">
        <v>2764</v>
      </c>
      <c r="AD18" s="401" t="s">
        <v>2773</v>
      </c>
      <c r="AE18" s="409" t="s">
        <v>2782</v>
      </c>
      <c r="AF18" s="409" t="s">
        <v>2790</v>
      </c>
      <c r="AG18" s="410" t="s">
        <v>2799</v>
      </c>
      <c r="AH18" s="409" t="s">
        <v>2716</v>
      </c>
      <c r="AI18" s="409" t="s">
        <v>2815</v>
      </c>
      <c r="AJ18" s="409" t="s">
        <v>2824</v>
      </c>
      <c r="AK18" s="409" t="s">
        <v>2605</v>
      </c>
      <c r="AL18" s="409" t="s">
        <v>2605</v>
      </c>
      <c r="AM18" s="409" t="s">
        <v>2847</v>
      </c>
      <c r="AN18" s="409" t="s">
        <v>2856</v>
      </c>
      <c r="AO18" s="409" t="s">
        <v>2865</v>
      </c>
      <c r="AP18" s="409" t="s">
        <v>2875</v>
      </c>
      <c r="AQ18" s="409"/>
      <c r="AR18" s="409"/>
      <c r="AS18" s="409" t="s">
        <v>2535</v>
      </c>
      <c r="AT18" s="409" t="s">
        <v>2535</v>
      </c>
      <c r="AU18" s="409" t="s">
        <v>2898</v>
      </c>
      <c r="AV18" s="409" t="s">
        <v>2907</v>
      </c>
      <c r="AW18" s="400" t="s">
        <v>2916</v>
      </c>
      <c r="AX18" s="400" t="s">
        <v>2925</v>
      </c>
    </row>
    <row r="19" spans="1:50" ht="15" customHeight="1" x14ac:dyDescent="0.35">
      <c r="A19" s="386" t="s">
        <v>3038</v>
      </c>
      <c r="B19" s="386"/>
      <c r="C19" s="756"/>
      <c r="D19" s="385" t="s">
        <v>59</v>
      </c>
      <c r="E19" s="192" t="s">
        <v>2536</v>
      </c>
      <c r="F19" s="192" t="s">
        <v>2548</v>
      </c>
      <c r="G19" s="192" t="s">
        <v>2536</v>
      </c>
      <c r="H19" s="192" t="s">
        <v>2566</v>
      </c>
      <c r="I19" s="192" t="s">
        <v>2576</v>
      </c>
      <c r="J19" s="192" t="s">
        <v>2586</v>
      </c>
      <c r="K19" s="192" t="s">
        <v>2596</v>
      </c>
      <c r="L19" s="192" t="s">
        <v>2606</v>
      </c>
      <c r="M19" s="192" t="s">
        <v>2616</v>
      </c>
      <c r="N19" s="192" t="s">
        <v>2625</v>
      </c>
      <c r="O19" s="192" t="s">
        <v>2635</v>
      </c>
      <c r="P19" s="192" t="s">
        <v>2647</v>
      </c>
      <c r="Q19" s="192" t="s">
        <v>2536</v>
      </c>
      <c r="R19" s="192" t="s">
        <v>2665</v>
      </c>
      <c r="S19" s="192" t="s">
        <v>2675</v>
      </c>
      <c r="T19" s="192" t="s">
        <v>2685</v>
      </c>
      <c r="U19" s="192" t="s">
        <v>2606</v>
      </c>
      <c r="V19" s="192" t="s">
        <v>2536</v>
      </c>
      <c r="W19" s="192" t="s">
        <v>2708</v>
      </c>
      <c r="X19" s="192" t="s">
        <v>2717</v>
      </c>
      <c r="Y19" s="192" t="s">
        <v>2727</v>
      </c>
      <c r="Z19" s="192" t="s">
        <v>2737</v>
      </c>
      <c r="AA19" s="190" t="s">
        <v>2665</v>
      </c>
      <c r="AB19" s="192" t="s">
        <v>2755</v>
      </c>
      <c r="AC19" s="192" t="s">
        <v>2765</v>
      </c>
      <c r="AD19" s="192" t="s">
        <v>2774</v>
      </c>
      <c r="AE19" s="192" t="s">
        <v>2783</v>
      </c>
      <c r="AF19" s="192" t="s">
        <v>2791</v>
      </c>
      <c r="AG19" s="212" t="s">
        <v>2800</v>
      </c>
      <c r="AH19" s="212" t="s">
        <v>2717</v>
      </c>
      <c r="AI19" s="212" t="s">
        <v>2816</v>
      </c>
      <c r="AJ19" s="212" t="s">
        <v>2825</v>
      </c>
      <c r="AK19" s="212" t="s">
        <v>2606</v>
      </c>
      <c r="AL19" s="212" t="s">
        <v>2606</v>
      </c>
      <c r="AM19" s="212" t="s">
        <v>2848</v>
      </c>
      <c r="AN19" s="212" t="s">
        <v>2857</v>
      </c>
      <c r="AO19" s="212" t="s">
        <v>2612</v>
      </c>
      <c r="AP19" s="212" t="s">
        <v>2876</v>
      </c>
      <c r="AQ19" s="212"/>
      <c r="AR19" s="212"/>
      <c r="AS19" s="212" t="s">
        <v>2536</v>
      </c>
      <c r="AT19" s="212" t="s">
        <v>2536</v>
      </c>
      <c r="AU19" s="212" t="s">
        <v>2899</v>
      </c>
      <c r="AV19" s="212" t="s">
        <v>2908</v>
      </c>
      <c r="AW19" s="216" t="s">
        <v>2917</v>
      </c>
      <c r="AX19" s="216" t="s">
        <v>2926</v>
      </c>
    </row>
    <row r="20" spans="1:50" ht="15" customHeight="1" x14ac:dyDescent="0.35">
      <c r="A20" s="386" t="s">
        <v>3039</v>
      </c>
      <c r="B20" s="386"/>
      <c r="C20" s="750" t="s">
        <v>50</v>
      </c>
      <c r="D20" s="385" t="s">
        <v>66</v>
      </c>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211"/>
      <c r="AH20" s="211"/>
      <c r="AI20" s="211"/>
      <c r="AJ20" s="211"/>
      <c r="AK20" s="211"/>
      <c r="AL20" s="211"/>
      <c r="AM20" s="211"/>
      <c r="AN20" s="211"/>
      <c r="AO20" s="211"/>
      <c r="AP20" s="211"/>
      <c r="AQ20" s="211"/>
      <c r="AR20" s="211"/>
      <c r="AS20" s="211"/>
      <c r="AT20" s="211"/>
      <c r="AU20" s="211"/>
      <c r="AV20" s="211"/>
      <c r="AW20" s="400"/>
      <c r="AX20" s="400"/>
    </row>
    <row r="21" spans="1:50" ht="15" customHeight="1" x14ac:dyDescent="0.35">
      <c r="A21" s="386" t="s">
        <v>3040</v>
      </c>
      <c r="B21" s="386"/>
      <c r="C21" s="750"/>
      <c r="D21" s="385" t="s">
        <v>60</v>
      </c>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211"/>
      <c r="AH21" s="211"/>
      <c r="AI21" s="211"/>
      <c r="AJ21" s="211"/>
      <c r="AK21" s="211"/>
      <c r="AL21" s="211"/>
      <c r="AM21" s="211"/>
      <c r="AN21" s="211"/>
      <c r="AO21" s="211"/>
      <c r="AP21" s="211"/>
      <c r="AQ21" s="211"/>
      <c r="AR21" s="211"/>
      <c r="AS21" s="211"/>
      <c r="AT21" s="211"/>
      <c r="AU21" s="211"/>
      <c r="AV21" s="211"/>
      <c r="AW21" s="400"/>
      <c r="AX21" s="400"/>
    </row>
    <row r="22" spans="1:50" ht="15" customHeight="1" x14ac:dyDescent="0.35">
      <c r="A22" s="386" t="s">
        <v>3041</v>
      </c>
      <c r="B22" s="386"/>
      <c r="C22" s="750"/>
      <c r="D22" s="385" t="s">
        <v>61</v>
      </c>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211"/>
      <c r="AH22" s="211"/>
      <c r="AI22" s="211"/>
      <c r="AJ22" s="211"/>
      <c r="AK22" s="211"/>
      <c r="AL22" s="211"/>
      <c r="AM22" s="211"/>
      <c r="AN22" s="211"/>
      <c r="AO22" s="211"/>
      <c r="AP22" s="211"/>
      <c r="AQ22" s="211"/>
      <c r="AR22" s="211"/>
      <c r="AS22" s="211"/>
      <c r="AT22" s="211"/>
      <c r="AU22" s="211"/>
      <c r="AV22" s="211"/>
      <c r="AW22" s="400"/>
      <c r="AX22" s="400"/>
    </row>
    <row r="23" spans="1:50" ht="15" customHeight="1" x14ac:dyDescent="0.35">
      <c r="A23" s="386" t="s">
        <v>3042</v>
      </c>
      <c r="B23" s="386"/>
      <c r="C23" s="750" t="s">
        <v>51</v>
      </c>
      <c r="D23" s="385" t="s">
        <v>62</v>
      </c>
      <c r="E23" s="401" t="s">
        <v>2537</v>
      </c>
      <c r="F23" s="403" t="s">
        <v>2549</v>
      </c>
      <c r="G23" s="212" t="s">
        <v>2558</v>
      </c>
      <c r="H23" s="212" t="s">
        <v>2567</v>
      </c>
      <c r="I23" s="403" t="s">
        <v>2577</v>
      </c>
      <c r="J23" s="403" t="s">
        <v>2587</v>
      </c>
      <c r="K23" s="212" t="s">
        <v>2597</v>
      </c>
      <c r="L23" s="403" t="s">
        <v>2607</v>
      </c>
      <c r="M23" s="403" t="s">
        <v>2617</v>
      </c>
      <c r="N23" s="401" t="s">
        <v>2626</v>
      </c>
      <c r="O23" s="403" t="s">
        <v>2636</v>
      </c>
      <c r="P23" s="401" t="s">
        <v>2648</v>
      </c>
      <c r="Q23" s="212" t="s">
        <v>2656</v>
      </c>
      <c r="R23" s="212" t="s">
        <v>2666</v>
      </c>
      <c r="S23" s="212" t="s">
        <v>2676</v>
      </c>
      <c r="T23" s="401" t="s">
        <v>2686</v>
      </c>
      <c r="U23" s="403" t="s">
        <v>2693</v>
      </c>
      <c r="V23" s="401" t="s">
        <v>2700</v>
      </c>
      <c r="W23" s="403" t="s">
        <v>2709</v>
      </c>
      <c r="X23" s="403" t="s">
        <v>2718</v>
      </c>
      <c r="Y23" s="411" t="s">
        <v>2728</v>
      </c>
      <c r="Z23" s="212" t="s">
        <v>2738</v>
      </c>
      <c r="AA23" s="403" t="s">
        <v>2746</v>
      </c>
      <c r="AB23" s="403" t="s">
        <v>2756</v>
      </c>
      <c r="AC23" s="401" t="s">
        <v>2766</v>
      </c>
      <c r="AD23" s="401" t="s">
        <v>2775</v>
      </c>
      <c r="AE23" s="401" t="s">
        <v>2784</v>
      </c>
      <c r="AF23" s="401" t="s">
        <v>2792</v>
      </c>
      <c r="AG23" s="401" t="s">
        <v>2801</v>
      </c>
      <c r="AH23" s="401" t="s">
        <v>2807</v>
      </c>
      <c r="AI23" s="401" t="s">
        <v>2817</v>
      </c>
      <c r="AJ23" s="401" t="s">
        <v>2826</v>
      </c>
      <c r="AK23" s="401" t="s">
        <v>2833</v>
      </c>
      <c r="AL23" s="401" t="s">
        <v>2840</v>
      </c>
      <c r="AM23" s="401" t="s">
        <v>2849</v>
      </c>
      <c r="AN23" s="401" t="s">
        <v>2858</v>
      </c>
      <c r="AO23" s="401" t="s">
        <v>2866</v>
      </c>
      <c r="AP23" s="401"/>
      <c r="AQ23" s="401"/>
      <c r="AR23" s="401"/>
      <c r="AS23" s="401" t="s">
        <v>2885</v>
      </c>
      <c r="AT23" s="401" t="s">
        <v>2891</v>
      </c>
      <c r="AU23" s="401" t="s">
        <v>2900</v>
      </c>
      <c r="AV23" s="401" t="s">
        <v>2909</v>
      </c>
      <c r="AW23" s="400" t="s">
        <v>2918</v>
      </c>
      <c r="AX23" s="400" t="s">
        <v>2927</v>
      </c>
    </row>
    <row r="24" spans="1:50" ht="15" customHeight="1" x14ac:dyDescent="0.35">
      <c r="A24" s="386" t="s">
        <v>3043</v>
      </c>
      <c r="B24" s="386"/>
      <c r="C24" s="750"/>
      <c r="D24" s="385" t="s">
        <v>63</v>
      </c>
      <c r="E24" s="412" t="s">
        <v>2538</v>
      </c>
      <c r="F24" s="412" t="s">
        <v>2550</v>
      </c>
      <c r="G24" s="412" t="s">
        <v>2559</v>
      </c>
      <c r="H24" s="412" t="s">
        <v>2568</v>
      </c>
      <c r="I24" s="412" t="s">
        <v>2578</v>
      </c>
      <c r="J24" s="412" t="s">
        <v>2588</v>
      </c>
      <c r="K24" s="412" t="s">
        <v>2598</v>
      </c>
      <c r="L24" s="412" t="s">
        <v>2608</v>
      </c>
      <c r="M24" s="412" t="s">
        <v>2618</v>
      </c>
      <c r="N24" s="412" t="s">
        <v>2627</v>
      </c>
      <c r="O24" s="412" t="s">
        <v>2637</v>
      </c>
      <c r="P24" s="412" t="s">
        <v>2649</v>
      </c>
      <c r="Q24" s="412" t="s">
        <v>2657</v>
      </c>
      <c r="R24" s="412" t="s">
        <v>2667</v>
      </c>
      <c r="S24" s="412" t="s">
        <v>2677</v>
      </c>
      <c r="T24" s="412" t="s">
        <v>2687</v>
      </c>
      <c r="U24" s="412" t="s">
        <v>2694</v>
      </c>
      <c r="V24" s="412" t="s">
        <v>2701</v>
      </c>
      <c r="W24" s="412" t="s">
        <v>2710</v>
      </c>
      <c r="X24" s="412" t="s">
        <v>2719</v>
      </c>
      <c r="Y24" s="412" t="s">
        <v>2729</v>
      </c>
      <c r="Z24" s="412" t="s">
        <v>2739</v>
      </c>
      <c r="AA24" s="408" t="s">
        <v>2747</v>
      </c>
      <c r="AB24" s="190" t="s">
        <v>2757</v>
      </c>
      <c r="AC24" s="190" t="s">
        <v>2767</v>
      </c>
      <c r="AD24" s="190" t="s">
        <v>2776</v>
      </c>
      <c r="AE24" s="190" t="s">
        <v>2785</v>
      </c>
      <c r="AF24" s="190" t="s">
        <v>2793</v>
      </c>
      <c r="AG24" s="211" t="s">
        <v>2802</v>
      </c>
      <c r="AH24" s="211" t="s">
        <v>2808</v>
      </c>
      <c r="AI24" s="211" t="s">
        <v>2818</v>
      </c>
      <c r="AJ24" s="211" t="s">
        <v>2827</v>
      </c>
      <c r="AK24" s="211" t="s">
        <v>2834</v>
      </c>
      <c r="AL24" s="211" t="s">
        <v>2841</v>
      </c>
      <c r="AM24" s="211" t="s">
        <v>2850</v>
      </c>
      <c r="AN24" s="211" t="s">
        <v>2859</v>
      </c>
      <c r="AO24" s="211" t="s">
        <v>2867</v>
      </c>
      <c r="AP24" s="211"/>
      <c r="AQ24" s="211"/>
      <c r="AR24" s="211"/>
      <c r="AS24" s="211" t="s">
        <v>2886</v>
      </c>
      <c r="AT24" s="211" t="s">
        <v>2892</v>
      </c>
      <c r="AU24" s="211" t="s">
        <v>2901</v>
      </c>
      <c r="AV24" s="211" t="s">
        <v>2910</v>
      </c>
      <c r="AW24" s="400" t="s">
        <v>2919</v>
      </c>
      <c r="AX24" s="400" t="s">
        <v>2928</v>
      </c>
    </row>
    <row r="25" spans="1:50" ht="15" customHeight="1" x14ac:dyDescent="0.35">
      <c r="A25" s="386" t="s">
        <v>3044</v>
      </c>
      <c r="B25" s="386"/>
      <c r="C25" s="757" t="s">
        <v>52</v>
      </c>
      <c r="D25" s="757"/>
      <c r="E25" s="412" t="s">
        <v>2534</v>
      </c>
      <c r="F25" s="412" t="s">
        <v>2546</v>
      </c>
      <c r="G25" s="412" t="s">
        <v>2557</v>
      </c>
      <c r="H25" s="412" t="s">
        <v>2564</v>
      </c>
      <c r="I25" s="412" t="s">
        <v>2574</v>
      </c>
      <c r="J25" s="412" t="s">
        <v>2584</v>
      </c>
      <c r="K25" s="412" t="s">
        <v>2594</v>
      </c>
      <c r="L25" s="412" t="s">
        <v>2604</v>
      </c>
      <c r="M25" s="412" t="s">
        <v>2614</v>
      </c>
      <c r="N25" s="412" t="s">
        <v>2623</v>
      </c>
      <c r="O25" s="412" t="s">
        <v>2633</v>
      </c>
      <c r="P25" s="412" t="s">
        <v>2645</v>
      </c>
      <c r="Q25" s="412" t="s">
        <v>2655</v>
      </c>
      <c r="R25" s="412" t="s">
        <v>2663</v>
      </c>
      <c r="S25" s="413" t="s">
        <v>2673</v>
      </c>
      <c r="T25" s="413" t="s">
        <v>2683</v>
      </c>
      <c r="U25" s="413" t="s">
        <v>2692</v>
      </c>
      <c r="V25" s="413" t="s">
        <v>2699</v>
      </c>
      <c r="W25" s="413" t="s">
        <v>2706</v>
      </c>
      <c r="X25" s="413" t="s">
        <v>2715</v>
      </c>
      <c r="Y25" s="412" t="s">
        <v>2725</v>
      </c>
      <c r="Z25" s="412" t="s">
        <v>2735</v>
      </c>
      <c r="AA25" s="414" t="s">
        <v>2745</v>
      </c>
      <c r="AB25" s="192" t="s">
        <v>2753</v>
      </c>
      <c r="AC25" s="192" t="s">
        <v>2763</v>
      </c>
      <c r="AD25" s="192" t="s">
        <v>2772</v>
      </c>
      <c r="AE25" s="192" t="s">
        <v>2781</v>
      </c>
      <c r="AF25" s="192" t="s">
        <v>2789</v>
      </c>
      <c r="AG25" s="212" t="s">
        <v>2798</v>
      </c>
      <c r="AH25" s="212" t="s">
        <v>2806</v>
      </c>
      <c r="AI25" s="212" t="s">
        <v>2814</v>
      </c>
      <c r="AJ25" s="212" t="s">
        <v>2823</v>
      </c>
      <c r="AK25" s="212" t="s">
        <v>2832</v>
      </c>
      <c r="AL25" s="212" t="s">
        <v>2839</v>
      </c>
      <c r="AM25" s="212" t="s">
        <v>2846</v>
      </c>
      <c r="AN25" s="212" t="s">
        <v>2855</v>
      </c>
      <c r="AO25" s="212" t="s">
        <v>2864</v>
      </c>
      <c r="AP25" s="212"/>
      <c r="AQ25" s="212" t="s">
        <v>2880</v>
      </c>
      <c r="AR25" s="212" t="s">
        <v>2880</v>
      </c>
      <c r="AS25" s="212" t="s">
        <v>2884</v>
      </c>
      <c r="AT25" s="212" t="s">
        <v>2890</v>
      </c>
      <c r="AU25" s="212" t="s">
        <v>2897</v>
      </c>
      <c r="AV25" s="212" t="s">
        <v>2906</v>
      </c>
      <c r="AW25" s="216" t="s">
        <v>2915</v>
      </c>
      <c r="AX25" s="216" t="s">
        <v>2924</v>
      </c>
    </row>
    <row r="26" spans="1:50" ht="15" customHeight="1" x14ac:dyDescent="0.35">
      <c r="A26" s="386" t="s">
        <v>3045</v>
      </c>
      <c r="B26" s="386"/>
      <c r="C26" s="758" t="s">
        <v>53</v>
      </c>
      <c r="D26" s="759"/>
      <c r="E26" s="415" t="s">
        <v>2539</v>
      </c>
      <c r="F26" s="415" t="s">
        <v>2551</v>
      </c>
      <c r="G26" s="415" t="s">
        <v>2560</v>
      </c>
      <c r="H26" s="415" t="s">
        <v>2569</v>
      </c>
      <c r="I26" s="415" t="s">
        <v>2579</v>
      </c>
      <c r="J26" s="415" t="s">
        <v>2589</v>
      </c>
      <c r="K26" s="415" t="s">
        <v>2599</v>
      </c>
      <c r="L26" s="415" t="s">
        <v>2609</v>
      </c>
      <c r="M26" s="415" t="s">
        <v>2619</v>
      </c>
      <c r="N26" s="415" t="s">
        <v>2628</v>
      </c>
      <c r="O26" s="415" t="s">
        <v>2638</v>
      </c>
      <c r="P26" s="415" t="s">
        <v>2650</v>
      </c>
      <c r="Q26" s="415" t="s">
        <v>2658</v>
      </c>
      <c r="R26" s="415" t="s">
        <v>2668</v>
      </c>
      <c r="S26" s="416" t="s">
        <v>2678</v>
      </c>
      <c r="T26" s="416" t="s">
        <v>2688</v>
      </c>
      <c r="U26" s="416" t="s">
        <v>2695</v>
      </c>
      <c r="V26" s="416" t="s">
        <v>2702</v>
      </c>
      <c r="W26" s="416" t="s">
        <v>2711</v>
      </c>
      <c r="X26" s="416" t="s">
        <v>2720</v>
      </c>
      <c r="Y26" s="415" t="s">
        <v>2730</v>
      </c>
      <c r="Z26" s="415" t="s">
        <v>2740</v>
      </c>
      <c r="AA26" s="398" t="s">
        <v>2748</v>
      </c>
      <c r="AB26" s="190" t="s">
        <v>2758</v>
      </c>
      <c r="AC26" s="190" t="s">
        <v>2768</v>
      </c>
      <c r="AD26" s="190" t="s">
        <v>2777</v>
      </c>
      <c r="AE26" s="190" t="s">
        <v>2786</v>
      </c>
      <c r="AF26" s="190" t="s">
        <v>2794</v>
      </c>
      <c r="AG26" s="211" t="s">
        <v>2803</v>
      </c>
      <c r="AH26" s="211" t="s">
        <v>2809</v>
      </c>
      <c r="AI26" s="211" t="s">
        <v>2819</v>
      </c>
      <c r="AJ26" s="211" t="s">
        <v>2828</v>
      </c>
      <c r="AK26" s="211" t="s">
        <v>2835</v>
      </c>
      <c r="AL26" s="211" t="s">
        <v>2842</v>
      </c>
      <c r="AM26" s="211" t="s">
        <v>2851</v>
      </c>
      <c r="AN26" s="211" t="s">
        <v>2860</v>
      </c>
      <c r="AO26" s="211" t="s">
        <v>2868</v>
      </c>
      <c r="AP26" s="211"/>
      <c r="AQ26" s="211"/>
      <c r="AR26" s="211"/>
      <c r="AS26" s="211" t="s">
        <v>2887</v>
      </c>
      <c r="AT26" s="211" t="s">
        <v>2893</v>
      </c>
      <c r="AU26" s="211" t="s">
        <v>2902</v>
      </c>
      <c r="AV26" s="211" t="s">
        <v>2911</v>
      </c>
      <c r="AW26" s="400" t="s">
        <v>2920</v>
      </c>
      <c r="AX26" s="400" t="s">
        <v>2929</v>
      </c>
    </row>
    <row r="27" spans="1:50" ht="15" customHeight="1" x14ac:dyDescent="0.35">
      <c r="A27" s="386" t="s">
        <v>3046</v>
      </c>
      <c r="B27" s="386"/>
      <c r="C27" s="750" t="s">
        <v>54</v>
      </c>
      <c r="D27" s="385" t="s">
        <v>62</v>
      </c>
      <c r="E27" s="401" t="s">
        <v>2540</v>
      </c>
      <c r="F27" s="401" t="s">
        <v>2552</v>
      </c>
      <c r="G27" s="401" t="s">
        <v>2540</v>
      </c>
      <c r="H27" s="401" t="s">
        <v>2540</v>
      </c>
      <c r="I27" s="403" t="s">
        <v>2580</v>
      </c>
      <c r="J27" s="401" t="s">
        <v>2540</v>
      </c>
      <c r="K27" s="401" t="s">
        <v>2600</v>
      </c>
      <c r="L27" s="401" t="s">
        <v>2553</v>
      </c>
      <c r="M27" s="401" t="s">
        <v>2540</v>
      </c>
      <c r="N27" s="401" t="s">
        <v>2540</v>
      </c>
      <c r="O27" s="401" t="s">
        <v>2639</v>
      </c>
      <c r="P27" s="401" t="s">
        <v>2651</v>
      </c>
      <c r="Q27" s="401" t="s">
        <v>2553</v>
      </c>
      <c r="R27" s="401" t="s">
        <v>2540</v>
      </c>
      <c r="S27" s="403" t="s">
        <v>2552</v>
      </c>
      <c r="T27" s="403" t="s">
        <v>2600</v>
      </c>
      <c r="U27" s="403" t="s">
        <v>2552</v>
      </c>
      <c r="V27" s="403" t="s">
        <v>2540</v>
      </c>
      <c r="W27" s="403" t="s">
        <v>2540</v>
      </c>
      <c r="X27" s="403" t="s">
        <v>2552</v>
      </c>
      <c r="Y27" s="401" t="s">
        <v>2600</v>
      </c>
      <c r="Z27" s="401" t="s">
        <v>2741</v>
      </c>
      <c r="AA27" s="401" t="s">
        <v>2600</v>
      </c>
      <c r="AB27" s="401" t="s">
        <v>2540</v>
      </c>
      <c r="AC27" s="401" t="s">
        <v>2540</v>
      </c>
      <c r="AD27" s="401" t="s">
        <v>2540</v>
      </c>
      <c r="AE27" s="401" t="s">
        <v>2552</v>
      </c>
      <c r="AF27" s="401" t="s">
        <v>2553</v>
      </c>
      <c r="AG27" s="401" t="s">
        <v>2651</v>
      </c>
      <c r="AH27" s="401" t="s">
        <v>2540</v>
      </c>
      <c r="AI27" s="401" t="s">
        <v>2600</v>
      </c>
      <c r="AJ27" s="401" t="s">
        <v>2540</v>
      </c>
      <c r="AK27" s="401" t="s">
        <v>2540</v>
      </c>
      <c r="AL27" s="401" t="s">
        <v>2540</v>
      </c>
      <c r="AM27" s="401" t="s">
        <v>2540</v>
      </c>
      <c r="AN27" s="401" t="s">
        <v>2540</v>
      </c>
      <c r="AO27" s="401" t="s">
        <v>2869</v>
      </c>
      <c r="AP27" s="401"/>
      <c r="AQ27" s="401" t="e">
        <v>#N/A</v>
      </c>
      <c r="AR27" s="401" t="e">
        <v>#N/A</v>
      </c>
      <c r="AS27" s="401" t="s">
        <v>2651</v>
      </c>
      <c r="AT27" s="401" t="s">
        <v>2651</v>
      </c>
      <c r="AU27" s="401" t="s">
        <v>2651</v>
      </c>
      <c r="AV27" s="401" t="s">
        <v>2540</v>
      </c>
      <c r="AW27" s="400" t="s">
        <v>2600</v>
      </c>
      <c r="AX27" s="400" t="s">
        <v>2600</v>
      </c>
    </row>
    <row r="28" spans="1:50" ht="15" customHeight="1" x14ac:dyDescent="0.35">
      <c r="A28" s="386" t="s">
        <v>3047</v>
      </c>
      <c r="B28" s="386"/>
      <c r="C28" s="750"/>
      <c r="D28" s="385" t="s">
        <v>63</v>
      </c>
      <c r="E28" s="412" t="s">
        <v>2541</v>
      </c>
      <c r="F28" s="412" t="s">
        <v>2553</v>
      </c>
      <c r="G28" s="412" t="s">
        <v>2541</v>
      </c>
      <c r="H28" s="412" t="s">
        <v>2541</v>
      </c>
      <c r="I28" s="412" t="s">
        <v>2541</v>
      </c>
      <c r="J28" s="412" t="s">
        <v>2552</v>
      </c>
      <c r="K28" s="412" t="s">
        <v>2541</v>
      </c>
      <c r="L28" s="412" t="s">
        <v>2553</v>
      </c>
      <c r="M28" s="412" t="s">
        <v>2553</v>
      </c>
      <c r="N28" s="412" t="s">
        <v>2541</v>
      </c>
      <c r="O28" s="412" t="s">
        <v>2640</v>
      </c>
      <c r="P28" s="412" t="s">
        <v>2541</v>
      </c>
      <c r="Q28" s="412" t="s">
        <v>2553</v>
      </c>
      <c r="R28" s="412" t="s">
        <v>2540</v>
      </c>
      <c r="S28" s="413" t="s">
        <v>2541</v>
      </c>
      <c r="T28" s="413" t="s">
        <v>2600</v>
      </c>
      <c r="U28" s="413" t="s">
        <v>2600</v>
      </c>
      <c r="V28" s="413" t="s">
        <v>2541</v>
      </c>
      <c r="W28" s="413" t="s">
        <v>2541</v>
      </c>
      <c r="X28" s="413" t="s">
        <v>2553</v>
      </c>
      <c r="Y28" s="412" t="s">
        <v>2541</v>
      </c>
      <c r="Z28" s="412" t="s">
        <v>2541</v>
      </c>
      <c r="AA28" s="408" t="s">
        <v>2541</v>
      </c>
      <c r="AB28" s="190" t="s">
        <v>2540</v>
      </c>
      <c r="AC28" s="190" t="s">
        <v>2540</v>
      </c>
      <c r="AD28" s="190" t="s">
        <v>2541</v>
      </c>
      <c r="AE28" s="190" t="s">
        <v>2600</v>
      </c>
      <c r="AF28" s="190" t="s">
        <v>2553</v>
      </c>
      <c r="AG28" s="211" t="s">
        <v>2541</v>
      </c>
      <c r="AH28" s="211" t="s">
        <v>2540</v>
      </c>
      <c r="AI28" s="211" t="s">
        <v>2541</v>
      </c>
      <c r="AJ28" s="211" t="s">
        <v>2553</v>
      </c>
      <c r="AK28" s="211" t="s">
        <v>2540</v>
      </c>
      <c r="AL28" s="211" t="s">
        <v>2553</v>
      </c>
      <c r="AM28" s="211" t="s">
        <v>2541</v>
      </c>
      <c r="AN28" s="211" t="s">
        <v>2552</v>
      </c>
      <c r="AO28" s="211" t="s">
        <v>2541</v>
      </c>
      <c r="AP28" s="211" t="e">
        <v>#N/A</v>
      </c>
      <c r="AQ28" s="211" t="e">
        <v>#N/A</v>
      </c>
      <c r="AR28" s="211" t="e">
        <v>#N/A</v>
      </c>
      <c r="AS28" s="211" t="s">
        <v>2541</v>
      </c>
      <c r="AT28" s="211" t="s">
        <v>2541</v>
      </c>
      <c r="AU28" s="211" t="s">
        <v>2541</v>
      </c>
      <c r="AV28" s="211" t="s">
        <v>2540</v>
      </c>
      <c r="AW28" s="400" t="s">
        <v>2541</v>
      </c>
      <c r="AX28" s="400" t="s">
        <v>2541</v>
      </c>
    </row>
    <row r="29" spans="1:50" ht="15" customHeight="1" x14ac:dyDescent="0.35">
      <c r="A29" s="386" t="s">
        <v>3048</v>
      </c>
      <c r="B29" s="386"/>
      <c r="C29" s="751" t="s">
        <v>55</v>
      </c>
      <c r="D29" s="385" t="s">
        <v>64</v>
      </c>
      <c r="E29" s="417"/>
      <c r="F29" s="418"/>
      <c r="G29" s="418"/>
      <c r="H29" s="418"/>
      <c r="I29" s="418"/>
      <c r="J29" s="419"/>
      <c r="K29" s="419"/>
      <c r="L29" s="419"/>
      <c r="M29" s="419"/>
      <c r="N29" s="419"/>
      <c r="O29" s="419"/>
      <c r="P29" s="419"/>
      <c r="Q29" s="419"/>
      <c r="R29" s="419"/>
      <c r="S29" s="400"/>
      <c r="T29" s="400"/>
      <c r="U29" s="400"/>
      <c r="V29" s="400"/>
      <c r="W29" s="400"/>
      <c r="X29" s="400"/>
      <c r="Y29" s="419"/>
      <c r="Z29" s="419"/>
      <c r="AA29" s="418"/>
      <c r="AB29" s="419"/>
      <c r="AC29" s="419"/>
      <c r="AD29" s="419"/>
      <c r="AE29" s="419"/>
      <c r="AF29" s="419"/>
      <c r="AG29" s="420"/>
      <c r="AH29" s="420"/>
      <c r="AI29" s="420"/>
      <c r="AJ29" s="420"/>
      <c r="AK29" s="420"/>
      <c r="AL29" s="420"/>
      <c r="AM29" s="420"/>
      <c r="AN29" s="420"/>
      <c r="AO29" s="420"/>
      <c r="AP29" s="420" t="s">
        <v>2877</v>
      </c>
      <c r="AQ29" s="420"/>
      <c r="AR29" s="420"/>
      <c r="AS29" s="420"/>
      <c r="AT29" s="420"/>
      <c r="AU29" s="420"/>
      <c r="AV29" s="420"/>
      <c r="AW29" s="420"/>
      <c r="AX29" s="420"/>
    </row>
    <row r="30" spans="1:50" ht="15" customHeight="1" x14ac:dyDescent="0.35">
      <c r="A30" s="386" t="s">
        <v>3049</v>
      </c>
      <c r="B30" s="386"/>
      <c r="C30" s="752"/>
      <c r="D30" s="385" t="s">
        <v>59</v>
      </c>
      <c r="E30" s="421"/>
      <c r="F30" s="422"/>
      <c r="G30" s="422"/>
      <c r="H30" s="422"/>
      <c r="I30" s="422"/>
      <c r="J30" s="420"/>
      <c r="K30" s="420"/>
      <c r="L30" s="420"/>
      <c r="M30" s="420"/>
      <c r="N30" s="420"/>
      <c r="O30" s="420"/>
      <c r="P30" s="420"/>
      <c r="Q30" s="420"/>
      <c r="R30" s="420"/>
      <c r="S30" s="420"/>
      <c r="T30" s="420"/>
      <c r="U30" s="420"/>
      <c r="V30" s="420"/>
      <c r="W30" s="400"/>
      <c r="X30" s="400"/>
      <c r="Y30" s="400"/>
      <c r="Z30" s="400"/>
      <c r="AA30" s="422"/>
      <c r="AB30" s="420"/>
      <c r="AC30" s="420"/>
      <c r="AD30" s="420"/>
      <c r="AE30" s="420"/>
      <c r="AF30" s="420"/>
      <c r="AG30" s="420"/>
      <c r="AH30" s="420"/>
      <c r="AI30" s="420"/>
      <c r="AJ30" s="420"/>
      <c r="AK30" s="420"/>
      <c r="AL30" s="420"/>
      <c r="AM30" s="420"/>
      <c r="AN30" s="420"/>
      <c r="AO30" s="420"/>
      <c r="AP30" s="420" t="s">
        <v>2874</v>
      </c>
      <c r="AQ30" s="420"/>
      <c r="AR30" s="420"/>
      <c r="AS30" s="420"/>
      <c r="AT30" s="420"/>
      <c r="AU30" s="420"/>
      <c r="AV30" s="420"/>
      <c r="AW30" s="420"/>
      <c r="AX30" s="420"/>
    </row>
    <row r="31" spans="1:50" ht="15" customHeight="1" x14ac:dyDescent="0.35">
      <c r="A31" s="386" t="s">
        <v>3050</v>
      </c>
      <c r="B31" s="386"/>
      <c r="C31" s="752"/>
      <c r="D31" s="385" t="s">
        <v>65</v>
      </c>
      <c r="E31" s="421"/>
      <c r="F31" s="422"/>
      <c r="G31" s="422"/>
      <c r="H31" s="422"/>
      <c r="I31" s="422"/>
      <c r="J31" s="420"/>
      <c r="K31" s="420"/>
      <c r="L31" s="420"/>
      <c r="M31" s="420"/>
      <c r="N31" s="420"/>
      <c r="O31" s="420"/>
      <c r="P31" s="420"/>
      <c r="Q31" s="420"/>
      <c r="R31" s="420"/>
      <c r="S31" s="420"/>
      <c r="T31" s="420"/>
      <c r="U31" s="420"/>
      <c r="V31" s="420"/>
      <c r="W31" s="400"/>
      <c r="X31" s="400"/>
      <c r="Y31" s="400"/>
      <c r="Z31" s="400"/>
      <c r="AA31" s="422"/>
      <c r="AB31" s="420"/>
      <c r="AC31" s="420"/>
      <c r="AD31" s="420"/>
      <c r="AE31" s="420"/>
      <c r="AF31" s="420"/>
      <c r="AG31" s="420"/>
      <c r="AH31" s="420"/>
      <c r="AI31" s="420"/>
      <c r="AJ31" s="420"/>
      <c r="AK31" s="420"/>
      <c r="AL31" s="420"/>
      <c r="AM31" s="420"/>
      <c r="AN31" s="420"/>
      <c r="AO31" s="420"/>
      <c r="AP31" s="420" t="s">
        <v>2878</v>
      </c>
      <c r="AQ31" s="420"/>
      <c r="AR31" s="420"/>
      <c r="AS31" s="420"/>
      <c r="AT31" s="420"/>
      <c r="AU31" s="420"/>
      <c r="AV31" s="420"/>
      <c r="AW31" s="420"/>
      <c r="AX31" s="420"/>
    </row>
    <row r="32" spans="1:50" ht="15" customHeight="1" x14ac:dyDescent="0.35">
      <c r="A32" s="386" t="s">
        <v>3051</v>
      </c>
      <c r="B32" s="386"/>
      <c r="C32" s="752"/>
      <c r="D32" s="385" t="s">
        <v>135</v>
      </c>
      <c r="E32" s="421"/>
      <c r="F32" s="422"/>
      <c r="G32" s="422"/>
      <c r="H32" s="422"/>
      <c r="I32" s="422"/>
      <c r="J32" s="420"/>
      <c r="K32" s="420"/>
      <c r="L32" s="420"/>
      <c r="M32" s="420"/>
      <c r="N32" s="420"/>
      <c r="O32" s="420"/>
      <c r="P32" s="420"/>
      <c r="Q32" s="420"/>
      <c r="R32" s="420"/>
      <c r="S32" s="420"/>
      <c r="T32" s="420"/>
      <c r="U32" s="420"/>
      <c r="V32" s="420"/>
      <c r="W32" s="400"/>
      <c r="X32" s="400"/>
      <c r="Y32" s="400"/>
      <c r="Z32" s="400"/>
      <c r="AA32" s="422"/>
      <c r="AB32" s="420"/>
      <c r="AC32" s="420"/>
      <c r="AD32" s="420"/>
      <c r="AE32" s="420"/>
      <c r="AF32" s="420"/>
      <c r="AG32" s="420"/>
      <c r="AH32" s="420"/>
      <c r="AI32" s="420"/>
      <c r="AJ32" s="420"/>
      <c r="AK32" s="420"/>
      <c r="AL32" s="420"/>
      <c r="AM32" s="420"/>
      <c r="AN32" s="420"/>
      <c r="AO32" s="420"/>
      <c r="AP32" s="420" t="s">
        <v>2540</v>
      </c>
      <c r="AQ32" s="420"/>
      <c r="AR32" s="420"/>
      <c r="AS32" s="420"/>
      <c r="AT32" s="420"/>
      <c r="AU32" s="420"/>
      <c r="AV32" s="420"/>
      <c r="AW32" s="420"/>
      <c r="AX32" s="420"/>
    </row>
    <row r="33" spans="1:2" ht="15" customHeight="1" x14ac:dyDescent="0.35">
      <c r="A33" s="386" t="s">
        <v>3052</v>
      </c>
      <c r="B33" s="386"/>
    </row>
    <row r="34" spans="1:2" ht="15" customHeight="1" x14ac:dyDescent="0.35">
      <c r="A34" s="386" t="s">
        <v>3053</v>
      </c>
      <c r="B34" s="386"/>
    </row>
    <row r="35" spans="1:2" ht="15" customHeight="1" x14ac:dyDescent="0.35">
      <c r="A35" s="386" t="s">
        <v>3054</v>
      </c>
      <c r="B35" s="386"/>
    </row>
    <row r="36" spans="1:2" ht="15" customHeight="1" x14ac:dyDescent="0.35">
      <c r="A36" s="386" t="s">
        <v>3055</v>
      </c>
      <c r="B36" s="386"/>
    </row>
    <row r="37" spans="1:2" ht="15" customHeight="1" x14ac:dyDescent="0.35">
      <c r="A37" s="386" t="s">
        <v>3056</v>
      </c>
      <c r="B37" s="386"/>
    </row>
    <row r="38" spans="1:2" ht="15" customHeight="1" x14ac:dyDescent="0.35">
      <c r="A38" s="386" t="s">
        <v>3057</v>
      </c>
      <c r="B38" s="386"/>
    </row>
    <row r="39" spans="1:2" ht="15" customHeight="1" x14ac:dyDescent="0.35">
      <c r="A39" s="386" t="s">
        <v>3058</v>
      </c>
      <c r="B39" s="386"/>
    </row>
    <row r="40" spans="1:2" ht="15" customHeight="1" x14ac:dyDescent="0.35">
      <c r="A40" s="386" t="s">
        <v>3059</v>
      </c>
    </row>
  </sheetData>
  <mergeCells count="20">
    <mergeCell ref="C14:D14"/>
    <mergeCell ref="C1:D1"/>
    <mergeCell ref="C4:D4"/>
    <mergeCell ref="C3:D3"/>
    <mergeCell ref="C6:D6"/>
    <mergeCell ref="C7:D7"/>
    <mergeCell ref="C8:D8"/>
    <mergeCell ref="C9:D9"/>
    <mergeCell ref="C10:D10"/>
    <mergeCell ref="C11:D11"/>
    <mergeCell ref="C12:D12"/>
    <mergeCell ref="C13:D13"/>
    <mergeCell ref="C27:C28"/>
    <mergeCell ref="C29:C32"/>
    <mergeCell ref="C15:C17"/>
    <mergeCell ref="C18:C19"/>
    <mergeCell ref="C20:C22"/>
    <mergeCell ref="C23:C24"/>
    <mergeCell ref="C25:D25"/>
    <mergeCell ref="C26:D26"/>
  </mergeCells>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EC412-7675-4F64-88B7-94021AC48079}">
  <dimension ref="B1:E37"/>
  <sheetViews>
    <sheetView workbookViewId="0">
      <selection activeCell="J10" sqref="J10"/>
    </sheetView>
  </sheetViews>
  <sheetFormatPr defaultRowHeight="14.5" x14ac:dyDescent="0.35"/>
  <cols>
    <col min="2" max="2" width="22.6328125" bestFit="1" customWidth="1"/>
    <col min="3" max="3" width="20.26953125" bestFit="1" customWidth="1"/>
    <col min="5" max="5" width="28.90625" customWidth="1"/>
  </cols>
  <sheetData>
    <row r="1" spans="2:5" x14ac:dyDescent="0.35">
      <c r="B1" s="756" t="s">
        <v>39</v>
      </c>
      <c r="C1" s="756"/>
      <c r="E1" s="386" t="s">
        <v>3025</v>
      </c>
    </row>
    <row r="2" spans="2:5" x14ac:dyDescent="0.35">
      <c r="B2" s="757" t="s">
        <v>40</v>
      </c>
      <c r="C2" s="757"/>
      <c r="E2" s="386" t="s">
        <v>3026</v>
      </c>
    </row>
    <row r="3" spans="2:5" x14ac:dyDescent="0.35">
      <c r="B3" s="756" t="s">
        <v>226</v>
      </c>
      <c r="C3" s="756"/>
      <c r="E3" s="386" t="s">
        <v>3027</v>
      </c>
    </row>
    <row r="4" spans="2:5" x14ac:dyDescent="0.35">
      <c r="B4" s="756" t="s">
        <v>224</v>
      </c>
      <c r="C4" s="756"/>
      <c r="E4" s="386" t="s">
        <v>98</v>
      </c>
    </row>
    <row r="5" spans="2:5" x14ac:dyDescent="0.35">
      <c r="B5" s="756" t="s">
        <v>225</v>
      </c>
      <c r="C5" s="756"/>
      <c r="E5" s="386" t="s">
        <v>3028</v>
      </c>
    </row>
    <row r="6" spans="2:5" x14ac:dyDescent="0.35">
      <c r="B6" s="756" t="s">
        <v>41</v>
      </c>
      <c r="C6" s="756"/>
      <c r="E6" s="386" t="s">
        <v>3029</v>
      </c>
    </row>
    <row r="7" spans="2:5" x14ac:dyDescent="0.35">
      <c r="B7" s="756" t="s">
        <v>42</v>
      </c>
      <c r="C7" s="756"/>
      <c r="E7" s="386" t="s">
        <v>3030</v>
      </c>
    </row>
    <row r="8" spans="2:5" x14ac:dyDescent="0.35">
      <c r="B8" s="756" t="s">
        <v>43</v>
      </c>
      <c r="C8" s="756"/>
      <c r="E8" s="386" t="s">
        <v>3031</v>
      </c>
    </row>
    <row r="9" spans="2:5" x14ac:dyDescent="0.35">
      <c r="B9" s="760" t="s">
        <v>44</v>
      </c>
      <c r="C9" s="761"/>
      <c r="E9" s="386" t="s">
        <v>192</v>
      </c>
    </row>
    <row r="10" spans="2:5" x14ac:dyDescent="0.35">
      <c r="B10" s="757" t="s">
        <v>45</v>
      </c>
      <c r="C10" s="757"/>
      <c r="E10" s="386" t="s">
        <v>3032</v>
      </c>
    </row>
    <row r="11" spans="2:5" x14ac:dyDescent="0.35">
      <c r="B11" s="757" t="s">
        <v>46</v>
      </c>
      <c r="C11" s="757"/>
      <c r="E11" s="386" t="s">
        <v>3033</v>
      </c>
    </row>
    <row r="12" spans="2:5" x14ac:dyDescent="0.35">
      <c r="B12" s="757" t="s">
        <v>47</v>
      </c>
      <c r="C12" s="757"/>
      <c r="E12" s="386" t="s">
        <v>3034</v>
      </c>
    </row>
    <row r="13" spans="2:5" x14ac:dyDescent="0.35">
      <c r="B13" s="753" t="s">
        <v>48</v>
      </c>
      <c r="C13" s="384" t="s">
        <v>56</v>
      </c>
      <c r="E13" s="386" t="s">
        <v>3035</v>
      </c>
    </row>
    <row r="14" spans="2:5" x14ac:dyDescent="0.35">
      <c r="B14" s="754"/>
      <c r="C14" s="384" t="s">
        <v>57</v>
      </c>
      <c r="E14" s="386" t="s">
        <v>3036</v>
      </c>
    </row>
    <row r="15" spans="2:5" x14ac:dyDescent="0.35">
      <c r="B15" s="755"/>
      <c r="C15" s="384" t="s">
        <v>67</v>
      </c>
      <c r="E15" s="386" t="s">
        <v>3037</v>
      </c>
    </row>
    <row r="16" spans="2:5" x14ac:dyDescent="0.35">
      <c r="B16" s="756" t="s">
        <v>49</v>
      </c>
      <c r="C16" s="385" t="s">
        <v>58</v>
      </c>
      <c r="E16" s="386" t="s">
        <v>3038</v>
      </c>
    </row>
    <row r="17" spans="2:5" x14ac:dyDescent="0.35">
      <c r="B17" s="756"/>
      <c r="C17" s="385" t="s">
        <v>59</v>
      </c>
      <c r="E17" s="386" t="s">
        <v>3039</v>
      </c>
    </row>
    <row r="18" spans="2:5" x14ac:dyDescent="0.35">
      <c r="B18" s="750" t="s">
        <v>50</v>
      </c>
      <c r="C18" s="385" t="s">
        <v>66</v>
      </c>
      <c r="E18" s="386" t="s">
        <v>3040</v>
      </c>
    </row>
    <row r="19" spans="2:5" x14ac:dyDescent="0.35">
      <c r="B19" s="750"/>
      <c r="C19" s="385" t="s">
        <v>60</v>
      </c>
      <c r="E19" s="386" t="s">
        <v>3041</v>
      </c>
    </row>
    <row r="20" spans="2:5" x14ac:dyDescent="0.35">
      <c r="B20" s="750"/>
      <c r="C20" s="385" t="s">
        <v>61</v>
      </c>
      <c r="E20" s="386" t="s">
        <v>3042</v>
      </c>
    </row>
    <row r="21" spans="2:5" x14ac:dyDescent="0.35">
      <c r="B21" s="750" t="s">
        <v>51</v>
      </c>
      <c r="C21" s="385" t="s">
        <v>62</v>
      </c>
      <c r="E21" s="386" t="s">
        <v>3043</v>
      </c>
    </row>
    <row r="22" spans="2:5" x14ac:dyDescent="0.35">
      <c r="B22" s="750"/>
      <c r="C22" s="385" t="s">
        <v>63</v>
      </c>
      <c r="E22" s="386" t="s">
        <v>3044</v>
      </c>
    </row>
    <row r="23" spans="2:5" x14ac:dyDescent="0.35">
      <c r="B23" s="757" t="s">
        <v>52</v>
      </c>
      <c r="C23" s="757"/>
      <c r="E23" s="386" t="s">
        <v>3045</v>
      </c>
    </row>
    <row r="24" spans="2:5" x14ac:dyDescent="0.35">
      <c r="B24" s="758" t="s">
        <v>53</v>
      </c>
      <c r="C24" s="759"/>
      <c r="E24" s="386" t="s">
        <v>3046</v>
      </c>
    </row>
    <row r="25" spans="2:5" x14ac:dyDescent="0.35">
      <c r="B25" s="750" t="s">
        <v>54</v>
      </c>
      <c r="C25" s="385" t="s">
        <v>62</v>
      </c>
      <c r="E25" s="386" t="s">
        <v>3047</v>
      </c>
    </row>
    <row r="26" spans="2:5" x14ac:dyDescent="0.35">
      <c r="B26" s="750"/>
      <c r="C26" s="385" t="s">
        <v>63</v>
      </c>
      <c r="E26" s="386" t="s">
        <v>3048</v>
      </c>
    </row>
    <row r="27" spans="2:5" x14ac:dyDescent="0.35">
      <c r="B27" s="751" t="s">
        <v>55</v>
      </c>
      <c r="C27" s="385" t="s">
        <v>64</v>
      </c>
      <c r="E27" s="386" t="s">
        <v>3049</v>
      </c>
    </row>
    <row r="28" spans="2:5" x14ac:dyDescent="0.35">
      <c r="B28" s="752"/>
      <c r="C28" s="385" t="s">
        <v>59</v>
      </c>
      <c r="E28" s="386" t="s">
        <v>3050</v>
      </c>
    </row>
    <row r="29" spans="2:5" x14ac:dyDescent="0.35">
      <c r="B29" s="752"/>
      <c r="C29" s="385" t="s">
        <v>65</v>
      </c>
      <c r="E29" s="386" t="s">
        <v>3051</v>
      </c>
    </row>
    <row r="30" spans="2:5" x14ac:dyDescent="0.35">
      <c r="B30" s="752"/>
      <c r="C30" s="385" t="s">
        <v>135</v>
      </c>
      <c r="E30" s="386" t="s">
        <v>3052</v>
      </c>
    </row>
    <row r="31" spans="2:5" x14ac:dyDescent="0.35">
      <c r="E31" s="386" t="s">
        <v>3053</v>
      </c>
    </row>
    <row r="32" spans="2:5" x14ac:dyDescent="0.35">
      <c r="E32" s="386" t="s">
        <v>3054</v>
      </c>
    </row>
    <row r="33" spans="5:5" x14ac:dyDescent="0.35">
      <c r="E33" s="386" t="s">
        <v>3055</v>
      </c>
    </row>
    <row r="34" spans="5:5" x14ac:dyDescent="0.35">
      <c r="E34" s="386" t="s">
        <v>3056</v>
      </c>
    </row>
    <row r="35" spans="5:5" x14ac:dyDescent="0.35">
      <c r="E35" s="386" t="s">
        <v>3057</v>
      </c>
    </row>
    <row r="36" spans="5:5" x14ac:dyDescent="0.35">
      <c r="E36" s="386" t="s">
        <v>3058</v>
      </c>
    </row>
    <row r="37" spans="5:5" x14ac:dyDescent="0.35">
      <c r="E37" s="386" t="s">
        <v>3059</v>
      </c>
    </row>
  </sheetData>
  <mergeCells count="20">
    <mergeCell ref="B12:C12"/>
    <mergeCell ref="B1:C1"/>
    <mergeCell ref="B2:C2"/>
    <mergeCell ref="B3:C3"/>
    <mergeCell ref="B4:C4"/>
    <mergeCell ref="B5:C5"/>
    <mergeCell ref="B6:C6"/>
    <mergeCell ref="B7:C7"/>
    <mergeCell ref="B8:C8"/>
    <mergeCell ref="B9:C9"/>
    <mergeCell ref="B10:C10"/>
    <mergeCell ref="B11:C11"/>
    <mergeCell ref="B25:B26"/>
    <mergeCell ref="B27:B30"/>
    <mergeCell ref="B13:B15"/>
    <mergeCell ref="B16:B17"/>
    <mergeCell ref="B18:B20"/>
    <mergeCell ref="B21:B22"/>
    <mergeCell ref="B23:C23"/>
    <mergeCell ref="B24:C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34</vt:i4>
      </vt:variant>
    </vt:vector>
  </HeadingPairs>
  <TitlesOfParts>
    <vt:vector size="56" baseType="lpstr">
      <vt:lpstr>mulai</vt:lpstr>
      <vt:lpstr>text fo icon</vt:lpstr>
      <vt:lpstr>utama</vt:lpstr>
      <vt:lpstr>setting</vt:lpstr>
      <vt:lpstr>nilwk-s2</vt:lpstr>
      <vt:lpstr>nilwk-s1</vt:lpstr>
      <vt:lpstr>range nilai kesantrian</vt:lpstr>
      <vt:lpstr>nilpel-s2</vt:lpstr>
      <vt:lpstr>nilpel-s1</vt:lpstr>
      <vt:lpstr>rap-s1- backup</vt:lpstr>
      <vt:lpstr>rap-s2</vt:lpstr>
      <vt:lpstr>rap-s1</vt:lpstr>
      <vt:lpstr>Sheet1</vt:lpstr>
      <vt:lpstr>menu-genap</vt:lpstr>
      <vt:lpstr>menu-gasal</vt:lpstr>
      <vt:lpstr>set-dakol</vt:lpstr>
      <vt:lpstr>set-cover</vt:lpstr>
      <vt:lpstr>set-kkm</vt:lpstr>
      <vt:lpstr>set-dasis</vt:lpstr>
      <vt:lpstr>dasis</vt:lpstr>
      <vt:lpstr>tes</vt:lpstr>
      <vt:lpstr>Sheet2</vt:lpstr>
      <vt:lpstr>dakol</vt:lpstr>
      <vt:lpstr>dari</vt:lpstr>
      <vt:lpstr>'rap-s1- backup'!daris1</vt:lpstr>
      <vt:lpstr>daris1</vt:lpstr>
      <vt:lpstr>'rap-s2'!daris2</vt:lpstr>
      <vt:lpstr>datasantri</vt:lpstr>
      <vt:lpstr>gasal</vt:lpstr>
      <vt:lpstr>genap</vt:lpstr>
      <vt:lpstr>jlmsis</vt:lpstr>
      <vt:lpstr>kelas</vt:lpstr>
      <vt:lpstr>'nilpel-s2'!nilpels1</vt:lpstr>
      <vt:lpstr>nilpels1</vt:lpstr>
      <vt:lpstr>nilpels2</vt:lpstr>
      <vt:lpstr>nilwks1</vt:lpstr>
      <vt:lpstr>nilwks2</vt:lpstr>
      <vt:lpstr>patokan</vt:lpstr>
      <vt:lpstr>'rap-s1- backup'!patokans1</vt:lpstr>
      <vt:lpstr>patokans1</vt:lpstr>
      <vt:lpstr>'rap-s2'!patokans2</vt:lpstr>
      <vt:lpstr>'rap-s1'!Print_Area</vt:lpstr>
      <vt:lpstr>'rap-s1- backup'!Print_Area</vt:lpstr>
      <vt:lpstr>'rap-s2'!Print_Area</vt:lpstr>
      <vt:lpstr>'set-cover'!Print_Area</vt:lpstr>
      <vt:lpstr>rata2kls</vt:lpstr>
      <vt:lpstr>'nilpel-s2'!ratas1</vt:lpstr>
      <vt:lpstr>ratas1</vt:lpstr>
      <vt:lpstr>sampai</vt:lpstr>
      <vt:lpstr>'rap-s1- backup'!sampais1</vt:lpstr>
      <vt:lpstr>sampais1</vt:lpstr>
      <vt:lpstr>'rap-s2'!sampais2</vt:lpstr>
      <vt:lpstr>setdakol</vt:lpstr>
      <vt:lpstr>tahunajaran</vt:lpstr>
      <vt:lpstr>terbilang</vt:lpstr>
      <vt:lpstr>walikls2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divisi_pengajaran</dc:creator>
  <cp:lastModifiedBy>abu urwah muhammad iftah</cp:lastModifiedBy>
  <cp:lastPrinted>2022-12-08T17:10:32Z</cp:lastPrinted>
  <dcterms:created xsi:type="dcterms:W3CDTF">2021-02-19T21:59:13Z</dcterms:created>
  <dcterms:modified xsi:type="dcterms:W3CDTF">2026-06-01T15:14:25Z</dcterms:modified>
</cp:coreProperties>
</file>