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reelancing\myprojects\F646_recrentals\"/>
    </mc:Choice>
  </mc:AlternateContent>
  <xr:revisionPtr revIDLastSave="0" documentId="13_ncr:1_{6EF8A846-2BF5-4AED-99F8-64E537E75C01}" xr6:coauthVersionLast="47" xr6:coauthVersionMax="47" xr10:uidLastSave="{00000000-0000-0000-0000-000000000000}"/>
  <bookViews>
    <workbookView xWindow="-120" yWindow="-120" windowWidth="29040" windowHeight="15720" xr2:uid="{5225F8C7-DA46-4BDE-AB87-017EDB83C6A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4" i="1" l="1"/>
  <c r="W44" i="1"/>
  <c r="AA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6" i="1"/>
  <c r="S5" i="1"/>
  <c r="W38" i="1"/>
  <c r="U46" i="1" l="1"/>
  <c r="V46" i="1" s="1"/>
  <c r="L6" i="1"/>
  <c r="L7" i="1" s="1"/>
  <c r="F74" i="1"/>
  <c r="AA8" i="1" s="1"/>
  <c r="D74" i="1"/>
  <c r="E74" i="1"/>
  <c r="AA7" i="1" s="1"/>
  <c r="D3" i="1"/>
  <c r="V5" i="1"/>
  <c r="K41" i="1" s="1"/>
  <c r="S78" i="1"/>
  <c r="P81" i="1"/>
  <c r="P80" i="1"/>
  <c r="P77" i="1"/>
  <c r="P76" i="1"/>
  <c r="I63" i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M63" i="1"/>
  <c r="K82" i="1"/>
  <c r="Q82" i="1" s="1"/>
  <c r="K73" i="1"/>
  <c r="Q73" i="1" s="1"/>
  <c r="L73" i="1"/>
  <c r="K74" i="1"/>
  <c r="Q74" i="1" s="1"/>
  <c r="K75" i="1"/>
  <c r="Q75" i="1" s="1"/>
  <c r="L75" i="1"/>
  <c r="K76" i="1"/>
  <c r="Q76" i="1" s="1"/>
  <c r="K77" i="1"/>
  <c r="Q77" i="1" s="1"/>
  <c r="L77" i="1"/>
  <c r="K78" i="1"/>
  <c r="Q78" i="1" s="1"/>
  <c r="K79" i="1"/>
  <c r="Q79" i="1" s="1"/>
  <c r="K80" i="1"/>
  <c r="L80" i="1" s="1"/>
  <c r="K81" i="1"/>
  <c r="Q81" i="1" s="1"/>
  <c r="L81" i="1"/>
  <c r="K64" i="1"/>
  <c r="Q64" i="1" s="1"/>
  <c r="K65" i="1"/>
  <c r="Q65" i="1" s="1"/>
  <c r="K66" i="1"/>
  <c r="L66" i="1" s="1"/>
  <c r="K67" i="1"/>
  <c r="L67" i="1" s="1"/>
  <c r="K68" i="1"/>
  <c r="Q68" i="1" s="1"/>
  <c r="K69" i="1"/>
  <c r="Q69" i="1" s="1"/>
  <c r="K70" i="1"/>
  <c r="L70" i="1" s="1"/>
  <c r="K71" i="1"/>
  <c r="L71" i="1" s="1"/>
  <c r="K72" i="1"/>
  <c r="L72" i="1" s="1"/>
  <c r="K63" i="1"/>
  <c r="L63" i="1" s="1"/>
  <c r="X6" i="1"/>
  <c r="H8" i="2"/>
  <c r="W6" i="1"/>
  <c r="AB6" i="1" s="1"/>
  <c r="R61" i="1"/>
  <c r="R60" i="1"/>
  <c r="P78" i="1" l="1"/>
  <c r="L79" i="1"/>
  <c r="Q80" i="1"/>
  <c r="L78" i="1"/>
  <c r="L76" i="1"/>
  <c r="L74" i="1"/>
  <c r="L82" i="1"/>
  <c r="R68" i="1"/>
  <c r="R64" i="1"/>
  <c r="R76" i="1"/>
  <c r="Q63" i="1"/>
  <c r="R63" i="1" s="1"/>
  <c r="L68" i="1"/>
  <c r="Q72" i="1"/>
  <c r="R72" i="1" s="1"/>
  <c r="L69" i="1"/>
  <c r="L65" i="1"/>
  <c r="P82" i="1"/>
  <c r="L64" i="1"/>
  <c r="R78" i="1"/>
  <c r="R74" i="1"/>
  <c r="R81" i="1"/>
  <c r="R77" i="1"/>
  <c r="R73" i="1"/>
  <c r="R80" i="1"/>
  <c r="R79" i="1"/>
  <c r="R75" i="1"/>
  <c r="Q71" i="1"/>
  <c r="Q67" i="1"/>
  <c r="R67" i="1" s="1"/>
  <c r="Q70" i="1"/>
  <c r="Q66" i="1"/>
  <c r="R5" i="1"/>
  <c r="T5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P4" i="1"/>
  <c r="O4" i="1"/>
  <c r="N4" i="1"/>
  <c r="M4" i="1"/>
  <c r="L4" i="1"/>
  <c r="H6" i="1"/>
  <c r="H7" i="1" s="1"/>
  <c r="H8" i="1" s="1"/>
  <c r="H9" i="1" s="1"/>
  <c r="D22" i="1"/>
  <c r="D23" i="1" s="1"/>
  <c r="C35" i="1"/>
  <c r="D13" i="1"/>
  <c r="C39" i="1"/>
  <c r="D39" i="1" s="1"/>
  <c r="U5" i="1"/>
  <c r="C40" i="1"/>
  <c r="D40" i="1" s="1"/>
  <c r="C38" i="1"/>
  <c r="D38" i="1" s="1"/>
  <c r="C37" i="1"/>
  <c r="D37" i="1" s="1"/>
  <c r="C34" i="1"/>
  <c r="C36" i="1" s="1"/>
  <c r="D36" i="1" s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AB25" i="1" s="1"/>
  <c r="E3" i="1" l="1"/>
  <c r="R71" i="1"/>
  <c r="R66" i="1"/>
  <c r="R65" i="1"/>
  <c r="R70" i="1"/>
  <c r="R69" i="1"/>
  <c r="E35" i="1"/>
  <c r="C41" i="1"/>
  <c r="D41" i="1" s="1"/>
  <c r="Q6" i="1"/>
  <c r="H10" i="1"/>
  <c r="I9" i="1"/>
  <c r="J9" i="1" s="1"/>
  <c r="K42" i="1"/>
  <c r="I6" i="1"/>
  <c r="J6" i="1" s="1"/>
  <c r="Q7" i="1"/>
  <c r="L8" i="1"/>
  <c r="I8" i="1"/>
  <c r="J8" i="1" s="1"/>
  <c r="I7" i="1"/>
  <c r="J7" i="1" s="1"/>
  <c r="AB13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AB9" i="1"/>
  <c r="AB20" i="1"/>
  <c r="AB17" i="1"/>
  <c r="AB21" i="1"/>
  <c r="AB12" i="1"/>
  <c r="AB24" i="1"/>
  <c r="AB16" i="1"/>
  <c r="AB8" i="1"/>
  <c r="D34" i="1"/>
  <c r="AB23" i="1"/>
  <c r="AB19" i="1"/>
  <c r="AB15" i="1"/>
  <c r="AB11" i="1"/>
  <c r="AB7" i="1"/>
  <c r="AB22" i="1"/>
  <c r="AB18" i="1"/>
  <c r="AB14" i="1"/>
  <c r="AB10" i="1"/>
  <c r="D35" i="1" l="1"/>
  <c r="K22" i="1"/>
  <c r="K9" i="1"/>
  <c r="K12" i="1"/>
  <c r="K19" i="1"/>
  <c r="K10" i="1"/>
  <c r="K15" i="1"/>
  <c r="K25" i="1"/>
  <c r="K16" i="1"/>
  <c r="K6" i="1"/>
  <c r="S6" i="1" s="1"/>
  <c r="K13" i="1"/>
  <c r="K24" i="1"/>
  <c r="K8" i="1"/>
  <c r="K11" i="1"/>
  <c r="K18" i="1"/>
  <c r="K21" i="1"/>
  <c r="K20" i="1"/>
  <c r="K23" i="1"/>
  <c r="K7" i="1"/>
  <c r="S7" i="1" s="1"/>
  <c r="K14" i="1"/>
  <c r="K17" i="1"/>
  <c r="H11" i="1"/>
  <c r="I10" i="1"/>
  <c r="J10" i="1" s="1"/>
  <c r="L9" i="1"/>
  <c r="Q8" i="1"/>
  <c r="C42" i="1"/>
  <c r="D42" i="1" s="1"/>
  <c r="Y6" i="1" l="1"/>
  <c r="AC6" i="1" s="1"/>
  <c r="T6" i="1" s="1"/>
  <c r="Z6" i="1"/>
  <c r="Z7" i="1" s="1"/>
  <c r="V7" i="1"/>
  <c r="S8" i="1"/>
  <c r="H12" i="1"/>
  <c r="I11" i="1"/>
  <c r="J11" i="1" s="1"/>
  <c r="L10" i="1"/>
  <c r="Q9" i="1"/>
  <c r="S9" i="1" s="1"/>
  <c r="V9" i="1" s="1"/>
  <c r="AD6" i="1" l="1"/>
  <c r="V8" i="1"/>
  <c r="Y7" i="1"/>
  <c r="V6" i="1"/>
  <c r="H13" i="1"/>
  <c r="I12" i="1"/>
  <c r="J12" i="1" s="1"/>
  <c r="L11" i="1"/>
  <c r="Q10" i="1"/>
  <c r="S10" i="1" s="1"/>
  <c r="V10" i="1" s="1"/>
  <c r="Y8" i="1" l="1"/>
  <c r="AC8" i="1" s="1"/>
  <c r="T8" i="1" s="1"/>
  <c r="AC7" i="1"/>
  <c r="T7" i="1" s="1"/>
  <c r="AD7" i="1" s="1"/>
  <c r="H14" i="1"/>
  <c r="I13" i="1"/>
  <c r="J13" i="1" s="1"/>
  <c r="L12" i="1"/>
  <c r="Q11" i="1"/>
  <c r="S11" i="1" s="1"/>
  <c r="V11" i="1" s="1"/>
  <c r="H15" i="1" l="1"/>
  <c r="I14" i="1"/>
  <c r="J14" i="1" s="1"/>
  <c r="L13" i="1"/>
  <c r="Q12" i="1"/>
  <c r="S12" i="1" s="1"/>
  <c r="V12" i="1" s="1"/>
  <c r="H16" i="1" l="1"/>
  <c r="I15" i="1"/>
  <c r="J15" i="1" s="1"/>
  <c r="L14" i="1"/>
  <c r="Q13" i="1"/>
  <c r="S13" i="1" s="1"/>
  <c r="V13" i="1" s="1"/>
  <c r="H17" i="1" l="1"/>
  <c r="I16" i="1"/>
  <c r="J16" i="1" s="1"/>
  <c r="L15" i="1"/>
  <c r="Q14" i="1"/>
  <c r="S14" i="1" s="1"/>
  <c r="V14" i="1" s="1"/>
  <c r="H18" i="1" l="1"/>
  <c r="I17" i="1"/>
  <c r="J17" i="1" s="1"/>
  <c r="L16" i="1"/>
  <c r="Q15" i="1"/>
  <c r="S15" i="1" s="1"/>
  <c r="V15" i="1" s="1"/>
  <c r="H19" i="1" l="1"/>
  <c r="I18" i="1"/>
  <c r="J18" i="1" s="1"/>
  <c r="L17" i="1"/>
  <c r="Q16" i="1"/>
  <c r="S16" i="1" s="1"/>
  <c r="V16" i="1" s="1"/>
  <c r="H20" i="1" l="1"/>
  <c r="I19" i="1"/>
  <c r="J19" i="1" s="1"/>
  <c r="L18" i="1"/>
  <c r="Q17" i="1"/>
  <c r="S17" i="1" s="1"/>
  <c r="V17" i="1" s="1"/>
  <c r="H21" i="1" l="1"/>
  <c r="I20" i="1"/>
  <c r="J20" i="1" s="1"/>
  <c r="L19" i="1"/>
  <c r="Q18" i="1"/>
  <c r="S18" i="1" s="1"/>
  <c r="V18" i="1" s="1"/>
  <c r="H22" i="1" l="1"/>
  <c r="I21" i="1"/>
  <c r="J21" i="1" s="1"/>
  <c r="L20" i="1"/>
  <c r="Q19" i="1"/>
  <c r="S19" i="1" s="1"/>
  <c r="V19" i="1" s="1"/>
  <c r="H23" i="1" l="1"/>
  <c r="I22" i="1"/>
  <c r="J22" i="1" s="1"/>
  <c r="L21" i="1"/>
  <c r="Q20" i="1"/>
  <c r="S20" i="1" s="1"/>
  <c r="V20" i="1" s="1"/>
  <c r="H24" i="1" l="1"/>
  <c r="I23" i="1"/>
  <c r="J23" i="1" s="1"/>
  <c r="L22" i="1"/>
  <c r="Q21" i="1"/>
  <c r="S21" i="1" s="1"/>
  <c r="V21" i="1" s="1"/>
  <c r="H25" i="1" l="1"/>
  <c r="I24" i="1"/>
  <c r="J24" i="1" s="1"/>
  <c r="L23" i="1"/>
  <c r="Q22" i="1"/>
  <c r="S22" i="1" s="1"/>
  <c r="V22" i="1" s="1"/>
  <c r="I25" i="1" l="1"/>
  <c r="J25" i="1" s="1"/>
  <c r="L24" i="1"/>
  <c r="Q23" i="1"/>
  <c r="S23" i="1" s="1"/>
  <c r="V23" i="1" s="1"/>
  <c r="L25" i="1" l="1"/>
  <c r="Q24" i="1"/>
  <c r="S24" i="1" s="1"/>
  <c r="V24" i="1" s="1"/>
  <c r="Q25" i="1" l="1"/>
  <c r="S25" i="1" s="1"/>
  <c r="V25" i="1" l="1"/>
  <c r="AD25" i="1"/>
  <c r="Y9" i="1"/>
  <c r="Y10" i="1" l="1"/>
  <c r="AC9" i="1"/>
  <c r="Y11" i="1" l="1"/>
  <c r="AC10" i="1"/>
  <c r="Y12" i="1" l="1"/>
  <c r="AC11" i="1"/>
  <c r="Y13" i="1" l="1"/>
  <c r="AC12" i="1"/>
  <c r="Y14" i="1" l="1"/>
  <c r="AC13" i="1"/>
  <c r="Y15" i="1" l="1"/>
  <c r="AC14" i="1"/>
  <c r="Y16" i="1" l="1"/>
  <c r="AC15" i="1"/>
  <c r="Y17" i="1" l="1"/>
  <c r="AC16" i="1"/>
  <c r="Y18" i="1" l="1"/>
  <c r="AC17" i="1"/>
  <c r="Y19" i="1" l="1"/>
  <c r="AC18" i="1"/>
  <c r="Y20" i="1" l="1"/>
  <c r="AC19" i="1"/>
  <c r="Y21" i="1" l="1"/>
  <c r="AC20" i="1"/>
  <c r="Y22" i="1" l="1"/>
  <c r="AC21" i="1"/>
  <c r="Y23" i="1" l="1"/>
  <c r="AC22" i="1"/>
  <c r="Y24" i="1" l="1"/>
  <c r="AC23" i="1"/>
  <c r="Y25" i="1" l="1"/>
  <c r="AC25" i="1" s="1"/>
  <c r="AC24" i="1"/>
</calcChain>
</file>

<file path=xl/sharedStrings.xml><?xml version="1.0" encoding="utf-8"?>
<sst xmlns="http://schemas.openxmlformats.org/spreadsheetml/2006/main" count="74" uniqueCount="59">
  <si>
    <t>Purchase Price</t>
  </si>
  <si>
    <t>Purchase</t>
  </si>
  <si>
    <t>Recurring Operating Expenses</t>
  </si>
  <si>
    <t>Property Tax</t>
  </si>
  <si>
    <t>Total Insurance</t>
  </si>
  <si>
    <t>HOA Fee</t>
  </si>
  <si>
    <t>Maintenance</t>
  </si>
  <si>
    <t>Other Costs</t>
  </si>
  <si>
    <t>Total Expense</t>
  </si>
  <si>
    <t>Income</t>
  </si>
  <si>
    <t>Vacancy Rate</t>
  </si>
  <si>
    <t>Management Fee</t>
  </si>
  <si>
    <t>Year</t>
  </si>
  <si>
    <t>Annual Income</t>
  </si>
  <si>
    <t>Mortgage</t>
  </si>
  <si>
    <t>Expenses</t>
  </si>
  <si>
    <t>Cash Flow</t>
  </si>
  <si>
    <t>Cash on Cash Return</t>
  </si>
  <si>
    <t>Equity Accumulated</t>
  </si>
  <si>
    <t>Monthly Rent</t>
  </si>
  <si>
    <t>Annual total rent</t>
  </si>
  <si>
    <t>Annual income</t>
  </si>
  <si>
    <t>First Year Income and Expense</t>
  </si>
  <si>
    <t>Income:</t>
  </si>
  <si>
    <t>Vacancy (5%):</t>
  </si>
  <si>
    <t>Property Tax:</t>
  </si>
  <si>
    <t>Total Insurance:</t>
  </si>
  <si>
    <t>Maintenance Cost:</t>
  </si>
  <si>
    <t>Other Cost:</t>
  </si>
  <si>
    <t>Cash Flow:</t>
  </si>
  <si>
    <t>Net Operating Income (NOI):</t>
  </si>
  <si>
    <t>Monthly</t>
  </si>
  <si>
    <t>Annual</t>
  </si>
  <si>
    <t>Cash to Receive</t>
  </si>
  <si>
    <t>Return (IRR)</t>
  </si>
  <si>
    <t>Sell</t>
  </si>
  <si>
    <t>Value Appreciation</t>
  </si>
  <si>
    <t>Sell Price</t>
  </si>
  <si>
    <t>Holding Length</t>
  </si>
  <si>
    <t>Cost to Sell</t>
  </si>
  <si>
    <t>years</t>
  </si>
  <si>
    <t>Interest rate</t>
  </si>
  <si>
    <t>Use Loan?</t>
  </si>
  <si>
    <t xml:space="preserve">Down Payment </t>
  </si>
  <si>
    <t>Interest Rate</t>
  </si>
  <si>
    <t>Loan Term</t>
  </si>
  <si>
    <t>Monthly Payment</t>
  </si>
  <si>
    <t>Annual Payment</t>
  </si>
  <si>
    <t>Increase</t>
  </si>
  <si>
    <t>Annual Rent</t>
  </si>
  <si>
    <t>Mortgage Pay:</t>
  </si>
  <si>
    <t>Cash</t>
  </si>
  <si>
    <t>Start Date</t>
  </si>
  <si>
    <t>End Date</t>
  </si>
  <si>
    <t>Todays</t>
  </si>
  <si>
    <t>Period</t>
  </si>
  <si>
    <t>monthly loan calculation</t>
  </si>
  <si>
    <t>https://www.calculator.net/loan-calculator.html?cloanamount=160%2C000&amp;cloanterm=20&amp;cloantermmonth=0&amp;cinterestrate=1&amp;ccompound=monthly&amp;cpayback=month&amp;x=Calculate&amp;type=1#amortized-result</t>
  </si>
  <si>
    <t>If Sold at Year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</si>
</sst>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6" fontId="0" fillId="0" borderId="1" xfId="0" applyNumberFormat="1" applyBorder="1"/>
    <xf numFmtId="6" fontId="0" fillId="0" borderId="2" xfId="0" applyNumberFormat="1" applyBorder="1"/>
    <xf numFmtId="0" fontId="0" fillId="0" borderId="0" xfId="0" applyAlignment="1">
      <alignment horizontal="left"/>
    </xf>
    <xf numFmtId="6" fontId="2" fillId="0" borderId="1" xfId="0" applyNumberFormat="1" applyFont="1" applyBorder="1"/>
    <xf numFmtId="0" fontId="2" fillId="0" borderId="0" xfId="0" applyFont="1"/>
    <xf numFmtId="6" fontId="0" fillId="0" borderId="2" xfId="0" applyNumberFormat="1" applyBorder="1" applyAlignment="1">
      <alignment horizontal="right"/>
    </xf>
    <xf numFmtId="0" fontId="0" fillId="0" borderId="1" xfId="0" applyBorder="1"/>
    <xf numFmtId="9" fontId="0" fillId="0" borderId="1" xfId="0" applyNumberFormat="1" applyBorder="1"/>
    <xf numFmtId="0" fontId="4" fillId="3" borderId="1" xfId="0" applyFont="1" applyFill="1" applyBorder="1" applyAlignment="1">
      <alignment horizontal="center" vertical="center" wrapText="1"/>
    </xf>
    <xf numFmtId="10" fontId="0" fillId="0" borderId="1" xfId="1" applyNumberFormat="1" applyFont="1" applyBorder="1"/>
    <xf numFmtId="8" fontId="0" fillId="0" borderId="1" xfId="0" applyNumberFormat="1" applyBorder="1"/>
    <xf numFmtId="9" fontId="0" fillId="0" borderId="0" xfId="0" applyNumberFormat="1"/>
    <xf numFmtId="0" fontId="0" fillId="4" borderId="1" xfId="0" applyFill="1" applyBorder="1" applyAlignment="1">
      <alignment horizontal="center"/>
    </xf>
    <xf numFmtId="10" fontId="0" fillId="0" borderId="1" xfId="0" applyNumberFormat="1" applyBorder="1"/>
    <xf numFmtId="0" fontId="3" fillId="2" borderId="1" xfId="0" applyFont="1" applyFill="1" applyBorder="1" applyAlignment="1">
      <alignment horizontal="left" vertical="center"/>
    </xf>
    <xf numFmtId="2" fontId="0" fillId="0" borderId="1" xfId="0" applyNumberFormat="1" applyBorder="1"/>
    <xf numFmtId="0" fontId="3" fillId="2" borderId="0" xfId="0" applyFont="1" applyFill="1" applyAlignment="1">
      <alignment horizontal="left" vertical="center"/>
    </xf>
    <xf numFmtId="6" fontId="0" fillId="0" borderId="0" xfId="0" applyNumberFormat="1" applyAlignment="1">
      <alignment horizontal="right"/>
    </xf>
    <xf numFmtId="6" fontId="0" fillId="0" borderId="0" xfId="0" applyNumberFormat="1"/>
    <xf numFmtId="6" fontId="2" fillId="0" borderId="0" xfId="0" applyNumberFormat="1" applyFont="1"/>
    <xf numFmtId="2" fontId="0" fillId="0" borderId="0" xfId="0" applyNumberFormat="1"/>
    <xf numFmtId="0" fontId="0" fillId="4" borderId="0" xfId="0" applyFill="1" applyAlignment="1">
      <alignment horizontal="center"/>
    </xf>
    <xf numFmtId="8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9" fontId="0" fillId="0" borderId="1" xfId="0" applyNumberFormat="1" applyBorder="1" applyAlignment="1">
      <alignment horizontal="right"/>
    </xf>
    <xf numFmtId="0" fontId="3" fillId="2" borderId="1" xfId="0" applyFont="1" applyFill="1" applyBorder="1" applyAlignment="1">
      <alignment vertical="center"/>
    </xf>
    <xf numFmtId="15" fontId="0" fillId="0" borderId="0" xfId="0" applyNumberFormat="1"/>
    <xf numFmtId="1" fontId="0" fillId="0" borderId="0" xfId="0" applyNumberFormat="1"/>
    <xf numFmtId="3" fontId="0" fillId="0" borderId="0" xfId="0" applyNumberFormat="1"/>
    <xf numFmtId="10" fontId="0" fillId="0" borderId="0" xfId="0" applyNumberFormat="1"/>
    <xf numFmtId="0" fontId="5" fillId="0" borderId="0" xfId="2"/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lculator.net/loan-calculator.html?cloanamount=160%2C000&amp;cloanterm=20&amp;cloantermmonth=0&amp;cinterestrate=1&amp;ccompound=monthly&amp;cpayback=month&amp;x=Calculate&amp;type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0BB7-AA7F-4D49-AF4D-EC8F2D94F058}">
  <dimension ref="B3:AD116"/>
  <sheetViews>
    <sheetView showGridLines="0" tabSelected="1" zoomScale="80" zoomScaleNormal="80" workbookViewId="0">
      <selection activeCell="W38" sqref="W38"/>
    </sheetView>
  </sheetViews>
  <sheetFormatPr defaultRowHeight="15" x14ac:dyDescent="0.25"/>
  <cols>
    <col min="1" max="1" width="3.5703125" customWidth="1"/>
    <col min="2" max="2" width="20" customWidth="1"/>
    <col min="3" max="3" width="14.85546875" customWidth="1"/>
    <col min="4" max="4" width="16.85546875" customWidth="1"/>
    <col min="5" max="5" width="12.85546875" customWidth="1"/>
    <col min="6" max="6" width="11.85546875" customWidth="1"/>
    <col min="7" max="7" width="14.42578125" customWidth="1"/>
    <col min="8" max="9" width="14.42578125" hidden="1" customWidth="1"/>
    <col min="10" max="10" width="16.85546875" customWidth="1"/>
    <col min="11" max="11" width="16.7109375" customWidth="1"/>
    <col min="12" max="16" width="16.7109375" hidden="1" customWidth="1"/>
    <col min="17" max="17" width="15" customWidth="1"/>
    <col min="18" max="18" width="15" hidden="1" customWidth="1"/>
    <col min="19" max="21" width="16.28515625" customWidth="1"/>
    <col min="22" max="22" width="15.7109375" customWidth="1"/>
    <col min="23" max="23" width="18.28515625" customWidth="1"/>
    <col min="24" max="27" width="14.5703125" customWidth="1"/>
    <col min="28" max="29" width="19.42578125" customWidth="1"/>
    <col min="30" max="30" width="18.140625" customWidth="1"/>
  </cols>
  <sheetData>
    <row r="3" spans="2:30" x14ac:dyDescent="0.25">
      <c r="D3" s="19">
        <f>D5*1%</f>
        <v>2000</v>
      </c>
      <c r="E3" s="19">
        <f>D5+S5</f>
        <v>160000</v>
      </c>
    </row>
    <row r="4" spans="2:30" ht="29.25" customHeight="1" x14ac:dyDescent="0.25">
      <c r="B4" s="38" t="s">
        <v>1</v>
      </c>
      <c r="C4" s="39"/>
      <c r="D4" s="40"/>
      <c r="E4" s="17"/>
      <c r="G4" s="9" t="s">
        <v>12</v>
      </c>
      <c r="H4" s="9" t="s">
        <v>19</v>
      </c>
      <c r="I4" s="9" t="s">
        <v>49</v>
      </c>
      <c r="J4" s="9" t="s">
        <v>13</v>
      </c>
      <c r="K4" s="9" t="s">
        <v>14</v>
      </c>
      <c r="L4" s="9" t="str">
        <f>B8</f>
        <v>Property Tax</v>
      </c>
      <c r="M4" s="9" t="str">
        <f>B9</f>
        <v>Total Insurance</v>
      </c>
      <c r="N4" s="9" t="str">
        <f>B10</f>
        <v>HOA Fee</v>
      </c>
      <c r="O4" s="9" t="str">
        <f>B11</f>
        <v>Maintenance</v>
      </c>
      <c r="P4" s="9" t="str">
        <f>B12</f>
        <v>Other Costs</v>
      </c>
      <c r="Q4" s="9" t="s">
        <v>15</v>
      </c>
      <c r="R4" s="9" t="s">
        <v>51</v>
      </c>
      <c r="S4" s="9" t="s">
        <v>16</v>
      </c>
      <c r="T4" s="9"/>
      <c r="U4" s="9"/>
      <c r="V4" s="9" t="s">
        <v>17</v>
      </c>
      <c r="W4" s="9" t="s">
        <v>18</v>
      </c>
      <c r="X4" s="9"/>
      <c r="Y4" s="9" t="s">
        <v>18</v>
      </c>
      <c r="Z4" s="9"/>
      <c r="AA4" s="9"/>
      <c r="AB4" s="9" t="s">
        <v>33</v>
      </c>
      <c r="AC4" s="9"/>
      <c r="AD4" s="9" t="s">
        <v>34</v>
      </c>
    </row>
    <row r="5" spans="2:30" x14ac:dyDescent="0.25">
      <c r="B5" s="3" t="s">
        <v>0</v>
      </c>
      <c r="C5" s="3"/>
      <c r="D5" s="6">
        <v>200000</v>
      </c>
      <c r="E5" s="1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">
        <f>D5*K38</f>
        <v>40000</v>
      </c>
      <c r="S5" s="1">
        <f>-1*(D5*K38)</f>
        <v>-40000</v>
      </c>
      <c r="T5" s="1">
        <f>S5</f>
        <v>-40000</v>
      </c>
      <c r="U5" s="1">
        <f>-1*D5</f>
        <v>-200000</v>
      </c>
      <c r="V5" s="1">
        <f>(D5*K38)</f>
        <v>40000</v>
      </c>
      <c r="W5" s="7"/>
      <c r="X5" s="7"/>
      <c r="Y5" s="7"/>
      <c r="Z5" s="7"/>
      <c r="AA5" s="1"/>
      <c r="AB5" s="7"/>
      <c r="AC5" s="7"/>
      <c r="AD5" s="7"/>
    </row>
    <row r="6" spans="2:30" x14ac:dyDescent="0.25">
      <c r="B6" s="3"/>
      <c r="C6" s="3"/>
      <c r="D6" s="3"/>
      <c r="E6" s="3"/>
      <c r="G6" s="7">
        <v>1</v>
      </c>
      <c r="H6" s="1">
        <f>D18</f>
        <v>2000</v>
      </c>
      <c r="I6" s="1">
        <f>H6*12</f>
        <v>24000</v>
      </c>
      <c r="J6" s="1">
        <f>I6-(I6*$D$19)</f>
        <v>22800</v>
      </c>
      <c r="K6" s="1">
        <f t="shared" ref="K6:K25" si="0">$K$42</f>
        <v>11511.370082932845</v>
      </c>
      <c r="L6" s="1">
        <f>D8</f>
        <v>3000</v>
      </c>
      <c r="M6" s="1">
        <f>D9</f>
        <v>1200</v>
      </c>
      <c r="N6" s="1">
        <f>D10</f>
        <v>0</v>
      </c>
      <c r="O6" s="1">
        <f>D11</f>
        <v>2000</v>
      </c>
      <c r="P6" s="1">
        <f>D12</f>
        <v>500</v>
      </c>
      <c r="Q6" s="1">
        <f>SUM(L6:P6)</f>
        <v>6700</v>
      </c>
      <c r="R6" s="1"/>
      <c r="S6" s="1">
        <f>J6-SUM(K6+Q6)</f>
        <v>4588.6299170671555</v>
      </c>
      <c r="T6" s="1">
        <f>S6+AC6</f>
        <v>36073.449999999997</v>
      </c>
      <c r="U6" s="1">
        <f>J6-Q6</f>
        <v>16100</v>
      </c>
      <c r="V6" s="10">
        <f>-1*S6/$S$5</f>
        <v>0.11471574792667889</v>
      </c>
      <c r="W6" s="1">
        <f>D5+(D5*D26)</f>
        <v>206000</v>
      </c>
      <c r="X6" s="1">
        <f>D5+(D5*W38)</f>
        <v>207052.98476827552</v>
      </c>
      <c r="Y6" s="1">
        <f>V5+ (D5*D26)+K6-AA6</f>
        <v>47964.820082932842</v>
      </c>
      <c r="Z6" s="1">
        <f>V5+ (D5*W38)+K6-AA6</f>
        <v>49017.804851208355</v>
      </c>
      <c r="AA6" s="1">
        <f>D74</f>
        <v>9546.5500000000011</v>
      </c>
      <c r="AB6" s="1">
        <f t="shared" ref="AB6:AB25" si="1">W6-(W6*$D$29)</f>
        <v>189520</v>
      </c>
      <c r="AC6" s="1">
        <f>Y6-(W6*$D$29)</f>
        <v>31484.820082932842</v>
      </c>
      <c r="AD6" s="14">
        <f>IRR(T5:T6)</f>
        <v>-9.8163750000000105E-2</v>
      </c>
    </row>
    <row r="7" spans="2:30" ht="25.5" customHeight="1" x14ac:dyDescent="0.25">
      <c r="B7" s="29" t="s">
        <v>2</v>
      </c>
      <c r="C7" s="29"/>
      <c r="D7" s="29" t="s">
        <v>32</v>
      </c>
      <c r="E7" s="15" t="s">
        <v>48</v>
      </c>
      <c r="G7" s="7">
        <v>2</v>
      </c>
      <c r="H7" s="1">
        <f>H6 + (H6*$E$18)</f>
        <v>2060</v>
      </c>
      <c r="I7" s="1">
        <f t="shared" ref="I7:I25" si="2">H7*12</f>
        <v>24720</v>
      </c>
      <c r="J7" s="1">
        <f>I7-(I7*$D$19)</f>
        <v>23484</v>
      </c>
      <c r="K7" s="1">
        <f t="shared" si="0"/>
        <v>11511.370082932845</v>
      </c>
      <c r="L7" s="1">
        <f>L6+(L6*$E$8)</f>
        <v>3090</v>
      </c>
      <c r="M7" s="1">
        <f>M6+(M6*$E$9)</f>
        <v>1236</v>
      </c>
      <c r="N7" s="1">
        <f>N6+(N6*$E$10)</f>
        <v>0</v>
      </c>
      <c r="O7" s="1">
        <f>O6+(O6*$E$11)</f>
        <v>2060</v>
      </c>
      <c r="P7" s="1">
        <f>P6+(P6*$E$12)</f>
        <v>515</v>
      </c>
      <c r="Q7" s="1">
        <f t="shared" ref="Q7:Q25" si="3">SUM(L7:P7)</f>
        <v>6901</v>
      </c>
      <c r="R7" s="1"/>
      <c r="S7" s="1">
        <f>J7-SUM(K7+Q7)</f>
        <v>5071.6299170671555</v>
      </c>
      <c r="T7" s="1">
        <f>S7+AC7</f>
        <v>44328.040082932843</v>
      </c>
      <c r="U7" s="1">
        <f t="shared" ref="U7:U25" si="4">J7-Q7</f>
        <v>16583</v>
      </c>
      <c r="V7" s="10">
        <f>-1*S7/$S$5</f>
        <v>0.12679074792667888</v>
      </c>
      <c r="W7" s="1">
        <f t="shared" ref="W7:W25" si="5">W6+(W6*$D$26)</f>
        <v>212180</v>
      </c>
      <c r="X7" s="1">
        <f t="shared" ref="X7:X25" si="6">X6+(X6*$W$38)</f>
        <v>214354.69250725867</v>
      </c>
      <c r="Y7" s="1">
        <f>Y6+ (W6*$D$26)+K7-AA7</f>
        <v>56230.810165865689</v>
      </c>
      <c r="Z7" s="1">
        <f>Z6+ (X6*W38)+K7-AA7</f>
        <v>58405.502673124349</v>
      </c>
      <c r="AA7" s="1">
        <f>E74</f>
        <v>9425.3799999999992</v>
      </c>
      <c r="AB7" s="1">
        <f t="shared" si="1"/>
        <v>195205.6</v>
      </c>
      <c r="AC7" s="1">
        <f t="shared" ref="AC7:AC25" si="7">Y7-(W7*$D$29)</f>
        <v>39256.410165865687</v>
      </c>
      <c r="AD7" s="14">
        <f>IRR(T5:T7)</f>
        <v>0.59613782336657817</v>
      </c>
    </row>
    <row r="8" spans="2:30" x14ac:dyDescent="0.25">
      <c r="B8" t="s">
        <v>3</v>
      </c>
      <c r="D8" s="2">
        <v>3000</v>
      </c>
      <c r="E8" s="28">
        <v>0.03</v>
      </c>
      <c r="G8" s="7">
        <v>3</v>
      </c>
      <c r="H8" s="1">
        <f t="shared" ref="H8:H25" si="8">H7 + (H7*$E$18)</f>
        <v>2121.8000000000002</v>
      </c>
      <c r="I8" s="1">
        <f t="shared" si="2"/>
        <v>25461.600000000002</v>
      </c>
      <c r="J8" s="1">
        <f t="shared" ref="J8:J25" si="9">I8-(I8*$D$19)</f>
        <v>24188.52</v>
      </c>
      <c r="K8" s="1">
        <f t="shared" si="0"/>
        <v>11511.370082932845</v>
      </c>
      <c r="L8" s="1">
        <f t="shared" ref="L8:L25" si="10">L7+(L7*$E$8)</f>
        <v>3182.7</v>
      </c>
      <c r="M8" s="1">
        <f t="shared" ref="M8:M25" si="11">M7+(M7*$E$9)</f>
        <v>1273.08</v>
      </c>
      <c r="N8" s="1">
        <f t="shared" ref="N8:N25" si="12">N7+(N7*$E$10)</f>
        <v>0</v>
      </c>
      <c r="O8" s="1">
        <f t="shared" ref="O8:O25" si="13">O7+(O7*$E$11)</f>
        <v>2121.8000000000002</v>
      </c>
      <c r="P8" s="1">
        <f t="shared" ref="P8:P25" si="14">P7+(P7*$E$12)</f>
        <v>530.45000000000005</v>
      </c>
      <c r="Q8" s="1">
        <f t="shared" si="3"/>
        <v>7108.03</v>
      </c>
      <c r="R8" s="1"/>
      <c r="S8" s="1">
        <f>J8-SUM(K8+Q8)</f>
        <v>5569.1199170671571</v>
      </c>
      <c r="T8" s="1">
        <f>S8+AC8</f>
        <v>52896.358165865691</v>
      </c>
      <c r="U8" s="1">
        <f t="shared" si="4"/>
        <v>17080.490000000002</v>
      </c>
      <c r="V8" s="10">
        <f t="shared" ref="V8:V25" si="15">-1*S8/$S$5</f>
        <v>0.13922799792667892</v>
      </c>
      <c r="W8" s="1">
        <f t="shared" si="5"/>
        <v>218545.4</v>
      </c>
      <c r="X8" s="1">
        <f t="shared" si="6"/>
        <v>221913.89441356907</v>
      </c>
      <c r="Y8" s="1">
        <f>Y7+ (W7*$D$26)+K8-AA8</f>
        <v>64810.870248798536</v>
      </c>
      <c r="Z8" s="1"/>
      <c r="AA8" s="1">
        <f>F74</f>
        <v>9296.7100000000009</v>
      </c>
      <c r="AB8" s="1">
        <f t="shared" si="1"/>
        <v>201061.76799999998</v>
      </c>
      <c r="AC8" s="1">
        <f t="shared" si="7"/>
        <v>47327.238248798531</v>
      </c>
      <c r="AD8" s="7"/>
    </row>
    <row r="9" spans="2:30" x14ac:dyDescent="0.25">
      <c r="B9" t="s">
        <v>4</v>
      </c>
      <c r="D9" s="1">
        <v>1200</v>
      </c>
      <c r="E9" s="28">
        <v>0.03</v>
      </c>
      <c r="G9" s="7">
        <v>4</v>
      </c>
      <c r="H9" s="1">
        <f t="shared" si="8"/>
        <v>2185.4540000000002</v>
      </c>
      <c r="I9" s="1">
        <f t="shared" si="2"/>
        <v>26225.448000000004</v>
      </c>
      <c r="J9" s="1">
        <f t="shared" si="9"/>
        <v>24914.175600000002</v>
      </c>
      <c r="K9" s="1">
        <f t="shared" si="0"/>
        <v>11511.370082932845</v>
      </c>
      <c r="L9" s="1">
        <f t="shared" si="10"/>
        <v>3278.1809999999996</v>
      </c>
      <c r="M9" s="1">
        <f t="shared" si="11"/>
        <v>1311.2723999999998</v>
      </c>
      <c r="N9" s="1">
        <f t="shared" si="12"/>
        <v>0</v>
      </c>
      <c r="O9" s="1">
        <f t="shared" si="13"/>
        <v>2185.4540000000002</v>
      </c>
      <c r="P9" s="1">
        <f t="shared" si="14"/>
        <v>546.36350000000004</v>
      </c>
      <c r="Q9" s="1">
        <f t="shared" si="3"/>
        <v>7321.2709000000004</v>
      </c>
      <c r="R9" s="1"/>
      <c r="S9" s="1">
        <f t="shared" ref="S9:S25" si="16">J9-SUM(K9+Q9)</f>
        <v>6081.5346170671583</v>
      </c>
      <c r="T9" s="1"/>
      <c r="U9" s="1">
        <f t="shared" si="4"/>
        <v>17592.904700000003</v>
      </c>
      <c r="V9" s="10">
        <f t="shared" si="15"/>
        <v>0.15203836542667895</v>
      </c>
      <c r="W9" s="1">
        <f t="shared" si="5"/>
        <v>225101.76199999999</v>
      </c>
      <c r="X9" s="1">
        <f t="shared" si="6"/>
        <v>229739.6709994071</v>
      </c>
      <c r="Y9" s="1">
        <f t="shared" ref="Y9:Y25" si="17">Y8+K9+ (W8*$D$26)</f>
        <v>82878.602331731381</v>
      </c>
      <c r="Z9" s="1"/>
      <c r="AA9" s="1"/>
      <c r="AB9" s="1">
        <f t="shared" si="1"/>
        <v>207093.62104</v>
      </c>
      <c r="AC9" s="1">
        <f t="shared" si="7"/>
        <v>64870.461371731377</v>
      </c>
      <c r="AD9" s="7"/>
    </row>
    <row r="10" spans="2:30" x14ac:dyDescent="0.25">
      <c r="B10" t="s">
        <v>5</v>
      </c>
      <c r="D10" s="1">
        <v>0</v>
      </c>
      <c r="E10" s="28">
        <v>0.03</v>
      </c>
      <c r="G10" s="7">
        <v>5</v>
      </c>
      <c r="H10" s="1">
        <f t="shared" si="8"/>
        <v>2251.0176200000001</v>
      </c>
      <c r="I10" s="1">
        <f t="shared" si="2"/>
        <v>27012.211439999999</v>
      </c>
      <c r="J10" s="1">
        <f t="shared" si="9"/>
        <v>25661.600867999998</v>
      </c>
      <c r="K10" s="1">
        <f t="shared" si="0"/>
        <v>11511.370082932845</v>
      </c>
      <c r="L10" s="1">
        <f t="shared" si="10"/>
        <v>3376.5264299999994</v>
      </c>
      <c r="M10" s="1">
        <f t="shared" si="11"/>
        <v>1350.6105719999998</v>
      </c>
      <c r="N10" s="1">
        <f t="shared" si="12"/>
        <v>0</v>
      </c>
      <c r="O10" s="1">
        <f t="shared" si="13"/>
        <v>2251.0176200000001</v>
      </c>
      <c r="P10" s="1">
        <f t="shared" si="14"/>
        <v>562.75440500000002</v>
      </c>
      <c r="Q10" s="1">
        <f t="shared" si="3"/>
        <v>7540.9090269999997</v>
      </c>
      <c r="R10" s="1"/>
      <c r="S10" s="1">
        <f t="shared" si="16"/>
        <v>6609.3217580671517</v>
      </c>
      <c r="T10" s="1"/>
      <c r="U10" s="1">
        <f t="shared" si="4"/>
        <v>18120.691841</v>
      </c>
      <c r="V10" s="10">
        <f t="shared" si="15"/>
        <v>0.16523304395167879</v>
      </c>
      <c r="W10" s="1">
        <f t="shared" si="5"/>
        <v>231854.81485999998</v>
      </c>
      <c r="X10" s="1">
        <f t="shared" si="6"/>
        <v>237841.42300054434</v>
      </c>
      <c r="Y10" s="1">
        <f t="shared" si="17"/>
        <v>101143.02527466422</v>
      </c>
      <c r="Z10" s="1"/>
      <c r="AA10" s="1"/>
      <c r="AB10" s="1">
        <f t="shared" si="1"/>
        <v>213306.42967119999</v>
      </c>
      <c r="AC10" s="1">
        <f t="shared" si="7"/>
        <v>82594.64008586423</v>
      </c>
      <c r="AD10" s="7"/>
    </row>
    <row r="11" spans="2:30" x14ac:dyDescent="0.25">
      <c r="B11" t="s">
        <v>6</v>
      </c>
      <c r="D11" s="1">
        <v>2000</v>
      </c>
      <c r="E11" s="28">
        <v>0.03</v>
      </c>
      <c r="G11" s="7">
        <v>6</v>
      </c>
      <c r="H11" s="1">
        <f t="shared" si="8"/>
        <v>2318.5481485999999</v>
      </c>
      <c r="I11" s="1">
        <f t="shared" si="2"/>
        <v>27822.577783199999</v>
      </c>
      <c r="J11" s="1">
        <f t="shared" si="9"/>
        <v>26431.448894039997</v>
      </c>
      <c r="K11" s="1">
        <f t="shared" si="0"/>
        <v>11511.370082932845</v>
      </c>
      <c r="L11" s="1">
        <f t="shared" si="10"/>
        <v>3477.8222228999994</v>
      </c>
      <c r="M11" s="1">
        <f t="shared" si="11"/>
        <v>1391.1288891599997</v>
      </c>
      <c r="N11" s="1">
        <f t="shared" si="12"/>
        <v>0</v>
      </c>
      <c r="O11" s="1">
        <f t="shared" si="13"/>
        <v>2318.5481485999999</v>
      </c>
      <c r="P11" s="1">
        <f t="shared" si="14"/>
        <v>579.63703714999997</v>
      </c>
      <c r="Q11" s="1">
        <f t="shared" si="3"/>
        <v>7767.1362978099987</v>
      </c>
      <c r="R11" s="1"/>
      <c r="S11" s="1">
        <f t="shared" si="16"/>
        <v>7152.9425132971519</v>
      </c>
      <c r="T11" s="1"/>
      <c r="U11" s="1">
        <f t="shared" si="4"/>
        <v>18664.312596229996</v>
      </c>
      <c r="V11" s="10">
        <f t="shared" si="15"/>
        <v>0.17882356283242878</v>
      </c>
      <c r="W11" s="1">
        <f t="shared" si="5"/>
        <v>238810.45930579997</v>
      </c>
      <c r="X11" s="1">
        <f t="shared" si="6"/>
        <v>246228.88266898339</v>
      </c>
      <c r="Y11" s="1">
        <f t="shared" si="17"/>
        <v>119610.03980339707</v>
      </c>
      <c r="Z11" s="1"/>
      <c r="AA11" s="1"/>
      <c r="AB11" s="1">
        <f t="shared" si="1"/>
        <v>219705.62256133597</v>
      </c>
      <c r="AC11" s="1">
        <f t="shared" si="7"/>
        <v>100505.20305893307</v>
      </c>
      <c r="AD11" s="7"/>
    </row>
    <row r="12" spans="2:30" x14ac:dyDescent="0.25">
      <c r="B12" t="s">
        <v>7</v>
      </c>
      <c r="D12" s="1">
        <v>500</v>
      </c>
      <c r="E12" s="28">
        <v>0.03</v>
      </c>
      <c r="G12" s="7">
        <v>7</v>
      </c>
      <c r="H12" s="1">
        <f t="shared" si="8"/>
        <v>2388.1045930579999</v>
      </c>
      <c r="I12" s="1">
        <f t="shared" si="2"/>
        <v>28657.255116695997</v>
      </c>
      <c r="J12" s="1">
        <f t="shared" si="9"/>
        <v>27224.392360861195</v>
      </c>
      <c r="K12" s="1">
        <f t="shared" si="0"/>
        <v>11511.370082932845</v>
      </c>
      <c r="L12" s="1">
        <f t="shared" si="10"/>
        <v>3582.1568895869996</v>
      </c>
      <c r="M12" s="1">
        <f t="shared" si="11"/>
        <v>1432.8627558347998</v>
      </c>
      <c r="N12" s="1">
        <f t="shared" si="12"/>
        <v>0</v>
      </c>
      <c r="O12" s="1">
        <f t="shared" si="13"/>
        <v>2388.1045930579999</v>
      </c>
      <c r="P12" s="1">
        <f t="shared" si="14"/>
        <v>597.02614826449997</v>
      </c>
      <c r="Q12" s="1">
        <f t="shared" si="3"/>
        <v>8000.1503867442989</v>
      </c>
      <c r="R12" s="1"/>
      <c r="S12" s="1">
        <f t="shared" si="16"/>
        <v>7712.8718911840515</v>
      </c>
      <c r="T12" s="1"/>
      <c r="U12" s="1">
        <f t="shared" si="4"/>
        <v>19224.241974116896</v>
      </c>
      <c r="V12" s="10">
        <f t="shared" si="15"/>
        <v>0.19282179727960128</v>
      </c>
      <c r="W12" s="1">
        <f t="shared" si="5"/>
        <v>245974.77308497397</v>
      </c>
      <c r="X12" s="1">
        <f t="shared" si="6"/>
        <v>254912.1254638526</v>
      </c>
      <c r="Y12" s="1">
        <f t="shared" si="17"/>
        <v>138285.7236655039</v>
      </c>
      <c r="Z12" s="1"/>
      <c r="AA12" s="1"/>
      <c r="AB12" s="1">
        <f t="shared" si="1"/>
        <v>226296.79123817605</v>
      </c>
      <c r="AC12" s="1">
        <f t="shared" si="7"/>
        <v>118607.74181870598</v>
      </c>
      <c r="AD12" s="7"/>
    </row>
    <row r="13" spans="2:30" x14ac:dyDescent="0.25">
      <c r="B13" s="5" t="s">
        <v>8</v>
      </c>
      <c r="D13" s="4">
        <f>SUM(D8:D12)</f>
        <v>6700</v>
      </c>
      <c r="E13" s="24"/>
      <c r="G13" s="7">
        <v>8</v>
      </c>
      <c r="H13" s="1">
        <f t="shared" si="8"/>
        <v>2459.74773084974</v>
      </c>
      <c r="I13" s="1">
        <f t="shared" si="2"/>
        <v>29516.97277019688</v>
      </c>
      <c r="J13" s="1">
        <f t="shared" si="9"/>
        <v>28041.124131687036</v>
      </c>
      <c r="K13" s="1">
        <f t="shared" si="0"/>
        <v>11511.370082932845</v>
      </c>
      <c r="L13" s="1">
        <f t="shared" si="10"/>
        <v>3689.6215962746096</v>
      </c>
      <c r="M13" s="1">
        <f t="shared" si="11"/>
        <v>1475.8486385098438</v>
      </c>
      <c r="N13" s="1">
        <f t="shared" si="12"/>
        <v>0</v>
      </c>
      <c r="O13" s="1">
        <f t="shared" si="13"/>
        <v>2459.74773084974</v>
      </c>
      <c r="P13" s="1">
        <f t="shared" si="14"/>
        <v>614.93693271243501</v>
      </c>
      <c r="Q13" s="1">
        <f t="shared" si="3"/>
        <v>8240.1548983466273</v>
      </c>
      <c r="R13" s="1"/>
      <c r="S13" s="1">
        <f t="shared" si="16"/>
        <v>8289.5991504075646</v>
      </c>
      <c r="T13" s="1"/>
      <c r="U13" s="1">
        <f t="shared" si="4"/>
        <v>19800.969233340409</v>
      </c>
      <c r="V13" s="10">
        <f t="shared" si="15"/>
        <v>0.20723997876018913</v>
      </c>
      <c r="W13" s="1">
        <f t="shared" si="5"/>
        <v>253354.01627752319</v>
      </c>
      <c r="X13" s="1">
        <f t="shared" si="6"/>
        <v>263901.58215457905</v>
      </c>
      <c r="Y13" s="1">
        <f t="shared" si="17"/>
        <v>157176.33694098596</v>
      </c>
      <c r="Z13" s="1"/>
      <c r="AA13" s="1"/>
      <c r="AB13" s="1">
        <f t="shared" si="1"/>
        <v>233085.69497532133</v>
      </c>
      <c r="AC13" s="1">
        <f t="shared" si="7"/>
        <v>136908.0156387841</v>
      </c>
      <c r="AD13" s="7"/>
    </row>
    <row r="14" spans="2:30" x14ac:dyDescent="0.25">
      <c r="E14" s="24"/>
      <c r="G14" s="7">
        <v>9</v>
      </c>
      <c r="H14" s="1">
        <f t="shared" si="8"/>
        <v>2533.5401627752321</v>
      </c>
      <c r="I14" s="1">
        <f t="shared" si="2"/>
        <v>30402.481953302784</v>
      </c>
      <c r="J14" s="1">
        <f t="shared" si="9"/>
        <v>28882.357855637645</v>
      </c>
      <c r="K14" s="1">
        <f t="shared" si="0"/>
        <v>11511.370082932845</v>
      </c>
      <c r="L14" s="1">
        <f t="shared" si="10"/>
        <v>3800.310244162848</v>
      </c>
      <c r="M14" s="1">
        <f t="shared" si="11"/>
        <v>1520.1240976651391</v>
      </c>
      <c r="N14" s="1">
        <f t="shared" si="12"/>
        <v>0</v>
      </c>
      <c r="O14" s="1">
        <f t="shared" si="13"/>
        <v>2533.5401627752321</v>
      </c>
      <c r="P14" s="1">
        <f t="shared" si="14"/>
        <v>633.38504069380804</v>
      </c>
      <c r="Q14" s="1">
        <f t="shared" si="3"/>
        <v>8487.3595452970258</v>
      </c>
      <c r="R14" s="1"/>
      <c r="S14" s="1">
        <f t="shared" si="16"/>
        <v>8883.6282274077748</v>
      </c>
      <c r="T14" s="1"/>
      <c r="U14" s="1">
        <f t="shared" si="4"/>
        <v>20394.998310340619</v>
      </c>
      <c r="V14" s="10">
        <f t="shared" si="15"/>
        <v>0.22209070568519437</v>
      </c>
      <c r="W14" s="1">
        <f t="shared" si="5"/>
        <v>260954.63676584887</v>
      </c>
      <c r="X14" s="1">
        <f t="shared" si="6"/>
        <v>273208.05135087931</v>
      </c>
      <c r="Y14" s="1">
        <f t="shared" si="17"/>
        <v>176288.32751224449</v>
      </c>
      <c r="Z14" s="1"/>
      <c r="AA14" s="1"/>
      <c r="AB14" s="1">
        <f t="shared" si="1"/>
        <v>240078.26582458097</v>
      </c>
      <c r="AC14" s="1">
        <f t="shared" si="7"/>
        <v>155411.95657097659</v>
      </c>
      <c r="AD14" s="7"/>
    </row>
    <row r="15" spans="2:30" x14ac:dyDescent="0.25">
      <c r="E15" s="20"/>
      <c r="G15" s="7">
        <v>10</v>
      </c>
      <c r="H15" s="1">
        <f t="shared" si="8"/>
        <v>2609.5463676584891</v>
      </c>
      <c r="I15" s="1">
        <f t="shared" si="2"/>
        <v>31314.556411901867</v>
      </c>
      <c r="J15" s="1">
        <f t="shared" si="9"/>
        <v>29748.828591306774</v>
      </c>
      <c r="K15" s="1">
        <f t="shared" si="0"/>
        <v>11511.370082932845</v>
      </c>
      <c r="L15" s="1">
        <f t="shared" si="10"/>
        <v>3914.3195514877334</v>
      </c>
      <c r="M15" s="1">
        <f t="shared" si="11"/>
        <v>1565.7278205950931</v>
      </c>
      <c r="N15" s="1">
        <f t="shared" si="12"/>
        <v>0</v>
      </c>
      <c r="O15" s="1">
        <f t="shared" si="13"/>
        <v>2609.5463676584891</v>
      </c>
      <c r="P15" s="1">
        <f t="shared" si="14"/>
        <v>652.38659191462227</v>
      </c>
      <c r="Q15" s="1">
        <f t="shared" si="3"/>
        <v>8741.9803316559392</v>
      </c>
      <c r="R15" s="1"/>
      <c r="S15" s="1">
        <f t="shared" si="16"/>
        <v>9495.4781767179884</v>
      </c>
      <c r="T15" s="1"/>
      <c r="U15" s="1">
        <f t="shared" si="4"/>
        <v>21006.848259650833</v>
      </c>
      <c r="V15" s="10">
        <f t="shared" si="15"/>
        <v>0.23738695441794971</v>
      </c>
      <c r="W15" s="1">
        <f t="shared" si="5"/>
        <v>268783.27586882433</v>
      </c>
      <c r="X15" s="1">
        <f t="shared" si="6"/>
        <v>282842.71247461927</v>
      </c>
      <c r="Y15" s="1">
        <f t="shared" si="17"/>
        <v>195628.33669815279</v>
      </c>
      <c r="Z15" s="1"/>
      <c r="AA15" s="1"/>
      <c r="AB15" s="1">
        <f t="shared" si="1"/>
        <v>247280.61379931838</v>
      </c>
      <c r="AC15" s="1">
        <f t="shared" si="7"/>
        <v>174125.67462864684</v>
      </c>
      <c r="AD15" s="7"/>
    </row>
    <row r="16" spans="2:30" x14ac:dyDescent="0.25">
      <c r="G16" s="7">
        <v>11</v>
      </c>
      <c r="H16" s="1">
        <f t="shared" si="8"/>
        <v>2687.8327586882438</v>
      </c>
      <c r="I16" s="1">
        <f t="shared" si="2"/>
        <v>32253.993104258923</v>
      </c>
      <c r="J16" s="1">
        <f t="shared" si="9"/>
        <v>30641.293449045977</v>
      </c>
      <c r="K16" s="1">
        <f t="shared" si="0"/>
        <v>11511.370082932845</v>
      </c>
      <c r="L16" s="1">
        <f t="shared" si="10"/>
        <v>4031.7491380323654</v>
      </c>
      <c r="M16" s="1">
        <f t="shared" si="11"/>
        <v>1612.699655212946</v>
      </c>
      <c r="N16" s="1">
        <f t="shared" si="12"/>
        <v>0</v>
      </c>
      <c r="O16" s="1">
        <f t="shared" si="13"/>
        <v>2687.8327586882438</v>
      </c>
      <c r="P16" s="1">
        <f t="shared" si="14"/>
        <v>671.95818967206094</v>
      </c>
      <c r="Q16" s="1">
        <f t="shared" si="3"/>
        <v>9004.2397416056156</v>
      </c>
      <c r="R16" s="1"/>
      <c r="S16" s="1">
        <f t="shared" si="16"/>
        <v>10125.683624507517</v>
      </c>
      <c r="T16" s="1"/>
      <c r="U16" s="1">
        <f t="shared" si="4"/>
        <v>21637.053707440362</v>
      </c>
      <c r="V16" s="10">
        <f t="shared" si="15"/>
        <v>0.25314209061268794</v>
      </c>
      <c r="W16" s="1">
        <f t="shared" si="5"/>
        <v>276846.77414488909</v>
      </c>
      <c r="X16" s="1">
        <f t="shared" si="6"/>
        <v>292817.13918912539</v>
      </c>
      <c r="Y16" s="1">
        <f t="shared" si="17"/>
        <v>215203.20505715036</v>
      </c>
      <c r="Z16" s="1"/>
      <c r="AA16" s="1"/>
      <c r="AB16" s="1">
        <f t="shared" si="1"/>
        <v>254699.03221329796</v>
      </c>
      <c r="AC16" s="1">
        <f t="shared" si="7"/>
        <v>193055.46312555924</v>
      </c>
      <c r="AD16" s="7"/>
    </row>
    <row r="17" spans="2:30" ht="18.75" x14ac:dyDescent="0.25">
      <c r="B17" s="26" t="s">
        <v>9</v>
      </c>
      <c r="C17" s="27"/>
      <c r="D17" s="29" t="s">
        <v>32</v>
      </c>
      <c r="E17" s="15" t="s">
        <v>48</v>
      </c>
      <c r="G17" s="7">
        <v>12</v>
      </c>
      <c r="H17" s="1">
        <f t="shared" si="8"/>
        <v>2768.467741448891</v>
      </c>
      <c r="I17" s="1">
        <f t="shared" si="2"/>
        <v>33221.612897386694</v>
      </c>
      <c r="J17" s="1">
        <f t="shared" si="9"/>
        <v>31560.532252517361</v>
      </c>
      <c r="K17" s="1">
        <f t="shared" si="0"/>
        <v>11511.370082932845</v>
      </c>
      <c r="L17" s="1">
        <f t="shared" si="10"/>
        <v>4152.7016121733368</v>
      </c>
      <c r="M17" s="1">
        <f t="shared" si="11"/>
        <v>1661.0806448693345</v>
      </c>
      <c r="N17" s="1">
        <f t="shared" si="12"/>
        <v>0</v>
      </c>
      <c r="O17" s="1">
        <f t="shared" si="13"/>
        <v>2768.467741448891</v>
      </c>
      <c r="P17" s="1">
        <f t="shared" si="14"/>
        <v>692.11693536222276</v>
      </c>
      <c r="Q17" s="1">
        <f t="shared" si="3"/>
        <v>9274.3669338537857</v>
      </c>
      <c r="R17" s="1"/>
      <c r="S17" s="1">
        <f t="shared" si="16"/>
        <v>10774.795235730729</v>
      </c>
      <c r="T17" s="1"/>
      <c r="U17" s="1">
        <f t="shared" si="4"/>
        <v>22286.165318663574</v>
      </c>
      <c r="V17" s="10">
        <f t="shared" si="15"/>
        <v>0.26936988089326824</v>
      </c>
      <c r="W17" s="1">
        <f t="shared" si="5"/>
        <v>285152.17736923578</v>
      </c>
      <c r="X17" s="1">
        <f t="shared" si="6"/>
        <v>303143.31330207997</v>
      </c>
      <c r="Y17" s="1">
        <f t="shared" si="17"/>
        <v>235019.97836442987</v>
      </c>
      <c r="Z17" s="1"/>
      <c r="AA17" s="1"/>
      <c r="AB17" s="1">
        <f t="shared" si="1"/>
        <v>262340.00317969691</v>
      </c>
      <c r="AC17" s="1">
        <f t="shared" si="7"/>
        <v>212207.804174891</v>
      </c>
      <c r="AD17" s="7"/>
    </row>
    <row r="18" spans="2:30" x14ac:dyDescent="0.25">
      <c r="B18" s="3" t="s">
        <v>19</v>
      </c>
      <c r="C18" s="3"/>
      <c r="D18" s="6">
        <v>2000</v>
      </c>
      <c r="E18" s="28">
        <v>0.03</v>
      </c>
      <c r="G18" s="7">
        <v>13</v>
      </c>
      <c r="H18" s="1">
        <f t="shared" si="8"/>
        <v>2851.5217736923578</v>
      </c>
      <c r="I18" s="1">
        <f t="shared" si="2"/>
        <v>34218.26128430829</v>
      </c>
      <c r="J18" s="1">
        <f t="shared" si="9"/>
        <v>32507.348220092874</v>
      </c>
      <c r="K18" s="1">
        <f t="shared" si="0"/>
        <v>11511.370082932845</v>
      </c>
      <c r="L18" s="1">
        <f t="shared" si="10"/>
        <v>4277.2826605385371</v>
      </c>
      <c r="M18" s="1">
        <f t="shared" si="11"/>
        <v>1710.9130642154146</v>
      </c>
      <c r="N18" s="1">
        <f t="shared" si="12"/>
        <v>0</v>
      </c>
      <c r="O18" s="1">
        <f t="shared" si="13"/>
        <v>2851.5217736923578</v>
      </c>
      <c r="P18" s="1">
        <f t="shared" si="14"/>
        <v>712.88044342308945</v>
      </c>
      <c r="Q18" s="1">
        <f t="shared" si="3"/>
        <v>9552.5979418693987</v>
      </c>
      <c r="R18" s="1"/>
      <c r="S18" s="1">
        <f t="shared" si="16"/>
        <v>11443.380195290632</v>
      </c>
      <c r="T18" s="1"/>
      <c r="U18" s="1">
        <f t="shared" si="4"/>
        <v>22954.750278223473</v>
      </c>
      <c r="V18" s="10">
        <f t="shared" si="15"/>
        <v>0.28608450488226583</v>
      </c>
      <c r="W18" s="1">
        <f t="shared" si="5"/>
        <v>293706.74269031285</v>
      </c>
      <c r="X18" s="1">
        <f t="shared" si="6"/>
        <v>313833.63915870071</v>
      </c>
      <c r="Y18" s="1">
        <f t="shared" si="17"/>
        <v>255085.91376843979</v>
      </c>
      <c r="Z18" s="1"/>
      <c r="AA18" s="1"/>
      <c r="AB18" s="1">
        <f t="shared" si="1"/>
        <v>270210.20327508781</v>
      </c>
      <c r="AC18" s="1">
        <f t="shared" si="7"/>
        <v>231589.37435321475</v>
      </c>
      <c r="AD18" s="7"/>
    </row>
    <row r="19" spans="2:30" x14ac:dyDescent="0.25">
      <c r="B19" t="s">
        <v>10</v>
      </c>
      <c r="D19" s="8">
        <v>0.05</v>
      </c>
      <c r="G19" s="7">
        <v>14</v>
      </c>
      <c r="H19" s="1">
        <f t="shared" si="8"/>
        <v>2937.0674269031283</v>
      </c>
      <c r="I19" s="1">
        <f t="shared" si="2"/>
        <v>35244.809122837542</v>
      </c>
      <c r="J19" s="1">
        <f t="shared" si="9"/>
        <v>33482.568666695661</v>
      </c>
      <c r="K19" s="1">
        <f t="shared" si="0"/>
        <v>11511.370082932845</v>
      </c>
      <c r="L19" s="1">
        <f t="shared" si="10"/>
        <v>4405.6011403546936</v>
      </c>
      <c r="M19" s="1">
        <f t="shared" si="11"/>
        <v>1762.2404561418771</v>
      </c>
      <c r="N19" s="1">
        <f t="shared" si="12"/>
        <v>0</v>
      </c>
      <c r="O19" s="1">
        <f t="shared" si="13"/>
        <v>2937.0674269031283</v>
      </c>
      <c r="P19" s="1">
        <f t="shared" si="14"/>
        <v>734.26685672578208</v>
      </c>
      <c r="Q19" s="1">
        <f t="shared" si="3"/>
        <v>9839.1758801254819</v>
      </c>
      <c r="R19" s="1"/>
      <c r="S19" s="1">
        <f t="shared" si="16"/>
        <v>12132.022703637333</v>
      </c>
      <c r="T19" s="1"/>
      <c r="U19" s="1">
        <f t="shared" si="4"/>
        <v>23643.392786570177</v>
      </c>
      <c r="V19" s="10">
        <f t="shared" si="15"/>
        <v>0.30330056759093332</v>
      </c>
      <c r="W19" s="1">
        <f t="shared" si="5"/>
        <v>302517.94497102225</v>
      </c>
      <c r="X19" s="1">
        <f t="shared" si="6"/>
        <v>324900.95854249469</v>
      </c>
      <c r="Y19" s="1">
        <f t="shared" si="17"/>
        <v>275408.48613208206</v>
      </c>
      <c r="Z19" s="1"/>
      <c r="AA19" s="1"/>
      <c r="AB19" s="1">
        <f t="shared" si="1"/>
        <v>278316.50937334046</v>
      </c>
      <c r="AC19" s="1">
        <f t="shared" si="7"/>
        <v>251207.05053440027</v>
      </c>
      <c r="AD19" s="7"/>
    </row>
    <row r="20" spans="2:30" x14ac:dyDescent="0.25">
      <c r="B20" t="s">
        <v>11</v>
      </c>
      <c r="D20" s="8">
        <v>0</v>
      </c>
      <c r="G20" s="7">
        <v>15</v>
      </c>
      <c r="H20" s="1">
        <f t="shared" si="8"/>
        <v>3025.1794497102223</v>
      </c>
      <c r="I20" s="1">
        <f t="shared" si="2"/>
        <v>36302.15339652267</v>
      </c>
      <c r="J20" s="1">
        <f t="shared" si="9"/>
        <v>34487.045726696539</v>
      </c>
      <c r="K20" s="1">
        <f t="shared" si="0"/>
        <v>11511.370082932845</v>
      </c>
      <c r="L20" s="1">
        <f t="shared" si="10"/>
        <v>4537.7691745653347</v>
      </c>
      <c r="M20" s="1">
        <f t="shared" si="11"/>
        <v>1815.1076698261334</v>
      </c>
      <c r="N20" s="1">
        <f t="shared" si="12"/>
        <v>0</v>
      </c>
      <c r="O20" s="1">
        <f t="shared" si="13"/>
        <v>3025.1794497102223</v>
      </c>
      <c r="P20" s="1">
        <f t="shared" si="14"/>
        <v>756.29486242755559</v>
      </c>
      <c r="Q20" s="1">
        <f t="shared" si="3"/>
        <v>10134.351156529247</v>
      </c>
      <c r="R20" s="1"/>
      <c r="S20" s="1">
        <f t="shared" si="16"/>
        <v>12841.324487234448</v>
      </c>
      <c r="T20" s="1"/>
      <c r="U20" s="1">
        <f t="shared" si="4"/>
        <v>24352.694570167292</v>
      </c>
      <c r="V20" s="10">
        <f t="shared" si="15"/>
        <v>0.32103311218086117</v>
      </c>
      <c r="W20" s="1">
        <f t="shared" si="5"/>
        <v>311593.48332015291</v>
      </c>
      <c r="X20" s="1">
        <f t="shared" si="6"/>
        <v>336358.56610148633</v>
      </c>
      <c r="Y20" s="1">
        <f t="shared" si="17"/>
        <v>295995.39456414559</v>
      </c>
      <c r="Z20" s="1"/>
      <c r="AA20" s="1"/>
      <c r="AB20" s="1">
        <f t="shared" si="1"/>
        <v>286666.00465454068</v>
      </c>
      <c r="AC20" s="1">
        <f t="shared" si="7"/>
        <v>271067.91589853336</v>
      </c>
      <c r="AD20" s="7"/>
    </row>
    <row r="21" spans="2:30" x14ac:dyDescent="0.25">
      <c r="G21" s="7">
        <v>16</v>
      </c>
      <c r="H21" s="1">
        <f t="shared" si="8"/>
        <v>3115.9348332015288</v>
      </c>
      <c r="I21" s="1">
        <f t="shared" si="2"/>
        <v>37391.217998418346</v>
      </c>
      <c r="J21" s="1">
        <f t="shared" si="9"/>
        <v>35521.657098497431</v>
      </c>
      <c r="K21" s="1">
        <f t="shared" si="0"/>
        <v>11511.370082932845</v>
      </c>
      <c r="L21" s="1">
        <f t="shared" si="10"/>
        <v>4673.902249802295</v>
      </c>
      <c r="M21" s="1">
        <f t="shared" si="11"/>
        <v>1869.5608999209173</v>
      </c>
      <c r="N21" s="1">
        <f t="shared" si="12"/>
        <v>0</v>
      </c>
      <c r="O21" s="1">
        <f t="shared" si="13"/>
        <v>3115.9348332015288</v>
      </c>
      <c r="P21" s="1">
        <f t="shared" si="14"/>
        <v>778.9837083003822</v>
      </c>
      <c r="Q21" s="1">
        <f t="shared" si="3"/>
        <v>10438.381691225122</v>
      </c>
      <c r="R21" s="1"/>
      <c r="S21" s="1">
        <f t="shared" si="16"/>
        <v>13571.905324339466</v>
      </c>
      <c r="T21" s="1"/>
      <c r="U21" s="1">
        <f t="shared" si="4"/>
        <v>25083.275407272311</v>
      </c>
      <c r="V21" s="10">
        <f t="shared" si="15"/>
        <v>0.33929763310848665</v>
      </c>
      <c r="W21" s="1">
        <f t="shared" si="5"/>
        <v>320941.28781975748</v>
      </c>
      <c r="X21" s="1">
        <f t="shared" si="6"/>
        <v>348220.22531845019</v>
      </c>
      <c r="Y21" s="1">
        <f t="shared" si="17"/>
        <v>316854.56914668303</v>
      </c>
      <c r="Z21" s="1"/>
      <c r="AA21" s="1"/>
      <c r="AB21" s="1">
        <f t="shared" si="1"/>
        <v>295265.98479417688</v>
      </c>
      <c r="AC21" s="1">
        <f t="shared" si="7"/>
        <v>291179.26612110244</v>
      </c>
      <c r="AD21" s="7"/>
    </row>
    <row r="22" spans="2:30" x14ac:dyDescent="0.25">
      <c r="B22" t="s">
        <v>20</v>
      </c>
      <c r="D22" s="1">
        <f>D18*12</f>
        <v>24000</v>
      </c>
      <c r="E22" s="19"/>
      <c r="G22" s="7">
        <v>17</v>
      </c>
      <c r="H22" s="1">
        <f t="shared" si="8"/>
        <v>3209.4128781975746</v>
      </c>
      <c r="I22" s="1">
        <f t="shared" si="2"/>
        <v>38512.954538370897</v>
      </c>
      <c r="J22" s="1">
        <f t="shared" si="9"/>
        <v>36587.306811452356</v>
      </c>
      <c r="K22" s="1">
        <f t="shared" si="0"/>
        <v>11511.370082932845</v>
      </c>
      <c r="L22" s="1">
        <f t="shared" si="10"/>
        <v>4814.119317296364</v>
      </c>
      <c r="M22" s="1">
        <f t="shared" si="11"/>
        <v>1925.6477269185448</v>
      </c>
      <c r="N22" s="1">
        <f t="shared" si="12"/>
        <v>0</v>
      </c>
      <c r="O22" s="1">
        <f t="shared" si="13"/>
        <v>3209.4128781975746</v>
      </c>
      <c r="P22" s="1">
        <f t="shared" si="14"/>
        <v>802.35321954939366</v>
      </c>
      <c r="Q22" s="1">
        <f t="shared" si="3"/>
        <v>10751.533141961876</v>
      </c>
      <c r="R22" s="1"/>
      <c r="S22" s="1">
        <f t="shared" si="16"/>
        <v>14324.403586557637</v>
      </c>
      <c r="T22" s="1"/>
      <c r="U22" s="1">
        <f t="shared" si="4"/>
        <v>25835.773669490482</v>
      </c>
      <c r="V22" s="10">
        <f t="shared" si="15"/>
        <v>0.35811008966394092</v>
      </c>
      <c r="W22" s="1">
        <f t="shared" si="5"/>
        <v>330569.52645435021</v>
      </c>
      <c r="X22" s="1">
        <f t="shared" si="6"/>
        <v>360500.1850443327</v>
      </c>
      <c r="Y22" s="1">
        <f t="shared" si="17"/>
        <v>337994.17786420858</v>
      </c>
      <c r="Z22" s="1"/>
      <c r="AA22" s="1"/>
      <c r="AB22" s="1">
        <f t="shared" si="1"/>
        <v>304123.9643380022</v>
      </c>
      <c r="AC22" s="1">
        <f t="shared" si="7"/>
        <v>311548.61574786057</v>
      </c>
      <c r="AD22" s="7"/>
    </row>
    <row r="23" spans="2:30" x14ac:dyDescent="0.25">
      <c r="B23" t="s">
        <v>21</v>
      </c>
      <c r="D23" s="1">
        <f>D22-(D22*D19)</f>
        <v>22800</v>
      </c>
      <c r="E23" s="19"/>
      <c r="G23" s="7">
        <v>18</v>
      </c>
      <c r="H23" s="1">
        <f t="shared" si="8"/>
        <v>3305.6952645435017</v>
      </c>
      <c r="I23" s="1">
        <f t="shared" si="2"/>
        <v>39668.343174522022</v>
      </c>
      <c r="J23" s="1">
        <f t="shared" si="9"/>
        <v>37684.926015795922</v>
      </c>
      <c r="K23" s="1">
        <f t="shared" si="0"/>
        <v>11511.370082932845</v>
      </c>
      <c r="L23" s="1">
        <f t="shared" si="10"/>
        <v>4958.5428968152546</v>
      </c>
      <c r="M23" s="1">
        <f t="shared" si="11"/>
        <v>1983.4171587261012</v>
      </c>
      <c r="N23" s="1">
        <f t="shared" si="12"/>
        <v>0</v>
      </c>
      <c r="O23" s="1">
        <f t="shared" si="13"/>
        <v>3305.6952645435017</v>
      </c>
      <c r="P23" s="1">
        <f t="shared" si="14"/>
        <v>826.42381613587543</v>
      </c>
      <c r="Q23" s="1">
        <f t="shared" si="3"/>
        <v>11074.079136220733</v>
      </c>
      <c r="R23" s="1"/>
      <c r="S23" s="1">
        <f t="shared" si="16"/>
        <v>15099.476796642346</v>
      </c>
      <c r="T23" s="1"/>
      <c r="U23" s="1">
        <f t="shared" si="4"/>
        <v>26610.846879575191</v>
      </c>
      <c r="V23" s="10">
        <f t="shared" si="15"/>
        <v>0.37748691991605865</v>
      </c>
      <c r="W23" s="1">
        <f t="shared" si="5"/>
        <v>340486.61224798072</v>
      </c>
      <c r="X23" s="1">
        <f t="shared" si="6"/>
        <v>373213.19661472359</v>
      </c>
      <c r="Y23" s="1">
        <f t="shared" si="17"/>
        <v>359422.63374077197</v>
      </c>
      <c r="Z23" s="1"/>
      <c r="AA23" s="1"/>
      <c r="AB23" s="1">
        <f t="shared" si="1"/>
        <v>313247.68326814228</v>
      </c>
      <c r="AC23" s="1">
        <f t="shared" si="7"/>
        <v>332183.70476093353</v>
      </c>
      <c r="AD23" s="7"/>
    </row>
    <row r="24" spans="2:30" x14ac:dyDescent="0.25">
      <c r="G24" s="7">
        <v>19</v>
      </c>
      <c r="H24" s="1">
        <f t="shared" si="8"/>
        <v>3404.8661224798066</v>
      </c>
      <c r="I24" s="1">
        <f t="shared" si="2"/>
        <v>40858.393469757677</v>
      </c>
      <c r="J24" s="1">
        <f t="shared" si="9"/>
        <v>38815.473796269791</v>
      </c>
      <c r="K24" s="1">
        <f t="shared" si="0"/>
        <v>11511.370082932845</v>
      </c>
      <c r="L24" s="1">
        <f t="shared" si="10"/>
        <v>5107.2991837197123</v>
      </c>
      <c r="M24" s="1">
        <f t="shared" si="11"/>
        <v>2042.9196734878842</v>
      </c>
      <c r="N24" s="1">
        <f t="shared" si="12"/>
        <v>0</v>
      </c>
      <c r="O24" s="1">
        <f t="shared" si="13"/>
        <v>3404.8661224798066</v>
      </c>
      <c r="P24" s="1">
        <f t="shared" si="14"/>
        <v>851.21653061995164</v>
      </c>
      <c r="Q24" s="1">
        <f t="shared" si="3"/>
        <v>11406.301510307354</v>
      </c>
      <c r="R24" s="1"/>
      <c r="S24" s="1">
        <f t="shared" si="16"/>
        <v>15897.802203029591</v>
      </c>
      <c r="T24" s="1"/>
      <c r="U24" s="1">
        <f t="shared" si="4"/>
        <v>27409.172285962435</v>
      </c>
      <c r="V24" s="10">
        <f t="shared" si="15"/>
        <v>0.39744505507573974</v>
      </c>
      <c r="W24" s="1">
        <f t="shared" si="5"/>
        <v>350701.21061542013</v>
      </c>
      <c r="X24" s="1">
        <f t="shared" si="6"/>
        <v>386374.53156993887</v>
      </c>
      <c r="Y24" s="1">
        <f t="shared" si="17"/>
        <v>381148.60219114419</v>
      </c>
      <c r="Z24" s="1"/>
      <c r="AA24" s="1"/>
      <c r="AB24" s="1">
        <f t="shared" si="1"/>
        <v>322645.11376618652</v>
      </c>
      <c r="AC24" s="1">
        <f t="shared" si="7"/>
        <v>353092.50534191058</v>
      </c>
      <c r="AD24" s="7"/>
    </row>
    <row r="25" spans="2:30" ht="18.75" x14ac:dyDescent="0.25">
      <c r="B25" s="38" t="s">
        <v>35</v>
      </c>
      <c r="C25" s="39"/>
      <c r="D25" s="40"/>
      <c r="E25" s="17"/>
      <c r="G25" s="7">
        <v>20</v>
      </c>
      <c r="H25" s="1">
        <f t="shared" si="8"/>
        <v>3507.0121061542009</v>
      </c>
      <c r="I25" s="1">
        <f t="shared" si="2"/>
        <v>42084.145273850409</v>
      </c>
      <c r="J25" s="1">
        <f t="shared" si="9"/>
        <v>39979.938010157886</v>
      </c>
      <c r="K25" s="1">
        <f t="shared" si="0"/>
        <v>11511.370082932845</v>
      </c>
      <c r="L25" s="1">
        <f t="shared" si="10"/>
        <v>5260.5181592313038</v>
      </c>
      <c r="M25" s="1">
        <f t="shared" si="11"/>
        <v>2104.2072636925209</v>
      </c>
      <c r="N25" s="1">
        <f t="shared" si="12"/>
        <v>0</v>
      </c>
      <c r="O25" s="1">
        <f t="shared" si="13"/>
        <v>3507.0121061542009</v>
      </c>
      <c r="P25" s="1">
        <f t="shared" si="14"/>
        <v>876.75302653855022</v>
      </c>
      <c r="Q25" s="1">
        <f t="shared" si="3"/>
        <v>11748.490555616576</v>
      </c>
      <c r="R25" s="1"/>
      <c r="S25" s="1">
        <f t="shared" si="16"/>
        <v>16720.077371608466</v>
      </c>
      <c r="T25" s="1"/>
      <c r="U25" s="1">
        <f t="shared" si="4"/>
        <v>28231.44745454131</v>
      </c>
      <c r="V25" s="10">
        <f t="shared" si="15"/>
        <v>0.41800193429021165</v>
      </c>
      <c r="W25" s="1">
        <f t="shared" si="5"/>
        <v>361222.24693388271</v>
      </c>
      <c r="X25" s="1">
        <f t="shared" si="6"/>
        <v>400000.0000000007</v>
      </c>
      <c r="Y25" s="1">
        <f t="shared" si="17"/>
        <v>403181.00859253958</v>
      </c>
      <c r="Z25" s="1"/>
      <c r="AA25" s="1"/>
      <c r="AB25" s="1">
        <f t="shared" si="1"/>
        <v>332324.46717917209</v>
      </c>
      <c r="AC25" s="1">
        <f t="shared" si="7"/>
        <v>374283.22883782897</v>
      </c>
      <c r="AD25" s="14">
        <f>IRR(S5:S25)</f>
        <v>0.17461276835543083</v>
      </c>
    </row>
    <row r="26" spans="2:30" x14ac:dyDescent="0.25">
      <c r="B26" t="s">
        <v>36</v>
      </c>
      <c r="D26" s="8">
        <v>0.03</v>
      </c>
      <c r="E26" s="12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0"/>
      <c r="W26" s="1"/>
      <c r="X26" s="1"/>
      <c r="Y26" s="1"/>
      <c r="Z26" s="1"/>
      <c r="AA26" s="1"/>
      <c r="AB26" s="1"/>
      <c r="AC26" s="19"/>
    </row>
    <row r="27" spans="2:30" x14ac:dyDescent="0.25">
      <c r="B27" t="s">
        <v>37</v>
      </c>
      <c r="D27" s="1">
        <v>400000</v>
      </c>
      <c r="E27" s="19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0"/>
      <c r="W27" s="1"/>
      <c r="X27" s="1"/>
      <c r="Y27" s="1"/>
      <c r="Z27" s="1"/>
      <c r="AA27" s="1"/>
      <c r="AB27" s="1"/>
      <c r="AC27" s="19"/>
    </row>
    <row r="28" spans="2:30" x14ac:dyDescent="0.25">
      <c r="B28" t="s">
        <v>38</v>
      </c>
      <c r="D28" s="16">
        <v>20</v>
      </c>
      <c r="E28" s="21"/>
      <c r="F28" t="s">
        <v>40</v>
      </c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0"/>
      <c r="W28" s="1"/>
      <c r="X28" s="1"/>
      <c r="Y28" s="1"/>
      <c r="Z28" s="1"/>
      <c r="AA28" s="1"/>
      <c r="AB28" s="1"/>
      <c r="AC28" s="19"/>
    </row>
    <row r="29" spans="2:30" x14ac:dyDescent="0.25">
      <c r="B29" t="s">
        <v>39</v>
      </c>
      <c r="D29" s="8">
        <v>0.08</v>
      </c>
      <c r="E29" s="12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0"/>
      <c r="W29" s="1"/>
      <c r="X29" s="1"/>
      <c r="Y29" s="1"/>
      <c r="Z29" s="1"/>
      <c r="AA29" s="1"/>
      <c r="AB29" s="1"/>
      <c r="AC29" s="19"/>
    </row>
    <row r="30" spans="2:30" x14ac:dyDescent="0.25">
      <c r="D30" s="12"/>
      <c r="E30" s="12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0"/>
      <c r="W30" s="1"/>
      <c r="X30" s="1"/>
      <c r="Y30" s="1"/>
      <c r="Z30" s="1"/>
      <c r="AA30" s="1"/>
      <c r="AB30" s="1"/>
      <c r="AC30" s="19"/>
    </row>
    <row r="31" spans="2:30" x14ac:dyDescent="0.25"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0"/>
      <c r="W31" s="1"/>
      <c r="X31" s="1"/>
      <c r="Y31" s="1"/>
      <c r="Z31" s="1"/>
      <c r="AA31" s="1"/>
      <c r="AB31" s="1"/>
      <c r="AC31" s="19"/>
    </row>
    <row r="32" spans="2:30" ht="18.75" x14ac:dyDescent="0.25">
      <c r="B32" s="38" t="s">
        <v>22</v>
      </c>
      <c r="C32" s="39"/>
      <c r="D32" s="40"/>
      <c r="E32" s="1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0"/>
      <c r="W32" s="1"/>
      <c r="X32" s="1"/>
      <c r="Y32" s="1"/>
      <c r="Z32" s="1"/>
      <c r="AA32" s="1"/>
      <c r="AB32" s="1"/>
      <c r="AC32" s="19"/>
    </row>
    <row r="33" spans="2:29" x14ac:dyDescent="0.25">
      <c r="C33" s="13" t="s">
        <v>31</v>
      </c>
      <c r="D33" s="13" t="s">
        <v>32</v>
      </c>
      <c r="E33" s="22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0"/>
      <c r="W33" s="1"/>
      <c r="X33" s="1"/>
      <c r="Y33" s="1"/>
      <c r="Z33" s="1"/>
      <c r="AA33" s="1"/>
      <c r="AB33" s="1"/>
      <c r="AC33" s="19"/>
    </row>
    <row r="34" spans="2:29" x14ac:dyDescent="0.25">
      <c r="B34" t="s">
        <v>23</v>
      </c>
      <c r="C34" s="11">
        <f>D18</f>
        <v>2000</v>
      </c>
      <c r="D34" s="11">
        <f>C34*12</f>
        <v>24000</v>
      </c>
      <c r="E34" s="23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0"/>
      <c r="W34" s="1"/>
      <c r="X34" s="1"/>
      <c r="Y34" s="1"/>
      <c r="Z34" s="1"/>
      <c r="AA34" s="1"/>
      <c r="AB34" s="1"/>
      <c r="AC34" s="19"/>
    </row>
    <row r="35" spans="2:29" x14ac:dyDescent="0.25">
      <c r="B35" t="s">
        <v>50</v>
      </c>
      <c r="C35" s="11">
        <f>K41</f>
        <v>959.28084024440363</v>
      </c>
      <c r="D35" s="11">
        <f>K42</f>
        <v>11511.370082932845</v>
      </c>
      <c r="E35" s="23">
        <f>SUM(D36:D40)</f>
        <v>7900</v>
      </c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0"/>
      <c r="W35" s="1"/>
      <c r="X35" s="1"/>
      <c r="Y35" s="1"/>
      <c r="Z35" s="1"/>
      <c r="AA35" s="1"/>
      <c r="AB35" s="1"/>
      <c r="AC35" s="19"/>
    </row>
    <row r="36" spans="2:29" x14ac:dyDescent="0.25">
      <c r="B36" t="s">
        <v>24</v>
      </c>
      <c r="C36" s="11">
        <f>C34*D19</f>
        <v>100</v>
      </c>
      <c r="D36" s="11">
        <f t="shared" ref="D36:D42" si="18">C36*12</f>
        <v>1200</v>
      </c>
      <c r="E36" s="23"/>
    </row>
    <row r="37" spans="2:29" ht="18.75" x14ac:dyDescent="0.25">
      <c r="B37" t="s">
        <v>25</v>
      </c>
      <c r="C37" s="11">
        <f>D8/12</f>
        <v>250</v>
      </c>
      <c r="D37" s="11">
        <f t="shared" si="18"/>
        <v>3000</v>
      </c>
      <c r="E37" s="23"/>
      <c r="G37" s="38" t="s">
        <v>42</v>
      </c>
      <c r="H37" s="39"/>
      <c r="I37" s="39"/>
      <c r="J37" s="39"/>
      <c r="K37" s="40"/>
      <c r="V37" s="19"/>
      <c r="Y37" s="23"/>
      <c r="Z37" s="23"/>
    </row>
    <row r="38" spans="2:29" x14ac:dyDescent="0.25">
      <c r="B38" t="s">
        <v>26</v>
      </c>
      <c r="C38" s="11">
        <f>D9/12</f>
        <v>100</v>
      </c>
      <c r="D38" s="11">
        <f t="shared" si="18"/>
        <v>1200</v>
      </c>
      <c r="E38" s="23"/>
      <c r="G38" t="s">
        <v>43</v>
      </c>
      <c r="K38" s="12">
        <v>0.2</v>
      </c>
      <c r="V38" t="s">
        <v>41</v>
      </c>
      <c r="W38" s="25">
        <f>POWER((D27/D5),1/D28)-1</f>
        <v>3.5264923841377582E-2</v>
      </c>
    </row>
    <row r="39" spans="2:29" x14ac:dyDescent="0.25">
      <c r="B39" t="s">
        <v>27</v>
      </c>
      <c r="C39" s="11">
        <f>(D11+E14)/12</f>
        <v>166.66666666666666</v>
      </c>
      <c r="D39" s="11">
        <f t="shared" si="18"/>
        <v>2000</v>
      </c>
      <c r="E39" s="23"/>
      <c r="G39" t="s">
        <v>44</v>
      </c>
      <c r="K39" s="33">
        <v>0.06</v>
      </c>
      <c r="P39" s="19"/>
      <c r="R39" s="23"/>
      <c r="Y39" s="23"/>
      <c r="Z39" s="23"/>
    </row>
    <row r="40" spans="2:29" x14ac:dyDescent="0.25">
      <c r="B40" t="s">
        <v>28</v>
      </c>
      <c r="C40" s="11">
        <f>D12/12</f>
        <v>41.666666666666664</v>
      </c>
      <c r="D40" s="11">
        <f t="shared" si="18"/>
        <v>500</v>
      </c>
      <c r="E40" s="23"/>
      <c r="G40" t="s">
        <v>45</v>
      </c>
      <c r="K40">
        <v>30</v>
      </c>
      <c r="P40" s="19"/>
      <c r="R40" s="23"/>
      <c r="S40" s="19"/>
      <c r="T40" s="19"/>
      <c r="U40" s="19"/>
      <c r="Y40" s="23"/>
      <c r="Z40" s="23"/>
    </row>
    <row r="41" spans="2:29" x14ac:dyDescent="0.25">
      <c r="B41" t="s">
        <v>29</v>
      </c>
      <c r="C41" s="11">
        <f>C34-SUM(C35:C40)</f>
        <v>382.38582642226288</v>
      </c>
      <c r="D41" s="11">
        <f t="shared" si="18"/>
        <v>4588.6299170671546</v>
      </c>
      <c r="E41" s="23"/>
      <c r="G41" t="s">
        <v>46</v>
      </c>
      <c r="K41" s="23">
        <f>-PMT(K39/12, K40*12, D5-V5)</f>
        <v>959.28084024440363</v>
      </c>
      <c r="P41" s="19"/>
      <c r="S41" s="19"/>
      <c r="T41" s="19"/>
      <c r="U41" s="19"/>
      <c r="W41" s="19"/>
      <c r="X41" s="23"/>
    </row>
    <row r="42" spans="2:29" x14ac:dyDescent="0.25">
      <c r="B42" t="s">
        <v>30</v>
      </c>
      <c r="C42" s="11">
        <f>C41</f>
        <v>382.38582642226288</v>
      </c>
      <c r="D42" s="11">
        <f t="shared" si="18"/>
        <v>4588.6299170671546</v>
      </c>
      <c r="G42" t="s">
        <v>47</v>
      </c>
      <c r="K42" s="23">
        <f>K41*12</f>
        <v>11511.370082932845</v>
      </c>
      <c r="P42" s="21"/>
      <c r="R42" s="19"/>
      <c r="X42" s="23"/>
    </row>
    <row r="43" spans="2:29" x14ac:dyDescent="0.25">
      <c r="R43" s="23"/>
      <c r="U43" s="24">
        <v>432613</v>
      </c>
    </row>
    <row r="44" spans="2:29" x14ac:dyDescent="0.25">
      <c r="Q44" s="19"/>
      <c r="R44" s="19"/>
      <c r="U44" s="24">
        <f>40000</f>
        <v>40000</v>
      </c>
      <c r="W44">
        <f>200000+449828</f>
        <v>649828</v>
      </c>
    </row>
    <row r="46" spans="2:29" x14ac:dyDescent="0.25">
      <c r="U46">
        <f>U43/U44</f>
        <v>10.815325</v>
      </c>
      <c r="V46">
        <f>U46*100</f>
        <v>1081.5325</v>
      </c>
    </row>
    <row r="47" spans="2:29" ht="18.75" x14ac:dyDescent="0.25">
      <c r="L47" s="17"/>
      <c r="M47" s="17"/>
      <c r="N47" s="17"/>
      <c r="O47" s="17"/>
      <c r="P47" s="17"/>
      <c r="Y47" s="25"/>
      <c r="Z47" s="25"/>
      <c r="AA47" s="25"/>
    </row>
    <row r="48" spans="2:29" x14ac:dyDescent="0.25">
      <c r="L48" s="12"/>
      <c r="M48" s="12"/>
      <c r="N48" s="12"/>
      <c r="O48" s="12"/>
      <c r="P48" s="12"/>
      <c r="Q48" s="19"/>
      <c r="R48" s="19"/>
      <c r="X48" s="25"/>
    </row>
    <row r="49" spans="2:18" x14ac:dyDescent="0.25">
      <c r="L49" s="12"/>
      <c r="M49" s="12"/>
      <c r="N49" s="12"/>
      <c r="O49" s="12"/>
      <c r="P49" s="12"/>
    </row>
    <row r="51" spans="2:18" x14ac:dyDescent="0.25">
      <c r="L51" s="23"/>
      <c r="M51" s="23"/>
      <c r="N51" s="23"/>
      <c r="O51" s="23"/>
      <c r="P51" s="23"/>
    </row>
    <row r="52" spans="2:18" x14ac:dyDescent="0.25">
      <c r="L52" s="23"/>
      <c r="M52" s="23"/>
      <c r="N52" s="23"/>
      <c r="O52" s="23"/>
      <c r="P52" s="23"/>
    </row>
    <row r="60" spans="2:18" x14ac:dyDescent="0.25">
      <c r="D60" t="s">
        <v>56</v>
      </c>
      <c r="F60" s="34" t="s">
        <v>57</v>
      </c>
      <c r="R60">
        <f>5^10-1</f>
        <v>9765624</v>
      </c>
    </row>
    <row r="61" spans="2:18" x14ac:dyDescent="0.25">
      <c r="R61">
        <f>5^10 - 1</f>
        <v>9765624</v>
      </c>
    </row>
    <row r="62" spans="2:18" x14ac:dyDescent="0.25">
      <c r="B62" s="19">
        <v>160000</v>
      </c>
      <c r="D62" s="23">
        <v>800</v>
      </c>
      <c r="E62" s="23">
        <v>790.18</v>
      </c>
      <c r="F62" s="23">
        <v>779.75</v>
      </c>
      <c r="J62" s="32">
        <v>40000</v>
      </c>
      <c r="K62" s="32"/>
    </row>
    <row r="63" spans="2:18" x14ac:dyDescent="0.25">
      <c r="D63" s="23">
        <v>799.2</v>
      </c>
      <c r="E63" s="23">
        <v>789.33</v>
      </c>
      <c r="F63" s="23">
        <v>778.85</v>
      </c>
      <c r="H63" s="32">
        <v>13755</v>
      </c>
      <c r="I63" s="32">
        <f>J62+H63</f>
        <v>53755</v>
      </c>
      <c r="J63" s="32">
        <v>44272</v>
      </c>
      <c r="K63" s="32">
        <f>J63-J62</f>
        <v>4272</v>
      </c>
      <c r="L63" s="21">
        <f>(100/J62)*K63</f>
        <v>10.68</v>
      </c>
      <c r="M63">
        <f>POWER((J82/J62),1/K40)-1</f>
        <v>5.511306353622758E-2</v>
      </c>
      <c r="Q63">
        <f>(100/J62)*K63</f>
        <v>10.68</v>
      </c>
      <c r="R63">
        <f>Q63-Q64</f>
        <v>0.43650524033249027</v>
      </c>
    </row>
    <row r="64" spans="2:18" x14ac:dyDescent="0.25">
      <c r="D64" s="23">
        <v>798.4</v>
      </c>
      <c r="E64" s="23">
        <v>788.48</v>
      </c>
      <c r="F64" s="23">
        <v>777.95</v>
      </c>
      <c r="H64" s="32">
        <v>13755</v>
      </c>
      <c r="I64" s="32">
        <f>I63+H64</f>
        <v>67510</v>
      </c>
      <c r="J64" s="32">
        <v>48807</v>
      </c>
      <c r="K64" s="32">
        <f t="shared" ref="K64:K82" si="19">J64-J63</f>
        <v>4535</v>
      </c>
      <c r="L64" s="21">
        <f t="shared" ref="L64:L72" si="20">(100/J63)*K64</f>
        <v>10.243494759667509</v>
      </c>
      <c r="Q64">
        <f t="shared" ref="Q64:Q82" si="21">(100/J63)*K64</f>
        <v>10.243494759667509</v>
      </c>
      <c r="R64">
        <f t="shared" ref="R64:R81" si="22">Q64-Q65</f>
        <v>0.37810659813330361</v>
      </c>
    </row>
    <row r="65" spans="4:19" x14ac:dyDescent="0.25">
      <c r="D65" s="23">
        <v>797.6</v>
      </c>
      <c r="E65" s="19">
        <v>787.63</v>
      </c>
      <c r="F65" s="23">
        <v>777.04</v>
      </c>
      <c r="H65" s="32">
        <v>13755</v>
      </c>
      <c r="I65" s="32">
        <f t="shared" ref="I65:I82" si="23">I64+H65</f>
        <v>81265</v>
      </c>
      <c r="J65" s="32">
        <v>53622</v>
      </c>
      <c r="K65" s="32">
        <f t="shared" si="19"/>
        <v>4815</v>
      </c>
      <c r="L65" s="21">
        <f t="shared" si="20"/>
        <v>9.8653881615342058</v>
      </c>
      <c r="Q65">
        <f t="shared" si="21"/>
        <v>9.8653881615342058</v>
      </c>
      <c r="R65">
        <f t="shared" si="22"/>
        <v>0.33198769157784547</v>
      </c>
    </row>
    <row r="66" spans="4:19" x14ac:dyDescent="0.25">
      <c r="D66" s="23">
        <v>796.79</v>
      </c>
      <c r="E66" s="19">
        <v>786.77</v>
      </c>
      <c r="F66" s="23">
        <v>776.13</v>
      </c>
      <c r="H66" s="32">
        <v>13755</v>
      </c>
      <c r="I66" s="32">
        <f t="shared" si="23"/>
        <v>95020</v>
      </c>
      <c r="J66" s="32">
        <v>58734</v>
      </c>
      <c r="K66" s="32">
        <f t="shared" si="19"/>
        <v>5112</v>
      </c>
      <c r="L66" s="21">
        <f t="shared" si="20"/>
        <v>9.5334004699563604</v>
      </c>
      <c r="Q66">
        <f t="shared" si="21"/>
        <v>9.5334004699563604</v>
      </c>
      <c r="R66">
        <f t="shared" si="22"/>
        <v>0.29343724592939147</v>
      </c>
    </row>
    <row r="67" spans="4:19" x14ac:dyDescent="0.25">
      <c r="D67" s="23">
        <v>795.98</v>
      </c>
      <c r="E67" s="19">
        <v>785.91</v>
      </c>
      <c r="F67" s="23">
        <v>775.21</v>
      </c>
      <c r="H67" s="32">
        <v>13755</v>
      </c>
      <c r="I67" s="32">
        <f t="shared" si="23"/>
        <v>108775</v>
      </c>
      <c r="J67" s="32">
        <v>64161</v>
      </c>
      <c r="K67" s="32">
        <f t="shared" si="19"/>
        <v>5427</v>
      </c>
      <c r="L67" s="21">
        <f t="shared" si="20"/>
        <v>9.2399632240269689</v>
      </c>
      <c r="Q67">
        <f t="shared" si="21"/>
        <v>9.2399632240269689</v>
      </c>
      <c r="R67">
        <f t="shared" si="22"/>
        <v>0.26098845742420451</v>
      </c>
    </row>
    <row r="68" spans="4:19" x14ac:dyDescent="0.25">
      <c r="D68" s="23">
        <v>795.16</v>
      </c>
      <c r="E68" s="19">
        <v>785.04</v>
      </c>
      <c r="F68" s="23">
        <v>774.29</v>
      </c>
      <c r="H68" s="32">
        <v>13755</v>
      </c>
      <c r="I68" s="32">
        <f t="shared" si="23"/>
        <v>122530</v>
      </c>
      <c r="J68" s="32">
        <v>69922</v>
      </c>
      <c r="K68" s="32">
        <f t="shared" si="19"/>
        <v>5761</v>
      </c>
      <c r="L68" s="21">
        <f t="shared" si="20"/>
        <v>8.9789747666027644</v>
      </c>
      <c r="Q68">
        <f t="shared" si="21"/>
        <v>8.9789747666027644</v>
      </c>
      <c r="R68">
        <f t="shared" si="22"/>
        <v>0.22922504548494693</v>
      </c>
    </row>
    <row r="69" spans="4:19" x14ac:dyDescent="0.25">
      <c r="D69" s="23">
        <v>794.34</v>
      </c>
      <c r="E69" s="23">
        <v>784.17</v>
      </c>
      <c r="F69" s="23">
        <v>773.37</v>
      </c>
      <c r="H69" s="32">
        <v>13755</v>
      </c>
      <c r="I69" s="32">
        <f t="shared" si="23"/>
        <v>136285</v>
      </c>
      <c r="J69" s="32">
        <v>76040</v>
      </c>
      <c r="K69" s="32">
        <f t="shared" si="19"/>
        <v>6118</v>
      </c>
      <c r="L69" s="21">
        <f t="shared" si="20"/>
        <v>8.7497497211178175</v>
      </c>
      <c r="Q69">
        <f t="shared" si="21"/>
        <v>8.7497497211178175</v>
      </c>
      <c r="R69">
        <f t="shared" si="22"/>
        <v>0.20950774321145182</v>
      </c>
    </row>
    <row r="70" spans="4:19" x14ac:dyDescent="0.25">
      <c r="D70" s="23">
        <v>793.52</v>
      </c>
      <c r="E70" s="23">
        <v>783.29</v>
      </c>
      <c r="F70" s="23">
        <v>772.44</v>
      </c>
      <c r="H70" s="32">
        <v>13755</v>
      </c>
      <c r="I70" s="32">
        <f t="shared" si="23"/>
        <v>150040</v>
      </c>
      <c r="J70" s="32">
        <v>82534</v>
      </c>
      <c r="K70" s="32">
        <f t="shared" si="19"/>
        <v>6494</v>
      </c>
      <c r="L70" s="21">
        <f t="shared" si="20"/>
        <v>8.5402419779063656</v>
      </c>
      <c r="Q70">
        <f t="shared" si="21"/>
        <v>8.5402419779063656</v>
      </c>
      <c r="R70">
        <f t="shared" si="22"/>
        <v>0.18610913568376652</v>
      </c>
    </row>
    <row r="71" spans="4:19" x14ac:dyDescent="0.25">
      <c r="D71" s="23">
        <v>792.69</v>
      </c>
      <c r="E71" s="23">
        <v>782.41</v>
      </c>
      <c r="F71" s="23">
        <v>771.5</v>
      </c>
      <c r="H71" s="32">
        <v>13755</v>
      </c>
      <c r="I71" s="32">
        <f t="shared" si="23"/>
        <v>163795</v>
      </c>
      <c r="J71" s="32">
        <v>89429</v>
      </c>
      <c r="K71" s="32">
        <f t="shared" si="19"/>
        <v>6895</v>
      </c>
      <c r="L71" s="21">
        <f t="shared" si="20"/>
        <v>8.3541328422225991</v>
      </c>
      <c r="Q71">
        <f t="shared" si="21"/>
        <v>8.3541328422225991</v>
      </c>
      <c r="R71">
        <f t="shared" si="22"/>
        <v>0.16775034884796547</v>
      </c>
    </row>
    <row r="72" spans="4:19" x14ac:dyDescent="0.25">
      <c r="D72" s="23">
        <v>791.85</v>
      </c>
      <c r="E72" s="23">
        <v>781.53</v>
      </c>
      <c r="F72" s="23">
        <v>770.56</v>
      </c>
      <c r="H72" s="32">
        <v>13755</v>
      </c>
      <c r="I72" s="32">
        <f t="shared" si="23"/>
        <v>177550</v>
      </c>
      <c r="J72" s="32">
        <v>96750</v>
      </c>
      <c r="K72" s="32">
        <f t="shared" si="19"/>
        <v>7321</v>
      </c>
      <c r="L72" s="21">
        <f t="shared" si="20"/>
        <v>8.1863824933746336</v>
      </c>
      <c r="Q72">
        <f t="shared" si="21"/>
        <v>8.1863824933746336</v>
      </c>
      <c r="R72">
        <f t="shared" si="22"/>
        <v>0.15330755797411832</v>
      </c>
    </row>
    <row r="73" spans="4:19" x14ac:dyDescent="0.25">
      <c r="D73" s="23">
        <v>791.02</v>
      </c>
      <c r="E73" s="23">
        <v>780.64</v>
      </c>
      <c r="F73" s="23">
        <v>769.62</v>
      </c>
      <c r="H73" s="32">
        <v>13755</v>
      </c>
      <c r="I73" s="32">
        <f t="shared" si="23"/>
        <v>191305</v>
      </c>
      <c r="J73" s="32">
        <v>104522</v>
      </c>
      <c r="K73" s="32">
        <f t="shared" si="19"/>
        <v>7772</v>
      </c>
      <c r="L73" s="21">
        <f t="shared" ref="L73:L81" si="24">(100/J72)*K73</f>
        <v>8.0330749354005153</v>
      </c>
      <c r="Q73">
        <f t="shared" si="21"/>
        <v>8.0330749354005153</v>
      </c>
      <c r="R73">
        <f t="shared" si="22"/>
        <v>0.1390430569443053</v>
      </c>
    </row>
    <row r="74" spans="4:19" x14ac:dyDescent="0.25">
      <c r="D74" s="23">
        <f>SUM(D62:D73)</f>
        <v>9546.5500000000011</v>
      </c>
      <c r="E74" s="23">
        <f>SUM(E62:E73)</f>
        <v>9425.3799999999992</v>
      </c>
      <c r="F74" s="23">
        <f>SUM(F62:F73)</f>
        <v>9296.7100000000009</v>
      </c>
      <c r="H74" s="32">
        <v>13755</v>
      </c>
      <c r="I74" s="32">
        <f t="shared" si="23"/>
        <v>205060</v>
      </c>
      <c r="J74" s="32">
        <v>112773</v>
      </c>
      <c r="K74" s="32">
        <f t="shared" si="19"/>
        <v>8251</v>
      </c>
      <c r="L74" s="21">
        <f t="shared" si="24"/>
        <v>7.89403187845621</v>
      </c>
      <c r="Q74">
        <f t="shared" si="21"/>
        <v>7.89403187845621</v>
      </c>
      <c r="R74">
        <f t="shared" si="22"/>
        <v>0.12621511380509709</v>
      </c>
    </row>
    <row r="75" spans="4:19" x14ac:dyDescent="0.25">
      <c r="H75" s="32">
        <v>13755</v>
      </c>
      <c r="I75" s="32">
        <f t="shared" si="23"/>
        <v>218815</v>
      </c>
      <c r="J75" s="32">
        <v>121533</v>
      </c>
      <c r="K75" s="32">
        <f t="shared" si="19"/>
        <v>8760</v>
      </c>
      <c r="L75" s="21">
        <f t="shared" si="24"/>
        <v>7.7678167646511129</v>
      </c>
      <c r="Q75">
        <f t="shared" si="21"/>
        <v>7.7678167646511129</v>
      </c>
      <c r="R75">
        <f t="shared" si="22"/>
        <v>0.1155741638760146</v>
      </c>
    </row>
    <row r="76" spans="4:19" x14ac:dyDescent="0.25">
      <c r="H76" s="32">
        <v>13755</v>
      </c>
      <c r="I76" s="32">
        <f t="shared" si="23"/>
        <v>232570</v>
      </c>
      <c r="J76" s="32">
        <v>130833</v>
      </c>
      <c r="K76" s="32">
        <f t="shared" si="19"/>
        <v>9300</v>
      </c>
      <c r="L76" s="21">
        <f t="shared" si="24"/>
        <v>7.6522426007750983</v>
      </c>
      <c r="P76">
        <f>238810-231855</f>
        <v>6955</v>
      </c>
      <c r="Q76">
        <f t="shared" si="21"/>
        <v>7.6522426007750983</v>
      </c>
      <c r="R76">
        <f t="shared" si="22"/>
        <v>0.10445267010011605</v>
      </c>
    </row>
    <row r="77" spans="4:19" x14ac:dyDescent="0.25">
      <c r="H77" s="32">
        <v>13755</v>
      </c>
      <c r="I77" s="32">
        <f t="shared" si="23"/>
        <v>246325</v>
      </c>
      <c r="J77" s="32">
        <v>140708</v>
      </c>
      <c r="K77" s="32">
        <f t="shared" si="19"/>
        <v>9875</v>
      </c>
      <c r="L77" s="21">
        <f t="shared" si="24"/>
        <v>7.5477899306749823</v>
      </c>
      <c r="P77">
        <f>100/231855</f>
        <v>4.3130404778848847E-4</v>
      </c>
      <c r="Q77">
        <f t="shared" si="21"/>
        <v>7.5477899306749823</v>
      </c>
      <c r="R77">
        <f t="shared" si="22"/>
        <v>9.7609414997124944E-2</v>
      </c>
    </row>
    <row r="78" spans="4:19" x14ac:dyDescent="0.25">
      <c r="H78" s="32">
        <v>13755</v>
      </c>
      <c r="I78" s="32">
        <f t="shared" si="23"/>
        <v>260080</v>
      </c>
      <c r="J78" s="32">
        <v>151191</v>
      </c>
      <c r="K78" s="32">
        <f t="shared" si="19"/>
        <v>10483</v>
      </c>
      <c r="L78" s="21">
        <f t="shared" si="24"/>
        <v>7.4501805156778573</v>
      </c>
      <c r="P78">
        <f>P77*P76</f>
        <v>2.9997196523689373</v>
      </c>
      <c r="Q78">
        <f t="shared" si="21"/>
        <v>7.4501805156778573</v>
      </c>
      <c r="R78">
        <f t="shared" si="22"/>
        <v>8.9292632139816419E-2</v>
      </c>
      <c r="S78">
        <f>160000/2</f>
        <v>80000</v>
      </c>
    </row>
    <row r="79" spans="4:19" x14ac:dyDescent="0.25">
      <c r="H79" s="32">
        <v>13755</v>
      </c>
      <c r="I79" s="32">
        <f t="shared" si="23"/>
        <v>273835</v>
      </c>
      <c r="J79" s="32">
        <v>162320</v>
      </c>
      <c r="K79" s="32">
        <f t="shared" si="19"/>
        <v>11129</v>
      </c>
      <c r="L79" s="21">
        <f t="shared" si="24"/>
        <v>7.3608878835380409</v>
      </c>
      <c r="Q79">
        <f t="shared" si="21"/>
        <v>7.3608878835380409</v>
      </c>
      <c r="R79">
        <f t="shared" si="22"/>
        <v>8.1439879595212261E-2</v>
      </c>
    </row>
    <row r="80" spans="4:19" x14ac:dyDescent="0.25">
      <c r="H80" s="32">
        <v>13755</v>
      </c>
      <c r="I80" s="32">
        <f t="shared" si="23"/>
        <v>287590</v>
      </c>
      <c r="J80" s="32">
        <v>174136</v>
      </c>
      <c r="K80" s="32">
        <f t="shared" si="19"/>
        <v>11816</v>
      </c>
      <c r="L80" s="21">
        <f t="shared" si="24"/>
        <v>7.2794480039428286</v>
      </c>
      <c r="P80">
        <f>245975-238810</f>
        <v>7165</v>
      </c>
      <c r="Q80">
        <f t="shared" si="21"/>
        <v>7.2794480039428286</v>
      </c>
      <c r="R80">
        <f t="shared" si="22"/>
        <v>7.5308710517001387E-2</v>
      </c>
    </row>
    <row r="81" spans="4:30" x14ac:dyDescent="0.25">
      <c r="D81" s="12"/>
      <c r="H81" s="32">
        <v>13755</v>
      </c>
      <c r="I81" s="32">
        <f t="shared" si="23"/>
        <v>301345</v>
      </c>
      <c r="J81" s="32">
        <v>186681</v>
      </c>
      <c r="K81" s="32">
        <f t="shared" si="19"/>
        <v>12545</v>
      </c>
      <c r="L81" s="21">
        <f t="shared" si="24"/>
        <v>7.2041392934258273</v>
      </c>
      <c r="P81">
        <f>100/238810</f>
        <v>4.1874293371299358E-4</v>
      </c>
      <c r="Q81">
        <f t="shared" si="21"/>
        <v>7.2041392934258273</v>
      </c>
      <c r="R81">
        <f t="shared" si="22"/>
        <v>6.950855971430947E-2</v>
      </c>
    </row>
    <row r="82" spans="4:30" x14ac:dyDescent="0.25">
      <c r="H82" s="32">
        <v>13755</v>
      </c>
      <c r="I82" s="32">
        <f t="shared" si="23"/>
        <v>315100</v>
      </c>
      <c r="J82" s="32">
        <v>200000</v>
      </c>
      <c r="K82" s="32">
        <f t="shared" si="19"/>
        <v>13319</v>
      </c>
      <c r="L82" s="21">
        <f t="shared" ref="L82" si="25">(100/J81)*K82</f>
        <v>7.1346307337115178</v>
      </c>
      <c r="P82">
        <f>P81*P80</f>
        <v>3.0002931200535992</v>
      </c>
      <c r="Q82">
        <f t="shared" si="21"/>
        <v>7.1346307337115178</v>
      </c>
    </row>
    <row r="84" spans="4:30" x14ac:dyDescent="0.25">
      <c r="G84" s="19"/>
    </row>
    <row r="85" spans="4:30" x14ac:dyDescent="0.25">
      <c r="I85" s="32"/>
    </row>
    <row r="91" spans="4:30" x14ac:dyDescent="0.25">
      <c r="J91" s="19"/>
    </row>
    <row r="92" spans="4:30" x14ac:dyDescent="0.25">
      <c r="J92" s="19"/>
      <c r="T92" s="12"/>
    </row>
    <row r="93" spans="4:30" x14ac:dyDescent="0.25">
      <c r="J93" s="19"/>
      <c r="T93" s="12"/>
    </row>
    <row r="94" spans="4:30" x14ac:dyDescent="0.25">
      <c r="J94" s="19"/>
      <c r="V94" s="35" t="s">
        <v>12</v>
      </c>
      <c r="W94" s="35" t="s">
        <v>13</v>
      </c>
      <c r="X94" s="35" t="s">
        <v>14</v>
      </c>
      <c r="Y94" s="35" t="s">
        <v>15</v>
      </c>
      <c r="Z94" s="35" t="s">
        <v>16</v>
      </c>
      <c r="AA94" s="35" t="s">
        <v>17</v>
      </c>
      <c r="AB94" s="35" t="s">
        <v>18</v>
      </c>
      <c r="AC94" s="35" t="s">
        <v>58</v>
      </c>
      <c r="AD94" s="35"/>
    </row>
    <row r="95" spans="4:30" x14ac:dyDescent="0.25">
      <c r="J95" s="19"/>
      <c r="V95" s="35"/>
      <c r="W95" s="35"/>
      <c r="X95" s="35"/>
      <c r="Y95" s="35"/>
      <c r="Z95" s="36">
        <v>-40000</v>
      </c>
      <c r="AA95" s="35"/>
      <c r="AB95" s="35"/>
      <c r="AC95" s="35" t="s">
        <v>33</v>
      </c>
      <c r="AD95" s="35" t="s">
        <v>34</v>
      </c>
    </row>
    <row r="96" spans="4:30" x14ac:dyDescent="0.25">
      <c r="J96" s="19"/>
      <c r="V96" s="35">
        <v>1</v>
      </c>
      <c r="W96" s="36">
        <v>22800</v>
      </c>
      <c r="X96" s="36">
        <v>13755</v>
      </c>
      <c r="Y96" s="36">
        <v>6700</v>
      </c>
      <c r="Z96" s="36">
        <v>2345</v>
      </c>
      <c r="AA96" s="37">
        <v>5.8599999999999999E-2</v>
      </c>
      <c r="AB96" s="36">
        <v>50272</v>
      </c>
      <c r="AC96" s="36">
        <v>33792</v>
      </c>
      <c r="AD96" s="37">
        <v>-9.6600000000000005E-2</v>
      </c>
    </row>
    <row r="97" spans="10:30" x14ac:dyDescent="0.25">
      <c r="J97" s="19"/>
      <c r="V97" s="35">
        <v>2</v>
      </c>
      <c r="W97" s="36">
        <v>23484</v>
      </c>
      <c r="X97" s="36">
        <v>13755</v>
      </c>
      <c r="Y97" s="36">
        <v>6901</v>
      </c>
      <c r="Z97" s="36">
        <v>2828</v>
      </c>
      <c r="AA97" s="37">
        <v>7.0699999999999999E-2</v>
      </c>
      <c r="AB97" s="36">
        <v>60987</v>
      </c>
      <c r="AC97" s="36">
        <v>44012</v>
      </c>
      <c r="AD97" s="37">
        <v>0.1118</v>
      </c>
    </row>
    <row r="98" spans="10:30" x14ac:dyDescent="0.25">
      <c r="J98" s="19"/>
      <c r="V98" s="35">
        <v>3</v>
      </c>
      <c r="W98" s="36">
        <v>24189</v>
      </c>
      <c r="X98" s="36">
        <v>13755</v>
      </c>
      <c r="Y98" s="36">
        <v>7108</v>
      </c>
      <c r="Z98" s="36">
        <v>3325</v>
      </c>
      <c r="AA98" s="37">
        <v>8.3099999999999993E-2</v>
      </c>
      <c r="AB98" s="36">
        <v>72167</v>
      </c>
      <c r="AC98" s="36">
        <v>54683</v>
      </c>
      <c r="AD98" s="37">
        <v>0.17299999999999999</v>
      </c>
    </row>
    <row r="99" spans="10:30" x14ac:dyDescent="0.25">
      <c r="J99" s="19"/>
      <c r="V99" s="35">
        <v>4</v>
      </c>
      <c r="W99" s="36">
        <v>24914</v>
      </c>
      <c r="X99" s="36">
        <v>13755</v>
      </c>
      <c r="Y99" s="36">
        <v>7321</v>
      </c>
      <c r="Z99" s="36">
        <v>3837</v>
      </c>
      <c r="AA99" s="37">
        <v>9.5899999999999999E-2</v>
      </c>
      <c r="AB99" s="36">
        <v>83835</v>
      </c>
      <c r="AC99" s="36">
        <v>65827</v>
      </c>
      <c r="AD99" s="37">
        <v>0.19539999999999999</v>
      </c>
    </row>
    <row r="100" spans="10:30" x14ac:dyDescent="0.25">
      <c r="J100" s="19"/>
      <c r="V100" s="35">
        <v>5</v>
      </c>
      <c r="W100" s="36">
        <v>25662</v>
      </c>
      <c r="X100" s="36">
        <v>13755</v>
      </c>
      <c r="Y100" s="36">
        <v>7541</v>
      </c>
      <c r="Z100" s="36">
        <v>4365</v>
      </c>
      <c r="AA100" s="37">
        <v>0.1091</v>
      </c>
      <c r="AB100" s="36">
        <v>96015</v>
      </c>
      <c r="AC100" s="36">
        <v>77467</v>
      </c>
      <c r="AD100" s="37">
        <v>0.20380000000000001</v>
      </c>
    </row>
    <row r="101" spans="10:30" x14ac:dyDescent="0.25">
      <c r="J101" s="19"/>
      <c r="V101" s="35">
        <v>6</v>
      </c>
      <c r="W101" s="36">
        <v>26431</v>
      </c>
      <c r="X101" s="36">
        <v>13755</v>
      </c>
      <c r="Y101" s="36">
        <v>7767</v>
      </c>
      <c r="Z101" s="36">
        <v>4909</v>
      </c>
      <c r="AA101" s="37">
        <v>0.1227</v>
      </c>
      <c r="AB101" s="36">
        <v>108733</v>
      </c>
      <c r="AC101" s="36">
        <v>89628</v>
      </c>
      <c r="AD101" s="37">
        <v>0.20619999999999999</v>
      </c>
    </row>
    <row r="102" spans="10:30" x14ac:dyDescent="0.25">
      <c r="J102" s="19"/>
      <c r="V102" s="35">
        <v>7</v>
      </c>
      <c r="W102" s="36">
        <v>27224</v>
      </c>
      <c r="X102" s="36">
        <v>13755</v>
      </c>
      <c r="Y102" s="36">
        <v>8000</v>
      </c>
      <c r="Z102" s="36">
        <v>5469</v>
      </c>
      <c r="AA102" s="37">
        <v>0.13669999999999999</v>
      </c>
      <c r="AB102" s="36">
        <v>122015</v>
      </c>
      <c r="AC102" s="36">
        <v>102337</v>
      </c>
      <c r="AD102" s="37">
        <v>0.20580000000000001</v>
      </c>
    </row>
    <row r="103" spans="10:30" x14ac:dyDescent="0.25">
      <c r="J103" s="19"/>
      <c r="V103" s="35">
        <v>8</v>
      </c>
      <c r="W103" s="36">
        <v>28041</v>
      </c>
      <c r="X103" s="36">
        <v>13755</v>
      </c>
      <c r="Y103" s="36">
        <v>8240</v>
      </c>
      <c r="Z103" s="36">
        <v>6045</v>
      </c>
      <c r="AA103" s="37">
        <v>0.15110000000000001</v>
      </c>
      <c r="AB103" s="36">
        <v>135888</v>
      </c>
      <c r="AC103" s="36">
        <v>115620</v>
      </c>
      <c r="AD103" s="37">
        <v>0.20399999999999999</v>
      </c>
    </row>
    <row r="104" spans="10:30" x14ac:dyDescent="0.25">
      <c r="J104" s="19"/>
      <c r="V104" s="35">
        <v>9</v>
      </c>
      <c r="W104" s="36">
        <v>28882</v>
      </c>
      <c r="X104" s="36">
        <v>13755</v>
      </c>
      <c r="Y104" s="36">
        <v>8487</v>
      </c>
      <c r="Z104" s="36">
        <v>6640</v>
      </c>
      <c r="AA104" s="37">
        <v>0.16600000000000001</v>
      </c>
      <c r="AB104" s="36">
        <v>150384</v>
      </c>
      <c r="AC104" s="36">
        <v>129508</v>
      </c>
      <c r="AD104" s="37">
        <v>0.20169999999999999</v>
      </c>
    </row>
    <row r="105" spans="10:30" x14ac:dyDescent="0.25">
      <c r="J105" s="19"/>
      <c r="V105" s="35">
        <v>10</v>
      </c>
      <c r="W105" s="36">
        <v>29749</v>
      </c>
      <c r="X105" s="36">
        <v>13755</v>
      </c>
      <c r="Y105" s="36">
        <v>8742</v>
      </c>
      <c r="Z105" s="36">
        <v>7251</v>
      </c>
      <c r="AA105" s="37">
        <v>0.18129999999999999</v>
      </c>
      <c r="AB105" s="36">
        <v>165533</v>
      </c>
      <c r="AC105" s="36">
        <v>144030</v>
      </c>
      <c r="AD105" s="37">
        <v>0.19900000000000001</v>
      </c>
    </row>
    <row r="106" spans="10:30" x14ac:dyDescent="0.25">
      <c r="J106" s="19"/>
      <c r="V106" s="35">
        <v>11</v>
      </c>
      <c r="W106" s="36">
        <v>30641</v>
      </c>
      <c r="X106" s="36">
        <v>13755</v>
      </c>
      <c r="Y106" s="36">
        <v>9004</v>
      </c>
      <c r="Z106" s="36">
        <v>7882</v>
      </c>
      <c r="AA106" s="37">
        <v>0.19700000000000001</v>
      </c>
      <c r="AB106" s="36">
        <v>181368</v>
      </c>
      <c r="AC106" s="36">
        <v>159221</v>
      </c>
      <c r="AD106" s="37">
        <v>0.1963</v>
      </c>
    </row>
    <row r="107" spans="10:30" x14ac:dyDescent="0.25">
      <c r="J107" s="19"/>
      <c r="V107" s="35">
        <v>12</v>
      </c>
      <c r="W107" s="36">
        <v>31561</v>
      </c>
      <c r="X107" s="36">
        <v>13755</v>
      </c>
      <c r="Y107" s="36">
        <v>9274</v>
      </c>
      <c r="Z107" s="36">
        <v>8531</v>
      </c>
      <c r="AA107" s="37">
        <v>0.21329999999999999</v>
      </c>
      <c r="AB107" s="36">
        <v>197925</v>
      </c>
      <c r="AC107" s="36">
        <v>175113</v>
      </c>
      <c r="AD107" s="37">
        <v>0.19370000000000001</v>
      </c>
    </row>
    <row r="108" spans="10:30" x14ac:dyDescent="0.25">
      <c r="J108" s="19"/>
      <c r="V108" s="35">
        <v>13</v>
      </c>
      <c r="W108" s="36">
        <v>32507</v>
      </c>
      <c r="X108" s="36">
        <v>13755</v>
      </c>
      <c r="Y108" s="36">
        <v>9553</v>
      </c>
      <c r="Z108" s="36">
        <v>9199</v>
      </c>
      <c r="AA108" s="37">
        <v>0.23</v>
      </c>
      <c r="AB108" s="36">
        <v>215240</v>
      </c>
      <c r="AC108" s="36">
        <v>191743</v>
      </c>
      <c r="AD108" s="37">
        <v>0.19109999999999999</v>
      </c>
    </row>
    <row r="109" spans="10:30" x14ac:dyDescent="0.25">
      <c r="J109" s="19"/>
      <c r="V109" s="35">
        <v>14</v>
      </c>
      <c r="W109" s="36">
        <v>33483</v>
      </c>
      <c r="X109" s="36">
        <v>13755</v>
      </c>
      <c r="Y109" s="36">
        <v>9839</v>
      </c>
      <c r="Z109" s="36">
        <v>9888</v>
      </c>
      <c r="AA109" s="37">
        <v>0.2472</v>
      </c>
      <c r="AB109" s="36">
        <v>233351</v>
      </c>
      <c r="AC109" s="36">
        <v>209150</v>
      </c>
      <c r="AD109" s="37">
        <v>0.18870000000000001</v>
      </c>
    </row>
    <row r="110" spans="10:30" x14ac:dyDescent="0.25">
      <c r="J110" s="19"/>
      <c r="V110" s="35">
        <v>15</v>
      </c>
      <c r="W110" s="36">
        <v>34487</v>
      </c>
      <c r="X110" s="36">
        <v>13755</v>
      </c>
      <c r="Y110" s="36">
        <v>10134</v>
      </c>
      <c r="Z110" s="36">
        <v>10597</v>
      </c>
      <c r="AA110" s="37">
        <v>0.26490000000000002</v>
      </c>
      <c r="AB110" s="36">
        <v>252301</v>
      </c>
      <c r="AC110" s="36">
        <v>227374</v>
      </c>
      <c r="AD110" s="37">
        <v>0.18640000000000001</v>
      </c>
    </row>
    <row r="111" spans="10:30" x14ac:dyDescent="0.25">
      <c r="J111" s="19"/>
      <c r="V111" s="35">
        <v>16</v>
      </c>
      <c r="W111" s="36">
        <v>35522</v>
      </c>
      <c r="X111" s="36">
        <v>13755</v>
      </c>
      <c r="Y111" s="36">
        <v>10438</v>
      </c>
      <c r="Z111" s="36">
        <v>11328</v>
      </c>
      <c r="AA111" s="37">
        <v>0.28320000000000001</v>
      </c>
      <c r="AB111" s="36">
        <v>272132</v>
      </c>
      <c r="AC111" s="36">
        <v>246457</v>
      </c>
      <c r="AD111" s="37">
        <v>0.1842</v>
      </c>
    </row>
    <row r="112" spans="10:30" x14ac:dyDescent="0.25">
      <c r="V112" s="35">
        <v>17</v>
      </c>
      <c r="W112" s="36">
        <v>36587</v>
      </c>
      <c r="X112" s="36">
        <v>13755</v>
      </c>
      <c r="Y112" s="36">
        <v>10752</v>
      </c>
      <c r="Z112" s="36">
        <v>12080</v>
      </c>
      <c r="AA112" s="37">
        <v>0.30199999999999999</v>
      </c>
      <c r="AB112" s="36">
        <v>292890</v>
      </c>
      <c r="AC112" s="36">
        <v>266444</v>
      </c>
      <c r="AD112" s="37">
        <v>0.1822</v>
      </c>
    </row>
    <row r="113" spans="22:30" x14ac:dyDescent="0.25">
      <c r="V113" s="35">
        <v>18</v>
      </c>
      <c r="W113" s="36">
        <v>37685</v>
      </c>
      <c r="X113" s="36">
        <v>13755</v>
      </c>
      <c r="Y113" s="36">
        <v>11074</v>
      </c>
      <c r="Z113" s="36">
        <v>12855</v>
      </c>
      <c r="AA113" s="37">
        <v>0.32140000000000002</v>
      </c>
      <c r="AB113" s="36">
        <v>314623</v>
      </c>
      <c r="AC113" s="36">
        <v>287384</v>
      </c>
      <c r="AD113" s="37">
        <v>0.18029999999999999</v>
      </c>
    </row>
    <row r="114" spans="22:30" x14ac:dyDescent="0.25">
      <c r="V114" s="35">
        <v>19</v>
      </c>
      <c r="W114" s="36">
        <v>38815</v>
      </c>
      <c r="X114" s="36">
        <v>13755</v>
      </c>
      <c r="Y114" s="36">
        <v>11406</v>
      </c>
      <c r="Z114" s="36">
        <v>13654</v>
      </c>
      <c r="AA114" s="37">
        <v>0.34129999999999999</v>
      </c>
      <c r="AB114" s="36">
        <v>337383</v>
      </c>
      <c r="AC114" s="36">
        <v>309326</v>
      </c>
      <c r="AD114" s="37">
        <v>0.17849999999999999</v>
      </c>
    </row>
    <row r="115" spans="22:30" x14ac:dyDescent="0.25">
      <c r="V115" s="35">
        <v>20</v>
      </c>
      <c r="W115" s="36">
        <v>39980</v>
      </c>
      <c r="X115" s="36">
        <v>13755</v>
      </c>
      <c r="Y115" s="36">
        <v>11748</v>
      </c>
      <c r="Z115" s="36">
        <v>346800</v>
      </c>
      <c r="AA115" s="37">
        <v>0.3619</v>
      </c>
      <c r="AB115" s="36">
        <v>361222</v>
      </c>
      <c r="AC115" s="36">
        <v>332324</v>
      </c>
      <c r="AD115" s="37">
        <v>0.1769</v>
      </c>
    </row>
    <row r="116" spans="22:30" x14ac:dyDescent="0.25">
      <c r="V116" s="35"/>
      <c r="W116" s="35"/>
      <c r="X116" s="35"/>
      <c r="Y116" s="35"/>
      <c r="Z116" s="35"/>
      <c r="AA116" s="35"/>
      <c r="AB116" s="35"/>
      <c r="AC116" s="35"/>
      <c r="AD116" s="35"/>
    </row>
  </sheetData>
  <mergeCells count="4">
    <mergeCell ref="G37:K37"/>
    <mergeCell ref="B4:D4"/>
    <mergeCell ref="B25:D25"/>
    <mergeCell ref="B32:D32"/>
  </mergeCells>
  <hyperlinks>
    <hyperlink ref="F60" r:id="rId1" location="amortized-result" xr:uid="{C24B5846-9B2C-4016-8204-7DF94D4A725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AF9C-D2BE-4631-8A3D-56BE28A5B891}">
  <dimension ref="G6:H12"/>
  <sheetViews>
    <sheetView workbookViewId="0">
      <selection activeCell="N16" sqref="N16"/>
    </sheetView>
  </sheetViews>
  <sheetFormatPr defaultRowHeight="15" x14ac:dyDescent="0.25"/>
  <cols>
    <col min="8" max="8" width="11.140625" customWidth="1"/>
  </cols>
  <sheetData>
    <row r="6" spans="7:8" x14ac:dyDescent="0.25">
      <c r="G6" t="s">
        <v>52</v>
      </c>
      <c r="H6" s="30">
        <v>44927</v>
      </c>
    </row>
    <row r="7" spans="7:8" x14ac:dyDescent="0.25">
      <c r="G7" t="s">
        <v>53</v>
      </c>
      <c r="H7" s="30">
        <v>45139</v>
      </c>
    </row>
    <row r="8" spans="7:8" x14ac:dyDescent="0.25">
      <c r="G8" t="s">
        <v>54</v>
      </c>
      <c r="H8" s="31">
        <f>H7-H6</f>
        <v>212</v>
      </c>
    </row>
    <row r="11" spans="7:8" x14ac:dyDescent="0.25">
      <c r="G11" t="s">
        <v>52</v>
      </c>
      <c r="H11" s="30">
        <v>44927</v>
      </c>
    </row>
    <row r="12" spans="7:8" x14ac:dyDescent="0.25">
      <c r="G12" t="s">
        <v>55</v>
      </c>
      <c r="H12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2023-06-17T16:37:03Z</cp:lastPrinted>
  <dcterms:created xsi:type="dcterms:W3CDTF">2023-05-29T10:12:48Z</dcterms:created>
  <dcterms:modified xsi:type="dcterms:W3CDTF">2023-06-18T10:51:34Z</dcterms:modified>
</cp:coreProperties>
</file>