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tek\Downloads\"/>
    </mc:Choice>
  </mc:AlternateContent>
  <xr:revisionPtr revIDLastSave="0" documentId="13_ncr:1_{4199E830-4007-43F1-B8FF-7A3CECF8720A}" xr6:coauthVersionLast="47" xr6:coauthVersionMax="47" xr10:uidLastSave="{00000000-0000-0000-0000-000000000000}"/>
  <bookViews>
    <workbookView xWindow="-120" yWindow="-120" windowWidth="24240" windowHeight="13140" xr2:uid="{C1775128-3D52-4672-BB01-027057123BBA}"/>
  </bookViews>
  <sheets>
    <sheet name="Full Calculator" sheetId="11" r:id="rId1"/>
    <sheet name="Savings compund calc" sheetId="12" r:id="rId2"/>
    <sheet name="Data" sheetId="13" r:id="rId3"/>
    <sheet name="Rebate cals" sheetId="14" r:id="rId4"/>
    <sheet name="Final Data Solar Only" sheetId="8" r:id="rId5"/>
    <sheet name="Savings Snapshot" sheetId="5" r:id="rId6"/>
    <sheet name="Green Loan Calcs" sheetId="4" r:id="rId7"/>
  </sheets>
  <externalReferences>
    <externalReference r:id="rId8"/>
    <externalReference r:id="rId9"/>
  </externalReferences>
  <definedNames>
    <definedName name="_xlnm._FilterDatabase" localSheetId="6" hidden="1">'Green Loan Calcs'!$B$8:$D$10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1" l="1"/>
  <c r="D3" i="5"/>
  <c r="E3" i="5"/>
  <c r="E19" i="11"/>
  <c r="E18" i="11"/>
  <c r="D18" i="11"/>
  <c r="E13" i="11"/>
  <c r="C14" i="11" l="1"/>
  <c r="D13" i="11"/>
  <c r="E12" i="11"/>
  <c r="C13" i="11"/>
  <c r="C12" i="11"/>
  <c r="C11" i="11"/>
  <c r="C8" i="11"/>
  <c r="C7" i="11"/>
  <c r="C6" i="11"/>
  <c r="C5" i="11"/>
  <c r="E6" i="11"/>
  <c r="E14" i="11"/>
  <c r="E11" i="11"/>
  <c r="E10" i="11"/>
  <c r="F2" i="11"/>
  <c r="D21" i="11"/>
  <c r="D15" i="11" l="1"/>
  <c r="F3" i="11"/>
  <c r="C4" i="11" l="1"/>
  <c r="C9" i="4"/>
  <c r="AB2" i="14" l="1"/>
  <c r="AD2" i="14" s="1"/>
  <c r="AE2" i="14" s="1"/>
  <c r="Y2" i="14"/>
  <c r="V2" i="14"/>
  <c r="S2" i="14" a="1"/>
  <c r="S2" i="14" s="1"/>
  <c r="U2" i="14" s="1"/>
  <c r="O2" i="14" a="1"/>
  <c r="O2" i="14" s="1"/>
  <c r="K2" i="14" a="1"/>
  <c r="K2" i="14" s="1"/>
  <c r="G2" i="14"/>
  <c r="K36" i="13"/>
  <c r="C34" i="13"/>
  <c r="C35" i="13" s="1"/>
  <c r="C36" i="13" s="1"/>
  <c r="C37" i="13" s="1"/>
  <c r="C38" i="13" s="1"/>
  <c r="C32" i="13"/>
  <c r="C31" i="13"/>
  <c r="C30" i="13"/>
  <c r="C29" i="13"/>
  <c r="C28" i="13"/>
  <c r="D17" i="11"/>
  <c r="H17" i="11"/>
  <c r="X2" i="14" l="1"/>
  <c r="AA2" i="14" s="1"/>
  <c r="AC2" i="14"/>
  <c r="B14" i="11" l="1"/>
  <c r="E6" i="8"/>
  <c r="D16" i="11" l="1"/>
  <c r="D20" i="11" l="1"/>
  <c r="D6" i="5"/>
  <c r="C3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5" i="12" l="1"/>
  <c r="G6" i="8"/>
  <c r="E22" i="11"/>
  <c r="E20" i="11"/>
  <c r="E21" i="11"/>
  <c r="C16" i="4"/>
  <c r="D23" i="11" l="1"/>
  <c r="H18" i="11"/>
  <c r="C6" i="12"/>
  <c r="C7" i="12" s="1"/>
  <c r="C8" i="12" s="1"/>
  <c r="C9" i="12" s="1"/>
  <c r="C10" i="12" s="1"/>
  <c r="C11" i="12" s="1"/>
  <c r="C12" i="12" s="1"/>
  <c r="C13" i="12" s="1"/>
  <c r="C14" i="12" s="1"/>
  <c r="C21" i="4"/>
  <c r="C20" i="4"/>
  <c r="C19" i="4"/>
  <c r="C17" i="4"/>
  <c r="C15" i="12" l="1"/>
  <c r="F6" i="8"/>
  <c r="D18" i="5"/>
  <c r="D7" i="5" l="1"/>
  <c r="D8" i="5" s="1"/>
  <c r="D9" i="5" s="1"/>
  <c r="D10" i="5" s="1"/>
  <c r="D11" i="5" s="1"/>
  <c r="D12" i="5" s="1"/>
  <c r="D13" i="5" s="1"/>
  <c r="D14" i="5" s="1"/>
  <c r="D15" i="5" s="1"/>
  <c r="D17" i="5" l="1"/>
  <c r="D6" i="8" l="1"/>
  <c r="P2" i="14"/>
  <c r="L2" i="1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<sst xmlns="http://schemas.openxmlformats.org/spreadsheetml/2006/main" count="179" uniqueCount="149">
  <si>
    <t>Solar kW</t>
  </si>
  <si>
    <t>units</t>
  </si>
  <si>
    <t>Battery kW</t>
  </si>
  <si>
    <t xml:space="preserve">Total Bill </t>
  </si>
  <si>
    <t>Supply Charge</t>
  </si>
  <si>
    <t xml:space="preserve">Power  Cost </t>
  </si>
  <si>
    <t>Billing Cycle (Days)</t>
  </si>
  <si>
    <t xml:space="preserve"> </t>
  </si>
  <si>
    <t>Total Units</t>
  </si>
  <si>
    <t>10 Year Bill</t>
  </si>
  <si>
    <t>Daily Units</t>
  </si>
  <si>
    <t>Current Daily Power Cost</t>
  </si>
  <si>
    <t>Day %</t>
  </si>
  <si>
    <t>Night %</t>
  </si>
  <si>
    <t>Energy used</t>
  </si>
  <si>
    <t xml:space="preserve">Excess daily power </t>
  </si>
  <si>
    <t>Battery</t>
  </si>
  <si>
    <t>Sold back to Grid</t>
  </si>
  <si>
    <t>Bought from Grid</t>
  </si>
  <si>
    <t>$ Night</t>
  </si>
  <si>
    <t>New Daily Power Cost</t>
  </si>
  <si>
    <t>Total Bill Power Cost</t>
  </si>
  <si>
    <t>SAVINGS</t>
  </si>
  <si>
    <t>New Bill with Solar and Battery</t>
  </si>
  <si>
    <t>per bill</t>
  </si>
  <si>
    <t>per year</t>
  </si>
  <si>
    <t>10 Years</t>
  </si>
  <si>
    <t>SYSTEM DETAILS</t>
  </si>
  <si>
    <t>15 Years</t>
  </si>
  <si>
    <t>System Price</t>
  </si>
  <si>
    <t>20 Years</t>
  </si>
  <si>
    <t>Return on Investment</t>
  </si>
  <si>
    <t>Years</t>
  </si>
  <si>
    <t>Cost of System Monthly</t>
  </si>
  <si>
    <t>Savings Monthly</t>
  </si>
  <si>
    <t>Private and Confidntial</t>
  </si>
  <si>
    <t xml:space="preserve">1. Finance Product </t>
  </si>
  <si>
    <t>Green Loan</t>
  </si>
  <si>
    <t>2. Term (Months)</t>
  </si>
  <si>
    <t>&lt;--Select</t>
  </si>
  <si>
    <t>3. Amount to Finance</t>
  </si>
  <si>
    <t>&lt;--Insert</t>
  </si>
  <si>
    <t>Customer Rate</t>
  </si>
  <si>
    <t>Monthly Account Keeping Fee</t>
  </si>
  <si>
    <t>Establishment Fee</t>
  </si>
  <si>
    <t>Monthly Repayment</t>
  </si>
  <si>
    <t>Comparison Rate</t>
  </si>
  <si>
    <t>Weekly Repayment</t>
  </si>
  <si>
    <t>Fortnightly Repayment</t>
  </si>
  <si>
    <t>Payback Term (Years)</t>
  </si>
  <si>
    <t>Yearly Synergy Bill</t>
  </si>
  <si>
    <t>Yearly Savings</t>
  </si>
  <si>
    <t>Cost of System</t>
  </si>
  <si>
    <t>No Solar</t>
  </si>
  <si>
    <t>With Solar</t>
  </si>
  <si>
    <t>Bill Saving Month</t>
  </si>
  <si>
    <t>System Cost Month</t>
  </si>
  <si>
    <t>You pay for the system, but you get the savings from day 1</t>
  </si>
  <si>
    <t>SAVINGS SNAPSHOT</t>
  </si>
  <si>
    <t>Huge savings, and you also have a system</t>
  </si>
  <si>
    <t>Every year your investment pays off</t>
  </si>
  <si>
    <t>Financially ahead, plus you have a solar and battery system with full replacement warranties</t>
  </si>
  <si>
    <t>Year</t>
  </si>
  <si>
    <t>Old Power Cost</t>
  </si>
  <si>
    <t>New Power Cost</t>
  </si>
  <si>
    <t>Weekly</t>
  </si>
  <si>
    <t>Inverters</t>
  </si>
  <si>
    <t>COST $ (ex)</t>
  </si>
  <si>
    <t>INSTALL $</t>
  </si>
  <si>
    <t>Sofar 5kW Inverter 1P - Ecosakura</t>
  </si>
  <si>
    <t>Sofar 5W Inverter 3P - Ecosakura</t>
  </si>
  <si>
    <t>Sofar Hybrid 5kW Inverter 1P - Ecosakura</t>
  </si>
  <si>
    <t>Sofar Hybrid 5kW Inverter 3P - Ecosakura</t>
  </si>
  <si>
    <t>Sofar Hybrid 10kW Inverter 3P - Ecosakura</t>
  </si>
  <si>
    <t>Sofar Hybrid 15kW Inverter 3P - Ecosakura</t>
  </si>
  <si>
    <t>Sofar Hybrid 20kW Inverter 3P - Ecosakura</t>
  </si>
  <si>
    <t>Sungrow 5kW 1P Hybrid</t>
  </si>
  <si>
    <t>Sungrow 5kW 3P Hybrid</t>
  </si>
  <si>
    <t>Sungrow 10kW 3P Hybrid</t>
  </si>
  <si>
    <t xml:space="preserve"> Deye 1P5K</t>
  </si>
  <si>
    <t>Deye 1P8K</t>
  </si>
  <si>
    <t>Deye 3P5K</t>
  </si>
  <si>
    <t>Deye 3P8K</t>
  </si>
  <si>
    <t>Deye 3P10K</t>
  </si>
  <si>
    <t>Custom</t>
  </si>
  <si>
    <t>Panels</t>
  </si>
  <si>
    <t xml:space="preserve">COST $ </t>
  </si>
  <si>
    <t>415 33c</t>
  </si>
  <si>
    <t xml:space="preserve">Battery </t>
  </si>
  <si>
    <t>COST $</t>
  </si>
  <si>
    <t>5kW Battery - Ecosakura</t>
  </si>
  <si>
    <t>10kW Battery - Ecosakura</t>
  </si>
  <si>
    <t>15kW Battery  - Ecosakura</t>
  </si>
  <si>
    <t>20kW Battery  - Ecosakura</t>
  </si>
  <si>
    <t>25kW Battery  - Ecosakura</t>
  </si>
  <si>
    <t>30kW Battery  - Ecosakura</t>
  </si>
  <si>
    <t>Sungrow 9.6kW</t>
  </si>
  <si>
    <t>Sungrow 12.8kW</t>
  </si>
  <si>
    <t>Zone 1 - Darwin</t>
  </si>
  <si>
    <t>STC</t>
  </si>
  <si>
    <t>Sungrow 16.0kW</t>
  </si>
  <si>
    <t>Zone 2 - Geraldton</t>
  </si>
  <si>
    <t>Sungrow 19.2kW</t>
  </si>
  <si>
    <t>Zone 3 - Perth</t>
  </si>
  <si>
    <t>Sungrow 22.4kW</t>
  </si>
  <si>
    <t>Zone 4 - Esperance</t>
  </si>
  <si>
    <t>Sungrow 25.6kW</t>
  </si>
  <si>
    <t>Extras</t>
  </si>
  <si>
    <t>Tigo Optimisers - Go Solar</t>
  </si>
  <si>
    <t>Tilt Frames</t>
  </si>
  <si>
    <t>Site Visit - Induced</t>
  </si>
  <si>
    <t>Site Visit - Kluemes</t>
  </si>
  <si>
    <t>Site Visit - PB</t>
  </si>
  <si>
    <t>Extra Battery Install</t>
  </si>
  <si>
    <t>Zone</t>
  </si>
  <si>
    <t>kW</t>
  </si>
  <si>
    <t>CUSTOMER/SUBURB</t>
  </si>
  <si>
    <t>INVERTER</t>
  </si>
  <si>
    <t>QTY</t>
  </si>
  <si>
    <t>PANELS</t>
  </si>
  <si>
    <t>BATTERY</t>
  </si>
  <si>
    <t>EXTRAS</t>
  </si>
  <si>
    <t>BOS + RAIL</t>
  </si>
  <si>
    <t>TOTAL COST</t>
  </si>
  <si>
    <t>STCs</t>
  </si>
  <si>
    <t>CUSTOMER PAYMENT</t>
  </si>
  <si>
    <t>REV</t>
  </si>
  <si>
    <t xml:space="preserve">MONTHLY </t>
  </si>
  <si>
    <t>EQ. BILL</t>
  </si>
  <si>
    <t>5 year spend</t>
  </si>
  <si>
    <t>10 year spend</t>
  </si>
  <si>
    <t>10.79kW 1P Sungrow System</t>
  </si>
  <si>
    <t>Bill Size</t>
  </si>
  <si>
    <t xml:space="preserve">10 year Savings </t>
  </si>
  <si>
    <t>`</t>
  </si>
  <si>
    <t>Yr 1</t>
  </si>
  <si>
    <t>Yr 2</t>
  </si>
  <si>
    <t>Yr 3</t>
  </si>
  <si>
    <t>Yr 4</t>
  </si>
  <si>
    <t>Yr 5</t>
  </si>
  <si>
    <t>Yr 6</t>
  </si>
  <si>
    <t>Yr 7</t>
  </si>
  <si>
    <t>Yr 8</t>
  </si>
  <si>
    <t>Yr 9</t>
  </si>
  <si>
    <t>Yr 10</t>
  </si>
  <si>
    <t>Rebate Discount</t>
  </si>
  <si>
    <t>Weekly System Cost</t>
  </si>
  <si>
    <t>SOLAR SAVINGS CALCULATOR</t>
  </si>
  <si>
    <t>ROI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</si>
</sst>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;[Red]\-&quot;$&quot;#,##0"/>
    <numFmt numFmtId="165" formatCode="&quot;$&quot;#,##0.00;[Red]\-&quot;$&quot;#,##0.00"/>
    <numFmt numFmtId="166" formatCode="_-&quot;$&quot;* #,##0.00_-;\-&quot;$&quot;* #,##0.00_-;_-&quot;$&quot;* &quot;-&quot;??_-;_-@_-"/>
    <numFmt numFmtId="167" formatCode="&quot;$&quot;#,##0"/>
    <numFmt numFmtId="168" formatCode="&quot;$&quot;#,##0.00"/>
    <numFmt numFmtId="169" formatCode="0.0"/>
    <numFmt numFmtId="170" formatCode="d/mm/yy;@"/>
    <numFmt numFmtId="171" formatCode="_-&quot;$&quot;* #,##0.0_-;\-&quot;$&quot;* #,##0.0_-;_-&quot;$&quot;* &quot;-&quot;??_-;_-@_-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name val="Calibri"/>
      <family val="2"/>
      <scheme val="minor"/>
    </font>
    <font>
      <b/>
      <u/>
      <sz val="18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9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Proxima Nova"/>
      <family val="3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rgb="FFFF33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rgb="FFA5D7B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32" fillId="15" borderId="0" applyNumberFormat="0" applyBorder="0" applyAlignment="0" applyProtection="0"/>
    <xf numFmtId="0" fontId="34" fillId="16" borderId="0" applyNumberFormat="0" applyBorder="0" applyAlignment="0" applyProtection="0"/>
  </cellStyleXfs>
  <cellXfs count="192">
    <xf numFmtId="0" fontId="0" fillId="0" borderId="0" xfId="0"/>
    <xf numFmtId="167" fontId="5" fillId="2" borderId="0" xfId="0" applyNumberFormat="1" applyFont="1" applyFill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3" borderId="0" xfId="0" applyNumberFormat="1" applyFont="1" applyFill="1" applyAlignment="1" applyProtection="1">
      <alignment horizontal="center" vertical="center"/>
      <protection locked="0"/>
    </xf>
    <xf numFmtId="1" fontId="3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8" fontId="11" fillId="0" borderId="0" xfId="0" applyNumberFormat="1" applyFont="1" applyAlignment="1">
      <alignment horizontal="center" vertical="center"/>
    </xf>
    <xf numFmtId="168" fontId="12" fillId="0" borderId="0" xfId="0" applyNumberFormat="1" applyFont="1" applyAlignment="1">
      <alignment horizontal="center" vertical="center"/>
    </xf>
    <xf numFmtId="168" fontId="3" fillId="5" borderId="0" xfId="0" applyNumberFormat="1" applyFont="1" applyFill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168" fontId="8" fillId="8" borderId="9" xfId="1" applyNumberFormat="1" applyFont="1" applyFill="1" applyBorder="1" applyAlignment="1">
      <alignment horizontal="center" vertical="center"/>
    </xf>
    <xf numFmtId="167" fontId="3" fillId="8" borderId="10" xfId="0" applyNumberFormat="1" applyFont="1" applyFill="1" applyBorder="1" applyAlignment="1">
      <alignment horizontal="center" vertical="center"/>
    </xf>
    <xf numFmtId="167" fontId="10" fillId="8" borderId="10" xfId="0" applyNumberFormat="1" applyFont="1" applyFill="1" applyBorder="1" applyAlignment="1">
      <alignment horizontal="center" vertical="center"/>
    </xf>
    <xf numFmtId="167" fontId="10" fillId="8" borderId="12" xfId="0" applyNumberFormat="1" applyFont="1" applyFill="1" applyBorder="1" applyAlignment="1">
      <alignment horizontal="center" vertical="center"/>
    </xf>
    <xf numFmtId="167" fontId="4" fillId="8" borderId="17" xfId="0" applyNumberFormat="1" applyFont="1" applyFill="1" applyBorder="1" applyAlignment="1">
      <alignment horizontal="center" vertical="center"/>
    </xf>
    <xf numFmtId="167" fontId="9" fillId="6" borderId="19" xfId="0" applyNumberFormat="1" applyFont="1" applyFill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0" fontId="2" fillId="0" borderId="20" xfId="0" applyFont="1" applyBorder="1" applyAlignment="1" applyProtection="1">
      <alignment horizontal="center" vertical="center"/>
      <protection locked="0"/>
    </xf>
    <xf numFmtId="167" fontId="8" fillId="0" borderId="20" xfId="0" applyNumberFormat="1" applyFont="1" applyBorder="1" applyAlignment="1">
      <alignment horizontal="center" vertical="center"/>
    </xf>
    <xf numFmtId="167" fontId="4" fillId="8" borderId="21" xfId="0" applyNumberFormat="1" applyFont="1" applyFill="1" applyBorder="1" applyAlignment="1">
      <alignment horizontal="center" vertical="center"/>
    </xf>
    <xf numFmtId="1" fontId="11" fillId="7" borderId="22" xfId="0" applyNumberFormat="1" applyFont="1" applyFill="1" applyBorder="1" applyAlignment="1">
      <alignment horizontal="center" vertical="center"/>
    </xf>
    <xf numFmtId="168" fontId="15" fillId="8" borderId="20" xfId="0" applyNumberFormat="1" applyFont="1" applyFill="1" applyBorder="1" applyAlignment="1">
      <alignment horizontal="center" vertical="center"/>
    </xf>
    <xf numFmtId="167" fontId="16" fillId="4" borderId="23" xfId="0" applyNumberFormat="1" applyFont="1" applyFill="1" applyBorder="1" applyAlignment="1">
      <alignment horizontal="center" vertical="center"/>
    </xf>
    <xf numFmtId="167" fontId="7" fillId="4" borderId="20" xfId="0" applyNumberFormat="1" applyFont="1" applyFill="1" applyBorder="1" applyAlignment="1">
      <alignment horizontal="center" vertical="center"/>
    </xf>
    <xf numFmtId="167" fontId="5" fillId="0" borderId="20" xfId="0" applyNumberFormat="1" applyFont="1" applyBorder="1" applyAlignment="1">
      <alignment horizontal="center" vertical="center"/>
    </xf>
    <xf numFmtId="167" fontId="9" fillId="0" borderId="5" xfId="0" applyNumberFormat="1" applyFont="1" applyBorder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7" fontId="7" fillId="0" borderId="3" xfId="0" applyNumberFormat="1" applyFont="1" applyBorder="1" applyAlignment="1">
      <alignment horizontal="center" vertical="center"/>
    </xf>
    <xf numFmtId="168" fontId="8" fillId="8" borderId="28" xfId="1" applyNumberFormat="1" applyFont="1" applyFill="1" applyBorder="1" applyAlignment="1">
      <alignment horizontal="center" vertical="center"/>
    </xf>
    <xf numFmtId="167" fontId="7" fillId="0" borderId="20" xfId="0" applyNumberFormat="1" applyFont="1" applyBorder="1" applyAlignment="1">
      <alignment horizontal="center" vertical="center"/>
    </xf>
    <xf numFmtId="167" fontId="19" fillId="2" borderId="0" xfId="2" applyNumberFormat="1" applyFill="1" applyAlignment="1">
      <alignment horizontal="center" vertical="center"/>
    </xf>
    <xf numFmtId="167" fontId="19" fillId="0" borderId="0" xfId="2" applyNumberFormat="1" applyAlignment="1">
      <alignment horizontal="center" vertical="center"/>
    </xf>
    <xf numFmtId="0" fontId="2" fillId="0" borderId="29" xfId="0" applyFont="1" applyBorder="1" applyAlignment="1" applyProtection="1">
      <alignment horizontal="center" vertical="center"/>
      <protection locked="0"/>
    </xf>
    <xf numFmtId="167" fontId="18" fillId="0" borderId="26" xfId="0" applyNumberFormat="1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167" fontId="3" fillId="3" borderId="20" xfId="0" applyNumberFormat="1" applyFont="1" applyFill="1" applyBorder="1" applyAlignment="1">
      <alignment horizontal="center" vertical="center"/>
    </xf>
    <xf numFmtId="167" fontId="5" fillId="0" borderId="22" xfId="0" applyNumberFormat="1" applyFont="1" applyBorder="1" applyAlignment="1">
      <alignment horizontal="center" vertical="center"/>
    </xf>
    <xf numFmtId="167" fontId="10" fillId="8" borderId="14" xfId="0" applyNumberFormat="1" applyFont="1" applyFill="1" applyBorder="1" applyAlignment="1">
      <alignment horizontal="center" vertical="center"/>
    </xf>
    <xf numFmtId="167" fontId="17" fillId="0" borderId="20" xfId="0" applyNumberFormat="1" applyFont="1" applyBorder="1" applyAlignment="1">
      <alignment horizontal="center" vertical="center"/>
    </xf>
    <xf numFmtId="169" fontId="17" fillId="6" borderId="30" xfId="0" applyNumberFormat="1" applyFont="1" applyFill="1" applyBorder="1" applyAlignment="1">
      <alignment horizontal="center" vertical="center"/>
    </xf>
    <xf numFmtId="167" fontId="17" fillId="6" borderId="20" xfId="0" applyNumberFormat="1" applyFont="1" applyFill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27" xfId="0" applyFill="1" applyBorder="1" applyProtection="1">
      <protection hidden="1"/>
    </xf>
    <xf numFmtId="0" fontId="0" fillId="10" borderId="4" xfId="0" applyFill="1" applyBorder="1" applyProtection="1">
      <protection hidden="1"/>
    </xf>
    <xf numFmtId="0" fontId="0" fillId="10" borderId="31" xfId="0" applyFill="1" applyBorder="1" applyProtection="1">
      <protection hidden="1"/>
    </xf>
    <xf numFmtId="0" fontId="0" fillId="10" borderId="5" xfId="0" applyFill="1" applyBorder="1" applyProtection="1">
      <protection hidden="1"/>
    </xf>
    <xf numFmtId="0" fontId="0" fillId="10" borderId="0" xfId="0" applyFill="1" applyProtection="1">
      <protection hidden="1"/>
    </xf>
    <xf numFmtId="0" fontId="21" fillId="10" borderId="32" xfId="0" applyFont="1" applyFill="1" applyBorder="1" applyProtection="1">
      <protection hidden="1"/>
    </xf>
    <xf numFmtId="0" fontId="0" fillId="10" borderId="32" xfId="0" applyFill="1" applyBorder="1" applyProtection="1">
      <protection hidden="1"/>
    </xf>
    <xf numFmtId="0" fontId="0" fillId="10" borderId="33" xfId="0" applyFill="1" applyBorder="1" applyProtection="1">
      <protection hidden="1"/>
    </xf>
    <xf numFmtId="0" fontId="21" fillId="10" borderId="34" xfId="0" applyFont="1" applyFill="1" applyBorder="1" applyProtection="1">
      <protection hidden="1"/>
    </xf>
    <xf numFmtId="0" fontId="0" fillId="10" borderId="34" xfId="0" applyFill="1" applyBorder="1" applyProtection="1">
      <protection hidden="1"/>
    </xf>
    <xf numFmtId="0" fontId="0" fillId="10" borderId="35" xfId="0" applyFill="1" applyBorder="1" applyProtection="1">
      <protection hidden="1"/>
    </xf>
    <xf numFmtId="0" fontId="0" fillId="2" borderId="5" xfId="0" applyFill="1" applyBorder="1" applyProtection="1">
      <protection hidden="1"/>
    </xf>
    <xf numFmtId="0" fontId="21" fillId="2" borderId="0" xfId="0" applyFont="1" applyFill="1" applyProtection="1">
      <protection hidden="1"/>
    </xf>
    <xf numFmtId="0" fontId="0" fillId="0" borderId="0" xfId="0" applyProtection="1">
      <protection hidden="1"/>
    </xf>
    <xf numFmtId="0" fontId="0" fillId="2" borderId="32" xfId="0" applyFill="1" applyBorder="1" applyProtection="1">
      <protection hidden="1"/>
    </xf>
    <xf numFmtId="0" fontId="21" fillId="2" borderId="0" xfId="0" applyFont="1" applyFill="1" applyAlignment="1" applyProtection="1">
      <alignment horizontal="right"/>
      <protection hidden="1"/>
    </xf>
    <xf numFmtId="0" fontId="23" fillId="2" borderId="32" xfId="0" applyFont="1" applyFill="1" applyBorder="1" applyProtection="1">
      <protection hidden="1"/>
    </xf>
    <xf numFmtId="0" fontId="0" fillId="11" borderId="0" xfId="0" applyFill="1" applyAlignment="1" applyProtection="1">
      <alignment horizontal="right"/>
      <protection locked="0"/>
    </xf>
    <xf numFmtId="165" fontId="0" fillId="11" borderId="0" xfId="0" applyNumberFormat="1" applyFill="1" applyAlignment="1" applyProtection="1">
      <alignment horizontal="right"/>
      <protection locked="0"/>
    </xf>
    <xf numFmtId="0" fontId="0" fillId="2" borderId="0" xfId="0" applyFill="1" applyProtection="1">
      <protection hidden="1"/>
    </xf>
    <xf numFmtId="0" fontId="24" fillId="2" borderId="32" xfId="0" applyFont="1" applyFill="1" applyBorder="1" applyProtection="1">
      <protection hidden="1"/>
    </xf>
    <xf numFmtId="0" fontId="21" fillId="2" borderId="27" xfId="0" applyFont="1" applyFill="1" applyBorder="1" applyProtection="1">
      <protection hidden="1"/>
    </xf>
    <xf numFmtId="10" fontId="0" fillId="2" borderId="31" xfId="0" applyNumberFormat="1" applyFill="1" applyBorder="1" applyProtection="1">
      <protection hidden="1"/>
    </xf>
    <xf numFmtId="0" fontId="21" fillId="2" borderId="5" xfId="0" applyFont="1" applyFill="1" applyBorder="1" applyProtection="1">
      <protection hidden="1"/>
    </xf>
    <xf numFmtId="165" fontId="0" fillId="2" borderId="32" xfId="0" applyNumberFormat="1" applyFill="1" applyBorder="1" applyProtection="1">
      <protection hidden="1"/>
    </xf>
    <xf numFmtId="0" fontId="21" fillId="2" borderId="24" xfId="0" applyFont="1" applyFill="1" applyBorder="1" applyProtection="1">
      <protection hidden="1"/>
    </xf>
    <xf numFmtId="165" fontId="0" fillId="2" borderId="26" xfId="0" applyNumberFormat="1" applyFill="1" applyBorder="1" applyProtection="1">
      <protection hidden="1"/>
    </xf>
    <xf numFmtId="0" fontId="25" fillId="2" borderId="27" xfId="0" applyFont="1" applyFill="1" applyBorder="1" applyProtection="1">
      <protection hidden="1"/>
    </xf>
    <xf numFmtId="165" fontId="25" fillId="2" borderId="31" xfId="0" applyNumberFormat="1" applyFont="1" applyFill="1" applyBorder="1" applyProtection="1">
      <protection hidden="1"/>
    </xf>
    <xf numFmtId="10" fontId="0" fillId="2" borderId="26" xfId="0" applyNumberFormat="1" applyFill="1" applyBorder="1" applyProtection="1">
      <protection hidden="1"/>
    </xf>
    <xf numFmtId="0" fontId="21" fillId="11" borderId="27" xfId="0" applyFont="1" applyFill="1" applyBorder="1" applyProtection="1">
      <protection hidden="1"/>
    </xf>
    <xf numFmtId="165" fontId="0" fillId="11" borderId="23" xfId="0" applyNumberFormat="1" applyFill="1" applyBorder="1" applyProtection="1">
      <protection hidden="1"/>
    </xf>
    <xf numFmtId="0" fontId="21" fillId="12" borderId="5" xfId="0" applyFont="1" applyFill="1" applyBorder="1" applyProtection="1">
      <protection hidden="1"/>
    </xf>
    <xf numFmtId="165" fontId="0" fillId="12" borderId="29" xfId="0" applyNumberFormat="1" applyFill="1" applyBorder="1" applyProtection="1">
      <protection hidden="1"/>
    </xf>
    <xf numFmtId="0" fontId="21" fillId="13" borderId="24" xfId="0" applyFont="1" applyFill="1" applyBorder="1" applyProtection="1">
      <protection hidden="1"/>
    </xf>
    <xf numFmtId="165" fontId="0" fillId="13" borderId="22" xfId="0" applyNumberFormat="1" applyFill="1" applyBorder="1" applyProtection="1">
      <protection hidden="1"/>
    </xf>
    <xf numFmtId="164" fontId="0" fillId="2" borderId="0" xfId="0" applyNumberFormat="1" applyFill="1" applyProtection="1">
      <protection hidden="1"/>
    </xf>
    <xf numFmtId="0" fontId="0" fillId="2" borderId="24" xfId="0" applyFill="1" applyBorder="1" applyProtection="1">
      <protection hidden="1"/>
    </xf>
    <xf numFmtId="0" fontId="0" fillId="2" borderId="25" xfId="0" applyFill="1" applyBorder="1" applyProtection="1">
      <protection hidden="1"/>
    </xf>
    <xf numFmtId="164" fontId="0" fillId="2" borderId="25" xfId="0" applyNumberFormat="1" applyFill="1" applyBorder="1" applyProtection="1">
      <protection hidden="1"/>
    </xf>
    <xf numFmtId="0" fontId="0" fillId="2" borderId="26" xfId="0" applyFill="1" applyBorder="1" applyProtection="1">
      <protection hidden="1"/>
    </xf>
    <xf numFmtId="0" fontId="2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2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167" fontId="28" fillId="0" borderId="0" xfId="0" applyNumberFormat="1" applyFont="1" applyAlignment="1">
      <alignment horizontal="center" vertical="center"/>
    </xf>
    <xf numFmtId="164" fontId="29" fillId="0" borderId="0" xfId="0" applyNumberFormat="1" applyFont="1" applyAlignment="1">
      <alignment horizontal="center" vertical="center"/>
    </xf>
    <xf numFmtId="168" fontId="0" fillId="0" borderId="0" xfId="0" applyNumberFormat="1"/>
    <xf numFmtId="167" fontId="30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167" fontId="3" fillId="8" borderId="36" xfId="0" applyNumberFormat="1" applyFont="1" applyFill="1" applyBorder="1" applyAlignment="1">
      <alignment horizontal="center" vertical="center"/>
    </xf>
    <xf numFmtId="167" fontId="3" fillId="0" borderId="8" xfId="0" applyNumberFormat="1" applyFont="1" applyBorder="1" applyAlignment="1">
      <alignment horizontal="center" vertical="center"/>
    </xf>
    <xf numFmtId="167" fontId="12" fillId="0" borderId="37" xfId="0" applyNumberFormat="1" applyFont="1" applyBorder="1" applyAlignment="1">
      <alignment horizontal="center" vertical="center"/>
    </xf>
    <xf numFmtId="167" fontId="3" fillId="0" borderId="11" xfId="0" applyNumberFormat="1" applyFont="1" applyBorder="1" applyAlignment="1">
      <alignment horizontal="center" vertical="center"/>
    </xf>
    <xf numFmtId="167" fontId="14" fillId="0" borderId="12" xfId="0" applyNumberFormat="1" applyFont="1" applyBorder="1" applyAlignment="1">
      <alignment horizontal="center" vertical="center"/>
    </xf>
    <xf numFmtId="0" fontId="34" fillId="0" borderId="0" xfId="0" applyFont="1"/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168" fontId="34" fillId="0" borderId="0" xfId="0" applyNumberFormat="1" applyFont="1" applyAlignment="1">
      <alignment horizontal="center" vertical="center"/>
    </xf>
    <xf numFmtId="168" fontId="34" fillId="0" borderId="0" xfId="0" applyNumberFormat="1" applyFont="1" applyAlignment="1">
      <alignment horizontal="center"/>
    </xf>
    <xf numFmtId="0" fontId="19" fillId="0" borderId="0" xfId="2"/>
    <xf numFmtId="0" fontId="0" fillId="0" borderId="38" xfId="0" applyBorder="1" applyAlignment="1">
      <alignment horizontal="center" vertical="center"/>
    </xf>
    <xf numFmtId="168" fontId="34" fillId="0" borderId="0" xfId="1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168" fontId="0" fillId="0" borderId="38" xfId="0" applyNumberFormat="1" applyBorder="1" applyAlignment="1">
      <alignment horizontal="center" vertical="center"/>
    </xf>
    <xf numFmtId="170" fontId="33" fillId="16" borderId="16" xfId="5" applyNumberFormat="1" applyFont="1" applyBorder="1" applyAlignment="1">
      <alignment horizontal="center" vertical="center"/>
    </xf>
    <xf numFmtId="170" fontId="33" fillId="16" borderId="39" xfId="5" applyNumberFormat="1" applyFont="1" applyBorder="1" applyAlignment="1">
      <alignment horizontal="center" vertical="center"/>
    </xf>
    <xf numFmtId="0" fontId="33" fillId="16" borderId="40" xfId="5" applyFont="1" applyBorder="1" applyAlignment="1">
      <alignment horizontal="center" vertical="center"/>
    </xf>
    <xf numFmtId="0" fontId="33" fillId="16" borderId="18" xfId="5" applyFont="1" applyBorder="1" applyAlignment="1">
      <alignment horizontal="center" vertical="center"/>
    </xf>
    <xf numFmtId="0" fontId="33" fillId="16" borderId="19" xfId="5" applyFont="1" applyBorder="1" applyAlignment="1">
      <alignment horizontal="center" vertical="center"/>
    </xf>
    <xf numFmtId="170" fontId="0" fillId="3" borderId="41" xfId="0" applyNumberFormat="1" applyFill="1" applyBorder="1" applyAlignment="1">
      <alignment horizontal="center" vertical="center"/>
    </xf>
    <xf numFmtId="170" fontId="0" fillId="0" borderId="38" xfId="0" applyNumberFormat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168" fontId="0" fillId="3" borderId="38" xfId="0" applyNumberFormat="1" applyFill="1" applyBorder="1" applyAlignment="1">
      <alignment horizontal="center" vertical="center"/>
    </xf>
    <xf numFmtId="3" fontId="0" fillId="3" borderId="38" xfId="0" applyNumberFormat="1" applyFill="1" applyBorder="1" applyAlignment="1">
      <alignment horizontal="center" vertical="center"/>
    </xf>
    <xf numFmtId="168" fontId="35" fillId="0" borderId="38" xfId="0" applyNumberFormat="1" applyFont="1" applyBorder="1" applyAlignment="1">
      <alignment horizontal="center" vertical="center"/>
    </xf>
    <xf numFmtId="168" fontId="35" fillId="3" borderId="42" xfId="0" applyNumberFormat="1" applyFont="1" applyFill="1" applyBorder="1" applyAlignment="1">
      <alignment horizontal="center" vertical="center"/>
    </xf>
    <xf numFmtId="168" fontId="0" fillId="0" borderId="42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8" fontId="35" fillId="0" borderId="0" xfId="0" applyNumberFormat="1" applyFont="1" applyAlignment="1">
      <alignment horizontal="center" vertical="center"/>
    </xf>
    <xf numFmtId="0" fontId="0" fillId="17" borderId="0" xfId="0" applyFill="1" applyAlignment="1">
      <alignment horizontal="center" vertical="center"/>
    </xf>
    <xf numFmtId="168" fontId="31" fillId="0" borderId="0" xfId="3" applyNumberFormat="1" applyFill="1" applyBorder="1" applyAlignment="1">
      <alignment horizontal="center" vertical="center"/>
    </xf>
    <xf numFmtId="0" fontId="32" fillId="0" borderId="0" xfId="4" applyFill="1" applyBorder="1" applyAlignment="1">
      <alignment horizontal="center" vertical="center"/>
    </xf>
    <xf numFmtId="0" fontId="32" fillId="0" borderId="0" xfId="4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32" fillId="0" borderId="0" xfId="4" applyNumberFormat="1" applyFill="1" applyBorder="1" applyAlignment="1">
      <alignment horizontal="center" vertical="center"/>
    </xf>
    <xf numFmtId="164" fontId="32" fillId="0" borderId="0" xfId="4" applyNumberForma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164" fontId="35" fillId="0" borderId="0" xfId="0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36" fillId="0" borderId="0" xfId="0" applyNumberFormat="1" applyFont="1" applyAlignment="1">
      <alignment horizontal="center" vertical="center"/>
    </xf>
    <xf numFmtId="167" fontId="36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3" fillId="0" borderId="5" xfId="0" applyNumberFormat="1" applyFont="1" applyBorder="1" applyAlignment="1">
      <alignment horizontal="center" vertical="center"/>
    </xf>
    <xf numFmtId="167" fontId="3" fillId="0" borderId="27" xfId="0" applyNumberFormat="1" applyFont="1" applyBorder="1" applyAlignment="1">
      <alignment horizontal="center" vertical="center"/>
    </xf>
    <xf numFmtId="167" fontId="3" fillId="0" borderId="4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7" fontId="5" fillId="0" borderId="4" xfId="0" applyNumberFormat="1" applyFont="1" applyBorder="1" applyAlignment="1">
      <alignment horizontal="center" vertical="center"/>
    </xf>
    <xf numFmtId="167" fontId="5" fillId="0" borderId="7" xfId="0" applyNumberFormat="1" applyFont="1" applyBorder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25" xfId="0" applyNumberFormat="1" applyFont="1" applyBorder="1" applyAlignment="1">
      <alignment horizontal="center" vertical="center"/>
    </xf>
    <xf numFmtId="167" fontId="7" fillId="9" borderId="11" xfId="0" applyNumberFormat="1" applyFont="1" applyFill="1" applyBorder="1" applyAlignment="1">
      <alignment horizontal="center" vertical="center"/>
    </xf>
    <xf numFmtId="167" fontId="7" fillId="9" borderId="15" xfId="0" applyNumberFormat="1" applyFont="1" applyFill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7" fontId="10" fillId="4" borderId="1" xfId="0" applyNumberFormat="1" applyFont="1" applyFill="1" applyBorder="1" applyAlignment="1">
      <alignment horizontal="center" vertical="center"/>
    </xf>
    <xf numFmtId="167" fontId="10" fillId="4" borderId="2" xfId="0" applyNumberFormat="1" applyFont="1" applyFill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3" fillId="0" borderId="24" xfId="0" applyNumberFormat="1" applyFont="1" applyBorder="1" applyAlignment="1">
      <alignment horizontal="center" vertical="center"/>
    </xf>
    <xf numFmtId="167" fontId="3" fillId="0" borderId="25" xfId="0" applyNumberFormat="1" applyFont="1" applyBorder="1" applyAlignment="1">
      <alignment horizontal="center" vertical="center"/>
    </xf>
    <xf numFmtId="167" fontId="3" fillId="0" borderId="26" xfId="0" applyNumberFormat="1" applyFont="1" applyBorder="1" applyAlignment="1">
      <alignment horizontal="center" vertical="center"/>
    </xf>
    <xf numFmtId="167" fontId="7" fillId="9" borderId="8" xfId="0" applyNumberFormat="1" applyFont="1" applyFill="1" applyBorder="1" applyAlignment="1">
      <alignment horizontal="center" vertical="center"/>
    </xf>
    <xf numFmtId="167" fontId="7" fillId="9" borderId="13" xfId="0" applyNumberFormat="1" applyFont="1" applyFill="1" applyBorder="1" applyAlignment="1">
      <alignment horizontal="center" vertical="center"/>
    </xf>
    <xf numFmtId="167" fontId="7" fillId="0" borderId="16" xfId="0" applyNumberFormat="1" applyFont="1" applyBorder="1" applyAlignment="1">
      <alignment horizontal="center" vertical="center"/>
    </xf>
    <xf numFmtId="167" fontId="7" fillId="0" borderId="18" xfId="0" applyNumberFormat="1" applyFont="1" applyBorder="1" applyAlignment="1">
      <alignment horizontal="center" vertical="center"/>
    </xf>
    <xf numFmtId="167" fontId="7" fillId="0" borderId="19" xfId="0" applyNumberFormat="1" applyFont="1" applyBorder="1" applyAlignment="1">
      <alignment horizontal="center" vertical="center"/>
    </xf>
    <xf numFmtId="167" fontId="9" fillId="9" borderId="9" xfId="0" applyNumberFormat="1" applyFont="1" applyFill="1" applyBorder="1" applyAlignment="1">
      <alignment horizontal="center" vertical="center"/>
    </xf>
    <xf numFmtId="167" fontId="9" fillId="9" borderId="14" xfId="0" applyNumberFormat="1" applyFont="1" applyFill="1" applyBorder="1" applyAlignment="1">
      <alignment horizontal="center" vertical="center"/>
    </xf>
    <xf numFmtId="3" fontId="9" fillId="8" borderId="25" xfId="1" applyNumberFormat="1" applyFont="1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10" borderId="5" xfId="0" applyFont="1" applyFill="1" applyBorder="1" applyAlignment="1" applyProtection="1">
      <alignment horizontal="center"/>
      <protection hidden="1"/>
    </xf>
    <xf numFmtId="0" fontId="22" fillId="10" borderId="0" xfId="0" applyFont="1" applyFill="1" applyAlignment="1" applyProtection="1">
      <alignment horizontal="center"/>
      <protection hidden="1"/>
    </xf>
    <xf numFmtId="0" fontId="22" fillId="10" borderId="32" xfId="0" applyFont="1" applyFill="1" applyBorder="1" applyAlignment="1" applyProtection="1">
      <alignment horizontal="center"/>
      <protection hidden="1"/>
    </xf>
  </cellXfs>
  <cellStyles count="6">
    <cellStyle name="Accent1" xfId="5" builtinId="29"/>
    <cellStyle name="Bad" xfId="4" builtinId="27"/>
    <cellStyle name="Currency" xfId="1" builtinId="4"/>
    <cellStyle name="Good" xfId="3" builtinId="26"/>
    <cellStyle name="Hyperlink" xfId="2" builtinId="8"/>
    <cellStyle name="Normal" xfId="0" builtinId="0"/>
  </cellStyles>
  <dxfs count="2">
    <dxf>
      <font>
        <color auto="1"/>
      </font>
      <fill>
        <patternFill>
          <fgColor auto="1"/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85728</xdr:colOff>
      <xdr:row>4</xdr:row>
      <xdr:rowOff>9527</xdr:rowOff>
    </xdr:from>
    <xdr:to>
      <xdr:col>7</xdr:col>
      <xdr:colOff>561976</xdr:colOff>
      <xdr:row>6</xdr:row>
      <xdr:rowOff>123825</xdr:rowOff>
    </xdr:to>
    <xdr:pic>
      <xdr:nvPicPr>
        <xdr:cNvPr id="2" name="Picture 1" descr="Green Tick Vector Images (over 13,000)">
          <a:extLst>
            <a:ext uri="{FF2B5EF4-FFF2-40B4-BE49-F238E27FC236}">
              <a16:creationId xmlns:a16="http://schemas.microsoft.com/office/drawing/2014/main" id="{0B4A23E8-8E77-885F-96AF-9F8F641AC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3" y="733427"/>
          <a:ext cx="476248" cy="476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1036320</xdr:colOff>
      <xdr:row>0</xdr:row>
      <xdr:rowOff>163830</xdr:rowOff>
    </xdr:from>
    <xdr:to>
      <xdr:col>3</xdr:col>
      <xdr:colOff>182282</xdr:colOff>
      <xdr:row>4</xdr:row>
      <xdr:rowOff>58807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D21A0B-17CB-4246-8210-D328010EA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9733" y="163830"/>
          <a:ext cx="2146337" cy="6188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dona\Downloads\Rebate%20Calculator.xlsx" TargetMode="External"/><Relationship Id="rId1" Type="http://schemas.openxmlformats.org/officeDocument/2006/relationships/externalLinkPath" Target="/Users/odona/Downloads/Rebate%20Calculato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dona\Documents\Solar%20and%20Battery%20full%20calcs.xlsx" TargetMode="External"/><Relationship Id="rId1" Type="http://schemas.openxmlformats.org/officeDocument/2006/relationships/externalLinkPath" Target="/Users/odona/Documents/Solar%20and%20Battery%20full%20cal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ummary"/>
      <sheetName val="PnL W1"/>
      <sheetName val="PnL W2"/>
      <sheetName val="PnL W3"/>
      <sheetName val="PnL W5"/>
      <sheetName val="Sheet6"/>
      <sheetName val="Sheet1"/>
      <sheetName val="Sheet2"/>
      <sheetName val="Sheet3"/>
      <sheetName val="Sheet5"/>
      <sheetName val="PnL W4"/>
      <sheetName val="RB"/>
      <sheetName val="Sheet4"/>
      <sheetName val="RB (2)"/>
      <sheetName val="PnL W5 (2)"/>
    </sheetNames>
    <sheetDataSet>
      <sheetData sheetId="0">
        <row r="3">
          <cell r="B3" t="str">
            <v>Sofar 5kW Inverter 1P - Ecosakura</v>
          </cell>
          <cell r="C3">
            <v>528</v>
          </cell>
        </row>
        <row r="4">
          <cell r="B4" t="str">
            <v>Sofar 5W Inverter 3P - Ecosakura</v>
          </cell>
          <cell r="C4">
            <v>1045</v>
          </cell>
        </row>
        <row r="5">
          <cell r="B5" t="str">
            <v>Sofar Hybrid 5kW Inverter 1P - Ecosakura</v>
          </cell>
          <cell r="C5">
            <v>1527</v>
          </cell>
        </row>
        <row r="6">
          <cell r="B6" t="str">
            <v>Sofar Hybrid 5kW Inverter 3P - Ecosakura</v>
          </cell>
          <cell r="C6">
            <v>3077</v>
          </cell>
        </row>
        <row r="7">
          <cell r="B7" t="str">
            <v>Sofar Hybrid 10kW Inverter 3P - Ecosakura</v>
          </cell>
          <cell r="C7">
            <v>3002</v>
          </cell>
        </row>
        <row r="8">
          <cell r="B8" t="str">
            <v>Sofar Hybrid 15kW Inverter 3P - Ecosakura</v>
          </cell>
          <cell r="C8">
            <v>3486</v>
          </cell>
        </row>
        <row r="9">
          <cell r="B9" t="str">
            <v>Sofar Hybrid 20kW Inverter 3P - Ecosakura</v>
          </cell>
          <cell r="C9">
            <v>4212</v>
          </cell>
        </row>
        <row r="10">
          <cell r="B10" t="str">
            <v>Sofar Hybrid 20kW Inverter 3P - Ecosakura</v>
          </cell>
          <cell r="C10">
            <v>3500</v>
          </cell>
        </row>
        <row r="11">
          <cell r="B11" t="str">
            <v>Sungrow 5kW 1P Hybrid</v>
          </cell>
          <cell r="C11">
            <v>2035</v>
          </cell>
        </row>
        <row r="12">
          <cell r="B12" t="str">
            <v>Sungrow 5kW 3P Hybrid</v>
          </cell>
          <cell r="C12">
            <v>3135</v>
          </cell>
        </row>
        <row r="13">
          <cell r="B13" t="str">
            <v>Sungrow 10kW 3P Hybrid</v>
          </cell>
          <cell r="C13">
            <v>3850</v>
          </cell>
        </row>
        <row r="14">
          <cell r="B14" t="str">
            <v xml:space="preserve"> Deye 1P5K</v>
          </cell>
          <cell r="C14">
            <v>1549</v>
          </cell>
        </row>
        <row r="15">
          <cell r="B15" t="str">
            <v>Deye 1P8K</v>
          </cell>
          <cell r="C15">
            <v>2188</v>
          </cell>
        </row>
        <row r="16">
          <cell r="B16" t="str">
            <v>Deye 3P5K</v>
          </cell>
          <cell r="C16">
            <v>3500</v>
          </cell>
        </row>
        <row r="17">
          <cell r="B17" t="str">
            <v>Deye 3P8K</v>
          </cell>
          <cell r="C17">
            <v>3989</v>
          </cell>
        </row>
        <row r="18">
          <cell r="B18" t="str">
            <v>Deye 3P10K</v>
          </cell>
          <cell r="C18">
            <v>4199</v>
          </cell>
        </row>
        <row r="19">
          <cell r="B19" t="str">
            <v>Custom</v>
          </cell>
        </row>
        <row r="22">
          <cell r="B22" t="str">
            <v>415 33c</v>
          </cell>
          <cell r="C22">
            <v>150.63999999999999</v>
          </cell>
          <cell r="D22">
            <v>0</v>
          </cell>
        </row>
        <row r="27">
          <cell r="B27" t="str">
            <v>5kW Battery - Ecosakura</v>
          </cell>
          <cell r="C27">
            <v>2605.9</v>
          </cell>
          <cell r="D27">
            <v>0</v>
          </cell>
        </row>
        <row r="28">
          <cell r="B28" t="str">
            <v>10kW Battery - Ecosakura</v>
          </cell>
          <cell r="C28">
            <v>5211.8</v>
          </cell>
          <cell r="D28">
            <v>0</v>
          </cell>
        </row>
        <row r="29">
          <cell r="B29" t="str">
            <v>15kW Battery  - Ecosakura</v>
          </cell>
          <cell r="C29">
            <v>7817.7000000000007</v>
          </cell>
          <cell r="D29">
            <v>0</v>
          </cell>
        </row>
        <row r="30">
          <cell r="B30" t="str">
            <v>20kW Battery  - Ecosakura</v>
          </cell>
          <cell r="C30">
            <v>10423.6</v>
          </cell>
          <cell r="D30">
            <v>0</v>
          </cell>
        </row>
        <row r="31">
          <cell r="B31" t="str">
            <v>25kW Battery  - Ecosakura</v>
          </cell>
          <cell r="C31">
            <v>13029.5</v>
          </cell>
          <cell r="D31">
            <v>1</v>
          </cell>
        </row>
        <row r="32">
          <cell r="B32" t="str">
            <v>30kW Battery  - Ecosakura</v>
          </cell>
          <cell r="C32">
            <v>15635.400000000001</v>
          </cell>
          <cell r="D32">
            <v>2</v>
          </cell>
        </row>
        <row r="33">
          <cell r="B33" t="str">
            <v>Sungrow 9.6kW</v>
          </cell>
          <cell r="C33">
            <v>6871</v>
          </cell>
          <cell r="D33">
            <v>0</v>
          </cell>
        </row>
        <row r="34">
          <cell r="B34" t="str">
            <v>Sungrow 12.8kW</v>
          </cell>
          <cell r="C34">
            <v>8630</v>
          </cell>
          <cell r="D34">
            <v>0</v>
          </cell>
          <cell r="F34" t="str">
            <v>Zone 1 - Darwin</v>
          </cell>
          <cell r="G34">
            <v>1.0660000000000001</v>
          </cell>
          <cell r="J34">
            <v>39</v>
          </cell>
        </row>
        <row r="35">
          <cell r="B35" t="str">
            <v>Sungrow 16.0kW</v>
          </cell>
          <cell r="C35">
            <v>10389</v>
          </cell>
          <cell r="D35">
            <v>0</v>
          </cell>
          <cell r="F35" t="str">
            <v>Zone 2 - Geraldton</v>
          </cell>
          <cell r="G35">
            <v>1.0660000000000001</v>
          </cell>
        </row>
        <row r="36">
          <cell r="B36" t="str">
            <v>Sungrow 19.2kW</v>
          </cell>
          <cell r="C36">
            <v>12148</v>
          </cell>
          <cell r="D36">
            <v>0</v>
          </cell>
          <cell r="F36" t="str">
            <v>Zone 3 - Perth</v>
          </cell>
          <cell r="G36">
            <v>0.96199999999999997</v>
          </cell>
          <cell r="K36">
            <v>0.75075075075075082</v>
          </cell>
        </row>
        <row r="37">
          <cell r="B37" t="str">
            <v>Sungrow 22.4kW</v>
          </cell>
          <cell r="C37">
            <v>13907</v>
          </cell>
          <cell r="D37">
            <v>0</v>
          </cell>
          <cell r="F37" t="str">
            <v>Zone 4 - Esperance</v>
          </cell>
          <cell r="G37">
            <v>0.82699999999999996</v>
          </cell>
        </row>
        <row r="38">
          <cell r="B38" t="str">
            <v>Sungrow 25.6kW</v>
          </cell>
          <cell r="C38">
            <v>15666</v>
          </cell>
          <cell r="D38">
            <v>0</v>
          </cell>
        </row>
        <row r="39">
          <cell r="B39" t="str">
            <v>Custom</v>
          </cell>
        </row>
        <row r="43">
          <cell r="B43" t="str">
            <v>Tigo Optimisers - Go Solar</v>
          </cell>
          <cell r="C43">
            <v>89</v>
          </cell>
          <cell r="D43">
            <v>10</v>
          </cell>
        </row>
        <row r="44">
          <cell r="B44" t="str">
            <v>Tilt Frames</v>
          </cell>
          <cell r="C44">
            <v>35</v>
          </cell>
          <cell r="D44">
            <v>10</v>
          </cell>
        </row>
        <row r="45">
          <cell r="B45" t="str">
            <v>Site Visit - Induced</v>
          </cell>
          <cell r="C45">
            <v>250</v>
          </cell>
          <cell r="D45">
            <v>0</v>
          </cell>
        </row>
        <row r="46">
          <cell r="B46" t="str">
            <v>Site Visit - Kluemes</v>
          </cell>
          <cell r="C46">
            <v>250</v>
          </cell>
          <cell r="D46">
            <v>0</v>
          </cell>
        </row>
        <row r="47">
          <cell r="B47" t="str">
            <v>Site Visit - PB</v>
          </cell>
          <cell r="C47">
            <v>250</v>
          </cell>
          <cell r="D4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ll Calculator"/>
      <sheetName val="Savings compund calc"/>
      <sheetName val="Data"/>
      <sheetName val="STC calcs"/>
      <sheetName val="Solar and Batt Final"/>
    </sheetNames>
    <sheetDataSet>
      <sheetData sheetId="0" refreshError="1">
        <row r="4">
          <cell r="C4">
            <v>500</v>
          </cell>
        </row>
        <row r="21">
          <cell r="D21">
            <v>175.00077983742614</v>
          </cell>
        </row>
        <row r="22">
          <cell r="D22">
            <v>10</v>
          </cell>
        </row>
        <row r="23">
          <cell r="D23">
            <v>40.384795347098347</v>
          </cell>
        </row>
      </sheetData>
      <sheetData sheetId="1" refreshError="1">
        <row r="15">
          <cell r="C15">
            <v>36443.018127265379</v>
          </cell>
        </row>
      </sheetData>
      <sheetData sheetId="2" refreshError="1"/>
      <sheetData sheetId="3" refreshError="1">
        <row r="2">
          <cell r="Y2">
            <v>4352.0879999999997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695A-C3E8-426B-9481-ADDC25AF1F50}">
  <dimension ref="A1:P30"/>
  <sheetViews>
    <sheetView showGridLines="0" tabSelected="1" zoomScaleNormal="100" workbookViewId="0">
      <pane xSplit="9" topLeftCell="J1" activePane="topRight" state="frozen"/>
      <selection activeCell="AF16" sqref="AF16"/>
      <selection pane="topRight" activeCell="H22" sqref="H22"/>
    </sheetView>
  </sheetViews>
  <sheetFormatPr defaultColWidth="9" defaultRowHeight="15"/>
  <cols>
    <col min="1" max="1" width="9" style="3"/>
    <col min="2" max="2" width="31.140625" style="3" bestFit="1" customWidth="1"/>
    <col min="3" max="3" width="16.85546875" style="3" customWidth="1"/>
    <col min="4" max="4" width="27.5703125" style="3" customWidth="1"/>
    <col min="5" max="5" width="29.140625" style="3" customWidth="1"/>
    <col min="6" max="6" width="22.5703125" style="3" customWidth="1"/>
    <col min="7" max="7" width="25.7109375" style="3" customWidth="1"/>
    <col min="8" max="8" width="24.140625" style="3" bestFit="1" customWidth="1"/>
    <col min="9" max="9" width="8" style="3" customWidth="1"/>
    <col min="10" max="14" width="9.140625" style="3" customWidth="1"/>
    <col min="15" max="15" width="10.42578125" style="3" customWidth="1"/>
    <col min="16" max="16384" width="9" style="3"/>
  </cols>
  <sheetData>
    <row r="1" spans="1:16" ht="15.75" thickBot="1">
      <c r="A1" s="1" t="s">
        <v>134</v>
      </c>
      <c r="B1" s="2"/>
      <c r="J1" s="1"/>
      <c r="K1" s="1"/>
    </row>
    <row r="2" spans="1:16" ht="21.75" thickBot="1">
      <c r="A2" s="1"/>
      <c r="B2" s="50" t="s">
        <v>0</v>
      </c>
      <c r="C2" s="24">
        <v>5</v>
      </c>
      <c r="D2" s="158"/>
      <c r="E2" s="159"/>
      <c r="F2" s="25">
        <f>SUM(C2*4.4)</f>
        <v>22</v>
      </c>
      <c r="G2" s="35" t="s">
        <v>1</v>
      </c>
      <c r="H2" s="161"/>
      <c r="I2" s="162"/>
      <c r="J2" s="1"/>
      <c r="K2" s="1"/>
    </row>
    <row r="3" spans="1:16" ht="21.75" thickBot="1">
      <c r="A3" s="1"/>
      <c r="B3" s="37" t="s">
        <v>2</v>
      </c>
      <c r="C3" s="24">
        <v>10</v>
      </c>
      <c r="D3" s="157"/>
      <c r="E3" s="160"/>
      <c r="F3" s="40">
        <f>(F2*E5)</f>
        <v>1320</v>
      </c>
      <c r="G3" s="51"/>
      <c r="H3" s="163"/>
      <c r="I3" s="164"/>
      <c r="J3" s="1"/>
      <c r="K3" s="1"/>
    </row>
    <row r="4" spans="1:16" ht="21.75" thickBot="1">
      <c r="A4" s="1"/>
      <c r="B4" s="49" t="s">
        <v>3</v>
      </c>
      <c r="C4" s="4">
        <f>'Final Data Solar Only'!C6</f>
        <v>500</v>
      </c>
      <c r="D4" s="163"/>
      <c r="E4" s="43">
        <v>60</v>
      </c>
      <c r="F4" s="32" t="s">
        <v>4</v>
      </c>
      <c r="I4" s="52"/>
      <c r="J4" s="1"/>
      <c r="K4" s="1"/>
    </row>
    <row r="5" spans="1:16" ht="21.75" thickBot="1">
      <c r="A5" s="1"/>
      <c r="B5" s="33" t="s">
        <v>5</v>
      </c>
      <c r="C5" s="51">
        <f>C4-E4</f>
        <v>440</v>
      </c>
      <c r="D5" s="165"/>
      <c r="E5" s="42">
        <v>60</v>
      </c>
      <c r="F5" s="44" t="s">
        <v>6</v>
      </c>
      <c r="I5" s="52"/>
      <c r="J5" s="1"/>
      <c r="K5" s="1"/>
    </row>
    <row r="6" spans="1:16" ht="24" thickBot="1">
      <c r="A6" s="1" t="s">
        <v>7</v>
      </c>
      <c r="B6" s="33" t="s">
        <v>8</v>
      </c>
      <c r="C6" s="5">
        <f>C5/0.288</f>
        <v>1527.7777777777778</v>
      </c>
      <c r="D6" s="26" t="s">
        <v>9</v>
      </c>
      <c r="E6" s="41">
        <f>SUM(C4*6*10)</f>
        <v>30000</v>
      </c>
      <c r="I6" s="52"/>
      <c r="J6" s="1"/>
      <c r="K6" s="1"/>
    </row>
    <row r="7" spans="1:16" ht="21">
      <c r="A7" s="1"/>
      <c r="B7" s="33" t="s">
        <v>10</v>
      </c>
      <c r="C7" s="5">
        <f>C6/E5</f>
        <v>25.462962962962965</v>
      </c>
      <c r="D7" s="161"/>
      <c r="E7" s="159"/>
      <c r="I7" s="52"/>
      <c r="J7" s="1"/>
      <c r="K7" s="1"/>
      <c r="O7" s="6"/>
      <c r="P7" s="6"/>
    </row>
    <row r="8" spans="1:16" ht="21.75" thickBot="1">
      <c r="A8" s="1"/>
      <c r="B8" s="33" t="s">
        <v>11</v>
      </c>
      <c r="C8" s="51">
        <f>SUM(C5/E5)</f>
        <v>7.333333333333333</v>
      </c>
      <c r="D8" s="163"/>
      <c r="E8" s="160"/>
      <c r="I8" s="52"/>
      <c r="J8" s="1"/>
      <c r="K8" s="1"/>
      <c r="O8" s="6"/>
      <c r="P8" s="6"/>
    </row>
    <row r="9" spans="1:16" ht="21" customHeight="1" thickBot="1">
      <c r="A9" s="1"/>
      <c r="B9" s="157"/>
      <c r="C9" s="32" t="s">
        <v>12</v>
      </c>
      <c r="D9" s="163"/>
      <c r="E9" s="32" t="s">
        <v>13</v>
      </c>
      <c r="I9" s="52"/>
      <c r="J9" s="1"/>
      <c r="K9" s="1"/>
      <c r="O9" s="6"/>
      <c r="P9" s="6"/>
    </row>
    <row r="10" spans="1:16" ht="21">
      <c r="A10" s="1"/>
      <c r="B10" s="157"/>
      <c r="C10" s="7">
        <v>60</v>
      </c>
      <c r="D10" s="163"/>
      <c r="E10" s="8">
        <f>SUM(100-C10)</f>
        <v>40</v>
      </c>
      <c r="I10" s="52"/>
      <c r="J10" s="1"/>
      <c r="K10" s="1"/>
      <c r="O10" s="6"/>
      <c r="P10" s="6"/>
    </row>
    <row r="11" spans="1:16" ht="21">
      <c r="A11" s="1"/>
      <c r="B11" s="33" t="s">
        <v>14</v>
      </c>
      <c r="C11" s="9">
        <f>C7*(C10/100)</f>
        <v>15.277777777777779</v>
      </c>
      <c r="D11" s="163"/>
      <c r="E11" s="10">
        <f>C7-C11</f>
        <v>10.185185185185187</v>
      </c>
      <c r="F11" s="34" t="s">
        <v>14</v>
      </c>
      <c r="G11" s="106"/>
      <c r="H11" s="106"/>
      <c r="I11" s="106"/>
      <c r="J11" s="1"/>
      <c r="K11" s="1"/>
      <c r="O11" s="6"/>
      <c r="P11" s="6"/>
    </row>
    <row r="12" spans="1:16" ht="21">
      <c r="A12" s="1"/>
      <c r="B12" s="33" t="s">
        <v>15</v>
      </c>
      <c r="C12" s="11">
        <f>F2-C11</f>
        <v>6.7222222222222214</v>
      </c>
      <c r="D12" s="163"/>
      <c r="E12" s="11">
        <f>C3</f>
        <v>10</v>
      </c>
      <c r="F12" s="34" t="s">
        <v>16</v>
      </c>
      <c r="G12" s="106"/>
      <c r="H12" s="106"/>
      <c r="I12" s="106"/>
      <c r="J12" s="1"/>
      <c r="K12" s="1"/>
      <c r="O12" s="6"/>
      <c r="P12" s="6"/>
    </row>
    <row r="13" spans="1:16" ht="21">
      <c r="A13" s="1"/>
      <c r="B13" s="33" t="s">
        <v>17</v>
      </c>
      <c r="C13" s="11">
        <f>SUM(C12-E12)</f>
        <v>-3.2777777777777786</v>
      </c>
      <c r="D13" s="12">
        <f>IF(C13&gt;0,0.05,-0.26)</f>
        <v>-0.26</v>
      </c>
      <c r="E13" s="9">
        <f>SUM(E11-E12)</f>
        <v>0.1851851851851869</v>
      </c>
      <c r="F13" s="34" t="s">
        <v>18</v>
      </c>
      <c r="G13" s="106"/>
      <c r="H13" s="106"/>
      <c r="I13" s="106"/>
      <c r="J13" s="1"/>
      <c r="K13" s="1"/>
      <c r="O13" s="6"/>
      <c r="P13" s="6"/>
    </row>
    <row r="14" spans="1:16" ht="21">
      <c r="A14" s="1"/>
      <c r="B14" s="33" t="str">
        <f>IF(C13&gt;0,"$ Credit","$ cost")</f>
        <v>$ cost</v>
      </c>
      <c r="C14" s="13">
        <f>IF(F2&gt;55,0,C13*D13)</f>
        <v>0.85222222222222244</v>
      </c>
      <c r="E14" s="14">
        <f>IF(E13&gt;0,(E11-E12)*0.26)</f>
        <v>4.8148148148148592E-2</v>
      </c>
      <c r="F14" s="34" t="s">
        <v>19</v>
      </c>
      <c r="G14" s="106"/>
      <c r="H14" s="106"/>
      <c r="I14" s="106"/>
      <c r="J14" s="1"/>
      <c r="K14" s="1"/>
      <c r="O14" s="6"/>
      <c r="P14" s="6"/>
    </row>
    <row r="15" spans="1:16" ht="21">
      <c r="A15" s="1"/>
      <c r="B15" s="168" t="s">
        <v>20</v>
      </c>
      <c r="C15" s="169"/>
      <c r="D15" s="15">
        <f>IF(C13&gt;0,E14-C14,E14+C14)</f>
        <v>0.90037037037037104</v>
      </c>
      <c r="E15" s="160"/>
      <c r="F15" s="160"/>
      <c r="G15" s="106"/>
      <c r="H15" s="106"/>
      <c r="I15" s="106"/>
      <c r="J15" s="1"/>
      <c r="K15" s="1"/>
      <c r="O15" s="6"/>
      <c r="P15" s="6"/>
    </row>
    <row r="16" spans="1:16" ht="21.75" thickBot="1">
      <c r="A16" s="1"/>
      <c r="B16" s="168" t="s">
        <v>21</v>
      </c>
      <c r="C16" s="169"/>
      <c r="D16" s="16">
        <f>SUM(D15*E5)</f>
        <v>54.022222222222261</v>
      </c>
      <c r="E16" s="160"/>
      <c r="F16" s="160"/>
      <c r="G16" s="106"/>
      <c r="H16" s="106"/>
      <c r="I16" s="106"/>
      <c r="J16" s="1"/>
      <c r="K16" s="1"/>
      <c r="O16" s="6"/>
      <c r="P16" s="6"/>
    </row>
    <row r="17" spans="1:16" ht="24" thickBot="1">
      <c r="A17" s="1"/>
      <c r="B17" s="168" t="s">
        <v>4</v>
      </c>
      <c r="C17" s="169"/>
      <c r="D17" s="17">
        <f>SUM(E4)</f>
        <v>60</v>
      </c>
      <c r="E17" s="170" t="s">
        <v>22</v>
      </c>
      <c r="F17" s="171"/>
      <c r="G17" s="108" t="s">
        <v>63</v>
      </c>
      <c r="H17" s="109">
        <f>SUM(C4)</f>
        <v>500</v>
      </c>
      <c r="I17" s="106"/>
      <c r="J17" s="1"/>
      <c r="K17" s="1"/>
      <c r="O17" s="6"/>
      <c r="P17" s="6"/>
    </row>
    <row r="18" spans="1:16" ht="24" thickBot="1">
      <c r="A18" s="1"/>
      <c r="B18" s="172" t="s">
        <v>23</v>
      </c>
      <c r="C18" s="173"/>
      <c r="D18" s="29">
        <f>(D15*E5)+E4</f>
        <v>114.02222222222227</v>
      </c>
      <c r="E18" s="36">
        <f>C4-D18</f>
        <v>385.97777777777776</v>
      </c>
      <c r="F18" s="107" t="s">
        <v>24</v>
      </c>
      <c r="G18" s="110" t="s">
        <v>64</v>
      </c>
      <c r="H18" s="111">
        <f>SUM(D21*2+D18)</f>
        <v>247.07031367490495</v>
      </c>
      <c r="I18" s="106"/>
      <c r="J18" s="1"/>
      <c r="K18" s="1"/>
      <c r="O18" s="6"/>
      <c r="P18" s="6"/>
    </row>
    <row r="19" spans="1:16" ht="21.75" thickBot="1">
      <c r="A19" s="1"/>
      <c r="B19" s="174"/>
      <c r="C19" s="175"/>
      <c r="D19" s="176"/>
      <c r="E19" s="18">
        <f>E18*6</f>
        <v>2315.8666666666668</v>
      </c>
      <c r="F19" s="19" t="s">
        <v>25</v>
      </c>
      <c r="G19" s="106"/>
      <c r="H19" s="106"/>
      <c r="I19" s="106"/>
      <c r="J19" s="1"/>
      <c r="K19" s="1"/>
      <c r="O19" s="6"/>
      <c r="P19" s="6"/>
    </row>
    <row r="20" spans="1:16" ht="24" thickBot="1">
      <c r="A20" s="1"/>
      <c r="B20" s="177" t="s">
        <v>34</v>
      </c>
      <c r="C20" s="178"/>
      <c r="D20" s="30">
        <f>SUM(E18/2)</f>
        <v>192.98888888888888</v>
      </c>
      <c r="E20" s="27">
        <f>SUM(E19*10)</f>
        <v>23158.666666666668</v>
      </c>
      <c r="F20" s="45" t="s">
        <v>26</v>
      </c>
      <c r="G20" s="179" t="s">
        <v>27</v>
      </c>
      <c r="H20" s="180"/>
      <c r="I20" s="181"/>
      <c r="J20" s="1"/>
      <c r="K20" s="1"/>
      <c r="P20" s="6"/>
    </row>
    <row r="21" spans="1:16" ht="24" thickBot="1">
      <c r="A21" s="1"/>
      <c r="B21" s="182" t="s">
        <v>33</v>
      </c>
      <c r="C21" s="183"/>
      <c r="D21" s="31">
        <f>'Green Loan Calcs'!C16</f>
        <v>66.524045726341342</v>
      </c>
      <c r="E21" s="27">
        <f>SUM(E19*15)</f>
        <v>34738</v>
      </c>
      <c r="F21" s="20" t="s">
        <v>28</v>
      </c>
      <c r="G21" s="46" t="s">
        <v>29</v>
      </c>
      <c r="H21" s="184">
        <v>4999</v>
      </c>
      <c r="I21" s="184"/>
      <c r="J21" s="1"/>
      <c r="K21" s="1"/>
      <c r="P21" s="6"/>
    </row>
    <row r="22" spans="1:16" ht="24" thickBot="1">
      <c r="A22" s="1"/>
      <c r="B22" s="166" t="s">
        <v>49</v>
      </c>
      <c r="C22" s="167"/>
      <c r="D22" s="28">
        <v>10</v>
      </c>
      <c r="E22" s="22">
        <f>SUM(E19*20)</f>
        <v>46317.333333333336</v>
      </c>
      <c r="F22" s="21" t="s">
        <v>30</v>
      </c>
      <c r="G22" s="48" t="s">
        <v>31</v>
      </c>
      <c r="H22" s="47">
        <f>H21/E19</f>
        <v>2.1585871380044908</v>
      </c>
      <c r="I22" s="23" t="s">
        <v>32</v>
      </c>
      <c r="J22" s="1"/>
      <c r="K22" s="1"/>
      <c r="P22" s="6"/>
    </row>
    <row r="23" spans="1:16" ht="18.75">
      <c r="A23" s="1"/>
      <c r="B23" s="1"/>
      <c r="C23" s="1" t="s">
        <v>65</v>
      </c>
      <c r="D23" s="1">
        <f>SUM(D21*12/52)</f>
        <v>15.351702859924925</v>
      </c>
      <c r="E23" s="1"/>
      <c r="F23" s="1"/>
      <c r="G23" s="1"/>
      <c r="H23" s="1"/>
      <c r="I23" s="1"/>
      <c r="J23" s="1"/>
      <c r="K23" s="1"/>
      <c r="O23" s="6"/>
      <c r="P23" s="6"/>
    </row>
    <row r="24" spans="1:16" ht="18.75">
      <c r="A24" s="1"/>
      <c r="B24" s="1"/>
      <c r="C24" s="1"/>
      <c r="D24" s="39"/>
      <c r="H24" s="1"/>
      <c r="I24" s="1"/>
      <c r="J24" s="1"/>
      <c r="K24" s="1"/>
      <c r="O24" s="6"/>
      <c r="P24" s="6"/>
    </row>
    <row r="25" spans="1:16">
      <c r="A25" s="1"/>
      <c r="B25" s="1"/>
      <c r="C25" s="1"/>
      <c r="D25" s="38"/>
      <c r="H25" s="1"/>
      <c r="I25" s="1"/>
    </row>
    <row r="26" spans="1:16">
      <c r="A26" s="1"/>
      <c r="B26" s="1"/>
      <c r="C26" s="1"/>
      <c r="D26" s="1"/>
      <c r="H26" s="1"/>
      <c r="I26" s="1"/>
    </row>
    <row r="27" spans="1:16">
      <c r="A27" s="1"/>
      <c r="B27" s="1"/>
      <c r="C27" s="1"/>
      <c r="D27" s="1"/>
      <c r="H27" s="1"/>
      <c r="I27" s="1"/>
    </row>
    <row r="28" spans="1:16">
      <c r="D28" s="1"/>
    </row>
    <row r="29" spans="1:16">
      <c r="D29" s="39"/>
      <c r="E29" s="3" t="s">
        <v>7</v>
      </c>
    </row>
    <row r="30" spans="1:16">
      <c r="G30" s="1"/>
    </row>
  </sheetData>
  <protectedRanges>
    <protectedRange sqref="C4 E4:E5 C10 H21 B22 D22" name="Range1"/>
  </protectedRanges>
  <mergeCells count="18">
    <mergeCell ref="G20:I20"/>
    <mergeCell ref="B21:C21"/>
    <mergeCell ref="H21:I21"/>
    <mergeCell ref="B22:C22"/>
    <mergeCell ref="B15:C15"/>
    <mergeCell ref="E15:F16"/>
    <mergeCell ref="B16:C16"/>
    <mergeCell ref="B17:C17"/>
    <mergeCell ref="E17:F17"/>
    <mergeCell ref="B18:C18"/>
    <mergeCell ref="B19:D19"/>
    <mergeCell ref="B20:C20"/>
    <mergeCell ref="B9:B10"/>
    <mergeCell ref="D2:E3"/>
    <mergeCell ref="H2:I3"/>
    <mergeCell ref="D4:D5"/>
    <mergeCell ref="D7:D12"/>
    <mergeCell ref="E7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2CFF-7831-4892-AE22-39DEE1105C4A}">
  <dimension ref="A1:C15"/>
  <sheetViews>
    <sheetView workbookViewId="0">
      <selection activeCell="C5" sqref="C5"/>
    </sheetView>
  </sheetViews>
  <sheetFormatPr defaultRowHeight="15"/>
  <sheetData>
    <row r="1" spans="1:3">
      <c r="A1" t="s">
        <v>134</v>
      </c>
    </row>
    <row r="5" spans="1:3">
      <c r="B5" t="s">
        <v>135</v>
      </c>
      <c r="C5">
        <f>'Full Calculator'!E19</f>
        <v>2315.8666666666668</v>
      </c>
    </row>
    <row r="6" spans="1:3">
      <c r="B6" t="s">
        <v>136</v>
      </c>
      <c r="C6">
        <f t="shared" ref="C6:C14" si="0">SUM(C5*1.05)</f>
        <v>2431.6600000000003</v>
      </c>
    </row>
    <row r="7" spans="1:3">
      <c r="B7" t="s">
        <v>137</v>
      </c>
      <c r="C7">
        <f t="shared" si="0"/>
        <v>2553.2430000000004</v>
      </c>
    </row>
    <row r="8" spans="1:3">
      <c r="B8" t="s">
        <v>138</v>
      </c>
      <c r="C8">
        <f t="shared" si="0"/>
        <v>2680.9051500000005</v>
      </c>
    </row>
    <row r="9" spans="1:3">
      <c r="B9" t="s">
        <v>139</v>
      </c>
      <c r="C9">
        <f t="shared" si="0"/>
        <v>2814.9504075000004</v>
      </c>
    </row>
    <row r="10" spans="1:3">
      <c r="B10" t="s">
        <v>140</v>
      </c>
      <c r="C10">
        <f t="shared" si="0"/>
        <v>2955.6979278750005</v>
      </c>
    </row>
    <row r="11" spans="1:3">
      <c r="B11" t="s">
        <v>141</v>
      </c>
      <c r="C11">
        <f t="shared" si="0"/>
        <v>3103.4828242687504</v>
      </c>
    </row>
    <row r="12" spans="1:3">
      <c r="B12" t="s">
        <v>142</v>
      </c>
      <c r="C12">
        <f t="shared" si="0"/>
        <v>3258.6569654821878</v>
      </c>
    </row>
    <row r="13" spans="1:3">
      <c r="B13" t="s">
        <v>143</v>
      </c>
      <c r="C13">
        <f t="shared" si="0"/>
        <v>3421.5898137562972</v>
      </c>
    </row>
    <row r="14" spans="1:3">
      <c r="B14" t="s">
        <v>144</v>
      </c>
      <c r="C14">
        <f t="shared" si="0"/>
        <v>3592.6693044441122</v>
      </c>
    </row>
    <row r="15" spans="1:3">
      <c r="C15">
        <f>SUM(C5:C14)</f>
        <v>29128.722059993015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BEDE-49CE-4239-B4BB-5FF9CBB31EF3}">
  <dimension ref="A1:K51"/>
  <sheetViews>
    <sheetView topLeftCell="F20" zoomScale="120" zoomScaleNormal="120" workbookViewId="0">
      <selection activeCell="AF16" sqref="AF16"/>
    </sheetView>
  </sheetViews>
  <sheetFormatPr defaultColWidth="8.85546875" defaultRowHeight="15"/>
  <cols>
    <col min="1" max="1" width="0" hidden="1" customWidth="1"/>
    <col min="2" max="2" width="43.28515625" hidden="1" customWidth="1"/>
    <col min="3" max="3" width="11.85546875" hidden="1" customWidth="1"/>
    <col min="4" max="4" width="12" hidden="1" customWidth="1"/>
    <col min="5" max="5" width="0" hidden="1" customWidth="1"/>
    <col min="6" max="6" width="26.85546875" customWidth="1"/>
  </cols>
  <sheetData>
    <row r="1" spans="1:7">
      <c r="A1" s="112" t="s">
        <v>134</v>
      </c>
      <c r="B1" s="112"/>
      <c r="C1" s="112"/>
      <c r="D1" s="112"/>
      <c r="E1" s="112"/>
    </row>
    <row r="2" spans="1:7">
      <c r="A2" s="112"/>
      <c r="B2" s="113" t="s">
        <v>66</v>
      </c>
      <c r="C2" s="113" t="s">
        <v>67</v>
      </c>
      <c r="D2" s="114" t="s">
        <v>68</v>
      </c>
      <c r="E2" s="112"/>
    </row>
    <row r="3" spans="1:7">
      <c r="A3" s="112"/>
      <c r="B3" s="113" t="s">
        <v>69</v>
      </c>
      <c r="C3" s="115">
        <v>528</v>
      </c>
      <c r="D3" s="116">
        <v>1500</v>
      </c>
      <c r="E3" s="112"/>
    </row>
    <row r="4" spans="1:7">
      <c r="A4" s="112"/>
      <c r="B4" s="113" t="s">
        <v>70</v>
      </c>
      <c r="C4" s="115">
        <v>1045</v>
      </c>
      <c r="D4" s="116">
        <v>1500</v>
      </c>
      <c r="E4" s="112"/>
    </row>
    <row r="5" spans="1:7">
      <c r="A5" s="112"/>
      <c r="B5" s="113" t="s">
        <v>71</v>
      </c>
      <c r="C5" s="115">
        <v>1527</v>
      </c>
      <c r="D5" s="116">
        <v>3000</v>
      </c>
      <c r="E5" s="112"/>
    </row>
    <row r="6" spans="1:7">
      <c r="A6" s="112"/>
      <c r="B6" s="113" t="s">
        <v>72</v>
      </c>
      <c r="C6" s="115">
        <v>3077</v>
      </c>
      <c r="D6" s="116">
        <v>3000</v>
      </c>
      <c r="E6" s="112"/>
    </row>
    <row r="7" spans="1:7">
      <c r="A7" s="112"/>
      <c r="B7" s="113" t="s">
        <v>73</v>
      </c>
      <c r="C7" s="116">
        <v>3002</v>
      </c>
      <c r="D7" s="116">
        <v>4000</v>
      </c>
      <c r="E7" s="112"/>
      <c r="G7" s="117"/>
    </row>
    <row r="8" spans="1:7">
      <c r="A8" s="112"/>
      <c r="B8" s="113" t="s">
        <v>74</v>
      </c>
      <c r="C8" s="116">
        <v>3486</v>
      </c>
      <c r="D8" s="116">
        <v>55000</v>
      </c>
      <c r="E8" s="112"/>
      <c r="G8" s="118"/>
    </row>
    <row r="9" spans="1:7">
      <c r="A9" s="112"/>
      <c r="B9" s="113" t="s">
        <v>75</v>
      </c>
      <c r="C9" s="116">
        <v>4212</v>
      </c>
      <c r="D9" s="116">
        <v>7000</v>
      </c>
      <c r="E9" s="112"/>
      <c r="G9" s="53"/>
    </row>
    <row r="10" spans="1:7">
      <c r="A10" s="112"/>
      <c r="B10" s="113" t="s">
        <v>75</v>
      </c>
      <c r="C10" s="116">
        <v>3500</v>
      </c>
      <c r="D10" s="116">
        <v>7200</v>
      </c>
      <c r="E10" s="112"/>
    </row>
    <row r="11" spans="1:7">
      <c r="A11" s="112"/>
      <c r="B11" s="113" t="s">
        <v>76</v>
      </c>
      <c r="C11" s="116">
        <v>2035</v>
      </c>
      <c r="D11" s="116">
        <v>2500</v>
      </c>
      <c r="E11" s="112"/>
    </row>
    <row r="12" spans="1:7">
      <c r="A12" s="112"/>
      <c r="B12" s="113" t="s">
        <v>77</v>
      </c>
      <c r="C12" s="116">
        <v>3135</v>
      </c>
      <c r="D12" s="116">
        <v>2500</v>
      </c>
      <c r="E12" s="112"/>
    </row>
    <row r="13" spans="1:7">
      <c r="A13" s="112"/>
      <c r="B13" s="113" t="s">
        <v>78</v>
      </c>
      <c r="C13" s="116">
        <v>3850</v>
      </c>
      <c r="D13" s="116">
        <v>4000</v>
      </c>
      <c r="E13" s="112"/>
    </row>
    <row r="14" spans="1:7">
      <c r="A14" s="112"/>
      <c r="B14" s="113" t="s">
        <v>79</v>
      </c>
      <c r="C14" s="116">
        <v>1549</v>
      </c>
      <c r="D14" s="116"/>
      <c r="E14" s="112"/>
    </row>
    <row r="15" spans="1:7">
      <c r="A15" s="112"/>
      <c r="B15" s="113" t="s">
        <v>80</v>
      </c>
      <c r="C15" s="116">
        <v>2188</v>
      </c>
      <c r="D15" s="116"/>
      <c r="E15" s="112"/>
    </row>
    <row r="16" spans="1:7">
      <c r="A16" s="112"/>
      <c r="B16" s="113" t="s">
        <v>81</v>
      </c>
      <c r="C16" s="116">
        <v>3500</v>
      </c>
      <c r="D16" s="116"/>
      <c r="E16" s="112"/>
    </row>
    <row r="17" spans="1:5">
      <c r="A17" s="112"/>
      <c r="B17" s="113" t="s">
        <v>82</v>
      </c>
      <c r="C17" s="116">
        <v>3989</v>
      </c>
      <c r="D17" s="116"/>
      <c r="E17" s="112"/>
    </row>
    <row r="18" spans="1:5">
      <c r="A18" s="112"/>
      <c r="B18" s="113" t="s">
        <v>83</v>
      </c>
      <c r="C18" s="116">
        <v>4199</v>
      </c>
      <c r="D18" s="116"/>
      <c r="E18" s="112"/>
    </row>
    <row r="19" spans="1:5">
      <c r="A19" s="112"/>
      <c r="B19" s="113" t="s">
        <v>84</v>
      </c>
      <c r="C19" s="119"/>
      <c r="D19" s="116"/>
      <c r="E19" s="112"/>
    </row>
    <row r="20" spans="1:5">
      <c r="A20" s="112"/>
      <c r="B20" s="112"/>
      <c r="C20" s="112"/>
      <c r="D20" s="112"/>
      <c r="E20" s="112"/>
    </row>
    <row r="21" spans="1:5">
      <c r="A21" s="112"/>
      <c r="B21" s="113" t="s">
        <v>85</v>
      </c>
      <c r="C21" s="113" t="s">
        <v>86</v>
      </c>
      <c r="D21" s="113" t="s">
        <v>68</v>
      </c>
      <c r="E21" s="112"/>
    </row>
    <row r="22" spans="1:5">
      <c r="A22" s="112"/>
      <c r="B22" s="113" t="s">
        <v>87</v>
      </c>
      <c r="C22" s="115">
        <v>150.63999999999999</v>
      </c>
      <c r="D22" s="115">
        <v>0</v>
      </c>
      <c r="E22" s="112"/>
    </row>
    <row r="23" spans="1:5">
      <c r="A23" s="112"/>
      <c r="B23" s="112"/>
      <c r="C23" s="112"/>
      <c r="D23" s="112"/>
      <c r="E23" s="112"/>
    </row>
    <row r="24" spans="1:5">
      <c r="A24" s="112"/>
      <c r="B24" s="113"/>
      <c r="C24" s="115"/>
      <c r="D24" s="116"/>
      <c r="E24" s="112"/>
    </row>
    <row r="25" spans="1:5">
      <c r="A25" s="112"/>
      <c r="B25" s="112"/>
      <c r="C25" s="115"/>
      <c r="D25" s="116"/>
      <c r="E25" s="112"/>
    </row>
    <row r="26" spans="1:5">
      <c r="A26" s="112"/>
      <c r="B26" s="113" t="s">
        <v>88</v>
      </c>
      <c r="C26" s="115" t="s">
        <v>89</v>
      </c>
      <c r="D26" s="116" t="s">
        <v>68</v>
      </c>
      <c r="E26" s="112"/>
    </row>
    <row r="27" spans="1:5">
      <c r="A27" s="112"/>
      <c r="B27" s="113" t="s">
        <v>90</v>
      </c>
      <c r="C27" s="115">
        <v>2605.9</v>
      </c>
      <c r="D27" s="116">
        <v>0</v>
      </c>
      <c r="E27" s="112">
        <v>1759</v>
      </c>
    </row>
    <row r="28" spans="1:5">
      <c r="A28" s="112"/>
      <c r="B28" s="113" t="s">
        <v>91</v>
      </c>
      <c r="C28" s="115">
        <f>SUM(C27*2)</f>
        <v>5211.8</v>
      </c>
      <c r="D28" s="116">
        <v>0</v>
      </c>
      <c r="E28" s="112">
        <v>1759</v>
      </c>
    </row>
    <row r="29" spans="1:5">
      <c r="A29" s="112"/>
      <c r="B29" s="113" t="s">
        <v>92</v>
      </c>
      <c r="C29" s="115">
        <f>SUM(C27*3)</f>
        <v>7817.7000000000007</v>
      </c>
      <c r="D29" s="116">
        <v>0</v>
      </c>
      <c r="E29" s="112">
        <v>1759</v>
      </c>
    </row>
    <row r="30" spans="1:5">
      <c r="A30" s="112"/>
      <c r="B30" s="113" t="s">
        <v>93</v>
      </c>
      <c r="C30" s="115">
        <f>SUM(C27*4)</f>
        <v>10423.6</v>
      </c>
      <c r="D30" s="116">
        <v>0</v>
      </c>
      <c r="E30" s="112">
        <v>1759</v>
      </c>
    </row>
    <row r="31" spans="1:5">
      <c r="A31" s="112"/>
      <c r="B31" s="113" t="s">
        <v>94</v>
      </c>
      <c r="C31" s="115">
        <f>SUM(C27*5)</f>
        <v>13029.5</v>
      </c>
      <c r="D31" s="116">
        <v>1</v>
      </c>
      <c r="E31" s="112">
        <v>1759</v>
      </c>
    </row>
    <row r="32" spans="1:5">
      <c r="A32" s="112"/>
      <c r="B32" s="113" t="s">
        <v>95</v>
      </c>
      <c r="C32" s="115">
        <f>SUM(C27*6)</f>
        <v>15635.400000000001</v>
      </c>
      <c r="D32" s="116">
        <v>2</v>
      </c>
      <c r="E32" s="112">
        <v>1759</v>
      </c>
    </row>
    <row r="33" spans="1:11">
      <c r="A33" s="112"/>
      <c r="B33" s="113" t="s">
        <v>96</v>
      </c>
      <c r="C33" s="115">
        <v>6871</v>
      </c>
      <c r="D33" s="116">
        <v>0</v>
      </c>
      <c r="E33" s="112"/>
    </row>
    <row r="34" spans="1:11">
      <c r="A34" s="112"/>
      <c r="B34" s="113" t="s">
        <v>97</v>
      </c>
      <c r="C34" s="115">
        <f>SUM(C33+E27)</f>
        <v>8630</v>
      </c>
      <c r="D34" s="116">
        <v>0</v>
      </c>
      <c r="E34" s="112"/>
      <c r="F34" s="120" t="s">
        <v>98</v>
      </c>
      <c r="G34" s="121">
        <v>1.0660000000000001</v>
      </c>
      <c r="I34" s="118" t="s">
        <v>99</v>
      </c>
      <c r="J34" s="118">
        <v>39</v>
      </c>
    </row>
    <row r="35" spans="1:11">
      <c r="A35" s="112"/>
      <c r="B35" s="113" t="s">
        <v>100</v>
      </c>
      <c r="C35" s="115">
        <f>SUM(C34+E28)</f>
        <v>10389</v>
      </c>
      <c r="D35" s="116">
        <v>0</v>
      </c>
      <c r="E35" s="112"/>
      <c r="F35" s="120" t="s">
        <v>101</v>
      </c>
      <c r="G35" s="121">
        <v>1.0660000000000001</v>
      </c>
    </row>
    <row r="36" spans="1:11">
      <c r="A36" s="112"/>
      <c r="B36" s="113" t="s">
        <v>102</v>
      </c>
      <c r="C36" s="115">
        <f>SUM(C35+E29)</f>
        <v>12148</v>
      </c>
      <c r="D36" s="116">
        <v>0</v>
      </c>
      <c r="E36" s="112"/>
      <c r="F36" s="120" t="s">
        <v>103</v>
      </c>
      <c r="G36" s="121">
        <v>0.96199999999999997</v>
      </c>
      <c r="I36" s="118">
        <v>6.66</v>
      </c>
      <c r="J36" s="118">
        <v>500</v>
      </c>
      <c r="K36" s="122">
        <f>(J36/I36)/100</f>
        <v>0.75075075075075082</v>
      </c>
    </row>
    <row r="37" spans="1:11">
      <c r="A37" s="112"/>
      <c r="B37" s="113" t="s">
        <v>104</v>
      </c>
      <c r="C37" s="115">
        <f>SUM(C36+E30)</f>
        <v>13907</v>
      </c>
      <c r="D37" s="116">
        <v>0</v>
      </c>
      <c r="E37" s="112"/>
      <c r="F37" s="120" t="s">
        <v>105</v>
      </c>
      <c r="G37" s="121">
        <v>0.82699999999999996</v>
      </c>
    </row>
    <row r="38" spans="1:11">
      <c r="A38" s="112"/>
      <c r="B38" s="113" t="s">
        <v>106</v>
      </c>
      <c r="C38" s="115">
        <f>SUM(C37+E31)</f>
        <v>15666</v>
      </c>
      <c r="D38" s="116">
        <v>0</v>
      </c>
      <c r="E38" s="112"/>
    </row>
    <row r="39" spans="1:11">
      <c r="A39" s="112"/>
      <c r="B39" s="113" t="s">
        <v>84</v>
      </c>
      <c r="C39" s="119"/>
      <c r="D39" s="116"/>
      <c r="E39" s="112"/>
    </row>
    <row r="40" spans="1:11">
      <c r="A40" s="112"/>
      <c r="B40" s="113"/>
      <c r="C40" s="119"/>
      <c r="D40" s="116"/>
      <c r="E40" s="112"/>
    </row>
    <row r="41" spans="1:11">
      <c r="A41" s="112"/>
      <c r="B41" s="112"/>
      <c r="C41" s="112"/>
      <c r="D41" s="116"/>
      <c r="E41" s="112"/>
    </row>
    <row r="42" spans="1:11">
      <c r="A42" s="112"/>
      <c r="B42" s="113" t="s">
        <v>107</v>
      </c>
      <c r="C42" s="113" t="s">
        <v>89</v>
      </c>
      <c r="D42" s="113" t="s">
        <v>68</v>
      </c>
      <c r="E42" s="112"/>
    </row>
    <row r="43" spans="1:11">
      <c r="A43" s="112"/>
      <c r="B43" s="113" t="s">
        <v>108</v>
      </c>
      <c r="C43" s="115">
        <v>89</v>
      </c>
      <c r="D43" s="115">
        <v>10</v>
      </c>
      <c r="E43" s="112"/>
    </row>
    <row r="44" spans="1:11">
      <c r="A44" s="112"/>
      <c r="B44" s="113" t="s">
        <v>109</v>
      </c>
      <c r="C44" s="115">
        <v>35</v>
      </c>
      <c r="D44" s="115">
        <v>10</v>
      </c>
      <c r="E44" s="112"/>
    </row>
    <row r="45" spans="1:11">
      <c r="A45" s="112"/>
      <c r="B45" s="113" t="s">
        <v>110</v>
      </c>
      <c r="C45" s="115">
        <v>250</v>
      </c>
      <c r="D45" s="115">
        <v>0</v>
      </c>
      <c r="E45" s="112"/>
    </row>
    <row r="46" spans="1:11">
      <c r="A46" s="112"/>
      <c r="B46" s="113" t="s">
        <v>111</v>
      </c>
      <c r="C46" s="115">
        <v>250</v>
      </c>
      <c r="D46" s="115">
        <v>0</v>
      </c>
      <c r="E46" s="112"/>
    </row>
    <row r="47" spans="1:11">
      <c r="A47" s="112"/>
      <c r="B47" s="113" t="s">
        <v>112</v>
      </c>
      <c r="C47" s="115">
        <v>250</v>
      </c>
      <c r="D47" s="115">
        <v>0</v>
      </c>
      <c r="E47" s="112"/>
    </row>
    <row r="48" spans="1:11">
      <c r="A48" s="112"/>
      <c r="B48" s="113" t="s">
        <v>113</v>
      </c>
      <c r="C48" s="115">
        <v>1000</v>
      </c>
      <c r="D48" s="115">
        <v>0</v>
      </c>
      <c r="E48" s="112"/>
    </row>
    <row r="49" spans="1:5">
      <c r="A49" s="112"/>
      <c r="B49" s="113" t="s">
        <v>84</v>
      </c>
      <c r="C49" s="115">
        <v>0</v>
      </c>
      <c r="D49" s="115">
        <v>0</v>
      </c>
      <c r="E49" s="112"/>
    </row>
    <row r="50" spans="1:5">
      <c r="A50" s="112"/>
      <c r="B50" s="112"/>
      <c r="C50" s="112"/>
      <c r="D50" s="112"/>
      <c r="E50" s="112"/>
    </row>
    <row r="51" spans="1:5">
      <c r="A51" s="112"/>
      <c r="B51" s="112"/>
      <c r="C51" s="112"/>
      <c r="D51" s="112"/>
      <c r="E51" s="1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260-2AC1-42FA-845E-81EE381CF35D}">
  <dimension ref="A1:AZ33"/>
  <sheetViews>
    <sheetView topLeftCell="B1" zoomScaleNormal="100" workbookViewId="0">
      <selection activeCell="AI29" sqref="AI29"/>
    </sheetView>
  </sheetViews>
  <sheetFormatPr defaultColWidth="9" defaultRowHeight="15"/>
  <cols>
    <col min="1" max="1" width="12" style="137" hidden="1" customWidth="1"/>
    <col min="2" max="2" width="12" style="137" bestFit="1" customWidth="1"/>
    <col min="3" max="3" width="8" style="53" customWidth="1"/>
    <col min="4" max="4" width="28.42578125" style="53" hidden="1" customWidth="1"/>
    <col min="5" max="5" width="36" style="53" hidden="1" customWidth="1"/>
    <col min="6" max="6" width="8.7109375" style="53" hidden="1" customWidth="1"/>
    <col min="7" max="7" width="10.7109375" style="53" hidden="1" customWidth="1"/>
    <col min="8" max="8" width="8.7109375" style="53" hidden="1" customWidth="1"/>
    <col min="9" max="9" width="9.28515625" style="53" hidden="1" customWidth="1"/>
    <col min="10" max="10" width="6.28515625" style="53" hidden="1" customWidth="1"/>
    <col min="11" max="12" width="11.7109375" style="53" hidden="1" customWidth="1"/>
    <col min="13" max="13" width="21.85546875" style="53" hidden="1" customWidth="1"/>
    <col min="14" max="14" width="7.28515625" style="53" hidden="1" customWidth="1"/>
    <col min="15" max="16" width="11.7109375" style="53" hidden="1" customWidth="1"/>
    <col min="17" max="17" width="24.140625" style="53" hidden="1" customWidth="1"/>
    <col min="18" max="18" width="5.7109375" style="53" hidden="1" customWidth="1"/>
    <col min="19" max="21" width="11.28515625" style="53" hidden="1" customWidth="1"/>
    <col min="22" max="22" width="9.5703125" style="53" hidden="1" customWidth="1"/>
    <col min="23" max="23" width="9.7109375" style="53" hidden="1" customWidth="1"/>
    <col min="24" max="24" width="10.7109375" style="53" hidden="1" customWidth="1"/>
    <col min="25" max="25" width="11.7109375" style="53" bestFit="1" customWidth="1"/>
    <col min="26" max="26" width="21.7109375" style="53" hidden="1" customWidth="1"/>
    <col min="27" max="27" width="14.140625" style="53" hidden="1" customWidth="1"/>
    <col min="28" max="29" width="18" style="53" hidden="1" customWidth="1"/>
    <col min="30" max="31" width="12.28515625" style="53" hidden="1" customWidth="1"/>
    <col min="32" max="32" width="11.7109375" style="53" bestFit="1" customWidth="1"/>
    <col min="33" max="33" width="11.7109375" style="53" customWidth="1"/>
    <col min="34" max="37" width="9" style="53"/>
    <col min="38" max="38" width="15.7109375" style="53" bestFit="1" customWidth="1"/>
    <col min="39" max="39" width="16.7109375" style="53" bestFit="1" customWidth="1"/>
    <col min="40" max="16384" width="9" style="53"/>
  </cols>
  <sheetData>
    <row r="1" spans="1:52" ht="23.1" customHeight="1" thickBot="1">
      <c r="A1" s="123" t="s">
        <v>134</v>
      </c>
      <c r="B1" s="124" t="s">
        <v>114</v>
      </c>
      <c r="C1" s="125" t="s">
        <v>115</v>
      </c>
      <c r="D1" s="125" t="s">
        <v>116</v>
      </c>
      <c r="E1" s="125" t="s">
        <v>117</v>
      </c>
      <c r="F1" s="125" t="s">
        <v>118</v>
      </c>
      <c r="G1" s="125" t="s">
        <v>89</v>
      </c>
      <c r="H1" s="125" t="s">
        <v>68</v>
      </c>
      <c r="I1" s="125" t="s">
        <v>119</v>
      </c>
      <c r="J1" s="125"/>
      <c r="K1" s="125" t="s">
        <v>89</v>
      </c>
      <c r="L1" s="125" t="s">
        <v>68</v>
      </c>
      <c r="M1" s="125" t="s">
        <v>120</v>
      </c>
      <c r="N1" s="125" t="s">
        <v>118</v>
      </c>
      <c r="O1" s="125" t="s">
        <v>89</v>
      </c>
      <c r="P1" s="125" t="s">
        <v>68</v>
      </c>
      <c r="Q1" s="125" t="s">
        <v>121</v>
      </c>
      <c r="R1" s="125" t="s">
        <v>118</v>
      </c>
      <c r="S1" s="125" t="s">
        <v>89</v>
      </c>
      <c r="T1" s="125"/>
      <c r="U1" s="125" t="s">
        <v>89</v>
      </c>
      <c r="V1" s="125" t="s">
        <v>122</v>
      </c>
      <c r="W1" s="125" t="s">
        <v>68</v>
      </c>
      <c r="X1" s="125" t="s">
        <v>123</v>
      </c>
      <c r="Y1" s="125" t="s">
        <v>124</v>
      </c>
      <c r="Z1" s="126" t="s">
        <v>125</v>
      </c>
      <c r="AA1" s="127" t="s">
        <v>126</v>
      </c>
      <c r="AB1" s="127" t="s">
        <v>127</v>
      </c>
      <c r="AC1" s="127" t="s">
        <v>128</v>
      </c>
      <c r="AD1" s="127" t="s">
        <v>129</v>
      </c>
      <c r="AE1" s="127" t="s">
        <v>130</v>
      </c>
    </row>
    <row r="2" spans="1:52">
      <c r="A2" s="128"/>
      <c r="B2" s="129" t="s">
        <v>103</v>
      </c>
      <c r="C2" s="130">
        <v>6.6</v>
      </c>
      <c r="D2" s="130" t="s">
        <v>131</v>
      </c>
      <c r="E2" s="130" t="s">
        <v>76</v>
      </c>
      <c r="F2" s="130">
        <v>1</v>
      </c>
      <c r="G2" s="122" t="e">
        <f ca="1">(_xlfn.XLOOKUP(E2,[1]Data!$B$3:$B$19,[1]Data!$C$3:$C$19,0)*F2)</f>
        <v>#NAME?</v>
      </c>
      <c r="H2" s="122"/>
      <c r="I2" s="131" t="s">
        <v>87</v>
      </c>
      <c r="J2" s="132">
        <v>26</v>
      </c>
      <c r="K2" s="122" t="e" cm="1">
        <f t="array" aca="1" ref="K2:L2" ca="1">(_xlfn.XLOOKUP(I2,[1]Data!$B$22:$B$22,[1]Data!$C$22:$D$22,0))*J2</f>
        <v>#NAME?</v>
      </c>
      <c r="L2" s="122" t="e">
        <f ca="1"/>
        <v>#NAME?</v>
      </c>
      <c r="M2" s="131" t="s">
        <v>96</v>
      </c>
      <c r="N2" s="132">
        <v>1</v>
      </c>
      <c r="O2" s="122" t="e" cm="1">
        <f t="array" aca="1" ref="O2:P2" ca="1">(_xlfn.XLOOKUP(M2,[1]Data!$B$27:$B$39,[1]Data!$C$27:$D$39,0)*N2)</f>
        <v>#NAME?</v>
      </c>
      <c r="P2" s="122" t="e">
        <f ca="1"/>
        <v>#NAME?</v>
      </c>
      <c r="Q2" s="131"/>
      <c r="R2" s="132"/>
      <c r="S2" s="122" t="e" cm="1">
        <f t="array" aca="1" ref="S2" ca="1">(_xlfn.XLOOKUP(Q2,[1]Data!$B$43:$B$47,[1]Data!$C$43:$D$47,0))*R2</f>
        <v>#NAME?</v>
      </c>
      <c r="T2" s="122"/>
      <c r="U2" s="122" t="e">
        <f ca="1">SUM(S2:T2)</f>
        <v>#NAME?</v>
      </c>
      <c r="V2" s="122">
        <f>(C2*[1]Data!$K$36)*100</f>
        <v>495.4954954954955</v>
      </c>
      <c r="W2" s="131">
        <v>4000</v>
      </c>
      <c r="X2" s="122" t="e">
        <f ca="1">SUM(G2,K2,O2,U2,V2,W2)</f>
        <v>#NAME?</v>
      </c>
      <c r="Y2" s="133" t="e">
        <f ca="1">(C2*(((_xlfn.XLOOKUP(B2,[1]Data!$F$34:$F$37,[1]Data!$G$34:$G$37)))*10)*[1]Data!$J$34)</f>
        <v>#NAME?</v>
      </c>
      <c r="Z2" s="134">
        <v>0</v>
      </c>
      <c r="AA2" s="135" t="e">
        <f ca="1">((Z2+Y2)-X2)</f>
        <v>#NAME?</v>
      </c>
      <c r="AB2" s="136" t="e">
        <f>SUM(#REF!/5/13)+8.6</f>
        <v>#REF!</v>
      </c>
      <c r="AC2" s="136" t="e">
        <f>SUM(AB2*2)</f>
        <v>#REF!</v>
      </c>
      <c r="AD2" s="136" t="e">
        <f>SUM(AB2*60)</f>
        <v>#REF!</v>
      </c>
      <c r="AE2" s="136" t="e">
        <f>SUM(AD2*2)</f>
        <v>#REF!</v>
      </c>
    </row>
    <row r="3" spans="1:52">
      <c r="G3" s="136"/>
      <c r="H3" s="136"/>
      <c r="I3" s="136"/>
      <c r="J3" s="100"/>
      <c r="K3" s="136"/>
      <c r="L3" s="136"/>
      <c r="M3" s="136"/>
      <c r="N3" s="100"/>
      <c r="O3" s="136"/>
      <c r="P3" s="136"/>
      <c r="Q3" s="136"/>
      <c r="R3" s="100"/>
      <c r="S3" s="136"/>
      <c r="T3" s="136"/>
      <c r="U3" s="136"/>
      <c r="V3" s="136"/>
      <c r="W3" s="136"/>
      <c r="X3" s="136"/>
      <c r="Y3" s="138"/>
      <c r="Z3" s="138"/>
      <c r="AA3" s="136"/>
      <c r="AB3" s="136"/>
      <c r="AC3" s="136"/>
      <c r="AD3" s="136"/>
      <c r="AE3" s="136"/>
    </row>
    <row r="4" spans="1:52">
      <c r="G4" s="136"/>
      <c r="H4" s="136"/>
      <c r="I4" s="136"/>
      <c r="J4" s="100"/>
      <c r="K4" s="136"/>
      <c r="L4" s="136"/>
      <c r="M4" s="136"/>
      <c r="N4" s="100"/>
      <c r="O4" s="136"/>
      <c r="P4" s="136"/>
      <c r="Q4" s="136"/>
      <c r="R4" s="100"/>
      <c r="S4" s="136"/>
      <c r="T4" s="136"/>
      <c r="U4" s="136"/>
      <c r="V4" s="136"/>
      <c r="W4" s="136"/>
      <c r="X4" s="136"/>
      <c r="Y4" s="138"/>
      <c r="Z4" s="138"/>
      <c r="AA4" s="136"/>
      <c r="AB4" s="136"/>
      <c r="AC4" s="136"/>
      <c r="AD4" s="136"/>
    </row>
    <row r="5" spans="1:52">
      <c r="G5" s="136"/>
      <c r="H5" s="136"/>
      <c r="I5" s="136"/>
      <c r="J5" s="100"/>
      <c r="K5" s="136"/>
      <c r="L5" s="136"/>
      <c r="M5" s="136"/>
      <c r="N5" s="100"/>
      <c r="O5" s="136"/>
      <c r="P5" s="136"/>
      <c r="Q5" s="136"/>
      <c r="R5" s="100"/>
      <c r="S5" s="136"/>
      <c r="T5" s="136"/>
      <c r="U5" s="136"/>
      <c r="V5" s="136"/>
      <c r="W5" s="136"/>
      <c r="X5" s="136"/>
      <c r="Y5" s="138"/>
      <c r="Z5" s="138"/>
      <c r="AA5" s="136"/>
      <c r="AB5" s="136"/>
      <c r="AC5" s="136"/>
      <c r="AD5" s="136"/>
    </row>
    <row r="6" spans="1:52" s="139" customFormat="1">
      <c r="A6" s="137"/>
      <c r="B6" s="137"/>
      <c r="C6" s="53"/>
      <c r="D6" s="53"/>
      <c r="E6" s="53"/>
      <c r="F6" s="53"/>
      <c r="G6" s="136"/>
      <c r="H6" s="136"/>
      <c r="I6" s="136"/>
      <c r="J6" s="100"/>
      <c r="K6" s="136"/>
      <c r="L6" s="136"/>
      <c r="M6" s="136"/>
      <c r="N6" s="100"/>
      <c r="O6" s="136"/>
      <c r="P6" s="136"/>
      <c r="Q6" s="136"/>
      <c r="R6" s="100"/>
      <c r="S6" s="136"/>
      <c r="T6" s="136"/>
      <c r="U6" s="136"/>
      <c r="V6" s="136"/>
      <c r="W6" s="136"/>
      <c r="X6" s="136"/>
      <c r="Y6" s="138"/>
      <c r="Z6" s="138"/>
      <c r="AA6" s="136"/>
      <c r="AB6" s="136"/>
      <c r="AC6" s="136"/>
      <c r="AD6" s="136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</row>
    <row r="7" spans="1:52">
      <c r="G7" s="136"/>
      <c r="H7" s="136"/>
      <c r="I7" s="136"/>
      <c r="J7" s="100"/>
      <c r="K7" s="136"/>
      <c r="L7" s="136"/>
      <c r="M7" s="136"/>
      <c r="N7" s="100"/>
      <c r="O7" s="136"/>
      <c r="P7" s="136"/>
      <c r="Q7" s="136"/>
      <c r="R7" s="100"/>
      <c r="S7" s="136"/>
      <c r="T7" s="136"/>
      <c r="U7" s="136"/>
      <c r="V7" s="136"/>
      <c r="W7" s="136"/>
      <c r="X7" s="136"/>
      <c r="Y7" s="138"/>
      <c r="Z7" s="138"/>
      <c r="AA7" s="136"/>
      <c r="AB7" s="136"/>
      <c r="AC7" s="136"/>
      <c r="AD7" s="136"/>
    </row>
    <row r="8" spans="1:52">
      <c r="G8" s="136"/>
      <c r="H8" s="136"/>
      <c r="I8" s="136"/>
      <c r="J8" s="100"/>
      <c r="K8" s="136"/>
      <c r="L8" s="136"/>
      <c r="M8" s="136"/>
      <c r="N8" s="100"/>
      <c r="O8" s="136"/>
      <c r="P8" s="136"/>
      <c r="Q8" s="136"/>
      <c r="R8" s="100"/>
      <c r="S8" s="136"/>
      <c r="T8" s="136"/>
      <c r="U8" s="136"/>
      <c r="V8" s="136"/>
      <c r="W8" s="136"/>
      <c r="X8" s="136"/>
      <c r="Y8" s="138"/>
      <c r="Z8" s="140"/>
      <c r="AA8" s="136"/>
      <c r="AB8" s="136"/>
      <c r="AC8" s="136"/>
      <c r="AD8" s="136"/>
    </row>
    <row r="9" spans="1:52">
      <c r="G9" s="136"/>
      <c r="H9" s="136"/>
      <c r="I9" s="136"/>
      <c r="J9" s="100"/>
      <c r="K9" s="136"/>
      <c r="L9" s="136"/>
      <c r="M9" s="136"/>
      <c r="N9" s="100"/>
      <c r="O9" s="136"/>
      <c r="P9" s="136"/>
      <c r="Q9" s="136"/>
      <c r="R9" s="100"/>
      <c r="S9" s="136"/>
      <c r="T9" s="136"/>
      <c r="U9" s="136"/>
      <c r="V9" s="136"/>
      <c r="W9" s="136"/>
      <c r="X9" s="136"/>
      <c r="Y9" s="138"/>
      <c r="Z9" s="140"/>
      <c r="AA9" s="136"/>
      <c r="AB9" s="136"/>
      <c r="AC9" s="136"/>
      <c r="AD9" s="136"/>
    </row>
    <row r="10" spans="1:52">
      <c r="G10" s="136"/>
      <c r="H10" s="136"/>
      <c r="I10" s="136"/>
      <c r="J10" s="100"/>
      <c r="K10" s="136"/>
      <c r="L10" s="136"/>
      <c r="M10" s="136"/>
      <c r="N10" s="100"/>
      <c r="O10" s="136"/>
      <c r="P10" s="136"/>
      <c r="Q10" s="136"/>
      <c r="R10" s="100"/>
      <c r="S10" s="136"/>
      <c r="T10" s="136"/>
      <c r="U10" s="136"/>
      <c r="V10" s="136"/>
      <c r="W10" s="136"/>
      <c r="X10" s="136"/>
      <c r="Y10" s="138"/>
      <c r="Z10" s="140"/>
      <c r="AA10" s="136"/>
      <c r="AB10" s="136"/>
      <c r="AC10" s="136"/>
      <c r="AD10" s="136"/>
    </row>
    <row r="11" spans="1:52">
      <c r="G11" s="136"/>
      <c r="H11" s="136"/>
      <c r="I11" s="136"/>
      <c r="J11" s="100"/>
      <c r="K11" s="136"/>
      <c r="L11" s="136"/>
      <c r="M11" s="136"/>
      <c r="N11" s="100"/>
      <c r="O11" s="136"/>
      <c r="P11" s="136"/>
      <c r="Q11" s="136"/>
      <c r="R11" s="100"/>
      <c r="S11" s="136"/>
      <c r="T11" s="136"/>
      <c r="U11" s="136"/>
      <c r="V11" s="136"/>
      <c r="W11" s="136"/>
      <c r="X11" s="136"/>
      <c r="Y11" s="138"/>
      <c r="Z11" s="140"/>
      <c r="AA11" s="136"/>
      <c r="AB11" s="136"/>
      <c r="AC11" s="136"/>
      <c r="AD11" s="136"/>
    </row>
    <row r="12" spans="1:52">
      <c r="G12" s="136"/>
      <c r="H12" s="136"/>
      <c r="I12" s="136"/>
      <c r="J12" s="100"/>
      <c r="K12" s="136"/>
      <c r="L12" s="136"/>
      <c r="M12" s="136"/>
      <c r="N12" s="100"/>
      <c r="O12" s="136"/>
      <c r="P12" s="136"/>
      <c r="Q12" s="136"/>
      <c r="R12" s="100"/>
      <c r="S12" s="136"/>
      <c r="T12" s="136"/>
      <c r="U12" s="136"/>
      <c r="V12" s="136"/>
      <c r="W12" s="136"/>
      <c r="X12" s="136"/>
      <c r="Y12" s="138"/>
      <c r="Z12" s="140"/>
      <c r="AA12" s="136"/>
      <c r="AB12" s="136"/>
      <c r="AC12" s="136"/>
      <c r="AD12" s="136"/>
    </row>
    <row r="13" spans="1:52">
      <c r="G13" s="136"/>
      <c r="H13" s="136"/>
      <c r="I13" s="136"/>
      <c r="J13" s="100"/>
      <c r="K13" s="136"/>
      <c r="L13" s="136"/>
      <c r="M13" s="136"/>
      <c r="N13" s="100"/>
      <c r="O13" s="136"/>
      <c r="P13" s="136"/>
      <c r="Q13" s="136"/>
      <c r="R13" s="100"/>
      <c r="S13" s="136"/>
      <c r="T13" s="136"/>
      <c r="U13" s="136"/>
      <c r="V13" s="136"/>
      <c r="W13" s="136"/>
      <c r="X13" s="136"/>
      <c r="Y13" s="138"/>
      <c r="Z13" s="140"/>
      <c r="AA13" s="136"/>
      <c r="AB13" s="136"/>
      <c r="AC13" s="136"/>
      <c r="AD13" s="136"/>
    </row>
    <row r="14" spans="1:52">
      <c r="G14" s="136"/>
      <c r="H14" s="136"/>
      <c r="I14" s="136"/>
      <c r="J14" s="100"/>
      <c r="K14" s="136"/>
      <c r="L14" s="136"/>
      <c r="M14" s="136"/>
      <c r="N14" s="100"/>
      <c r="O14" s="136"/>
      <c r="P14" s="136"/>
      <c r="Q14" s="136"/>
      <c r="R14" s="100"/>
      <c r="S14" s="136"/>
      <c r="T14" s="136"/>
      <c r="U14" s="136"/>
      <c r="V14" s="136"/>
      <c r="W14" s="136"/>
      <c r="X14" s="136"/>
      <c r="Y14" s="138"/>
      <c r="Z14" s="140"/>
      <c r="AA14" s="136"/>
      <c r="AB14" s="136"/>
      <c r="AC14" s="136"/>
      <c r="AD14" s="136"/>
    </row>
    <row r="15" spans="1:52">
      <c r="G15" s="136"/>
      <c r="H15" s="136"/>
      <c r="I15" s="136"/>
      <c r="J15" s="100"/>
      <c r="K15" s="136"/>
      <c r="L15" s="136"/>
      <c r="M15" s="136"/>
      <c r="N15" s="100"/>
      <c r="O15" s="136"/>
      <c r="P15" s="136"/>
      <c r="Q15" s="136"/>
      <c r="R15" s="100"/>
      <c r="S15" s="136"/>
      <c r="T15" s="136"/>
      <c r="U15" s="136"/>
      <c r="V15" s="136"/>
      <c r="W15" s="136"/>
      <c r="X15" s="136"/>
      <c r="Y15" s="138"/>
      <c r="Z15" s="140"/>
      <c r="AA15" s="136"/>
      <c r="AB15" s="136"/>
      <c r="AC15" s="136"/>
      <c r="AD15" s="136"/>
    </row>
    <row r="16" spans="1:52">
      <c r="G16" s="136"/>
      <c r="H16" s="136"/>
      <c r="I16" s="136"/>
      <c r="J16" s="100"/>
      <c r="K16" s="136"/>
      <c r="L16" s="136"/>
      <c r="M16" s="136"/>
      <c r="N16" s="100"/>
      <c r="O16" s="136"/>
      <c r="P16" s="136"/>
      <c r="Q16" s="136"/>
      <c r="R16" s="100"/>
      <c r="S16" s="136"/>
      <c r="T16" s="136"/>
      <c r="U16" s="136"/>
      <c r="V16" s="136"/>
      <c r="W16" s="136"/>
      <c r="X16" s="136"/>
      <c r="Y16" s="138"/>
      <c r="Z16" s="140"/>
      <c r="AA16" s="136"/>
      <c r="AB16" s="136"/>
      <c r="AC16" s="136"/>
      <c r="AD16" s="136"/>
    </row>
    <row r="17" spans="1:39">
      <c r="G17" s="136"/>
      <c r="H17" s="136"/>
      <c r="I17" s="136"/>
      <c r="J17" s="100"/>
      <c r="K17" s="136"/>
      <c r="L17" s="136"/>
      <c r="M17" s="136"/>
      <c r="N17" s="100"/>
      <c r="O17" s="136"/>
      <c r="P17" s="136"/>
      <c r="Q17" s="136"/>
      <c r="R17" s="100"/>
      <c r="S17" s="136"/>
      <c r="T17" s="136"/>
      <c r="U17" s="136"/>
      <c r="V17" s="136"/>
      <c r="W17" s="136"/>
      <c r="X17" s="136"/>
      <c r="Y17" s="138"/>
      <c r="Z17" s="140"/>
      <c r="AA17" s="136"/>
      <c r="AB17" s="136"/>
      <c r="AC17" s="136"/>
      <c r="AD17" s="136"/>
      <c r="AF17" s="141"/>
      <c r="AG17" s="142"/>
    </row>
    <row r="18" spans="1:39">
      <c r="G18" s="136"/>
      <c r="H18" s="136"/>
      <c r="I18" s="136"/>
      <c r="J18" s="100"/>
      <c r="K18" s="136"/>
      <c r="L18" s="136"/>
      <c r="M18" s="136"/>
      <c r="N18" s="100"/>
      <c r="O18" s="136"/>
      <c r="P18" s="136"/>
      <c r="Q18" s="136"/>
      <c r="R18" s="100"/>
      <c r="S18" s="136"/>
      <c r="T18" s="136"/>
      <c r="U18" s="136"/>
      <c r="V18" s="136"/>
      <c r="W18" s="136"/>
      <c r="X18" s="136"/>
      <c r="Y18" s="138"/>
      <c r="Z18" s="140"/>
      <c r="AA18" s="136"/>
      <c r="AB18" s="136"/>
      <c r="AC18" s="136"/>
      <c r="AD18" s="136"/>
    </row>
    <row r="19" spans="1:39">
      <c r="A19" s="185"/>
      <c r="B19" s="185"/>
      <c r="C19" s="185"/>
      <c r="D19" s="137"/>
      <c r="E19" s="137"/>
      <c r="F19" s="137"/>
      <c r="G19" s="136"/>
      <c r="H19" s="136"/>
      <c r="I19" s="136"/>
      <c r="J19" s="136"/>
      <c r="K19" s="136"/>
      <c r="L19" s="136"/>
      <c r="M19" s="136"/>
      <c r="N19" s="100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8"/>
      <c r="Z19" s="138"/>
      <c r="AA19" s="136"/>
      <c r="AB19" s="100"/>
      <c r="AC19" s="100"/>
      <c r="AF19" s="141"/>
      <c r="AG19" s="142"/>
    </row>
    <row r="20" spans="1:39">
      <c r="Z20" s="143"/>
      <c r="AD20" s="144"/>
      <c r="AE20" s="144"/>
      <c r="AF20" s="145"/>
      <c r="AG20" s="146"/>
      <c r="AH20" s="142"/>
      <c r="AJ20" s="100"/>
      <c r="AK20" s="100"/>
      <c r="AL20" s="147"/>
      <c r="AM20" s="100"/>
    </row>
    <row r="21" spans="1:39">
      <c r="D21" s="148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48"/>
      <c r="S21" s="148"/>
      <c r="T21" s="148"/>
      <c r="U21" s="148"/>
      <c r="V21" s="148"/>
      <c r="W21" s="186"/>
      <c r="X21" s="186"/>
      <c r="Y21" s="186"/>
      <c r="AC21" s="96"/>
    </row>
    <row r="22" spans="1:39">
      <c r="D22" s="149"/>
      <c r="E22" s="14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49"/>
      <c r="Q22" s="150"/>
      <c r="R22" s="149"/>
      <c r="S22" s="148"/>
      <c r="T22" s="148"/>
      <c r="U22" s="148"/>
      <c r="V22" s="148"/>
      <c r="Z22" s="151"/>
      <c r="AA22" s="136"/>
      <c r="AB22" s="143"/>
      <c r="AC22" s="136"/>
    </row>
    <row r="23" spans="1:39">
      <c r="D23" s="149"/>
      <c r="E23" s="14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49"/>
      <c r="Q23" s="149"/>
      <c r="R23" s="149"/>
      <c r="S23" s="148"/>
      <c r="T23" s="148"/>
      <c r="U23" s="148"/>
      <c r="V23" s="148"/>
      <c r="Z23" s="96"/>
      <c r="AA23" s="136"/>
      <c r="AC23" s="136"/>
    </row>
    <row r="24" spans="1:39">
      <c r="D24" s="149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49"/>
      <c r="Q24" s="149"/>
      <c r="R24" s="149"/>
      <c r="S24" s="148"/>
      <c r="T24" s="148"/>
      <c r="U24" s="148"/>
      <c r="V24" s="148"/>
      <c r="Z24" s="96"/>
      <c r="AA24" s="136"/>
      <c r="AC24" s="136"/>
    </row>
    <row r="25" spans="1:39">
      <c r="D25" s="149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49"/>
      <c r="Q25" s="149"/>
      <c r="R25" s="149"/>
      <c r="S25" s="148"/>
      <c r="T25" s="148"/>
      <c r="U25" s="148"/>
      <c r="V25" s="148"/>
      <c r="Z25" s="96"/>
    </row>
    <row r="26" spans="1:39">
      <c r="D26" s="149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49"/>
      <c r="Q26" s="149"/>
      <c r="R26" s="149"/>
      <c r="S26" s="148"/>
      <c r="T26" s="148"/>
      <c r="U26" s="148"/>
      <c r="V26" s="148"/>
    </row>
    <row r="27" spans="1:39">
      <c r="D27" s="149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49"/>
      <c r="Q27" s="149"/>
      <c r="R27" s="149"/>
      <c r="S27" s="148"/>
      <c r="T27" s="148"/>
      <c r="U27" s="148"/>
      <c r="V27" s="148"/>
    </row>
    <row r="28" spans="1:39">
      <c r="D28" s="149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49"/>
      <c r="Q28" s="149"/>
      <c r="R28" s="149"/>
      <c r="S28" s="148"/>
      <c r="T28" s="148"/>
      <c r="U28" s="148"/>
      <c r="V28" s="148"/>
    </row>
    <row r="29" spans="1:39">
      <c r="D29" s="149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49"/>
      <c r="Q29" s="149"/>
      <c r="R29" s="149"/>
      <c r="S29" s="148"/>
      <c r="T29" s="148"/>
      <c r="U29" s="148"/>
      <c r="V29" s="148"/>
    </row>
    <row r="30" spans="1:39"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</row>
    <row r="31" spans="1:39"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</row>
    <row r="32" spans="1:39"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</row>
    <row r="33" spans="4:22"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</row>
  </sheetData>
  <mergeCells count="2">
    <mergeCell ref="A19:C19"/>
    <mergeCell ref="W21:Y21"/>
  </mergeCells>
  <conditionalFormatting sqref="AA2:AA18">
    <cfRule type="cellIs" dxfId="1" priority="1" operator="lessThan">
      <formula>1</formula>
    </cfRule>
    <cfRule type="cellIs" dxfId="0" priority="2" operator="greaterThan">
      <formula>1</formula>
    </cfRule>
  </conditionalFormatting>
  <dataValidations count="2">
    <dataValidation showInputMessage="1" sqref="R2:R18" xr:uid="{CFF260E7-2C3B-4E03-B790-FA6F52893F2A}"/>
    <dataValidation allowBlank="1" showInputMessage="1" showErrorMessage="1" sqref="F2:F18" xr:uid="{D10F2C2E-7144-4EF3-9278-51CA22453FCD}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B26B-594C-438D-89AC-A2978194555B}">
  <dimension ref="A1:H7"/>
  <sheetViews>
    <sheetView workbookViewId="0">
      <selection activeCell="C7" sqref="C7"/>
    </sheetView>
  </sheetViews>
  <sheetFormatPr defaultColWidth="9" defaultRowHeight="15"/>
  <cols>
    <col min="1" max="3" width="9" style="53"/>
    <col min="4" max="4" width="13.42578125" style="53" bestFit="1" customWidth="1"/>
    <col min="5" max="5" width="13.7109375" style="53" bestFit="1" customWidth="1"/>
    <col min="6" max="6" width="16.5703125" style="53" bestFit="1" customWidth="1"/>
    <col min="7" max="16384" width="9" style="53"/>
  </cols>
  <sheetData>
    <row r="1" spans="1:8">
      <c r="A1" s="53" t="s">
        <v>134</v>
      </c>
    </row>
    <row r="4" spans="1:8">
      <c r="C4" s="186" t="s">
        <v>147</v>
      </c>
      <c r="D4" s="186"/>
      <c r="E4" s="186"/>
      <c r="F4" s="186"/>
      <c r="G4" s="186"/>
    </row>
    <row r="5" spans="1:8">
      <c r="C5" s="53" t="s">
        <v>132</v>
      </c>
      <c r="D5" s="53" t="s">
        <v>133</v>
      </c>
      <c r="E5" s="53" t="s">
        <v>145</v>
      </c>
      <c r="F5" s="53" t="s">
        <v>146</v>
      </c>
      <c r="G5" s="53" t="s">
        <v>148</v>
      </c>
      <c r="H5"/>
    </row>
    <row r="6" spans="1:8">
      <c r="C6" s="136">
        <v>500</v>
      </c>
      <c r="D6" s="155">
        <f>'[2]Savings compund calc'!C15</f>
        <v>36443.018127265379</v>
      </c>
      <c r="E6" s="154">
        <f>'[2]STC calcs'!Y2</f>
        <v>4352.0879999999997</v>
      </c>
      <c r="F6" s="153">
        <f>'[2]Full Calculator'!D23</f>
        <v>40.384795347098347</v>
      </c>
      <c r="G6" s="156">
        <f>'Full Calculator'!H22</f>
        <v>2.1585871380044908</v>
      </c>
    </row>
    <row r="7" spans="1:8">
      <c r="D7" s="152"/>
    </row>
  </sheetData>
  <mergeCells count="1">
    <mergeCell ref="C4:G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4B2D-3DC8-49A0-8C5E-3B2A1BD0BE3B}">
  <dimension ref="B1:E18"/>
  <sheetViews>
    <sheetView zoomScale="175" zoomScaleNormal="175" workbookViewId="0">
      <selection activeCell="D17" sqref="D17"/>
    </sheetView>
  </sheetViews>
  <sheetFormatPr defaultRowHeight="15"/>
  <cols>
    <col min="2" max="2" width="5.5703125" bestFit="1" customWidth="1"/>
    <col min="3" max="3" width="15.5703125" bestFit="1" customWidth="1"/>
    <col min="4" max="4" width="16.42578125" customWidth="1"/>
    <col min="5" max="5" width="47.7109375" bestFit="1" customWidth="1"/>
  </cols>
  <sheetData>
    <row r="1" spans="2:5" ht="18.75">
      <c r="B1" s="188" t="s">
        <v>58</v>
      </c>
      <c r="C1" s="188"/>
      <c r="D1" s="188"/>
      <c r="E1" s="188"/>
    </row>
    <row r="2" spans="2:5">
      <c r="B2" s="53"/>
      <c r="C2" s="95" t="s">
        <v>50</v>
      </c>
      <c r="D2" s="95" t="s">
        <v>51</v>
      </c>
      <c r="E2" s="95" t="s">
        <v>52</v>
      </c>
    </row>
    <row r="3" spans="2:5" ht="15.75">
      <c r="B3" s="53"/>
      <c r="C3" s="101">
        <f>'[2]Full Calculator'!C4*6</f>
        <v>3000</v>
      </c>
      <c r="D3" s="102">
        <f>'Full Calculator'!E19</f>
        <v>2315.8666666666668</v>
      </c>
      <c r="E3" s="100">
        <f>'Full Calculator'!H21</f>
        <v>4999</v>
      </c>
    </row>
    <row r="4" spans="2:5">
      <c r="B4" s="53"/>
      <c r="C4" s="53"/>
      <c r="D4" s="53"/>
      <c r="E4" s="53"/>
    </row>
    <row r="5" spans="2:5">
      <c r="B5" s="95" t="s">
        <v>62</v>
      </c>
      <c r="C5" s="95" t="s">
        <v>53</v>
      </c>
      <c r="D5" s="95" t="s">
        <v>54</v>
      </c>
      <c r="E5" s="53"/>
    </row>
    <row r="6" spans="2:5" ht="30">
      <c r="B6" s="95">
        <v>1</v>
      </c>
      <c r="C6" s="97">
        <f>-C3</f>
        <v>-3000</v>
      </c>
      <c r="D6" s="96">
        <f>-E3</f>
        <v>-4999</v>
      </c>
      <c r="E6" s="98" t="s">
        <v>57</v>
      </c>
    </row>
    <row r="7" spans="2:5">
      <c r="B7" s="95">
        <v>2</v>
      </c>
      <c r="C7" s="97">
        <f>SUM(C6*B7)</f>
        <v>-6000</v>
      </c>
      <c r="D7" s="96">
        <f t="shared" ref="D7:D15" si="0">SUM(D6+$D$3)</f>
        <v>-2683.1333333333332</v>
      </c>
      <c r="E7" s="98"/>
    </row>
    <row r="8" spans="2:5">
      <c r="B8" s="95">
        <v>3</v>
      </c>
      <c r="C8" s="97">
        <f>SUM(C7+$C$6)</f>
        <v>-9000</v>
      </c>
      <c r="D8" s="96">
        <f t="shared" si="0"/>
        <v>-367.26666666666642</v>
      </c>
      <c r="E8" s="53" t="s">
        <v>60</v>
      </c>
    </row>
    <row r="9" spans="2:5" ht="14.25" customHeight="1">
      <c r="B9" s="95">
        <v>4</v>
      </c>
      <c r="C9" s="97">
        <f>SUM(C8+$C$6)</f>
        <v>-12000</v>
      </c>
      <c r="D9" s="96">
        <f t="shared" si="0"/>
        <v>1948.6000000000004</v>
      </c>
      <c r="E9" s="187" t="s">
        <v>61</v>
      </c>
    </row>
    <row r="10" spans="2:5">
      <c r="B10" s="95">
        <v>5</v>
      </c>
      <c r="C10" s="97">
        <f>SUM(C9+$C$6)</f>
        <v>-15000</v>
      </c>
      <c r="D10" s="99">
        <f t="shared" si="0"/>
        <v>4264.4666666666672</v>
      </c>
      <c r="E10" s="187"/>
    </row>
    <row r="11" spans="2:5">
      <c r="B11" s="95">
        <v>6</v>
      </c>
      <c r="C11" s="97">
        <f t="shared" ref="C11:C15" si="1">SUM(C10+$C$6)</f>
        <v>-18000</v>
      </c>
      <c r="D11" s="99">
        <f t="shared" si="0"/>
        <v>6580.3333333333339</v>
      </c>
      <c r="E11" s="187"/>
    </row>
    <row r="12" spans="2:5">
      <c r="B12" s="95">
        <v>7</v>
      </c>
      <c r="C12" s="97">
        <f t="shared" si="1"/>
        <v>-21000</v>
      </c>
      <c r="D12" s="99">
        <f t="shared" si="0"/>
        <v>8896.2000000000007</v>
      </c>
      <c r="E12" s="187"/>
    </row>
    <row r="13" spans="2:5">
      <c r="B13" s="95">
        <v>8</v>
      </c>
      <c r="C13" s="97">
        <f t="shared" si="1"/>
        <v>-24000</v>
      </c>
      <c r="D13" s="99">
        <f t="shared" si="0"/>
        <v>11212.066666666668</v>
      </c>
      <c r="E13" s="53"/>
    </row>
    <row r="14" spans="2:5">
      <c r="B14" s="95">
        <v>9</v>
      </c>
      <c r="C14" s="97">
        <f t="shared" si="1"/>
        <v>-27000</v>
      </c>
      <c r="D14" s="99">
        <f t="shared" si="0"/>
        <v>13527.933333333334</v>
      </c>
      <c r="E14" s="53"/>
    </row>
    <row r="15" spans="2:5" ht="15.75">
      <c r="B15" s="95">
        <v>10</v>
      </c>
      <c r="C15" s="105">
        <f t="shared" si="1"/>
        <v>-30000</v>
      </c>
      <c r="D15" s="103">
        <f t="shared" si="0"/>
        <v>15843.800000000001</v>
      </c>
      <c r="E15" s="53" t="s">
        <v>59</v>
      </c>
    </row>
    <row r="16" spans="2:5">
      <c r="B16" s="53"/>
      <c r="C16" s="53"/>
      <c r="D16" s="53"/>
      <c r="E16" s="53"/>
    </row>
    <row r="17" spans="3:4">
      <c r="C17" t="s">
        <v>55</v>
      </c>
      <c r="D17" s="104">
        <f>SUM(D3/12)</f>
        <v>192.98888888888891</v>
      </c>
    </row>
    <row r="18" spans="3:4">
      <c r="C18" t="s">
        <v>56</v>
      </c>
      <c r="D18" s="104">
        <f>'[2]Full Calculator'!D21</f>
        <v>175.00077983742614</v>
      </c>
    </row>
  </sheetData>
  <mergeCells count="2">
    <mergeCell ref="E9:E12"/>
    <mergeCell ref="B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6512-D146-4329-B1EB-A9F8940FD1DC}">
  <dimension ref="A1:D23"/>
  <sheetViews>
    <sheetView workbookViewId="0">
      <selection activeCell="C16" sqref="C16"/>
    </sheetView>
  </sheetViews>
  <sheetFormatPr defaultRowHeight="15"/>
  <cols>
    <col min="2" max="2" width="25.42578125" bestFit="1" customWidth="1"/>
    <col min="3" max="3" width="17" customWidth="1"/>
    <col min="4" max="4" width="13.85546875" customWidth="1"/>
  </cols>
  <sheetData>
    <row r="1" spans="1:4">
      <c r="A1" s="54"/>
      <c r="B1" s="55"/>
      <c r="C1" s="55"/>
      <c r="D1" s="56"/>
    </row>
    <row r="2" spans="1:4">
      <c r="A2" s="57"/>
      <c r="B2" s="58"/>
      <c r="C2" s="58"/>
      <c r="D2" s="59"/>
    </row>
    <row r="3" spans="1:4">
      <c r="A3" s="57"/>
      <c r="B3" s="58"/>
      <c r="C3" s="58"/>
      <c r="D3" s="60"/>
    </row>
    <row r="4" spans="1:4">
      <c r="A4" s="57"/>
      <c r="B4" s="58"/>
      <c r="C4" s="58"/>
      <c r="D4" s="60"/>
    </row>
    <row r="5" spans="1:4">
      <c r="A5" s="189" t="s">
        <v>35</v>
      </c>
      <c r="B5" s="190"/>
      <c r="C5" s="190"/>
      <c r="D5" s="191"/>
    </row>
    <row r="6" spans="1:4">
      <c r="A6" s="61"/>
      <c r="B6" s="62"/>
      <c r="C6" s="63"/>
      <c r="D6" s="64"/>
    </row>
    <row r="7" spans="1:4">
      <c r="A7" s="65"/>
      <c r="B7" s="66"/>
      <c r="C7" s="67"/>
      <c r="D7" s="68"/>
    </row>
    <row r="8" spans="1:4" ht="15.75">
      <c r="A8" s="65"/>
      <c r="B8" s="66" t="s">
        <v>36</v>
      </c>
      <c r="C8" s="69" t="s">
        <v>37</v>
      </c>
      <c r="D8" s="70"/>
    </row>
    <row r="9" spans="1:4" ht="15.75">
      <c r="A9" s="65"/>
      <c r="B9" s="66" t="s">
        <v>38</v>
      </c>
      <c r="C9" s="71">
        <f>SUM('[2]Full Calculator'!D22*12)</f>
        <v>120</v>
      </c>
      <c r="D9" s="70" t="s">
        <v>39</v>
      </c>
    </row>
    <row r="10" spans="1:4" ht="15.75">
      <c r="A10" s="65"/>
      <c r="B10" s="66" t="s">
        <v>40</v>
      </c>
      <c r="C10" s="72">
        <v>4999</v>
      </c>
      <c r="D10" s="70" t="s">
        <v>41</v>
      </c>
    </row>
    <row r="11" spans="1:4" ht="15.75" thickBot="1">
      <c r="A11" s="65"/>
      <c r="B11" s="73"/>
      <c r="C11" s="73"/>
      <c r="D11" s="74"/>
    </row>
    <row r="12" spans="1:4">
      <c r="A12" s="65"/>
      <c r="B12" s="75" t="s">
        <v>42</v>
      </c>
      <c r="C12" s="76">
        <v>5.4899999999999997E-2</v>
      </c>
      <c r="D12" s="74"/>
    </row>
    <row r="13" spans="1:4">
      <c r="A13" s="65"/>
      <c r="B13" s="77" t="s">
        <v>43</v>
      </c>
      <c r="C13" s="78">
        <v>7.99</v>
      </c>
      <c r="D13" s="74"/>
    </row>
    <row r="14" spans="1:4" ht="15.75" thickBot="1">
      <c r="A14" s="65"/>
      <c r="B14" s="79" t="s">
        <v>44</v>
      </c>
      <c r="C14" s="80">
        <v>397</v>
      </c>
      <c r="D14" s="74"/>
    </row>
    <row r="15" spans="1:4" ht="15.75" thickBot="1">
      <c r="A15" s="65"/>
      <c r="B15" s="66"/>
      <c r="C15" s="73"/>
      <c r="D15" s="74"/>
    </row>
    <row r="16" spans="1:4" ht="18.75">
      <c r="A16" s="65"/>
      <c r="B16" s="81" t="s">
        <v>45</v>
      </c>
      <c r="C16" s="82">
        <f>PMT(C12/12,C9,-(C10+C14),0,0)+C13</f>
        <v>66.524045726341342</v>
      </c>
      <c r="D16" s="68"/>
    </row>
    <row r="17" spans="1:4" ht="15.75" thickBot="1">
      <c r="A17" s="65"/>
      <c r="B17" s="79" t="s">
        <v>46</v>
      </c>
      <c r="C17" s="83">
        <f>RATE(C9,-C16,C10)*12</f>
        <v>0.1016654439799389</v>
      </c>
      <c r="D17" s="68"/>
    </row>
    <row r="18" spans="1:4" ht="15.75" thickBot="1">
      <c r="A18" s="65"/>
      <c r="B18" s="73"/>
      <c r="C18" s="73"/>
      <c r="D18" s="68"/>
    </row>
    <row r="19" spans="1:4">
      <c r="A19" s="65"/>
      <c r="B19" s="84" t="s">
        <v>47</v>
      </c>
      <c r="C19" s="85">
        <f>IF(C16= "NA", "NA", C16/4.35)</f>
        <v>15.292884075021</v>
      </c>
      <c r="D19" s="68"/>
    </row>
    <row r="20" spans="1:4">
      <c r="A20" s="65"/>
      <c r="B20" s="86" t="s">
        <v>48</v>
      </c>
      <c r="C20" s="87">
        <f>IF(C16="NA", "NA", C16/2.18)</f>
        <v>30.515617305661163</v>
      </c>
      <c r="D20" s="68"/>
    </row>
    <row r="21" spans="1:4" ht="15.75" thickBot="1">
      <c r="A21" s="65"/>
      <c r="B21" s="88" t="s">
        <v>45</v>
      </c>
      <c r="C21" s="89">
        <f>C16</f>
        <v>66.524045726341342</v>
      </c>
      <c r="D21" s="68"/>
    </row>
    <row r="22" spans="1:4">
      <c r="A22" s="65"/>
      <c r="B22" s="73"/>
      <c r="C22" s="90"/>
      <c r="D22" s="68"/>
    </row>
    <row r="23" spans="1:4" ht="15.75" thickBot="1">
      <c r="A23" s="91"/>
      <c r="B23" s="92"/>
      <c r="C23" s="93"/>
      <c r="D23" s="94"/>
    </row>
  </sheetData>
  <mergeCells count="1">
    <mergeCell ref="A5:D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9C49BC121CA43B0BB2C0584959C62" ma:contentTypeVersion="8" ma:contentTypeDescription="Create a new document." ma:contentTypeScope="" ma:versionID="8460c9543acad4af6a8988df4a510dd2">
  <xsd:schema xmlns:xsd="http://www.w3.org/2001/XMLSchema" xmlns:xs="http://www.w3.org/2001/XMLSchema" xmlns:p="http://schemas.microsoft.com/office/2006/metadata/properties" xmlns:ns2="d5c30b03-66a2-42ad-ac6d-84dc4dd3a8c5" targetNamespace="http://schemas.microsoft.com/office/2006/metadata/properties" ma:root="true" ma:fieldsID="11aa3f7eb6887d39e230dc4e9fa1c9fa" ns2:_="">
    <xsd:import namespace="d5c30b03-66a2-42ad-ac6d-84dc4dd3a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30b03-66a2-42ad-ac6d-84dc4dd3a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3D1628-AA0C-45B9-B796-46DA78D3DC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9DB766-74FA-4230-B39F-3DE1811D5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30b03-66a2-42ad-ac6d-84dc4dd3a8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05017C-C4FE-4E04-932F-ED48A4C0B4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Calculator</vt:lpstr>
      <vt:lpstr>Savings compund calc</vt:lpstr>
      <vt:lpstr>Data</vt:lpstr>
      <vt:lpstr>Rebate cals</vt:lpstr>
      <vt:lpstr>Final Data Solar Only</vt:lpstr>
      <vt:lpstr>Savings Snapshot</vt:lpstr>
      <vt:lpstr>Green Loan Calcs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rodon</dc:creator>
  <cp:keywords/>
  <dc:description/>
  <cp:lastModifiedBy>iftekar tasin</cp:lastModifiedBy>
  <cp:revision/>
  <dcterms:created xsi:type="dcterms:W3CDTF">2021-02-17T07:55:36Z</dcterms:created>
  <dcterms:modified xsi:type="dcterms:W3CDTF">2024-01-23T07:09:08Z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0x010100BC49C49BC121CA43B0BB2C0584959C62</vt:lpwstr>
  </property>
</Properties>
</file>