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ona\Documents\"/>
    </mc:Choice>
  </mc:AlternateContent>
  <xr:revisionPtr revIDLastSave="0" documentId="13_ncr:1_{EE3AA718-ABEF-44EB-A1AA-1735DD807C99}" xr6:coauthVersionLast="47" xr6:coauthVersionMax="47" xr10:uidLastSave="{00000000-0000-0000-0000-000000000000}"/>
  <bookViews>
    <workbookView xWindow="-98" yWindow="-98" windowWidth="21795" windowHeight="14595" activeTab="4" xr2:uid="{E9A59A0A-42E7-4ED5-9EF5-5FADF1AD92F9}"/>
  </bookViews>
  <sheets>
    <sheet name="Full Calculator" sheetId="2" r:id="rId1"/>
    <sheet name="Savings compund calc" sheetId="3" r:id="rId2"/>
    <sheet name="Data" sheetId="4" r:id="rId3"/>
    <sheet name="STC calcs" sheetId="5" r:id="rId4"/>
    <sheet name="Solar and Batt Final" sheetId="1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I12" i="1"/>
  <c r="I13" i="1" s="1"/>
  <c r="I14" i="1" s="1"/>
  <c r="G2" i="5"/>
  <c r="K2" i="5" a="1"/>
  <c r="K2" i="5" s="1"/>
  <c r="O2" i="5" a="1"/>
  <c r="O2" i="5" s="1"/>
  <c r="S2" i="5" a="1"/>
  <c r="S2" i="5" s="1"/>
  <c r="U2" i="5" s="1"/>
  <c r="V2" i="5"/>
  <c r="Y2" i="5"/>
  <c r="AB2" i="5"/>
  <c r="AD2" i="5" s="1"/>
  <c r="AE2" i="5" s="1"/>
  <c r="AC2" i="5"/>
  <c r="C28" i="4"/>
  <c r="C29" i="4"/>
  <c r="C30" i="4"/>
  <c r="C31" i="4"/>
  <c r="C32" i="4"/>
  <c r="C34" i="4"/>
  <c r="C35" i="4"/>
  <c r="C36" i="4"/>
  <c r="C37" i="4" s="1"/>
  <c r="C38" i="4" s="1"/>
  <c r="K36" i="4"/>
  <c r="F2" i="2"/>
  <c r="F3" i="2"/>
  <c r="C4" i="2"/>
  <c r="H17" i="2" s="1"/>
  <c r="C5" i="2"/>
  <c r="C6" i="2"/>
  <c r="E6" i="2"/>
  <c r="C7" i="2"/>
  <c r="E11" i="2" s="1"/>
  <c r="C8" i="2"/>
  <c r="E10" i="2"/>
  <c r="C11" i="2"/>
  <c r="C12" i="2" s="1"/>
  <c r="E12" i="2"/>
  <c r="D17" i="2"/>
  <c r="C13" i="2" l="1"/>
  <c r="D15" i="2" s="1"/>
  <c r="E13" i="2"/>
  <c r="E14" i="2" s="1"/>
  <c r="B14" i="2"/>
  <c r="D13" i="2"/>
  <c r="C14" i="2"/>
  <c r="X2" i="5"/>
  <c r="AA2" i="5" s="1"/>
  <c r="D18" i="2" l="1"/>
  <c r="E18" i="2" s="1"/>
  <c r="D16" i="2"/>
  <c r="E19" i="2" l="1"/>
  <c r="D20" i="2"/>
  <c r="E6" i="1"/>
  <c r="H22" i="2" l="1"/>
  <c r="C5" i="3"/>
  <c r="E20" i="2"/>
  <c r="E21" i="2"/>
  <c r="E22" i="2"/>
  <c r="C6" i="3" l="1"/>
  <c r="C7" i="3" s="1"/>
  <c r="C8" i="3" s="1"/>
  <c r="C9" i="3" s="1"/>
  <c r="C10" i="3" s="1"/>
  <c r="C11" i="3" s="1"/>
  <c r="C12" i="3" s="1"/>
  <c r="C13" i="3" s="1"/>
  <c r="C14" i="3" s="1"/>
  <c r="C15" i="3" l="1"/>
  <c r="D6" i="1" s="1"/>
  <c r="D21" i="2" l="1"/>
  <c r="D23" i="2" l="1"/>
  <c r="H18" i="2"/>
  <c r="F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<sst xmlns="http://schemas.openxmlformats.org/spreadsheetml/2006/main" count="155" uniqueCount="125">
  <si>
    <t>Weekly System Cost</t>
  </si>
  <si>
    <t>Rebate Discount</t>
  </si>
  <si>
    <t xml:space="preserve">10 year Savings </t>
  </si>
  <si>
    <t>Bill Size</t>
  </si>
  <si>
    <t>SOLAR SAVINGS CALCULATOR</t>
  </si>
  <si>
    <t>`</t>
  </si>
  <si>
    <t xml:space="preserve"> </t>
  </si>
  <si>
    <t>Weekly</t>
  </si>
  <si>
    <t>Years</t>
  </si>
  <si>
    <t>Return on Investment</t>
  </si>
  <si>
    <t>20 Years</t>
  </si>
  <si>
    <t>Payback Term (Years)</t>
  </si>
  <si>
    <t>System Price</t>
  </si>
  <si>
    <t>15 Years</t>
  </si>
  <si>
    <t>Cost of System Monthly</t>
  </si>
  <si>
    <t>SYSTEM DETAILS</t>
  </si>
  <si>
    <t>10 Years</t>
  </si>
  <si>
    <t>Savings Monthly</t>
  </si>
  <si>
    <t>per year</t>
  </si>
  <si>
    <t>New Power Cost</t>
  </si>
  <si>
    <t>per bill</t>
  </si>
  <si>
    <t>New Bill with Solar and Battery</t>
  </si>
  <si>
    <t>Old Power Cost</t>
  </si>
  <si>
    <t>SAVINGS</t>
  </si>
  <si>
    <t>Supply Charge</t>
  </si>
  <si>
    <t>Total Bill Power Cost</t>
  </si>
  <si>
    <t>New Daily Power Cost</t>
  </si>
  <si>
    <t>$ Night</t>
  </si>
  <si>
    <t>Bought from Grid</t>
  </si>
  <si>
    <t>Sold back to Grid</t>
  </si>
  <si>
    <t>Battery</t>
  </si>
  <si>
    <t xml:space="preserve">Excess daily power </t>
  </si>
  <si>
    <t>Energy used</t>
  </si>
  <si>
    <t>Night %</t>
  </si>
  <si>
    <t>Day %</t>
  </si>
  <si>
    <t>Current Daily Power Cost</t>
  </si>
  <si>
    <t>Daily Units</t>
  </si>
  <si>
    <t>10 Year Bill</t>
  </si>
  <si>
    <t>Total Units</t>
  </si>
  <si>
    <t>Billing Cycle (Days)</t>
  </si>
  <si>
    <t xml:space="preserve">Power  Cost </t>
  </si>
  <si>
    <t xml:space="preserve">Total Bill </t>
  </si>
  <si>
    <t>Battery kW</t>
  </si>
  <si>
    <t>units</t>
  </si>
  <si>
    <t>Solar kW</t>
  </si>
  <si>
    <t>Yr 10</t>
  </si>
  <si>
    <t>Yr 9</t>
  </si>
  <si>
    <t>Yr 8</t>
  </si>
  <si>
    <t>Yr 7</t>
  </si>
  <si>
    <t>Yr 6</t>
  </si>
  <si>
    <t>Yr 5</t>
  </si>
  <si>
    <t>Yr 4</t>
  </si>
  <si>
    <t>Yr 3</t>
  </si>
  <si>
    <t>Yr 2</t>
  </si>
  <si>
    <t>Yr 1</t>
  </si>
  <si>
    <t>Custom</t>
  </si>
  <si>
    <t>Extra Battery Install</t>
  </si>
  <si>
    <t>Site Visit - PB</t>
  </si>
  <si>
    <t>Site Visit - Kluemes</t>
  </si>
  <si>
    <t>Site Visit - Induced</t>
  </si>
  <si>
    <t>Tilt Frames</t>
  </si>
  <si>
    <t>Tigo Optimisers - Go Solar</t>
  </si>
  <si>
    <t>INSTALL $</t>
  </si>
  <si>
    <t>COST $</t>
  </si>
  <si>
    <t>Extras</t>
  </si>
  <si>
    <t>Sungrow 25.6kW</t>
  </si>
  <si>
    <t>Zone 4 - Esperance</t>
  </si>
  <si>
    <t>Sungrow 22.4kW</t>
  </si>
  <si>
    <t>Zone 3 - Perth</t>
  </si>
  <si>
    <t>Sungrow 19.2kW</t>
  </si>
  <si>
    <t>Zone 2 - Geraldton</t>
  </si>
  <si>
    <t>Sungrow 16.0kW</t>
  </si>
  <si>
    <t>STC</t>
  </si>
  <si>
    <t>Zone 1 - Darwin</t>
  </si>
  <si>
    <t>Sungrow 12.8kW</t>
  </si>
  <si>
    <t>Sungrow 9.6kW</t>
  </si>
  <si>
    <t>30kW Battery  - Ecosakura</t>
  </si>
  <si>
    <t>25kW Battery  - Ecosakura</t>
  </si>
  <si>
    <t>20kW Battery  - Ecosakura</t>
  </si>
  <si>
    <t>15kW Battery  - Ecosakura</t>
  </si>
  <si>
    <t>10kW Battery - Ecosakura</t>
  </si>
  <si>
    <t>5kW Battery - Ecosakura</t>
  </si>
  <si>
    <t xml:space="preserve">Battery </t>
  </si>
  <si>
    <t>415 33c</t>
  </si>
  <si>
    <t xml:space="preserve">COST $ </t>
  </si>
  <si>
    <t>Panels</t>
  </si>
  <si>
    <t>Deye 3P10K</t>
  </si>
  <si>
    <t>Deye 3P8K</t>
  </si>
  <si>
    <t>Deye 3P5K</t>
  </si>
  <si>
    <t>Deye 1P8K</t>
  </si>
  <si>
    <t xml:space="preserve"> Deye 1P5K</t>
  </si>
  <si>
    <t>Sungrow 10kW 3P Hybrid</t>
  </si>
  <si>
    <t>Sungrow 5kW 3P Hybrid</t>
  </si>
  <si>
    <t>Sungrow 5kW 1P Hybrid</t>
  </si>
  <si>
    <t>Sofar Hybrid 20kW Inverter 3P - Ecosakura</t>
  </si>
  <si>
    <t>Sofar Hybrid 15kW Inverter 3P - Ecosakura</t>
  </si>
  <si>
    <t>Sofar Hybrid 10kW Inverter 3P - Ecosakura</t>
  </si>
  <si>
    <t>Sofar Hybrid 5kW Inverter 3P - Ecosakura</t>
  </si>
  <si>
    <t>Sofar Hybrid 5kW Inverter 1P - Ecosakura</t>
  </si>
  <si>
    <t>Sofar 5W Inverter 3P - Ecosakura</t>
  </si>
  <si>
    <t>Sofar 5kW Inverter 1P - Ecosakura</t>
  </si>
  <si>
    <t>COST $ (ex)</t>
  </si>
  <si>
    <t>Inverters</t>
  </si>
  <si>
    <t>10.79kW 1P Sungrow System</t>
  </si>
  <si>
    <t>10 year spend</t>
  </si>
  <si>
    <t>5 year spend</t>
  </si>
  <si>
    <t>EQ. BILL</t>
  </si>
  <si>
    <t xml:space="preserve">MONTHLY </t>
  </si>
  <si>
    <t>REV</t>
  </si>
  <si>
    <t>CUSTOMER PAYMENT</t>
  </si>
  <si>
    <t>STCs</t>
  </si>
  <si>
    <t>TOTAL COST</t>
  </si>
  <si>
    <t>BOS + RAIL</t>
  </si>
  <si>
    <t>QTY</t>
  </si>
  <si>
    <t>EXTRAS</t>
  </si>
  <si>
    <t>BATTERY</t>
  </si>
  <si>
    <t>PANELS</t>
  </si>
  <si>
    <t>INVERTER</t>
  </si>
  <si>
    <t>CUSTOMER/SUBURB</t>
  </si>
  <si>
    <t>kW</t>
  </si>
  <si>
    <t>Zone</t>
  </si>
  <si>
    <t>Solar Size</t>
  </si>
  <si>
    <t>Battery Size</t>
  </si>
  <si>
    <t>System Cost</t>
  </si>
  <si>
    <t>ROI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</si>
</sst>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_-&quot;$&quot;* #,##0.0_-;\-&quot;$&quot;* #,##0.0_-;_-&quot;$&quot;* &quot;-&quot;??_-;_-@_-"/>
    <numFmt numFmtId="165" formatCode="&quot;$&quot;#,##0"/>
    <numFmt numFmtId="166" formatCode="&quot;$&quot;#,##0.00"/>
    <numFmt numFmtId="167" formatCode="0.0"/>
    <numFmt numFmtId="168" formatCode="d/mm/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8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9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8" fillId="5" borderId="0" xfId="0" applyNumberFormat="1" applyFont="1" applyFill="1" applyAlignment="1">
      <alignment horizontal="center" vertical="center"/>
    </xf>
    <xf numFmtId="165" fontId="9" fillId="0" borderId="0" xfId="5" applyNumberFormat="1" applyAlignment="1">
      <alignment horizontal="center" vertical="center"/>
    </xf>
    <xf numFmtId="165" fontId="9" fillId="5" borderId="0" xfId="5" applyNumberFormat="1" applyFill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1" fillId="6" borderId="1" xfId="0" applyNumberFormat="1" applyFont="1" applyFill="1" applyBorder="1" applyAlignment="1">
      <alignment horizontal="center" vertical="center"/>
    </xf>
    <xf numFmtId="167" fontId="12" fillId="6" borderId="2" xfId="0" applyNumberFormat="1" applyFont="1" applyFill="1" applyBorder="1" applyAlignment="1">
      <alignment horizontal="center" vertical="center"/>
    </xf>
    <xf numFmtId="165" fontId="12" fillId="6" borderId="3" xfId="0" applyNumberFormat="1" applyFont="1" applyFill="1" applyBorder="1" applyAlignment="1">
      <alignment horizontal="center" vertical="center"/>
    </xf>
    <xf numFmtId="165" fontId="13" fillId="7" borderId="4" xfId="0" applyNumberFormat="1" applyFont="1" applyFill="1" applyBorder="1" applyAlignment="1">
      <alignment horizontal="center" vertical="center"/>
    </xf>
    <xf numFmtId="165" fontId="14" fillId="7" borderId="5" xfId="0" applyNumberFormat="1" applyFont="1" applyFill="1" applyBorder="1" applyAlignment="1">
      <alignment horizontal="center" vertical="center"/>
    </xf>
    <xf numFmtId="1" fontId="15" fillId="8" borderId="6" xfId="0" applyNumberFormat="1" applyFont="1" applyFill="1" applyBorder="1" applyAlignment="1">
      <alignment horizontal="center" vertical="center"/>
    </xf>
    <xf numFmtId="165" fontId="10" fillId="9" borderId="7" xfId="0" applyNumberFormat="1" applyFont="1" applyFill="1" applyBorder="1" applyAlignment="1">
      <alignment horizontal="center" vertical="center"/>
    </xf>
    <xf numFmtId="165" fontId="10" fillId="9" borderId="8" xfId="0" applyNumberFormat="1" applyFont="1" applyFill="1" applyBorder="1" applyAlignment="1">
      <alignment horizontal="center" vertical="center"/>
    </xf>
    <xf numFmtId="3" fontId="11" fillId="7" borderId="9" xfId="1" applyNumberFormat="1" applyFont="1" applyFill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3" fillId="7" borderId="10" xfId="0" applyNumberFormat="1" applyFont="1" applyFill="1" applyBorder="1" applyAlignment="1">
      <alignment horizontal="center" vertical="center"/>
    </xf>
    <xf numFmtId="165" fontId="14" fillId="7" borderId="11" xfId="0" applyNumberFormat="1" applyFont="1" applyFill="1" applyBorder="1" applyAlignment="1">
      <alignment horizontal="center" vertical="center"/>
    </xf>
    <xf numFmtId="165" fontId="10" fillId="10" borderId="3" xfId="0" applyNumberFormat="1" applyFont="1" applyFill="1" applyBorder="1" applyAlignment="1">
      <alignment horizontal="center" vertical="center"/>
    </xf>
    <xf numFmtId="165" fontId="11" fillId="9" borderId="12" xfId="0" applyNumberFormat="1" applyFont="1" applyFill="1" applyBorder="1" applyAlignment="1">
      <alignment horizontal="center" vertical="center"/>
    </xf>
    <xf numFmtId="165" fontId="11" fillId="9" borderId="13" xfId="0" applyNumberFormat="1" applyFont="1" applyFill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165" fontId="10" fillId="0" borderId="15" xfId="0" applyNumberFormat="1" applyFont="1" applyBorder="1" applyAlignment="1">
      <alignment horizontal="center" vertical="center"/>
    </xf>
    <xf numFmtId="165" fontId="13" fillId="7" borderId="12" xfId="0" applyNumberFormat="1" applyFont="1" applyFill="1" applyBorder="1" applyAlignment="1">
      <alignment horizontal="center" vertical="center"/>
    </xf>
    <xf numFmtId="165" fontId="16" fillId="10" borderId="16" xfId="0" applyNumberFormat="1" applyFont="1" applyFill="1" applyBorder="1" applyAlignment="1">
      <alignment horizontal="center" vertical="center"/>
    </xf>
    <xf numFmtId="165" fontId="10" fillId="9" borderId="17" xfId="0" applyNumberFormat="1" applyFont="1" applyFill="1" applyBorder="1" applyAlignment="1">
      <alignment horizontal="center" vertical="center"/>
    </xf>
    <xf numFmtId="165" fontId="10" fillId="9" borderId="18" xfId="0" applyNumberFormat="1" applyFont="1" applyFill="1" applyBorder="1" applyAlignment="1">
      <alignment horizontal="center" vertical="center"/>
    </xf>
    <xf numFmtId="165" fontId="17" fillId="0" borderId="0" xfId="0" applyNumberFormat="1" applyFont="1" applyAlignment="1">
      <alignment vertical="center"/>
    </xf>
    <xf numFmtId="165" fontId="17" fillId="7" borderId="10" xfId="0" applyNumberFormat="1" applyFont="1" applyFill="1" applyBorder="1" applyAlignment="1">
      <alignment horizontal="center" vertical="center"/>
    </xf>
    <xf numFmtId="166" fontId="18" fillId="7" borderId="13" xfId="1" applyNumberFormat="1" applyFont="1" applyFill="1" applyBorder="1" applyAlignment="1">
      <alignment horizontal="center" vertical="center"/>
    </xf>
    <xf numFmtId="165" fontId="17" fillId="0" borderId="19" xfId="0" applyNumberFormat="1" applyFont="1" applyBorder="1" applyAlignment="1">
      <alignment horizontal="center" vertical="center"/>
    </xf>
    <xf numFmtId="165" fontId="17" fillId="0" borderId="9" xfId="0" applyNumberFormat="1" applyFont="1" applyBorder="1" applyAlignment="1">
      <alignment horizontal="center" vertical="center"/>
    </xf>
    <xf numFmtId="165" fontId="17" fillId="0" borderId="20" xfId="0" applyNumberFormat="1" applyFont="1" applyBorder="1" applyAlignment="1">
      <alignment horizontal="center" vertical="center"/>
    </xf>
    <xf numFmtId="165" fontId="19" fillId="0" borderId="4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 vertical="center"/>
    </xf>
    <xf numFmtId="165" fontId="17" fillId="7" borderId="21" xfId="0" applyNumberFormat="1" applyFont="1" applyFill="1" applyBorder="1" applyAlignment="1">
      <alignment horizontal="center" vertical="center"/>
    </xf>
    <xf numFmtId="166" fontId="18" fillId="7" borderId="22" xfId="1" applyNumberFormat="1" applyFont="1" applyFill="1" applyBorder="1" applyAlignment="1">
      <alignment horizontal="center" vertical="center"/>
    </xf>
    <xf numFmtId="166" fontId="20" fillId="7" borderId="3" xfId="0" applyNumberFormat="1" applyFont="1" applyFill="1" applyBorder="1" applyAlignment="1">
      <alignment horizontal="center" vertical="center"/>
    </xf>
    <xf numFmtId="165" fontId="10" fillId="0" borderId="23" xfId="0" applyNumberFormat="1" applyFont="1" applyBorder="1" applyAlignment="1">
      <alignment horizontal="center" vertical="center"/>
    </xf>
    <xf numFmtId="165" fontId="10" fillId="0" borderId="24" xfId="0" applyNumberFormat="1" applyFont="1" applyBorder="1" applyAlignment="1">
      <alignment horizontal="center" vertical="center"/>
    </xf>
    <xf numFmtId="165" fontId="21" fillId="0" borderId="25" xfId="0" applyNumberFormat="1" applyFont="1" applyBorder="1" applyAlignment="1">
      <alignment horizontal="center" vertical="center"/>
    </xf>
    <xf numFmtId="165" fontId="17" fillId="0" borderId="18" xfId="0" applyNumberFormat="1" applyFont="1" applyBorder="1" applyAlignment="1">
      <alignment horizontal="center" vertical="center"/>
    </xf>
    <xf numFmtId="165" fontId="13" fillId="10" borderId="23" xfId="0" applyNumberFormat="1" applyFont="1" applyFill="1" applyBorder="1" applyAlignment="1">
      <alignment horizontal="center" vertical="center"/>
    </xf>
    <xf numFmtId="165" fontId="13" fillId="10" borderId="24" xfId="0" applyNumberFormat="1" applyFont="1" applyFill="1" applyBorder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0" fillId="0" borderId="26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166" fontId="17" fillId="11" borderId="0" xfId="0" applyNumberFormat="1" applyFont="1" applyFill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6" fontId="21" fillId="0" borderId="0" xfId="0" applyNumberFormat="1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5" fontId="11" fillId="0" borderId="26" xfId="0" applyNumberFormat="1" applyFont="1" applyBorder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165" fontId="8" fillId="0" borderId="27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12" borderId="0" xfId="0" applyFont="1" applyFill="1" applyAlignment="1" applyProtection="1">
      <alignment horizontal="center" vertical="center"/>
      <protection locked="0"/>
    </xf>
    <xf numFmtId="165" fontId="17" fillId="0" borderId="26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65" fontId="17" fillId="0" borderId="28" xfId="0" applyNumberFormat="1" applyFont="1" applyBorder="1" applyAlignment="1">
      <alignment horizontal="center" vertical="center"/>
    </xf>
    <xf numFmtId="165" fontId="8" fillId="0" borderId="28" xfId="0" applyNumberFormat="1" applyFont="1" applyBorder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65" fontId="24" fillId="0" borderId="19" xfId="0" applyNumberFormat="1" applyFont="1" applyBorder="1" applyAlignment="1">
      <alignment horizontal="center" vertical="center"/>
    </xf>
    <xf numFmtId="165" fontId="18" fillId="0" borderId="3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17" fillId="12" borderId="20" xfId="0" applyFont="1" applyFill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165" fontId="17" fillId="12" borderId="3" xfId="0" applyNumberFormat="1" applyFont="1" applyFill="1" applyBorder="1" applyAlignment="1">
      <alignment horizontal="center" vertical="center"/>
    </xf>
    <xf numFmtId="165" fontId="17" fillId="12" borderId="0" xfId="0" applyNumberFormat="1" applyFont="1" applyFill="1" applyAlignment="1" applyProtection="1">
      <alignment horizontal="center" vertical="center"/>
      <protection locked="0"/>
    </xf>
    <xf numFmtId="165" fontId="10" fillId="0" borderId="26" xfId="0" applyNumberFormat="1" applyFont="1" applyBorder="1" applyAlignment="1">
      <alignment horizontal="center" vertical="center"/>
    </xf>
    <xf numFmtId="165" fontId="8" fillId="0" borderId="27" xfId="0" applyNumberFormat="1" applyFont="1" applyBorder="1" applyAlignment="1">
      <alignment horizontal="center" vertical="center"/>
    </xf>
    <xf numFmtId="0" fontId="23" fillId="0" borderId="29" xfId="0" applyFont="1" applyBorder="1" applyAlignment="1" applyProtection="1">
      <alignment horizontal="center" vertical="center"/>
      <protection locked="0"/>
    </xf>
    <xf numFmtId="2" fontId="23" fillId="0" borderId="3" xfId="0" applyNumberFormat="1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165" fontId="8" fillId="0" borderId="3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0" fontId="23" fillId="0" borderId="3" xfId="0" applyFont="1" applyBorder="1" applyAlignment="1" applyProtection="1">
      <alignment horizontal="center" vertical="center"/>
      <protection locked="0"/>
    </xf>
    <xf numFmtId="165" fontId="17" fillId="0" borderId="32" xfId="0" applyNumberFormat="1" applyFont="1" applyBorder="1" applyAlignment="1">
      <alignment horizontal="center" vertical="center"/>
    </xf>
    <xf numFmtId="165" fontId="10" fillId="0" borderId="24" xfId="0" applyNumberFormat="1" applyFont="1" applyBorder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0" fontId="6" fillId="0" borderId="0" xfId="0" applyFont="1"/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166" fontId="6" fillId="0" borderId="0" xfId="1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6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0" xfId="5"/>
    <xf numFmtId="0" fontId="6" fillId="0" borderId="0" xfId="0" applyFon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6" fontId="26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" fillId="0" borderId="0" xfId="3" applyFill="1" applyAlignment="1">
      <alignment horizontal="center" vertical="center"/>
    </xf>
    <xf numFmtId="6" fontId="3" fillId="0" borderId="0" xfId="3" applyNumberFormat="1" applyFill="1" applyAlignment="1">
      <alignment horizontal="center" vertical="center"/>
    </xf>
    <xf numFmtId="6" fontId="3" fillId="0" borderId="0" xfId="3" applyNumberForma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3" fillId="0" borderId="0" xfId="3" applyFill="1" applyBorder="1" applyAlignment="1">
      <alignment horizontal="center" vertical="center"/>
    </xf>
    <xf numFmtId="166" fontId="26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6" fontId="2" fillId="0" borderId="0" xfId="2" applyNumberForma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66" fontId="0" fillId="0" borderId="34" xfId="0" applyNumberFormat="1" applyBorder="1" applyAlignment="1">
      <alignment horizontal="center" vertical="center"/>
    </xf>
    <xf numFmtId="166" fontId="26" fillId="12" borderId="34" xfId="0" applyNumberFormat="1" applyFont="1" applyFill="1" applyBorder="1" applyAlignment="1">
      <alignment horizontal="center" vertical="center"/>
    </xf>
    <xf numFmtId="166" fontId="26" fillId="0" borderId="33" xfId="0" applyNumberFormat="1" applyFont="1" applyBorder="1" applyAlignment="1">
      <alignment horizontal="center" vertical="center"/>
    </xf>
    <xf numFmtId="166" fontId="0" fillId="12" borderId="33" xfId="0" applyNumberFormat="1" applyFill="1" applyBorder="1" applyAlignment="1">
      <alignment horizontal="center" vertical="center"/>
    </xf>
    <xf numFmtId="3" fontId="0" fillId="12" borderId="33" xfId="0" applyNumberFormat="1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168" fontId="0" fillId="0" borderId="33" xfId="0" applyNumberFormat="1" applyBorder="1" applyAlignment="1">
      <alignment horizontal="center" vertical="center"/>
    </xf>
    <xf numFmtId="168" fontId="0" fillId="12" borderId="35" xfId="0" applyNumberFormat="1" applyFill="1" applyBorder="1" applyAlignment="1">
      <alignment horizontal="center" vertical="center"/>
    </xf>
    <xf numFmtId="0" fontId="4" fillId="4" borderId="1" xfId="4" applyFont="1" applyBorder="1" applyAlignment="1">
      <alignment horizontal="center" vertical="center"/>
    </xf>
    <xf numFmtId="0" fontId="4" fillId="4" borderId="14" xfId="4" applyFont="1" applyBorder="1" applyAlignment="1">
      <alignment horizontal="center" vertical="center"/>
    </xf>
    <xf numFmtId="0" fontId="4" fillId="4" borderId="36" xfId="4" applyFont="1" applyBorder="1" applyAlignment="1">
      <alignment horizontal="center" vertical="center"/>
    </xf>
    <xf numFmtId="168" fontId="4" fillId="4" borderId="37" xfId="4" applyNumberFormat="1" applyFont="1" applyBorder="1" applyAlignment="1">
      <alignment horizontal="center" vertical="center"/>
    </xf>
    <xf numFmtId="168" fontId="4" fillId="4" borderId="15" xfId="4" applyNumberFormat="1" applyFont="1" applyBorder="1" applyAlignment="1">
      <alignment horizontal="center" vertical="center"/>
    </xf>
    <xf numFmtId="166" fontId="8" fillId="0" borderId="0" xfId="2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6">
    <cellStyle name="Accent1" xfId="4" builtinId="29"/>
    <cellStyle name="Bad" xfId="3" builtinId="27"/>
    <cellStyle name="Currency" xfId="1" builtinId="4"/>
    <cellStyle name="Good" xfId="2" builtinId="26"/>
    <cellStyle name="Hyperlink" xfId="5" builtinId="8"/>
    <cellStyle name="Normal" xfId="0" builtinId="0"/>
  </cellStyles>
  <dxfs count="2">
    <dxf>
      <font>
        <color auto="1"/>
      </font>
      <fill>
        <patternFill>
          <fgColor auto="1"/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85728</xdr:colOff>
      <xdr:row>4</xdr:row>
      <xdr:rowOff>9527</xdr:rowOff>
    </xdr:from>
    <xdr:ext cx="476248" cy="476248"/>
    <xdr:pic>
      <xdr:nvPicPr>
        <xdr:cNvPr id="2" name="Picture 1" descr="Green Tick Vector Images (over 13,000)">
          <a:extLst>
            <a:ext uri="{FF2B5EF4-FFF2-40B4-BE49-F238E27FC236}">
              <a16:creationId xmlns:a16="http://schemas.microsoft.com/office/drawing/2014/main" id="{97C58A5E-C307-44B4-A1EC-1C5891F78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8" y="733427"/>
          <a:ext cx="476248" cy="476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wnloads\Total%20savings%20and%20rebate%20calculator.xlsx" TargetMode="External"/><Relationship Id="rId1" Type="http://schemas.openxmlformats.org/officeDocument/2006/relationships/externalLinkPath" Target="/Users/odona/Downloads/Total%20savings%20and%20rebate%20calculato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wnloads\Rebate%20Calculator.xlsx" TargetMode="External"/><Relationship Id="rId1" Type="http://schemas.openxmlformats.org/officeDocument/2006/relationships/externalLinkPath" Target="/Users/odona/Downloads/Rebate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 Calculator"/>
      <sheetName val="Savings compund calc"/>
      <sheetName val="Data"/>
      <sheetName val="Rebate cals"/>
      <sheetName val="Final Data Solar Only"/>
      <sheetName val="Savings Snapshot"/>
      <sheetName val="Green Loan Calcs"/>
    </sheetNames>
    <sheetDataSet>
      <sheetData sheetId="0"/>
      <sheetData sheetId="1"/>
      <sheetData sheetId="2"/>
      <sheetData sheetId="3"/>
      <sheetData sheetId="4">
        <row r="6">
          <cell r="C6">
            <v>500</v>
          </cell>
        </row>
      </sheetData>
      <sheetData sheetId="5"/>
      <sheetData sheetId="6">
        <row r="16">
          <cell r="C16">
            <v>175.00077983742614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ummary"/>
      <sheetName val="PnL W1"/>
      <sheetName val="PnL W2"/>
      <sheetName val="PnL W3"/>
      <sheetName val="PnL W5"/>
      <sheetName val="Sheet6"/>
      <sheetName val="Sheet1"/>
      <sheetName val="Sheet2"/>
      <sheetName val="Sheet3"/>
      <sheetName val="Sheet5"/>
      <sheetName val="PnL W4"/>
      <sheetName val="RB"/>
      <sheetName val="Sheet4"/>
      <sheetName val="RB (2)"/>
      <sheetName val="PnL W5 (2)"/>
    </sheetNames>
    <sheetDataSet>
      <sheetData sheetId="0">
        <row r="3">
          <cell r="B3" t="str">
            <v>Sofar 5kW Inverter 1P - Ecosakura</v>
          </cell>
          <cell r="C3">
            <v>528</v>
          </cell>
        </row>
        <row r="4">
          <cell r="B4" t="str">
            <v>Sofar 5W Inverter 3P - Ecosakura</v>
          </cell>
          <cell r="C4">
            <v>1045</v>
          </cell>
        </row>
        <row r="5">
          <cell r="B5" t="str">
            <v>Sofar Hybrid 5kW Inverter 1P - Ecosakura</v>
          </cell>
          <cell r="C5">
            <v>1527</v>
          </cell>
        </row>
        <row r="6">
          <cell r="B6" t="str">
            <v>Sofar Hybrid 5kW Inverter 3P - Ecosakura</v>
          </cell>
          <cell r="C6">
            <v>3077</v>
          </cell>
        </row>
        <row r="7">
          <cell r="B7" t="str">
            <v>Sofar Hybrid 10kW Inverter 3P - Ecosakura</v>
          </cell>
          <cell r="C7">
            <v>3002</v>
          </cell>
        </row>
        <row r="8">
          <cell r="B8" t="str">
            <v>Sofar Hybrid 15kW Inverter 3P - Ecosakura</v>
          </cell>
          <cell r="C8">
            <v>3486</v>
          </cell>
        </row>
        <row r="9">
          <cell r="B9" t="str">
            <v>Sofar Hybrid 20kW Inverter 3P - Ecosakura</v>
          </cell>
          <cell r="C9">
            <v>4212</v>
          </cell>
        </row>
        <row r="10">
          <cell r="B10" t="str">
            <v>Sofar Hybrid 20kW Inverter 3P - Ecosakura</v>
          </cell>
          <cell r="C10">
            <v>3500</v>
          </cell>
        </row>
        <row r="11">
          <cell r="B11" t="str">
            <v>Sungrow 5kW 1P Hybrid</v>
          </cell>
          <cell r="C11">
            <v>2035</v>
          </cell>
        </row>
        <row r="12">
          <cell r="B12" t="str">
            <v>Sungrow 5kW 3P Hybrid</v>
          </cell>
          <cell r="C12">
            <v>3135</v>
          </cell>
        </row>
        <row r="13">
          <cell r="B13" t="str">
            <v>Sungrow 10kW 3P Hybrid</v>
          </cell>
          <cell r="C13">
            <v>3850</v>
          </cell>
        </row>
        <row r="14">
          <cell r="B14" t="str">
            <v xml:space="preserve"> Deye 1P5K</v>
          </cell>
          <cell r="C14">
            <v>1549</v>
          </cell>
        </row>
        <row r="15">
          <cell r="B15" t="str">
            <v>Deye 1P8K</v>
          </cell>
          <cell r="C15">
            <v>2188</v>
          </cell>
        </row>
        <row r="16">
          <cell r="B16" t="str">
            <v>Deye 3P5K</v>
          </cell>
          <cell r="C16">
            <v>3500</v>
          </cell>
        </row>
        <row r="17">
          <cell r="B17" t="str">
            <v>Deye 3P8K</v>
          </cell>
          <cell r="C17">
            <v>3989</v>
          </cell>
        </row>
        <row r="18">
          <cell r="B18" t="str">
            <v>Deye 3P10K</v>
          </cell>
          <cell r="C18">
            <v>4199</v>
          </cell>
        </row>
        <row r="19">
          <cell r="B19" t="str">
            <v>Custom</v>
          </cell>
        </row>
        <row r="22">
          <cell r="B22" t="str">
            <v>415 33c</v>
          </cell>
          <cell r="C22">
            <v>150.63999999999999</v>
          </cell>
          <cell r="D22">
            <v>0</v>
          </cell>
        </row>
        <row r="27">
          <cell r="B27" t="str">
            <v>5kW Battery - Ecosakura</v>
          </cell>
          <cell r="C27">
            <v>2605.9</v>
          </cell>
          <cell r="D27">
            <v>0</v>
          </cell>
        </row>
        <row r="28">
          <cell r="B28" t="str">
            <v>10kW Battery - Ecosakura</v>
          </cell>
          <cell r="C28">
            <v>5211.8</v>
          </cell>
          <cell r="D28">
            <v>0</v>
          </cell>
        </row>
        <row r="29">
          <cell r="B29" t="str">
            <v>15kW Battery  - Ecosakura</v>
          </cell>
          <cell r="C29">
            <v>7817.7000000000007</v>
          </cell>
          <cell r="D29">
            <v>0</v>
          </cell>
        </row>
        <row r="30">
          <cell r="B30" t="str">
            <v>20kW Battery  - Ecosakura</v>
          </cell>
          <cell r="C30">
            <v>10423.6</v>
          </cell>
          <cell r="D30">
            <v>0</v>
          </cell>
        </row>
        <row r="31">
          <cell r="B31" t="str">
            <v>25kW Battery  - Ecosakura</v>
          </cell>
          <cell r="C31">
            <v>13029.5</v>
          </cell>
          <cell r="D31">
            <v>1</v>
          </cell>
        </row>
        <row r="32">
          <cell r="B32" t="str">
            <v>30kW Battery  - Ecosakura</v>
          </cell>
          <cell r="C32">
            <v>15635.400000000001</v>
          </cell>
          <cell r="D32">
            <v>2</v>
          </cell>
        </row>
        <row r="33">
          <cell r="B33" t="str">
            <v>Sungrow 9.6kW</v>
          </cell>
          <cell r="C33">
            <v>6871</v>
          </cell>
          <cell r="D33">
            <v>0</v>
          </cell>
        </row>
        <row r="34">
          <cell r="B34" t="str">
            <v>Sungrow 12.8kW</v>
          </cell>
          <cell r="C34">
            <v>8630</v>
          </cell>
          <cell r="D34">
            <v>0</v>
          </cell>
          <cell r="F34" t="str">
            <v>Zone 1 - Darwin</v>
          </cell>
          <cell r="G34">
            <v>1.0660000000000001</v>
          </cell>
          <cell r="J34">
            <v>39</v>
          </cell>
        </row>
        <row r="35">
          <cell r="B35" t="str">
            <v>Sungrow 16.0kW</v>
          </cell>
          <cell r="C35">
            <v>10389</v>
          </cell>
          <cell r="D35">
            <v>0</v>
          </cell>
          <cell r="F35" t="str">
            <v>Zone 2 - Geraldton</v>
          </cell>
          <cell r="G35">
            <v>1.0660000000000001</v>
          </cell>
        </row>
        <row r="36">
          <cell r="B36" t="str">
            <v>Sungrow 19.2kW</v>
          </cell>
          <cell r="C36">
            <v>12148</v>
          </cell>
          <cell r="D36">
            <v>0</v>
          </cell>
          <cell r="F36" t="str">
            <v>Zone 3 - Perth</v>
          </cell>
          <cell r="G36">
            <v>0.96199999999999997</v>
          </cell>
          <cell r="K36">
            <v>0.75075075075075082</v>
          </cell>
        </row>
        <row r="37">
          <cell r="B37" t="str">
            <v>Sungrow 22.4kW</v>
          </cell>
          <cell r="C37">
            <v>13907</v>
          </cell>
          <cell r="D37">
            <v>0</v>
          </cell>
          <cell r="F37" t="str">
            <v>Zone 4 - Esperance</v>
          </cell>
          <cell r="G37">
            <v>0.82699999999999996</v>
          </cell>
        </row>
        <row r="38">
          <cell r="B38" t="str">
            <v>Sungrow 25.6kW</v>
          </cell>
          <cell r="C38">
            <v>15666</v>
          </cell>
          <cell r="D38">
            <v>0</v>
          </cell>
        </row>
        <row r="39">
          <cell r="B39" t="str">
            <v>Custom</v>
          </cell>
        </row>
        <row r="43">
          <cell r="B43" t="str">
            <v>Tigo Optimisers - Go Solar</v>
          </cell>
          <cell r="C43">
            <v>89</v>
          </cell>
          <cell r="D43">
            <v>10</v>
          </cell>
        </row>
        <row r="44">
          <cell r="B44" t="str">
            <v>Tilt Frames</v>
          </cell>
          <cell r="C44">
            <v>35</v>
          </cell>
          <cell r="D44">
            <v>10</v>
          </cell>
        </row>
        <row r="45">
          <cell r="B45" t="str">
            <v>Site Visit - Induced</v>
          </cell>
          <cell r="C45">
            <v>250</v>
          </cell>
          <cell r="D45">
            <v>0</v>
          </cell>
        </row>
        <row r="46">
          <cell r="B46" t="str">
            <v>Site Visit - Kluemes</v>
          </cell>
          <cell r="C46">
            <v>250</v>
          </cell>
          <cell r="D46">
            <v>0</v>
          </cell>
        </row>
        <row r="47">
          <cell r="B47" t="str">
            <v>Site Visit - PB</v>
          </cell>
          <cell r="C47">
            <v>250</v>
          </cell>
          <cell r="D4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F65E-4886-469E-8E07-24333768346D}">
  <dimension ref="A1:P30"/>
  <sheetViews>
    <sheetView showGridLines="0" zoomScale="87" zoomScaleNormal="80" workbookViewId="0">
      <pane xSplit="9" topLeftCell="J1" activePane="topRight" state="frozen"/>
      <selection activeCell="AF16" sqref="AF16"/>
      <selection pane="topRight" activeCell="D24" sqref="D24"/>
    </sheetView>
  </sheetViews>
  <sheetFormatPr defaultColWidth="9" defaultRowHeight="14.25" x14ac:dyDescent="0.45"/>
  <cols>
    <col min="1" max="1" width="9" style="8"/>
    <col min="2" max="2" width="31.19921875" style="8" bestFit="1" customWidth="1"/>
    <col min="3" max="3" width="16.796875" style="8" customWidth="1"/>
    <col min="4" max="4" width="27.53125" style="8" customWidth="1"/>
    <col min="5" max="5" width="29.19921875" style="8" customWidth="1"/>
    <col min="6" max="6" width="22.53125" style="8" customWidth="1"/>
    <col min="7" max="7" width="25.73046875" style="8" customWidth="1"/>
    <col min="8" max="8" width="24.19921875" style="8" bestFit="1" customWidth="1"/>
    <col min="9" max="9" width="8" style="8" customWidth="1"/>
    <col min="10" max="14" width="9.19921875" style="8" customWidth="1"/>
    <col min="15" max="15" width="10.46484375" style="8" customWidth="1"/>
    <col min="16" max="16384" width="9" style="8"/>
  </cols>
  <sheetData>
    <row r="1" spans="1:16" ht="14.65" thickBot="1" x14ac:dyDescent="0.5">
      <c r="A1" s="9" t="s">
        <v>5</v>
      </c>
      <c r="B1" s="93"/>
      <c r="J1" s="9"/>
      <c r="K1" s="9"/>
    </row>
    <row r="2" spans="1:16" ht="21.4" thickBot="1" x14ac:dyDescent="0.5">
      <c r="A2" s="9"/>
      <c r="B2" s="92" t="s">
        <v>44</v>
      </c>
      <c r="C2" s="86">
        <v>11.6</v>
      </c>
      <c r="D2" s="91"/>
      <c r="E2" s="73"/>
      <c r="F2" s="90">
        <f>SUM(C2*4.4)</f>
        <v>51.04</v>
      </c>
      <c r="G2" s="89" t="s">
        <v>43</v>
      </c>
      <c r="H2" s="74"/>
      <c r="I2" s="88"/>
      <c r="J2" s="9"/>
      <c r="K2" s="9"/>
    </row>
    <row r="3" spans="1:16" ht="21.4" thickBot="1" x14ac:dyDescent="0.5">
      <c r="A3" s="9"/>
      <c r="B3" s="87" t="s">
        <v>42</v>
      </c>
      <c r="C3" s="86">
        <v>7.5</v>
      </c>
      <c r="D3" s="70"/>
      <c r="E3" s="55"/>
      <c r="F3" s="85">
        <f>(F2*E5)</f>
        <v>3062.4</v>
      </c>
      <c r="G3" s="72"/>
      <c r="H3" s="65"/>
      <c r="I3" s="84"/>
      <c r="J3" s="9"/>
      <c r="K3" s="9"/>
    </row>
    <row r="4" spans="1:16" ht="21.4" thickBot="1" x14ac:dyDescent="0.5">
      <c r="A4" s="9"/>
      <c r="B4" s="83" t="s">
        <v>41</v>
      </c>
      <c r="C4" s="82">
        <f>'[1]Final Data Solar Only'!C6</f>
        <v>500</v>
      </c>
      <c r="D4" s="65"/>
      <c r="E4" s="81">
        <v>60</v>
      </c>
      <c r="F4" s="71" t="s">
        <v>24</v>
      </c>
      <c r="I4" s="67"/>
      <c r="J4" s="9"/>
      <c r="K4" s="9"/>
    </row>
    <row r="5" spans="1:16" ht="21.4" thickBot="1" x14ac:dyDescent="0.5">
      <c r="A5" s="9"/>
      <c r="B5" s="61" t="s">
        <v>40</v>
      </c>
      <c r="C5" s="72">
        <f>C4-E4</f>
        <v>440</v>
      </c>
      <c r="D5" s="80"/>
      <c r="E5" s="79">
        <v>60</v>
      </c>
      <c r="F5" s="78" t="s">
        <v>39</v>
      </c>
      <c r="I5" s="67"/>
      <c r="J5" s="9"/>
      <c r="K5" s="9"/>
    </row>
    <row r="6" spans="1:16" ht="23.65" thickBot="1" x14ac:dyDescent="0.5">
      <c r="A6" s="9" t="s">
        <v>6</v>
      </c>
      <c r="B6" s="61" t="s">
        <v>38</v>
      </c>
      <c r="C6" s="75">
        <f>C5/0.288</f>
        <v>1527.7777777777778</v>
      </c>
      <c r="D6" s="77" t="s">
        <v>37</v>
      </c>
      <c r="E6" s="76">
        <f>SUM(C4*6*10)</f>
        <v>30000</v>
      </c>
      <c r="I6" s="67"/>
      <c r="J6" s="9"/>
      <c r="K6" s="9"/>
    </row>
    <row r="7" spans="1:16" ht="21" x14ac:dyDescent="0.45">
      <c r="A7" s="9"/>
      <c r="B7" s="61" t="s">
        <v>36</v>
      </c>
      <c r="C7" s="75">
        <f>C6/E5</f>
        <v>25.462962962962965</v>
      </c>
      <c r="D7" s="74"/>
      <c r="E7" s="73"/>
      <c r="I7" s="67"/>
      <c r="J7" s="9"/>
      <c r="K7" s="9"/>
      <c r="O7" s="12"/>
      <c r="P7" s="12"/>
    </row>
    <row r="8" spans="1:16" ht="21.4" thickBot="1" x14ac:dyDescent="0.5">
      <c r="A8" s="9"/>
      <c r="B8" s="61" t="s">
        <v>35</v>
      </c>
      <c r="C8" s="72">
        <f>SUM(C5/E5)</f>
        <v>7.333333333333333</v>
      </c>
      <c r="D8" s="65"/>
      <c r="E8" s="55"/>
      <c r="I8" s="67"/>
      <c r="J8" s="9"/>
      <c r="K8" s="9"/>
      <c r="O8" s="12"/>
      <c r="P8" s="12"/>
    </row>
    <row r="9" spans="1:16" ht="21" customHeight="1" thickBot="1" x14ac:dyDescent="0.5">
      <c r="A9" s="9"/>
      <c r="B9" s="70"/>
      <c r="C9" s="71" t="s">
        <v>34</v>
      </c>
      <c r="D9" s="65"/>
      <c r="E9" s="71" t="s">
        <v>33</v>
      </c>
      <c r="I9" s="67"/>
      <c r="J9" s="9"/>
      <c r="K9" s="9"/>
      <c r="O9" s="12"/>
      <c r="P9" s="12"/>
    </row>
    <row r="10" spans="1:16" ht="21" x14ac:dyDescent="0.45">
      <c r="A10" s="9"/>
      <c r="B10" s="70"/>
      <c r="C10" s="69">
        <v>60</v>
      </c>
      <c r="D10" s="65"/>
      <c r="E10" s="68">
        <f>SUM(100-C10)</f>
        <v>40</v>
      </c>
      <c r="I10" s="67"/>
      <c r="J10" s="9"/>
      <c r="K10" s="9"/>
      <c r="O10" s="12"/>
      <c r="P10" s="12"/>
    </row>
    <row r="11" spans="1:16" ht="21" x14ac:dyDescent="0.45">
      <c r="A11" s="9"/>
      <c r="B11" s="61" t="s">
        <v>32</v>
      </c>
      <c r="C11" s="62">
        <f>C7*(C10/100)</f>
        <v>15.277777777777779</v>
      </c>
      <c r="D11" s="65"/>
      <c r="E11" s="66">
        <f>C7-C11</f>
        <v>10.185185185185187</v>
      </c>
      <c r="F11" s="58" t="s">
        <v>32</v>
      </c>
      <c r="G11" s="35"/>
      <c r="H11" s="35"/>
      <c r="I11" s="35"/>
      <c r="J11" s="9"/>
      <c r="K11" s="9"/>
      <c r="O11" s="12"/>
      <c r="P11" s="12"/>
    </row>
    <row r="12" spans="1:16" ht="21" x14ac:dyDescent="0.45">
      <c r="A12" s="9"/>
      <c r="B12" s="61" t="s">
        <v>31</v>
      </c>
      <c r="C12" s="64">
        <f>F2-C11</f>
        <v>35.762222222222221</v>
      </c>
      <c r="D12" s="65"/>
      <c r="E12" s="64">
        <f>C3</f>
        <v>7.5</v>
      </c>
      <c r="F12" s="58" t="s">
        <v>30</v>
      </c>
      <c r="G12" s="35"/>
      <c r="H12" s="35"/>
      <c r="I12" s="35"/>
      <c r="J12" s="9"/>
      <c r="K12" s="9"/>
      <c r="O12" s="12"/>
      <c r="P12" s="12"/>
    </row>
    <row r="13" spans="1:16" ht="21" x14ac:dyDescent="0.45">
      <c r="A13" s="9"/>
      <c r="B13" s="61" t="s">
        <v>29</v>
      </c>
      <c r="C13" s="64">
        <f>SUM(C12-E12)</f>
        <v>28.262222222222221</v>
      </c>
      <c r="D13" s="63">
        <f>IF(C13&gt;0,0.05,-0.26)</f>
        <v>0.05</v>
      </c>
      <c r="E13" s="62">
        <f>SUM(E11-E12)</f>
        <v>2.6851851851851869</v>
      </c>
      <c r="F13" s="58" t="s">
        <v>28</v>
      </c>
      <c r="G13" s="35"/>
      <c r="H13" s="35"/>
      <c r="I13" s="35"/>
      <c r="J13" s="9"/>
      <c r="K13" s="9"/>
      <c r="O13" s="12"/>
      <c r="P13" s="12"/>
    </row>
    <row r="14" spans="1:16" ht="21" x14ac:dyDescent="0.45">
      <c r="A14" s="9"/>
      <c r="B14" s="61" t="str">
        <f>IF(C13&gt;0,"$ Credit","$ cost")</f>
        <v>$ Credit</v>
      </c>
      <c r="C14" s="60">
        <f>IF(F2&gt;55,0,C13*D13)</f>
        <v>1.4131111111111112</v>
      </c>
      <c r="E14" s="59">
        <f>IF(E13&gt;0,(E11-E12)*0.26)</f>
        <v>0.69814814814814863</v>
      </c>
      <c r="F14" s="58" t="s">
        <v>27</v>
      </c>
      <c r="G14" s="35"/>
      <c r="H14" s="35"/>
      <c r="I14" s="35"/>
      <c r="J14" s="9"/>
      <c r="K14" s="9"/>
      <c r="O14" s="12"/>
      <c r="P14" s="12"/>
    </row>
    <row r="15" spans="1:16" ht="21" x14ac:dyDescent="0.45">
      <c r="A15" s="9"/>
      <c r="B15" s="54" t="s">
        <v>26</v>
      </c>
      <c r="C15" s="53"/>
      <c r="D15" s="57">
        <f>IF(C13&gt;0,E14-C14,E14+C14)</f>
        <v>-0.71496296296296258</v>
      </c>
      <c r="E15" s="55"/>
      <c r="F15" s="55"/>
      <c r="G15" s="35"/>
      <c r="H15" s="35"/>
      <c r="I15" s="35"/>
      <c r="J15" s="9"/>
      <c r="K15" s="9"/>
      <c r="O15" s="12"/>
      <c r="P15" s="12"/>
    </row>
    <row r="16" spans="1:16" ht="21.4" thickBot="1" x14ac:dyDescent="0.5">
      <c r="A16" s="9"/>
      <c r="B16" s="54" t="s">
        <v>25</v>
      </c>
      <c r="C16" s="53"/>
      <c r="D16" s="56">
        <f>SUM(D15*E5)</f>
        <v>-42.897777777777755</v>
      </c>
      <c r="E16" s="55"/>
      <c r="F16" s="55"/>
      <c r="G16" s="35"/>
      <c r="H16" s="35"/>
      <c r="I16" s="35"/>
      <c r="J16" s="9"/>
      <c r="K16" s="9"/>
      <c r="O16" s="12"/>
      <c r="P16" s="12"/>
    </row>
    <row r="17" spans="1:16" ht="23.65" thickBot="1" x14ac:dyDescent="0.5">
      <c r="A17" s="9"/>
      <c r="B17" s="54" t="s">
        <v>24</v>
      </c>
      <c r="C17" s="53"/>
      <c r="D17" s="52">
        <f>SUM(E4)</f>
        <v>60</v>
      </c>
      <c r="E17" s="51" t="s">
        <v>23</v>
      </c>
      <c r="F17" s="50"/>
      <c r="G17" s="49" t="s">
        <v>22</v>
      </c>
      <c r="H17" s="48">
        <f>SUM(C4)</f>
        <v>500</v>
      </c>
      <c r="I17" s="35"/>
      <c r="J17" s="9"/>
      <c r="K17" s="9"/>
      <c r="O17" s="12"/>
      <c r="P17" s="12"/>
    </row>
    <row r="18" spans="1:16" ht="23.65" thickBot="1" x14ac:dyDescent="0.5">
      <c r="A18" s="9"/>
      <c r="B18" s="47" t="s">
        <v>21</v>
      </c>
      <c r="C18" s="46"/>
      <c r="D18" s="45">
        <f>(D15*E5)+E4</f>
        <v>17.102222222222245</v>
      </c>
      <c r="E18" s="44">
        <f>C4-D18</f>
        <v>482.89777777777778</v>
      </c>
      <c r="F18" s="43" t="s">
        <v>20</v>
      </c>
      <c r="G18" s="42" t="s">
        <v>19</v>
      </c>
      <c r="H18" s="41">
        <f>SUM(D21*2+D18)</f>
        <v>367.1037818970745</v>
      </c>
      <c r="I18" s="35"/>
      <c r="J18" s="9"/>
      <c r="K18" s="9"/>
      <c r="O18" s="12"/>
      <c r="P18" s="12"/>
    </row>
    <row r="19" spans="1:16" ht="21.4" thickBot="1" x14ac:dyDescent="0.5">
      <c r="A19" s="9"/>
      <c r="B19" s="40"/>
      <c r="C19" s="39"/>
      <c r="D19" s="38"/>
      <c r="E19" s="37">
        <f>E18*6</f>
        <v>2897.3866666666668</v>
      </c>
      <c r="F19" s="36" t="s">
        <v>18</v>
      </c>
      <c r="G19" s="35"/>
      <c r="H19" s="35"/>
      <c r="I19" s="35"/>
      <c r="J19" s="9"/>
      <c r="K19" s="9"/>
      <c r="O19" s="12"/>
      <c r="P19" s="12"/>
    </row>
    <row r="20" spans="1:16" ht="23.65" thickBot="1" x14ac:dyDescent="0.5">
      <c r="A20" s="9"/>
      <c r="B20" s="34" t="s">
        <v>17</v>
      </c>
      <c r="C20" s="33"/>
      <c r="D20" s="32">
        <f>SUM(E18/2)</f>
        <v>241.44888888888889</v>
      </c>
      <c r="E20" s="24">
        <f>SUM(E19*10)</f>
        <v>28973.866666666669</v>
      </c>
      <c r="F20" s="31" t="s">
        <v>16</v>
      </c>
      <c r="G20" s="30" t="s">
        <v>15</v>
      </c>
      <c r="H20" s="29"/>
      <c r="I20" s="28"/>
      <c r="J20" s="9"/>
      <c r="K20" s="9"/>
      <c r="P20" s="12"/>
    </row>
    <row r="21" spans="1:16" ht="23.65" thickBot="1" x14ac:dyDescent="0.5">
      <c r="A21" s="9"/>
      <c r="B21" s="27" t="s">
        <v>14</v>
      </c>
      <c r="C21" s="26"/>
      <c r="D21" s="25">
        <f>'[1]Green Loan Calcs'!C16</f>
        <v>175.00077983742614</v>
      </c>
      <c r="E21" s="24">
        <f>SUM(E19*15)</f>
        <v>43460.800000000003</v>
      </c>
      <c r="F21" s="23" t="s">
        <v>13</v>
      </c>
      <c r="G21" s="22" t="s">
        <v>12</v>
      </c>
      <c r="H21" s="21">
        <v>14999</v>
      </c>
      <c r="I21" s="21"/>
      <c r="J21" s="9"/>
      <c r="K21" s="9"/>
      <c r="P21" s="12"/>
    </row>
    <row r="22" spans="1:16" ht="23.65" thickBot="1" x14ac:dyDescent="0.5">
      <c r="A22" s="9"/>
      <c r="B22" s="20" t="s">
        <v>11</v>
      </c>
      <c r="C22" s="19"/>
      <c r="D22" s="18">
        <v>10</v>
      </c>
      <c r="E22" s="17">
        <f>SUM(E19*20)</f>
        <v>57947.733333333337</v>
      </c>
      <c r="F22" s="16" t="s">
        <v>10</v>
      </c>
      <c r="G22" s="15" t="s">
        <v>9</v>
      </c>
      <c r="H22" s="14">
        <f>H21/E19</f>
        <v>5.1767339763649076</v>
      </c>
      <c r="I22" s="13" t="s">
        <v>8</v>
      </c>
      <c r="J22" s="9"/>
      <c r="K22" s="9"/>
      <c r="P22" s="12"/>
    </row>
    <row r="23" spans="1:16" ht="18" x14ac:dyDescent="0.45">
      <c r="A23" s="9"/>
      <c r="B23" s="9"/>
      <c r="C23" s="9" t="s">
        <v>7</v>
      </c>
      <c r="D23" s="9">
        <f>SUM(D21*12/52)</f>
        <v>40.384795347098347</v>
      </c>
      <c r="E23" s="9"/>
      <c r="F23" s="9"/>
      <c r="G23" s="9"/>
      <c r="H23" s="9"/>
      <c r="I23" s="9"/>
      <c r="J23" s="9"/>
      <c r="K23" s="9"/>
      <c r="O23" s="12"/>
      <c r="P23" s="12"/>
    </row>
    <row r="24" spans="1:16" ht="18" x14ac:dyDescent="0.45">
      <c r="A24" s="9"/>
      <c r="B24" s="9"/>
      <c r="C24" s="9"/>
      <c r="D24" s="10"/>
      <c r="H24" s="9"/>
      <c r="I24" s="9"/>
      <c r="J24" s="9"/>
      <c r="K24" s="9"/>
      <c r="O24" s="12"/>
      <c r="P24" s="12"/>
    </row>
    <row r="25" spans="1:16" x14ac:dyDescent="0.45">
      <c r="A25" s="9"/>
      <c r="B25" s="9"/>
      <c r="C25" s="9"/>
      <c r="D25" s="11"/>
      <c r="H25" s="9"/>
      <c r="I25" s="9"/>
    </row>
    <row r="26" spans="1:16" x14ac:dyDescent="0.45">
      <c r="A26" s="9"/>
      <c r="B26" s="9"/>
      <c r="C26" s="9"/>
      <c r="D26" s="9"/>
      <c r="H26" s="9"/>
      <c r="I26" s="9"/>
    </row>
    <row r="27" spans="1:16" x14ac:dyDescent="0.45">
      <c r="A27" s="9"/>
      <c r="B27" s="9"/>
      <c r="C27" s="9"/>
      <c r="D27" s="9"/>
      <c r="H27" s="9"/>
      <c r="I27" s="9"/>
    </row>
    <row r="28" spans="1:16" x14ac:dyDescent="0.45">
      <c r="D28" s="9"/>
    </row>
    <row r="29" spans="1:16" x14ac:dyDescent="0.45">
      <c r="D29" s="10"/>
      <c r="E29" s="8" t="s">
        <v>6</v>
      </c>
    </row>
    <row r="30" spans="1:16" x14ac:dyDescent="0.45">
      <c r="G30" s="9"/>
    </row>
  </sheetData>
  <protectedRanges>
    <protectedRange sqref="C4 E4:E5 C10 H21 B22 D22" name="Range1"/>
  </protectedRanges>
  <mergeCells count="18">
    <mergeCell ref="B9:B10"/>
    <mergeCell ref="D7:D12"/>
    <mergeCell ref="D4:D5"/>
    <mergeCell ref="B22:C22"/>
    <mergeCell ref="E17:F17"/>
    <mergeCell ref="B15:C15"/>
    <mergeCell ref="B16:C16"/>
    <mergeCell ref="B17:C17"/>
    <mergeCell ref="B18:C18"/>
    <mergeCell ref="B20:C20"/>
    <mergeCell ref="B21:C21"/>
    <mergeCell ref="B19:D19"/>
    <mergeCell ref="G20:I20"/>
    <mergeCell ref="H21:I21"/>
    <mergeCell ref="E15:F16"/>
    <mergeCell ref="E7:E8"/>
    <mergeCell ref="H2:I3"/>
    <mergeCell ref="D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80A5-0BE8-484E-BE2E-BB2CFC75AC35}">
  <dimension ref="A1:C15"/>
  <sheetViews>
    <sheetView workbookViewId="0">
      <selection activeCell="D24" sqref="D24"/>
    </sheetView>
  </sheetViews>
  <sheetFormatPr defaultRowHeight="14.25" x14ac:dyDescent="0.45"/>
  <sheetData>
    <row r="1" spans="1:3" x14ac:dyDescent="0.45">
      <c r="A1" t="s">
        <v>5</v>
      </c>
    </row>
    <row r="5" spans="1:3" x14ac:dyDescent="0.45">
      <c r="B5" t="s">
        <v>54</v>
      </c>
      <c r="C5">
        <f>'Full Calculator'!E19</f>
        <v>2897.3866666666668</v>
      </c>
    </row>
    <row r="6" spans="1:3" x14ac:dyDescent="0.45">
      <c r="B6" t="s">
        <v>53</v>
      </c>
      <c r="C6">
        <f>SUM(C5*1.05)</f>
        <v>3042.2560000000003</v>
      </c>
    </row>
    <row r="7" spans="1:3" x14ac:dyDescent="0.45">
      <c r="B7" t="s">
        <v>52</v>
      </c>
      <c r="C7">
        <f>SUM(C6*1.05)</f>
        <v>3194.3688000000006</v>
      </c>
    </row>
    <row r="8" spans="1:3" x14ac:dyDescent="0.45">
      <c r="B8" t="s">
        <v>51</v>
      </c>
      <c r="C8">
        <f>SUM(C7*1.05)</f>
        <v>3354.0872400000007</v>
      </c>
    </row>
    <row r="9" spans="1:3" x14ac:dyDescent="0.45">
      <c r="B9" t="s">
        <v>50</v>
      </c>
      <c r="C9">
        <f>SUM(C8*1.05)</f>
        <v>3521.7916020000011</v>
      </c>
    </row>
    <row r="10" spans="1:3" x14ac:dyDescent="0.45">
      <c r="B10" t="s">
        <v>49</v>
      </c>
      <c r="C10">
        <f>SUM(C9*1.05)</f>
        <v>3697.8811821000013</v>
      </c>
    </row>
    <row r="11" spans="1:3" x14ac:dyDescent="0.45">
      <c r="B11" t="s">
        <v>48</v>
      </c>
      <c r="C11">
        <f>SUM(C10*1.05)</f>
        <v>3882.7752412050017</v>
      </c>
    </row>
    <row r="12" spans="1:3" x14ac:dyDescent="0.45">
      <c r="B12" t="s">
        <v>47</v>
      </c>
      <c r="C12">
        <f>SUM(C11*1.05)</f>
        <v>4076.9140032652522</v>
      </c>
    </row>
    <row r="13" spans="1:3" x14ac:dyDescent="0.45">
      <c r="B13" t="s">
        <v>46</v>
      </c>
      <c r="C13">
        <f>SUM(C12*1.05)</f>
        <v>4280.7597034285145</v>
      </c>
    </row>
    <row r="14" spans="1:3" x14ac:dyDescent="0.45">
      <c r="B14" t="s">
        <v>45</v>
      </c>
      <c r="C14">
        <f>SUM(C13*1.05)</f>
        <v>4494.7976885999406</v>
      </c>
    </row>
    <row r="15" spans="1:3" x14ac:dyDescent="0.45">
      <c r="C15">
        <f>SUM(C5:C14)</f>
        <v>36443.018127265379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A5F1-063E-48B7-B6BB-C9876FACB226}">
  <dimension ref="A1:K51"/>
  <sheetViews>
    <sheetView topLeftCell="F20" zoomScale="120" zoomScaleNormal="120" workbookViewId="0">
      <selection activeCell="D24" sqref="D24"/>
    </sheetView>
  </sheetViews>
  <sheetFormatPr defaultColWidth="8.796875" defaultRowHeight="14.25" x14ac:dyDescent="0.45"/>
  <cols>
    <col min="1" max="1" width="0" hidden="1" customWidth="1"/>
    <col min="2" max="2" width="43.33203125" hidden="1" customWidth="1"/>
    <col min="3" max="3" width="11.796875" hidden="1" customWidth="1"/>
    <col min="4" max="4" width="12" hidden="1" customWidth="1"/>
    <col min="5" max="5" width="0" hidden="1" customWidth="1"/>
    <col min="6" max="6" width="26.796875" customWidth="1"/>
  </cols>
  <sheetData>
    <row r="1" spans="1:7" x14ac:dyDescent="0.45">
      <c r="A1" s="94" t="s">
        <v>5</v>
      </c>
      <c r="B1" s="94"/>
      <c r="C1" s="94"/>
      <c r="D1" s="94"/>
      <c r="E1" s="94"/>
    </row>
    <row r="2" spans="1:7" x14ac:dyDescent="0.45">
      <c r="A2" s="94"/>
      <c r="B2" s="96" t="s">
        <v>102</v>
      </c>
      <c r="C2" s="96" t="s">
        <v>101</v>
      </c>
      <c r="D2" s="104" t="s">
        <v>62</v>
      </c>
      <c r="E2" s="94"/>
    </row>
    <row r="3" spans="1:7" x14ac:dyDescent="0.45">
      <c r="A3" s="94"/>
      <c r="B3" s="96" t="s">
        <v>100</v>
      </c>
      <c r="C3" s="95">
        <v>528</v>
      </c>
      <c r="D3" s="97">
        <v>1500</v>
      </c>
      <c r="E3" s="94"/>
    </row>
    <row r="4" spans="1:7" x14ac:dyDescent="0.45">
      <c r="A4" s="94"/>
      <c r="B4" s="96" t="s">
        <v>99</v>
      </c>
      <c r="C4" s="95">
        <v>1045</v>
      </c>
      <c r="D4" s="97">
        <v>1500</v>
      </c>
      <c r="E4" s="94"/>
    </row>
    <row r="5" spans="1:7" x14ac:dyDescent="0.45">
      <c r="A5" s="94"/>
      <c r="B5" s="96" t="s">
        <v>98</v>
      </c>
      <c r="C5" s="95">
        <v>1527</v>
      </c>
      <c r="D5" s="97">
        <v>3000</v>
      </c>
      <c r="E5" s="94"/>
    </row>
    <row r="6" spans="1:7" x14ac:dyDescent="0.45">
      <c r="A6" s="94"/>
      <c r="B6" s="96" t="s">
        <v>97</v>
      </c>
      <c r="C6" s="95">
        <v>3077</v>
      </c>
      <c r="D6" s="97">
        <v>3000</v>
      </c>
      <c r="E6" s="94"/>
    </row>
    <row r="7" spans="1:7" x14ac:dyDescent="0.45">
      <c r="A7" s="94"/>
      <c r="B7" s="96" t="s">
        <v>96</v>
      </c>
      <c r="C7" s="97">
        <v>3002</v>
      </c>
      <c r="D7" s="97">
        <v>4000</v>
      </c>
      <c r="E7" s="94"/>
      <c r="G7" s="103"/>
    </row>
    <row r="8" spans="1:7" x14ac:dyDescent="0.45">
      <c r="A8" s="94"/>
      <c r="B8" s="96" t="s">
        <v>95</v>
      </c>
      <c r="C8" s="97">
        <v>3486</v>
      </c>
      <c r="D8" s="97">
        <v>55000</v>
      </c>
      <c r="E8" s="94"/>
      <c r="G8" s="102"/>
    </row>
    <row r="9" spans="1:7" x14ac:dyDescent="0.45">
      <c r="A9" s="94"/>
      <c r="B9" s="96" t="s">
        <v>94</v>
      </c>
      <c r="C9" s="97">
        <v>4212</v>
      </c>
      <c r="D9" s="97">
        <v>7000</v>
      </c>
      <c r="E9" s="94"/>
      <c r="G9" s="1"/>
    </row>
    <row r="10" spans="1:7" x14ac:dyDescent="0.45">
      <c r="A10" s="94"/>
      <c r="B10" s="96" t="s">
        <v>94</v>
      </c>
      <c r="C10" s="97">
        <v>3500</v>
      </c>
      <c r="D10" s="97">
        <v>7200</v>
      </c>
      <c r="E10" s="94"/>
    </row>
    <row r="11" spans="1:7" x14ac:dyDescent="0.45">
      <c r="A11" s="94"/>
      <c r="B11" s="96" t="s">
        <v>93</v>
      </c>
      <c r="C11" s="97">
        <v>2035</v>
      </c>
      <c r="D11" s="97">
        <v>2500</v>
      </c>
      <c r="E11" s="94"/>
    </row>
    <row r="12" spans="1:7" x14ac:dyDescent="0.45">
      <c r="A12" s="94"/>
      <c r="B12" s="96" t="s">
        <v>92</v>
      </c>
      <c r="C12" s="97">
        <v>3135</v>
      </c>
      <c r="D12" s="97">
        <v>2500</v>
      </c>
      <c r="E12" s="94"/>
    </row>
    <row r="13" spans="1:7" x14ac:dyDescent="0.45">
      <c r="A13" s="94"/>
      <c r="B13" s="96" t="s">
        <v>91</v>
      </c>
      <c r="C13" s="97">
        <v>3850</v>
      </c>
      <c r="D13" s="97">
        <v>4000</v>
      </c>
      <c r="E13" s="94"/>
    </row>
    <row r="14" spans="1:7" x14ac:dyDescent="0.45">
      <c r="A14" s="94"/>
      <c r="B14" s="96" t="s">
        <v>90</v>
      </c>
      <c r="C14" s="97">
        <v>1549</v>
      </c>
      <c r="D14" s="97"/>
      <c r="E14" s="94"/>
    </row>
    <row r="15" spans="1:7" x14ac:dyDescent="0.45">
      <c r="A15" s="94"/>
      <c r="B15" s="96" t="s">
        <v>89</v>
      </c>
      <c r="C15" s="97">
        <v>2188</v>
      </c>
      <c r="D15" s="97"/>
      <c r="E15" s="94"/>
    </row>
    <row r="16" spans="1:7" x14ac:dyDescent="0.45">
      <c r="A16" s="94"/>
      <c r="B16" s="96" t="s">
        <v>88</v>
      </c>
      <c r="C16" s="97">
        <v>3500</v>
      </c>
      <c r="D16" s="97"/>
      <c r="E16" s="94"/>
    </row>
    <row r="17" spans="1:5" x14ac:dyDescent="0.45">
      <c r="A17" s="94"/>
      <c r="B17" s="96" t="s">
        <v>87</v>
      </c>
      <c r="C17" s="97">
        <v>3989</v>
      </c>
      <c r="D17" s="97"/>
      <c r="E17" s="94"/>
    </row>
    <row r="18" spans="1:5" x14ac:dyDescent="0.45">
      <c r="A18" s="94"/>
      <c r="B18" s="96" t="s">
        <v>86</v>
      </c>
      <c r="C18" s="97">
        <v>4199</v>
      </c>
      <c r="D18" s="97"/>
      <c r="E18" s="94"/>
    </row>
    <row r="19" spans="1:5" x14ac:dyDescent="0.45">
      <c r="A19" s="94"/>
      <c r="B19" s="96" t="s">
        <v>55</v>
      </c>
      <c r="C19" s="98"/>
      <c r="D19" s="97"/>
      <c r="E19" s="94"/>
    </row>
    <row r="20" spans="1:5" x14ac:dyDescent="0.45">
      <c r="A20" s="94"/>
      <c r="B20" s="94"/>
      <c r="C20" s="94"/>
      <c r="D20" s="94"/>
      <c r="E20" s="94"/>
    </row>
    <row r="21" spans="1:5" x14ac:dyDescent="0.45">
      <c r="A21" s="94"/>
      <c r="B21" s="96" t="s">
        <v>85</v>
      </c>
      <c r="C21" s="96" t="s">
        <v>84</v>
      </c>
      <c r="D21" s="96" t="s">
        <v>62</v>
      </c>
      <c r="E21" s="94"/>
    </row>
    <row r="22" spans="1:5" x14ac:dyDescent="0.45">
      <c r="A22" s="94"/>
      <c r="B22" s="96" t="s">
        <v>83</v>
      </c>
      <c r="C22" s="95">
        <v>150.63999999999999</v>
      </c>
      <c r="D22" s="95">
        <v>0</v>
      </c>
      <c r="E22" s="94"/>
    </row>
    <row r="23" spans="1:5" x14ac:dyDescent="0.45">
      <c r="A23" s="94"/>
      <c r="B23" s="94"/>
      <c r="C23" s="94"/>
      <c r="D23" s="94"/>
      <c r="E23" s="94"/>
    </row>
    <row r="24" spans="1:5" x14ac:dyDescent="0.45">
      <c r="A24" s="94"/>
      <c r="B24" s="96"/>
      <c r="C24" s="95"/>
      <c r="D24" s="97"/>
      <c r="E24" s="94"/>
    </row>
    <row r="25" spans="1:5" x14ac:dyDescent="0.45">
      <c r="A25" s="94"/>
      <c r="B25" s="94"/>
      <c r="C25" s="95"/>
      <c r="D25" s="97"/>
      <c r="E25" s="94"/>
    </row>
    <row r="26" spans="1:5" x14ac:dyDescent="0.45">
      <c r="A26" s="94"/>
      <c r="B26" s="96" t="s">
        <v>82</v>
      </c>
      <c r="C26" s="95" t="s">
        <v>63</v>
      </c>
      <c r="D26" s="97" t="s">
        <v>62</v>
      </c>
      <c r="E26" s="94"/>
    </row>
    <row r="27" spans="1:5" x14ac:dyDescent="0.45">
      <c r="A27" s="94"/>
      <c r="B27" s="96" t="s">
        <v>81</v>
      </c>
      <c r="C27" s="95">
        <v>2605.9</v>
      </c>
      <c r="D27" s="97">
        <v>0</v>
      </c>
      <c r="E27" s="94">
        <v>1759</v>
      </c>
    </row>
    <row r="28" spans="1:5" x14ac:dyDescent="0.45">
      <c r="A28" s="94"/>
      <c r="B28" s="96" t="s">
        <v>80</v>
      </c>
      <c r="C28" s="95">
        <f>SUM(C27*2)</f>
        <v>5211.8</v>
      </c>
      <c r="D28" s="97">
        <v>0</v>
      </c>
      <c r="E28" s="94">
        <v>1759</v>
      </c>
    </row>
    <row r="29" spans="1:5" x14ac:dyDescent="0.45">
      <c r="A29" s="94"/>
      <c r="B29" s="96" t="s">
        <v>79</v>
      </c>
      <c r="C29" s="95">
        <f>SUM(C27*3)</f>
        <v>7817.7000000000007</v>
      </c>
      <c r="D29" s="97">
        <v>0</v>
      </c>
      <c r="E29" s="94">
        <v>1759</v>
      </c>
    </row>
    <row r="30" spans="1:5" x14ac:dyDescent="0.45">
      <c r="A30" s="94"/>
      <c r="B30" s="96" t="s">
        <v>78</v>
      </c>
      <c r="C30" s="95">
        <f>SUM(C27*4)</f>
        <v>10423.6</v>
      </c>
      <c r="D30" s="97">
        <v>0</v>
      </c>
      <c r="E30" s="94">
        <v>1759</v>
      </c>
    </row>
    <row r="31" spans="1:5" x14ac:dyDescent="0.45">
      <c r="A31" s="94"/>
      <c r="B31" s="96" t="s">
        <v>77</v>
      </c>
      <c r="C31" s="95">
        <f>SUM(C27*5)</f>
        <v>13029.5</v>
      </c>
      <c r="D31" s="97">
        <v>1</v>
      </c>
      <c r="E31" s="94">
        <v>1759</v>
      </c>
    </row>
    <row r="32" spans="1:5" x14ac:dyDescent="0.45">
      <c r="A32" s="94"/>
      <c r="B32" s="96" t="s">
        <v>76</v>
      </c>
      <c r="C32" s="95">
        <f>SUM(C27*6)</f>
        <v>15635.400000000001</v>
      </c>
      <c r="D32" s="97">
        <v>2</v>
      </c>
      <c r="E32" s="94">
        <v>1759</v>
      </c>
    </row>
    <row r="33" spans="1:11" x14ac:dyDescent="0.45">
      <c r="A33" s="94"/>
      <c r="B33" s="96" t="s">
        <v>75</v>
      </c>
      <c r="C33" s="95">
        <v>6871</v>
      </c>
      <c r="D33" s="97">
        <v>0</v>
      </c>
      <c r="E33" s="94"/>
    </row>
    <row r="34" spans="1:11" x14ac:dyDescent="0.45">
      <c r="A34" s="94"/>
      <c r="B34" s="96" t="s">
        <v>74</v>
      </c>
      <c r="C34" s="95">
        <f>SUM(C33+E27)</f>
        <v>8630</v>
      </c>
      <c r="D34" s="97">
        <v>0</v>
      </c>
      <c r="E34" s="94"/>
      <c r="F34" s="100" t="s">
        <v>73</v>
      </c>
      <c r="G34" s="99">
        <v>1.0660000000000001</v>
      </c>
      <c r="I34" s="102" t="s">
        <v>72</v>
      </c>
      <c r="J34" s="102">
        <v>39</v>
      </c>
    </row>
    <row r="35" spans="1:11" x14ac:dyDescent="0.45">
      <c r="A35" s="94"/>
      <c r="B35" s="96" t="s">
        <v>71</v>
      </c>
      <c r="C35" s="95">
        <f>SUM(C34+E28)</f>
        <v>10389</v>
      </c>
      <c r="D35" s="97">
        <v>0</v>
      </c>
      <c r="E35" s="94"/>
      <c r="F35" s="100" t="s">
        <v>70</v>
      </c>
      <c r="G35" s="99">
        <v>1.0660000000000001</v>
      </c>
    </row>
    <row r="36" spans="1:11" x14ac:dyDescent="0.45">
      <c r="A36" s="94"/>
      <c r="B36" s="96" t="s">
        <v>69</v>
      </c>
      <c r="C36" s="95">
        <f>SUM(C35+E29)</f>
        <v>12148</v>
      </c>
      <c r="D36" s="97">
        <v>0</v>
      </c>
      <c r="E36" s="94"/>
      <c r="F36" s="100" t="s">
        <v>68</v>
      </c>
      <c r="G36" s="99">
        <v>0.96199999999999997</v>
      </c>
      <c r="I36" s="102">
        <v>6.66</v>
      </c>
      <c r="J36" s="102">
        <v>500</v>
      </c>
      <c r="K36" s="101">
        <f>(J36/I36)/100</f>
        <v>0.75075075075075082</v>
      </c>
    </row>
    <row r="37" spans="1:11" x14ac:dyDescent="0.45">
      <c r="A37" s="94"/>
      <c r="B37" s="96" t="s">
        <v>67</v>
      </c>
      <c r="C37" s="95">
        <f>SUM(C36+E30)</f>
        <v>13907</v>
      </c>
      <c r="D37" s="97">
        <v>0</v>
      </c>
      <c r="E37" s="94"/>
      <c r="F37" s="100" t="s">
        <v>66</v>
      </c>
      <c r="G37" s="99">
        <v>0.82699999999999996</v>
      </c>
    </row>
    <row r="38" spans="1:11" x14ac:dyDescent="0.45">
      <c r="A38" s="94"/>
      <c r="B38" s="96" t="s">
        <v>65</v>
      </c>
      <c r="C38" s="95">
        <f>SUM(C37+E31)</f>
        <v>15666</v>
      </c>
      <c r="D38" s="97">
        <v>0</v>
      </c>
      <c r="E38" s="94"/>
    </row>
    <row r="39" spans="1:11" x14ac:dyDescent="0.45">
      <c r="A39" s="94"/>
      <c r="B39" s="96" t="s">
        <v>55</v>
      </c>
      <c r="C39" s="98"/>
      <c r="D39" s="97"/>
      <c r="E39" s="94"/>
    </row>
    <row r="40" spans="1:11" x14ac:dyDescent="0.45">
      <c r="A40" s="94"/>
      <c r="B40" s="96"/>
      <c r="C40" s="98"/>
      <c r="D40" s="97"/>
      <c r="E40" s="94"/>
    </row>
    <row r="41" spans="1:11" x14ac:dyDescent="0.45">
      <c r="A41" s="94"/>
      <c r="B41" s="94"/>
      <c r="C41" s="94"/>
      <c r="D41" s="97"/>
      <c r="E41" s="94"/>
    </row>
    <row r="42" spans="1:11" x14ac:dyDescent="0.45">
      <c r="A42" s="94"/>
      <c r="B42" s="96" t="s">
        <v>64</v>
      </c>
      <c r="C42" s="96" t="s">
        <v>63</v>
      </c>
      <c r="D42" s="96" t="s">
        <v>62</v>
      </c>
      <c r="E42" s="94"/>
    </row>
    <row r="43" spans="1:11" x14ac:dyDescent="0.45">
      <c r="A43" s="94"/>
      <c r="B43" s="96" t="s">
        <v>61</v>
      </c>
      <c r="C43" s="95">
        <v>89</v>
      </c>
      <c r="D43" s="95">
        <v>10</v>
      </c>
      <c r="E43" s="94"/>
    </row>
    <row r="44" spans="1:11" x14ac:dyDescent="0.45">
      <c r="A44" s="94"/>
      <c r="B44" s="96" t="s">
        <v>60</v>
      </c>
      <c r="C44" s="95">
        <v>35</v>
      </c>
      <c r="D44" s="95">
        <v>10</v>
      </c>
      <c r="E44" s="94"/>
    </row>
    <row r="45" spans="1:11" x14ac:dyDescent="0.45">
      <c r="A45" s="94"/>
      <c r="B45" s="96" t="s">
        <v>59</v>
      </c>
      <c r="C45" s="95">
        <v>250</v>
      </c>
      <c r="D45" s="95">
        <v>0</v>
      </c>
      <c r="E45" s="94"/>
    </row>
    <row r="46" spans="1:11" x14ac:dyDescent="0.45">
      <c r="A46" s="94"/>
      <c r="B46" s="96" t="s">
        <v>58</v>
      </c>
      <c r="C46" s="95">
        <v>250</v>
      </c>
      <c r="D46" s="95">
        <v>0</v>
      </c>
      <c r="E46" s="94"/>
    </row>
    <row r="47" spans="1:11" x14ac:dyDescent="0.45">
      <c r="A47" s="94"/>
      <c r="B47" s="96" t="s">
        <v>57</v>
      </c>
      <c r="C47" s="95">
        <v>250</v>
      </c>
      <c r="D47" s="95">
        <v>0</v>
      </c>
      <c r="E47" s="94"/>
    </row>
    <row r="48" spans="1:11" x14ac:dyDescent="0.45">
      <c r="A48" s="94"/>
      <c r="B48" s="96" t="s">
        <v>56</v>
      </c>
      <c r="C48" s="95">
        <v>1000</v>
      </c>
      <c r="D48" s="95">
        <v>0</v>
      </c>
      <c r="E48" s="94"/>
    </row>
    <row r="49" spans="1:5" x14ac:dyDescent="0.45">
      <c r="A49" s="94"/>
      <c r="B49" s="96" t="s">
        <v>55</v>
      </c>
      <c r="C49" s="95">
        <v>0</v>
      </c>
      <c r="D49" s="95">
        <v>0</v>
      </c>
      <c r="E49" s="94"/>
    </row>
    <row r="50" spans="1:5" x14ac:dyDescent="0.45">
      <c r="A50" s="94"/>
      <c r="B50" s="94"/>
      <c r="C50" s="94"/>
      <c r="D50" s="94"/>
      <c r="E50" s="94"/>
    </row>
    <row r="51" spans="1:5" x14ac:dyDescent="0.45">
      <c r="A51" s="94"/>
      <c r="B51" s="94"/>
      <c r="C51" s="94"/>
      <c r="D51" s="94"/>
      <c r="E51" s="9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51EB-AB2F-48F1-8CAE-BC0F87E8D137}">
  <dimension ref="A1:AZ33"/>
  <sheetViews>
    <sheetView topLeftCell="B1" zoomScaleNormal="100" workbookViewId="0">
      <selection activeCell="AK1" sqref="AK1"/>
    </sheetView>
  </sheetViews>
  <sheetFormatPr defaultColWidth="9" defaultRowHeight="14.25" x14ac:dyDescent="0.45"/>
  <cols>
    <col min="1" max="1" width="12" style="105" hidden="1" customWidth="1"/>
    <col min="2" max="2" width="12" style="105" bestFit="1" customWidth="1"/>
    <col min="3" max="3" width="8" style="1" customWidth="1"/>
    <col min="4" max="4" width="28.46484375" style="1" hidden="1" customWidth="1"/>
    <col min="5" max="5" width="35.9296875" style="1" hidden="1" customWidth="1"/>
    <col min="6" max="6" width="8.6640625" style="1" hidden="1" customWidth="1"/>
    <col min="7" max="7" width="10.6640625" style="1" hidden="1" customWidth="1"/>
    <col min="8" max="8" width="8.6640625" style="1" hidden="1" customWidth="1"/>
    <col min="9" max="9" width="9.33203125" style="1" hidden="1" customWidth="1"/>
    <col min="10" max="10" width="6.33203125" style="1" hidden="1" customWidth="1"/>
    <col min="11" max="12" width="11.6640625" style="1" hidden="1" customWidth="1"/>
    <col min="13" max="13" width="21.796875" style="1" hidden="1" customWidth="1"/>
    <col min="14" max="14" width="7.33203125" style="1" hidden="1" customWidth="1"/>
    <col min="15" max="16" width="11.6640625" style="1" hidden="1" customWidth="1"/>
    <col min="17" max="17" width="24.1328125" style="1" hidden="1" customWidth="1"/>
    <col min="18" max="18" width="5.6640625" style="1" hidden="1" customWidth="1"/>
    <col min="19" max="21" width="11.33203125" style="1" hidden="1" customWidth="1"/>
    <col min="22" max="22" width="9.53125" style="1" hidden="1" customWidth="1"/>
    <col min="23" max="23" width="9.6640625" style="1" hidden="1" customWidth="1"/>
    <col min="24" max="24" width="10.73046875" style="1" hidden="1" customWidth="1"/>
    <col min="25" max="25" width="11.73046875" style="1" bestFit="1" customWidth="1"/>
    <col min="26" max="26" width="21.6640625" style="1" hidden="1" customWidth="1"/>
    <col min="27" max="27" width="14.1328125" style="1" hidden="1" customWidth="1"/>
    <col min="28" max="29" width="18" style="1" hidden="1" customWidth="1"/>
    <col min="30" max="31" width="12.33203125" style="1" hidden="1" customWidth="1"/>
    <col min="32" max="32" width="11.6640625" style="1" bestFit="1" customWidth="1"/>
    <col min="33" max="33" width="11.6640625" style="1" customWidth="1"/>
    <col min="34" max="37" width="9" style="1"/>
    <col min="38" max="38" width="15.6640625" style="1" bestFit="1" customWidth="1"/>
    <col min="39" max="39" width="16.6640625" style="1" bestFit="1" customWidth="1"/>
    <col min="40" max="16384" width="9" style="1"/>
  </cols>
  <sheetData>
    <row r="1" spans="1:52" ht="23" customHeight="1" thickBot="1" x14ac:dyDescent="0.5">
      <c r="A1" s="135" t="s">
        <v>5</v>
      </c>
      <c r="B1" s="134" t="s">
        <v>120</v>
      </c>
      <c r="C1" s="133" t="s">
        <v>119</v>
      </c>
      <c r="D1" s="133" t="s">
        <v>118</v>
      </c>
      <c r="E1" s="133" t="s">
        <v>117</v>
      </c>
      <c r="F1" s="133" t="s">
        <v>113</v>
      </c>
      <c r="G1" s="133" t="s">
        <v>63</v>
      </c>
      <c r="H1" s="133" t="s">
        <v>62</v>
      </c>
      <c r="I1" s="133" t="s">
        <v>116</v>
      </c>
      <c r="J1" s="133"/>
      <c r="K1" s="133" t="s">
        <v>63</v>
      </c>
      <c r="L1" s="133" t="s">
        <v>62</v>
      </c>
      <c r="M1" s="133" t="s">
        <v>115</v>
      </c>
      <c r="N1" s="133" t="s">
        <v>113</v>
      </c>
      <c r="O1" s="133" t="s">
        <v>63</v>
      </c>
      <c r="P1" s="133" t="s">
        <v>62</v>
      </c>
      <c r="Q1" s="133" t="s">
        <v>114</v>
      </c>
      <c r="R1" s="133" t="s">
        <v>113</v>
      </c>
      <c r="S1" s="133" t="s">
        <v>63</v>
      </c>
      <c r="T1" s="133"/>
      <c r="U1" s="133" t="s">
        <v>63</v>
      </c>
      <c r="V1" s="133" t="s">
        <v>112</v>
      </c>
      <c r="W1" s="133" t="s">
        <v>62</v>
      </c>
      <c r="X1" s="133" t="s">
        <v>111</v>
      </c>
      <c r="Y1" s="133" t="s">
        <v>110</v>
      </c>
      <c r="Z1" s="132" t="s">
        <v>109</v>
      </c>
      <c r="AA1" s="131" t="s">
        <v>108</v>
      </c>
      <c r="AB1" s="131" t="s">
        <v>107</v>
      </c>
      <c r="AC1" s="131" t="s">
        <v>106</v>
      </c>
      <c r="AD1" s="131" t="s">
        <v>105</v>
      </c>
      <c r="AE1" s="131" t="s">
        <v>104</v>
      </c>
    </row>
    <row r="2" spans="1:52" x14ac:dyDescent="0.45">
      <c r="A2" s="130"/>
      <c r="B2" s="129" t="s">
        <v>68</v>
      </c>
      <c r="C2" s="128">
        <v>11.6</v>
      </c>
      <c r="D2" s="128" t="s">
        <v>103</v>
      </c>
      <c r="E2" s="128" t="s">
        <v>93</v>
      </c>
      <c r="F2" s="128">
        <v>1</v>
      </c>
      <c r="G2" s="101">
        <f>(_xlfn.XLOOKUP(E2,[2]Data!$B$3:$B$19,[2]Data!$C$3:$C$19,0)*F2)</f>
        <v>2035</v>
      </c>
      <c r="H2" s="101"/>
      <c r="I2" s="126" t="s">
        <v>83</v>
      </c>
      <c r="J2" s="127">
        <v>26</v>
      </c>
      <c r="K2" s="101" cm="1">
        <f t="array" ref="K2:L2">(_xlfn.XLOOKUP(I2,[2]Data!$B$22:$B$22,[2]Data!$C$22:$D$22,0))*J2</f>
        <v>3916.6399999999994</v>
      </c>
      <c r="L2" s="101">
        <v>0</v>
      </c>
      <c r="M2" s="126" t="s">
        <v>75</v>
      </c>
      <c r="N2" s="127">
        <v>1</v>
      </c>
      <c r="O2" s="101" cm="1">
        <f t="array" ref="O2:P2">(_xlfn.XLOOKUP(M2,[2]Data!$B$27:$B$39,[2]Data!$C$27:$D$39,0)*N2)</f>
        <v>6871</v>
      </c>
      <c r="P2" s="101">
        <v>0</v>
      </c>
      <c r="Q2" s="126"/>
      <c r="R2" s="127"/>
      <c r="S2" s="101" cm="1">
        <f t="array" ref="S2">(_xlfn.XLOOKUP(Q2,[2]Data!$B$43:$B$47,[2]Data!$C$43:$D$47,0))*R2</f>
        <v>0</v>
      </c>
      <c r="T2" s="101"/>
      <c r="U2" s="101">
        <f>SUM(S2:T2)</f>
        <v>0</v>
      </c>
      <c r="V2" s="101">
        <f>(C2*[2]Data!$K$36)*100</f>
        <v>870.87087087087093</v>
      </c>
      <c r="W2" s="126">
        <v>4000</v>
      </c>
      <c r="X2" s="101">
        <f>SUM(G2,K2,O2,U2,V2,W2)</f>
        <v>17693.510870870872</v>
      </c>
      <c r="Y2" s="125">
        <f>(C2*(((_xlfn.XLOOKUP(B2,[2]Data!$F$34:$F$37,[2]Data!$G$34:$G$37)))*10)*[2]Data!$J$34)</f>
        <v>4352.0879999999997</v>
      </c>
      <c r="Z2" s="124">
        <v>0</v>
      </c>
      <c r="AA2" s="123">
        <f>((Z2+Y2)-X2)</f>
        <v>-13341.422870870872</v>
      </c>
      <c r="AB2" s="6" t="e">
        <f>SUM(#REF!/5/13)+8.6</f>
        <v>#REF!</v>
      </c>
      <c r="AC2" s="6" t="e">
        <f>SUM(AB2*2)</f>
        <v>#REF!</v>
      </c>
      <c r="AD2" s="6" t="e">
        <f>SUM(AB2*60)</f>
        <v>#REF!</v>
      </c>
      <c r="AE2" s="6" t="e">
        <f>SUM(AD2*2)</f>
        <v>#REF!</v>
      </c>
    </row>
    <row r="3" spans="1:52" x14ac:dyDescent="0.45">
      <c r="G3" s="6"/>
      <c r="H3" s="6"/>
      <c r="I3" s="6"/>
      <c r="J3" s="112"/>
      <c r="K3" s="6"/>
      <c r="L3" s="6"/>
      <c r="M3" s="6"/>
      <c r="N3" s="112"/>
      <c r="O3" s="6"/>
      <c r="P3" s="6"/>
      <c r="Q3" s="6"/>
      <c r="R3" s="112"/>
      <c r="S3" s="6"/>
      <c r="T3" s="6"/>
      <c r="U3" s="6"/>
      <c r="V3" s="6"/>
      <c r="W3" s="6"/>
      <c r="X3" s="6"/>
      <c r="Y3" s="119"/>
      <c r="Z3" s="119"/>
      <c r="AA3" s="6"/>
      <c r="AB3" s="6"/>
      <c r="AC3" s="6"/>
      <c r="AD3" s="6"/>
      <c r="AE3" s="6"/>
    </row>
    <row r="4" spans="1:52" x14ac:dyDescent="0.45">
      <c r="G4" s="6"/>
      <c r="H4" s="6"/>
      <c r="I4" s="6"/>
      <c r="J4" s="112"/>
      <c r="K4" s="6"/>
      <c r="L4" s="6"/>
      <c r="M4" s="6"/>
      <c r="N4" s="112"/>
      <c r="O4" s="6"/>
      <c r="P4" s="6"/>
      <c r="Q4" s="6"/>
      <c r="R4" s="112"/>
      <c r="S4" s="6"/>
      <c r="T4" s="6"/>
      <c r="U4" s="6"/>
      <c r="V4" s="6"/>
      <c r="W4" s="6"/>
      <c r="X4" s="6"/>
      <c r="Y4" s="119"/>
      <c r="Z4" s="119"/>
      <c r="AA4" s="6"/>
      <c r="AB4" s="6"/>
      <c r="AC4" s="6"/>
      <c r="AD4" s="6"/>
    </row>
    <row r="5" spans="1:52" x14ac:dyDescent="0.45">
      <c r="G5" s="6"/>
      <c r="H5" s="6"/>
      <c r="I5" s="6"/>
      <c r="J5" s="112"/>
      <c r="K5" s="6"/>
      <c r="L5" s="6"/>
      <c r="M5" s="6"/>
      <c r="N5" s="112"/>
      <c r="O5" s="6"/>
      <c r="P5" s="6"/>
      <c r="Q5" s="6"/>
      <c r="R5" s="112"/>
      <c r="S5" s="6"/>
      <c r="T5" s="6"/>
      <c r="U5" s="6"/>
      <c r="V5" s="6"/>
      <c r="W5" s="6"/>
      <c r="X5" s="6"/>
      <c r="Y5" s="119"/>
      <c r="Z5" s="119"/>
      <c r="AA5" s="6"/>
      <c r="AB5" s="6"/>
      <c r="AC5" s="6"/>
      <c r="AD5" s="6"/>
    </row>
    <row r="6" spans="1:52" s="122" customFormat="1" x14ac:dyDescent="0.45">
      <c r="A6" s="105"/>
      <c r="B6" s="105"/>
      <c r="C6" s="1"/>
      <c r="D6" s="1"/>
      <c r="E6" s="1"/>
      <c r="F6" s="1"/>
      <c r="G6" s="6"/>
      <c r="H6" s="6"/>
      <c r="I6" s="6"/>
      <c r="J6" s="112"/>
      <c r="K6" s="6"/>
      <c r="L6" s="6"/>
      <c r="M6" s="6"/>
      <c r="N6" s="112"/>
      <c r="O6" s="6"/>
      <c r="P6" s="6"/>
      <c r="Q6" s="6"/>
      <c r="R6" s="112"/>
      <c r="S6" s="6"/>
      <c r="T6" s="6"/>
      <c r="U6" s="6"/>
      <c r="V6" s="6"/>
      <c r="W6" s="6"/>
      <c r="X6" s="6"/>
      <c r="Y6" s="119"/>
      <c r="Z6" s="119"/>
      <c r="AA6" s="6"/>
      <c r="AB6" s="6"/>
      <c r="AC6" s="6"/>
      <c r="AD6" s="6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45">
      <c r="G7" s="6"/>
      <c r="H7" s="6"/>
      <c r="I7" s="6"/>
      <c r="J7" s="112"/>
      <c r="K7" s="6"/>
      <c r="L7" s="6"/>
      <c r="M7" s="6"/>
      <c r="N7" s="112"/>
      <c r="O7" s="6"/>
      <c r="P7" s="6"/>
      <c r="Q7" s="6"/>
      <c r="R7" s="112"/>
      <c r="S7" s="6"/>
      <c r="T7" s="6"/>
      <c r="U7" s="6"/>
      <c r="V7" s="6"/>
      <c r="W7" s="6"/>
      <c r="X7" s="6"/>
      <c r="Y7" s="119"/>
      <c r="Z7" s="119"/>
      <c r="AA7" s="6"/>
      <c r="AB7" s="6"/>
      <c r="AC7" s="6"/>
      <c r="AD7" s="6"/>
    </row>
    <row r="8" spans="1:52" x14ac:dyDescent="0.45">
      <c r="G8" s="6"/>
      <c r="H8" s="6"/>
      <c r="I8" s="6"/>
      <c r="J8" s="112"/>
      <c r="K8" s="6"/>
      <c r="L8" s="6"/>
      <c r="M8" s="6"/>
      <c r="N8" s="112"/>
      <c r="O8" s="6"/>
      <c r="P8" s="6"/>
      <c r="Q8" s="6"/>
      <c r="R8" s="112"/>
      <c r="S8" s="6"/>
      <c r="T8" s="6"/>
      <c r="U8" s="6"/>
      <c r="V8" s="6"/>
      <c r="W8" s="6"/>
      <c r="X8" s="6"/>
      <c r="Y8" s="119"/>
      <c r="Z8" s="121"/>
      <c r="AA8" s="6"/>
      <c r="AB8" s="6"/>
      <c r="AC8" s="6"/>
      <c r="AD8" s="6"/>
    </row>
    <row r="9" spans="1:52" x14ac:dyDescent="0.45">
      <c r="G9" s="6"/>
      <c r="H9" s="6"/>
      <c r="I9" s="6"/>
      <c r="J9" s="112"/>
      <c r="K9" s="6"/>
      <c r="L9" s="6"/>
      <c r="M9" s="6"/>
      <c r="N9" s="112"/>
      <c r="O9" s="6"/>
      <c r="P9" s="6"/>
      <c r="Q9" s="6"/>
      <c r="R9" s="112"/>
      <c r="S9" s="6"/>
      <c r="T9" s="6"/>
      <c r="U9" s="6"/>
      <c r="V9" s="6"/>
      <c r="W9" s="6"/>
      <c r="X9" s="6"/>
      <c r="Y9" s="119"/>
      <c r="Z9" s="121"/>
      <c r="AA9" s="6"/>
      <c r="AB9" s="6"/>
      <c r="AC9" s="6"/>
      <c r="AD9" s="6"/>
    </row>
    <row r="10" spans="1:52" x14ac:dyDescent="0.45">
      <c r="G10" s="6"/>
      <c r="H10" s="6"/>
      <c r="I10" s="6"/>
      <c r="J10" s="112"/>
      <c r="K10" s="6"/>
      <c r="L10" s="6"/>
      <c r="M10" s="6"/>
      <c r="N10" s="112"/>
      <c r="O10" s="6"/>
      <c r="P10" s="6"/>
      <c r="Q10" s="6"/>
      <c r="R10" s="112"/>
      <c r="S10" s="6"/>
      <c r="T10" s="6"/>
      <c r="U10" s="6"/>
      <c r="V10" s="6"/>
      <c r="W10" s="6"/>
      <c r="X10" s="6"/>
      <c r="Y10" s="119"/>
      <c r="Z10" s="121"/>
      <c r="AA10" s="6"/>
      <c r="AB10" s="6"/>
      <c r="AC10" s="6"/>
      <c r="AD10" s="6"/>
    </row>
    <row r="11" spans="1:52" x14ac:dyDescent="0.45">
      <c r="G11" s="6"/>
      <c r="H11" s="6"/>
      <c r="I11" s="6"/>
      <c r="J11" s="112"/>
      <c r="K11" s="6"/>
      <c r="L11" s="6"/>
      <c r="M11" s="6"/>
      <c r="N11" s="112"/>
      <c r="O11" s="6"/>
      <c r="P11" s="6"/>
      <c r="Q11" s="6"/>
      <c r="R11" s="112"/>
      <c r="S11" s="6"/>
      <c r="T11" s="6"/>
      <c r="U11" s="6"/>
      <c r="V11" s="6"/>
      <c r="W11" s="6"/>
      <c r="X11" s="6"/>
      <c r="Y11" s="119"/>
      <c r="Z11" s="121"/>
      <c r="AA11" s="6"/>
      <c r="AB11" s="6"/>
      <c r="AC11" s="6"/>
      <c r="AD11" s="6"/>
    </row>
    <row r="12" spans="1:52" x14ac:dyDescent="0.45">
      <c r="G12" s="6"/>
      <c r="H12" s="6"/>
      <c r="I12" s="6"/>
      <c r="J12" s="112"/>
      <c r="K12" s="6"/>
      <c r="L12" s="6"/>
      <c r="M12" s="6"/>
      <c r="N12" s="112"/>
      <c r="O12" s="6"/>
      <c r="P12" s="6"/>
      <c r="Q12" s="6"/>
      <c r="R12" s="112"/>
      <c r="S12" s="6"/>
      <c r="T12" s="6"/>
      <c r="U12" s="6"/>
      <c r="V12" s="6"/>
      <c r="W12" s="6"/>
      <c r="X12" s="6"/>
      <c r="Y12" s="119"/>
      <c r="Z12" s="121"/>
      <c r="AA12" s="6"/>
      <c r="AB12" s="6"/>
      <c r="AC12" s="6"/>
      <c r="AD12" s="6"/>
    </row>
    <row r="13" spans="1:52" x14ac:dyDescent="0.45">
      <c r="G13" s="6"/>
      <c r="H13" s="6"/>
      <c r="I13" s="6"/>
      <c r="J13" s="112"/>
      <c r="K13" s="6"/>
      <c r="L13" s="6"/>
      <c r="M13" s="6"/>
      <c r="N13" s="112"/>
      <c r="O13" s="6"/>
      <c r="P13" s="6"/>
      <c r="Q13" s="6"/>
      <c r="R13" s="112"/>
      <c r="S13" s="6"/>
      <c r="T13" s="6"/>
      <c r="U13" s="6"/>
      <c r="V13" s="6"/>
      <c r="W13" s="6"/>
      <c r="X13" s="6"/>
      <c r="Y13" s="119"/>
      <c r="Z13" s="121"/>
      <c r="AA13" s="6"/>
      <c r="AB13" s="6"/>
      <c r="AC13" s="6"/>
      <c r="AD13" s="6"/>
    </row>
    <row r="14" spans="1:52" x14ac:dyDescent="0.45">
      <c r="G14" s="6"/>
      <c r="H14" s="6"/>
      <c r="I14" s="6"/>
      <c r="J14" s="112"/>
      <c r="K14" s="6"/>
      <c r="L14" s="6"/>
      <c r="M14" s="6"/>
      <c r="N14" s="112"/>
      <c r="O14" s="6"/>
      <c r="P14" s="6"/>
      <c r="Q14" s="6"/>
      <c r="R14" s="112"/>
      <c r="S14" s="6"/>
      <c r="T14" s="6"/>
      <c r="U14" s="6"/>
      <c r="V14" s="6"/>
      <c r="W14" s="6"/>
      <c r="X14" s="6"/>
      <c r="Y14" s="119"/>
      <c r="Z14" s="121"/>
      <c r="AA14" s="6"/>
      <c r="AB14" s="6"/>
      <c r="AC14" s="6"/>
      <c r="AD14" s="6"/>
    </row>
    <row r="15" spans="1:52" x14ac:dyDescent="0.45">
      <c r="G15" s="6"/>
      <c r="H15" s="6"/>
      <c r="I15" s="6"/>
      <c r="J15" s="112"/>
      <c r="K15" s="6"/>
      <c r="L15" s="6"/>
      <c r="M15" s="6"/>
      <c r="N15" s="112"/>
      <c r="O15" s="6"/>
      <c r="P15" s="6"/>
      <c r="Q15" s="6"/>
      <c r="R15" s="112"/>
      <c r="S15" s="6"/>
      <c r="T15" s="6"/>
      <c r="U15" s="6"/>
      <c r="V15" s="6"/>
      <c r="W15" s="6"/>
      <c r="X15" s="6"/>
      <c r="Y15" s="119"/>
      <c r="Z15" s="121"/>
      <c r="AA15" s="6"/>
      <c r="AB15" s="6"/>
      <c r="AC15" s="6"/>
      <c r="AD15" s="6"/>
    </row>
    <row r="16" spans="1:52" x14ac:dyDescent="0.45">
      <c r="G16" s="6"/>
      <c r="H16" s="6"/>
      <c r="I16" s="6"/>
      <c r="J16" s="112"/>
      <c r="K16" s="6"/>
      <c r="L16" s="6"/>
      <c r="M16" s="6"/>
      <c r="N16" s="112"/>
      <c r="O16" s="6"/>
      <c r="P16" s="6"/>
      <c r="Q16" s="6"/>
      <c r="R16" s="112"/>
      <c r="S16" s="6"/>
      <c r="T16" s="6"/>
      <c r="U16" s="6"/>
      <c r="V16" s="6"/>
      <c r="W16" s="6"/>
      <c r="X16" s="6"/>
      <c r="Y16" s="119"/>
      <c r="Z16" s="121"/>
      <c r="AA16" s="6"/>
      <c r="AB16" s="6"/>
      <c r="AC16" s="6"/>
      <c r="AD16" s="6"/>
    </row>
    <row r="17" spans="1:39" x14ac:dyDescent="0.45">
      <c r="G17" s="6"/>
      <c r="H17" s="6"/>
      <c r="I17" s="6"/>
      <c r="J17" s="112"/>
      <c r="K17" s="6"/>
      <c r="L17" s="6"/>
      <c r="M17" s="6"/>
      <c r="N17" s="112"/>
      <c r="O17" s="6"/>
      <c r="P17" s="6"/>
      <c r="Q17" s="6"/>
      <c r="R17" s="112"/>
      <c r="S17" s="6"/>
      <c r="T17" s="6"/>
      <c r="U17" s="6"/>
      <c r="V17" s="6"/>
      <c r="W17" s="6"/>
      <c r="X17" s="6"/>
      <c r="Y17" s="119"/>
      <c r="Z17" s="121"/>
      <c r="AA17" s="6"/>
      <c r="AB17" s="6"/>
      <c r="AC17" s="6"/>
      <c r="AD17" s="6"/>
      <c r="AF17" s="118"/>
      <c r="AG17" s="114"/>
    </row>
    <row r="18" spans="1:39" x14ac:dyDescent="0.45">
      <c r="G18" s="6"/>
      <c r="H18" s="6"/>
      <c r="I18" s="6"/>
      <c r="J18" s="112"/>
      <c r="K18" s="6"/>
      <c r="L18" s="6"/>
      <c r="M18" s="6"/>
      <c r="N18" s="112"/>
      <c r="O18" s="6"/>
      <c r="P18" s="6"/>
      <c r="Q18" s="6"/>
      <c r="R18" s="112"/>
      <c r="S18" s="6"/>
      <c r="T18" s="6"/>
      <c r="U18" s="6"/>
      <c r="V18" s="6"/>
      <c r="W18" s="6"/>
      <c r="X18" s="6"/>
      <c r="Y18" s="119"/>
      <c r="Z18" s="121"/>
      <c r="AA18" s="6"/>
      <c r="AB18" s="6"/>
      <c r="AC18" s="6"/>
      <c r="AD18" s="6"/>
    </row>
    <row r="19" spans="1:39" x14ac:dyDescent="0.45">
      <c r="A19" s="120"/>
      <c r="B19" s="120"/>
      <c r="C19" s="120"/>
      <c r="D19" s="105"/>
      <c r="E19" s="105"/>
      <c r="F19" s="105"/>
      <c r="G19" s="6"/>
      <c r="H19" s="6"/>
      <c r="I19" s="6"/>
      <c r="J19" s="6"/>
      <c r="K19" s="6"/>
      <c r="L19" s="6"/>
      <c r="M19" s="6"/>
      <c r="N19" s="112"/>
      <c r="O19" s="6"/>
      <c r="P19" s="6"/>
      <c r="Q19" s="6"/>
      <c r="R19" s="6"/>
      <c r="S19" s="6"/>
      <c r="T19" s="6"/>
      <c r="U19" s="6"/>
      <c r="V19" s="6"/>
      <c r="W19" s="6"/>
      <c r="X19" s="6"/>
      <c r="Y19" s="119"/>
      <c r="Z19" s="119"/>
      <c r="AA19" s="6"/>
      <c r="AB19" s="112"/>
      <c r="AC19" s="112"/>
      <c r="AF19" s="118"/>
      <c r="AG19" s="114"/>
    </row>
    <row r="20" spans="1:39" x14ac:dyDescent="0.45">
      <c r="Z20" s="109"/>
      <c r="AD20" s="117"/>
      <c r="AE20" s="117"/>
      <c r="AF20" s="116"/>
      <c r="AG20" s="115"/>
      <c r="AH20" s="114"/>
      <c r="AJ20" s="112"/>
      <c r="AK20" s="112"/>
      <c r="AL20" s="113"/>
      <c r="AM20" s="112"/>
    </row>
    <row r="21" spans="1:39" x14ac:dyDescent="0.45">
      <c r="D21" s="10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106"/>
      <c r="S21" s="106"/>
      <c r="T21" s="106"/>
      <c r="U21" s="106"/>
      <c r="V21" s="106"/>
      <c r="W21" s="7"/>
      <c r="X21" s="7"/>
      <c r="Y21" s="7"/>
      <c r="AC21" s="108"/>
    </row>
    <row r="22" spans="1:39" x14ac:dyDescent="0.45">
      <c r="D22" s="107"/>
      <c r="E22" s="10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107"/>
      <c r="Q22" s="111"/>
      <c r="R22" s="107"/>
      <c r="S22" s="106"/>
      <c r="T22" s="106"/>
      <c r="U22" s="106"/>
      <c r="V22" s="106"/>
      <c r="Z22" s="110"/>
      <c r="AA22" s="6"/>
      <c r="AB22" s="109"/>
      <c r="AC22" s="6"/>
    </row>
    <row r="23" spans="1:39" x14ac:dyDescent="0.45">
      <c r="D23" s="107"/>
      <c r="E23" s="10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107"/>
      <c r="Q23" s="107"/>
      <c r="R23" s="107"/>
      <c r="S23" s="106"/>
      <c r="T23" s="106"/>
      <c r="U23" s="106"/>
      <c r="V23" s="106"/>
      <c r="Z23" s="108"/>
      <c r="AA23" s="6"/>
      <c r="AC23" s="6"/>
    </row>
    <row r="24" spans="1:39" x14ac:dyDescent="0.45">
      <c r="D24" s="107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107"/>
      <c r="Q24" s="107"/>
      <c r="R24" s="107"/>
      <c r="S24" s="106"/>
      <c r="T24" s="106"/>
      <c r="U24" s="106"/>
      <c r="V24" s="106"/>
      <c r="Z24" s="108"/>
      <c r="AA24" s="6"/>
      <c r="AC24" s="6"/>
    </row>
    <row r="25" spans="1:39" x14ac:dyDescent="0.45">
      <c r="D25" s="107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107"/>
      <c r="Q25" s="107"/>
      <c r="R25" s="107"/>
      <c r="S25" s="106"/>
      <c r="T25" s="106"/>
      <c r="U25" s="106"/>
      <c r="V25" s="106"/>
      <c r="Z25" s="108"/>
    </row>
    <row r="26" spans="1:39" x14ac:dyDescent="0.45">
      <c r="D26" s="107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107"/>
      <c r="Q26" s="107"/>
      <c r="R26" s="107"/>
      <c r="S26" s="106"/>
      <c r="T26" s="106"/>
      <c r="U26" s="106"/>
      <c r="V26" s="106"/>
    </row>
    <row r="27" spans="1:39" x14ac:dyDescent="0.45">
      <c r="D27" s="107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107"/>
      <c r="Q27" s="107"/>
      <c r="R27" s="107"/>
      <c r="S27" s="106"/>
      <c r="T27" s="106"/>
      <c r="U27" s="106"/>
      <c r="V27" s="106"/>
    </row>
    <row r="28" spans="1:39" x14ac:dyDescent="0.45">
      <c r="D28" s="107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107"/>
      <c r="Q28" s="107"/>
      <c r="R28" s="107"/>
      <c r="S28" s="106"/>
      <c r="T28" s="106"/>
      <c r="U28" s="106"/>
      <c r="V28" s="106"/>
    </row>
    <row r="29" spans="1:39" x14ac:dyDescent="0.45">
      <c r="D29" s="107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107"/>
      <c r="Q29" s="107"/>
      <c r="R29" s="107"/>
      <c r="S29" s="106"/>
      <c r="T29" s="106"/>
      <c r="U29" s="106"/>
      <c r="V29" s="106"/>
    </row>
    <row r="30" spans="1:39" x14ac:dyDescent="0.45"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</row>
    <row r="31" spans="1:39" x14ac:dyDescent="0.45"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</row>
    <row r="32" spans="1:39" x14ac:dyDescent="0.45"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</row>
    <row r="33" spans="4:22" x14ac:dyDescent="0.45"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</row>
  </sheetData>
  <mergeCells count="2">
    <mergeCell ref="A19:C19"/>
    <mergeCell ref="W21:Y21"/>
  </mergeCells>
  <conditionalFormatting sqref="AA2:AA18">
    <cfRule type="cellIs" dxfId="1" priority="1" operator="lessThan">
      <formula>1</formula>
    </cfRule>
    <cfRule type="cellIs" dxfId="0" priority="2" operator="greaterThan">
      <formula>1</formula>
    </cfRule>
  </conditionalFormatting>
  <dataValidations count="2">
    <dataValidation allowBlank="1" showInputMessage="1" showErrorMessage="1" sqref="F2:F18" xr:uid="{664B7346-1B67-4E19-8669-69ED1DEC4B54}"/>
    <dataValidation showInputMessage="1" sqref="R2:R18" xr:uid="{0F0C82A3-8BB9-4AA3-A574-17F69DF04D57}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6D9F-8E15-41AA-A70B-F6B14E5D21A7}">
  <dimension ref="A1:J16"/>
  <sheetViews>
    <sheetView tabSelected="1" workbookViewId="0">
      <selection activeCell="J17" sqref="J17"/>
    </sheetView>
  </sheetViews>
  <sheetFormatPr defaultRowHeight="14.25" x14ac:dyDescent="0.45"/>
  <cols>
    <col min="1" max="3" width="9.06640625" style="1"/>
    <col min="4" max="4" width="13.3984375" style="1" bestFit="1" customWidth="1"/>
    <col min="5" max="5" width="13.6640625" style="1" bestFit="1" customWidth="1"/>
    <col min="6" max="6" width="16.53125" style="1" bestFit="1" customWidth="1"/>
    <col min="7" max="9" width="9.06640625" style="1"/>
    <col min="10" max="10" width="10.19921875" style="1" bestFit="1" customWidth="1"/>
    <col min="11" max="16384" width="9.06640625" style="1"/>
  </cols>
  <sheetData>
    <row r="1" spans="1:10" x14ac:dyDescent="0.45">
      <c r="A1" s="1" t="s">
        <v>5</v>
      </c>
    </row>
    <row r="4" spans="1:10" x14ac:dyDescent="0.45">
      <c r="C4" s="7" t="s">
        <v>4</v>
      </c>
      <c r="D4" s="7"/>
      <c r="E4" s="7"/>
      <c r="F4" s="7"/>
      <c r="G4" s="7"/>
    </row>
    <row r="5" spans="1:10" x14ac:dyDescent="0.45">
      <c r="C5" s="1" t="s">
        <v>3</v>
      </c>
      <c r="D5" s="1" t="s">
        <v>2</v>
      </c>
      <c r="E5" s="1" t="s">
        <v>1</v>
      </c>
      <c r="F5" s="1" t="s">
        <v>0</v>
      </c>
      <c r="G5" s="1" t="s">
        <v>124</v>
      </c>
      <c r="H5"/>
    </row>
    <row r="6" spans="1:10" x14ac:dyDescent="0.45">
      <c r="C6" s="6">
        <v>500</v>
      </c>
      <c r="D6" s="5">
        <f>'Savings compund calc'!C15</f>
        <v>36443.018127265379</v>
      </c>
      <c r="E6" s="4">
        <f>'STC calcs'!Y2</f>
        <v>4352.0879999999997</v>
      </c>
      <c r="F6" s="3">
        <f>'Full Calculator'!D23</f>
        <v>40.384795347098347</v>
      </c>
      <c r="G6" s="137">
        <f>'Full Calculator'!H22</f>
        <v>5.1767339763649076</v>
      </c>
    </row>
    <row r="7" spans="1:10" x14ac:dyDescent="0.45">
      <c r="D7" s="2"/>
    </row>
    <row r="10" spans="1:10" x14ac:dyDescent="0.45">
      <c r="G10" s="1" t="s">
        <v>3</v>
      </c>
      <c r="H10" s="1" t="s">
        <v>121</v>
      </c>
      <c r="I10" s="1" t="s">
        <v>122</v>
      </c>
      <c r="J10" s="1" t="s">
        <v>123</v>
      </c>
    </row>
    <row r="11" spans="1:10" x14ac:dyDescent="0.45">
      <c r="G11" s="6">
        <v>300</v>
      </c>
      <c r="H11" s="1">
        <v>8.3000000000000007</v>
      </c>
      <c r="I11" s="1">
        <v>2.5</v>
      </c>
      <c r="J11" s="136">
        <v>9990</v>
      </c>
    </row>
    <row r="12" spans="1:10" x14ac:dyDescent="0.45">
      <c r="G12" s="6">
        <v>400</v>
      </c>
      <c r="H12" s="1">
        <v>8.3000000000000007</v>
      </c>
      <c r="I12" s="1">
        <f>SUM(I11+2.5)</f>
        <v>5</v>
      </c>
      <c r="J12" s="136">
        <v>12990</v>
      </c>
    </row>
    <row r="13" spans="1:10" x14ac:dyDescent="0.45">
      <c r="G13" s="6">
        <v>500</v>
      </c>
      <c r="H13" s="1">
        <v>11.6</v>
      </c>
      <c r="I13" s="1">
        <f t="shared" ref="I13:I16" si="0">SUM(I12+2.5)</f>
        <v>7.5</v>
      </c>
      <c r="J13" s="136">
        <v>14990</v>
      </c>
    </row>
    <row r="14" spans="1:10" x14ac:dyDescent="0.45">
      <c r="G14" s="6">
        <v>600</v>
      </c>
      <c r="H14" s="1">
        <v>11.6</v>
      </c>
      <c r="I14" s="1">
        <f t="shared" si="0"/>
        <v>10</v>
      </c>
      <c r="J14" s="136">
        <v>17990</v>
      </c>
    </row>
    <row r="15" spans="1:10" x14ac:dyDescent="0.45">
      <c r="G15" s="6">
        <v>700</v>
      </c>
      <c r="H15" s="1">
        <v>11.6</v>
      </c>
      <c r="I15" s="1">
        <v>15</v>
      </c>
      <c r="J15" s="136">
        <v>21999</v>
      </c>
    </row>
    <row r="16" spans="1:10" x14ac:dyDescent="0.45">
      <c r="G16" s="6">
        <v>800</v>
      </c>
      <c r="H16" s="1">
        <v>11.6</v>
      </c>
      <c r="I16" s="1">
        <v>20</v>
      </c>
      <c r="J16" s="136">
        <v>25990</v>
      </c>
    </row>
  </sheetData>
  <mergeCells count="1">
    <mergeCell ref="C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Calculator</vt:lpstr>
      <vt:lpstr>Savings compund calc</vt:lpstr>
      <vt:lpstr>Data</vt:lpstr>
      <vt:lpstr>STC calcs</vt:lpstr>
      <vt:lpstr>Solar and Batt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O'Donahue</dc:creator>
  <cp:lastModifiedBy>Ryan O'Donahue</cp:lastModifiedBy>
  <dcterms:created xsi:type="dcterms:W3CDTF">2024-01-20T04:39:02Z</dcterms:created>
  <dcterms:modified xsi:type="dcterms:W3CDTF">2024-01-20T05:11:53Z</dcterms:modified>
</cp:coreProperties>
</file>