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ullip\Downloads\"/>
    </mc:Choice>
  </mc:AlternateContent>
  <xr:revisionPtr revIDLastSave="0" documentId="8_{E428D278-7AA7-4338-84FB-DDDF7400BEBE}" xr6:coauthVersionLast="47" xr6:coauthVersionMax="47" xr10:uidLastSave="{00000000-0000-0000-0000-000000000000}"/>
  <bookViews>
    <workbookView xWindow="-28920" yWindow="-120" windowWidth="29040" windowHeight="15840" xr2:uid="{2EBD3893-7D06-427B-BF67-237E70FC87A1}"/>
  </bookViews>
  <sheets>
    <sheet name="Input" sheetId="2" r:id="rId1"/>
    <sheet name="Proforma" sheetId="1" r:id="rId2"/>
  </sheets>
  <definedNames>
    <definedName name="_xlnm.Print_Area" localSheetId="1">Proforma!$A$1:$R$90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" l="1"/>
  <c r="N6" i="1"/>
  <c r="M6" i="1"/>
  <c r="L6" i="1"/>
  <c r="K6" i="1"/>
  <c r="J6" i="1"/>
  <c r="B94" i="1" l="1"/>
  <c r="B95" i="1" s="1"/>
  <c r="B96" i="1"/>
  <c r="B97" i="1" s="1"/>
  <c r="B98" i="1" s="1"/>
  <c r="C47" i="1"/>
  <c r="C46" i="2"/>
  <c r="C45" i="2"/>
  <c r="C44" i="2"/>
  <c r="E89" i="1"/>
  <c r="B46" i="1"/>
  <c r="C43" i="2"/>
  <c r="E86" i="1"/>
  <c r="B25" i="2"/>
  <c r="H88" i="1"/>
  <c r="G88" i="1"/>
  <c r="F88" i="1"/>
  <c r="B10" i="1"/>
  <c r="P10" i="1" s="1"/>
  <c r="F67" i="2"/>
  <c r="C67" i="2"/>
  <c r="L68" i="2"/>
  <c r="I68" i="2"/>
  <c r="F68" i="2"/>
  <c r="C68" i="2"/>
  <c r="C69" i="2"/>
  <c r="F69" i="2"/>
  <c r="I69" i="2"/>
  <c r="L69" i="2"/>
  <c r="L70" i="2"/>
  <c r="I70" i="2"/>
  <c r="I71" i="2"/>
  <c r="F70" i="2"/>
  <c r="C70" i="2"/>
  <c r="C72" i="2"/>
  <c r="C71" i="2"/>
  <c r="F72" i="2"/>
  <c r="F71" i="2"/>
  <c r="I72" i="2"/>
  <c r="L72" i="2"/>
  <c r="L71" i="2"/>
  <c r="D6" i="1"/>
  <c r="G6" i="1" s="1"/>
  <c r="C66" i="2"/>
  <c r="E77" i="1" s="1"/>
  <c r="L67" i="2"/>
  <c r="I67" i="2"/>
  <c r="G92" i="2"/>
  <c r="I82" i="1" s="1"/>
  <c r="H66" i="1" s="1"/>
  <c r="D92" i="2"/>
  <c r="G82" i="1" s="1"/>
  <c r="G66" i="1" s="1"/>
  <c r="B92" i="2"/>
  <c r="E82" i="1" s="1"/>
  <c r="F66" i="1" s="1"/>
  <c r="B17" i="1"/>
  <c r="C17" i="1" s="1"/>
  <c r="D17" i="1" s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B34" i="1"/>
  <c r="B11" i="1"/>
  <c r="Q11" i="1" s="1"/>
  <c r="D4" i="1"/>
  <c r="D3" i="1"/>
  <c r="D2" i="1"/>
  <c r="D1" i="1"/>
  <c r="C6" i="1"/>
  <c r="F6" i="1" s="1"/>
  <c r="B6" i="1"/>
  <c r="B58" i="1"/>
  <c r="B57" i="1"/>
  <c r="B52" i="1"/>
  <c r="B45" i="1"/>
  <c r="B39" i="1"/>
  <c r="B44" i="1" s="1"/>
  <c r="B35" i="1"/>
  <c r="B33" i="1"/>
  <c r="B32" i="1"/>
  <c r="B31" i="1"/>
  <c r="B30" i="1"/>
  <c r="B29" i="1"/>
  <c r="I19" i="1"/>
  <c r="I59" i="1" s="1"/>
  <c r="E19" i="1"/>
  <c r="D19" i="1"/>
  <c r="D59" i="1" s="1"/>
  <c r="C19" i="1"/>
  <c r="B18" i="1"/>
  <c r="B16" i="1"/>
  <c r="K16" i="1" s="1"/>
  <c r="B15" i="1"/>
  <c r="J15" i="1" s="1"/>
  <c r="B14" i="1"/>
  <c r="B13" i="1"/>
  <c r="B9" i="1"/>
  <c r="Q9" i="1" s="1"/>
  <c r="B12" i="1"/>
  <c r="B8" i="1"/>
  <c r="B7" i="1"/>
  <c r="B63" i="2"/>
  <c r="B16" i="2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C63" i="1"/>
  <c r="E59" i="1" l="1"/>
  <c r="C59" i="1"/>
  <c r="F19" i="1"/>
  <c r="B99" i="1"/>
  <c r="F47" i="1"/>
  <c r="J88" i="1"/>
  <c r="F87" i="1"/>
  <c r="I78" i="1"/>
  <c r="E66" i="1"/>
  <c r="D66" i="1"/>
  <c r="B66" i="1"/>
  <c r="C66" i="1"/>
  <c r="I79" i="1"/>
  <c r="H55" i="2"/>
  <c r="H63" i="2" s="1"/>
  <c r="E78" i="1"/>
  <c r="E79" i="1"/>
  <c r="E63" i="2"/>
  <c r="K79" i="1"/>
  <c r="F66" i="2"/>
  <c r="K78" i="1"/>
  <c r="G79" i="1"/>
  <c r="C73" i="2"/>
  <c r="C48" i="1" s="1"/>
  <c r="G78" i="1"/>
  <c r="K11" i="1"/>
  <c r="D11" i="1"/>
  <c r="D24" i="1" s="1"/>
  <c r="L11" i="1"/>
  <c r="E11" i="1"/>
  <c r="E24" i="1" s="1"/>
  <c r="M11" i="1"/>
  <c r="C11" i="1"/>
  <c r="C24" i="1" s="1"/>
  <c r="F11" i="1"/>
  <c r="N11" i="1"/>
  <c r="G11" i="1"/>
  <c r="O11" i="1"/>
  <c r="H11" i="1"/>
  <c r="P11" i="1"/>
  <c r="J11" i="1"/>
  <c r="I11" i="1"/>
  <c r="I24" i="1" s="1"/>
  <c r="B40" i="1"/>
  <c r="I45" i="1"/>
  <c r="C45" i="1"/>
  <c r="D45" i="1"/>
  <c r="E45" i="1"/>
  <c r="G19" i="1"/>
  <c r="H19" i="1"/>
  <c r="H45" i="1" s="1"/>
  <c r="J19" i="1"/>
  <c r="G16" i="1"/>
  <c r="O16" i="1"/>
  <c r="H16" i="1"/>
  <c r="P16" i="1"/>
  <c r="Q16" i="1"/>
  <c r="D16" i="1"/>
  <c r="L16" i="1"/>
  <c r="E16" i="1"/>
  <c r="M16" i="1"/>
  <c r="F16" i="1"/>
  <c r="N16" i="1"/>
  <c r="I16" i="1"/>
  <c r="J16" i="1"/>
  <c r="C16" i="1"/>
  <c r="M15" i="1"/>
  <c r="F15" i="1"/>
  <c r="G15" i="1"/>
  <c r="O15" i="1"/>
  <c r="C15" i="1"/>
  <c r="L15" i="1"/>
  <c r="N15" i="1"/>
  <c r="H15" i="1"/>
  <c r="P15" i="1"/>
  <c r="D15" i="1"/>
  <c r="E15" i="1"/>
  <c r="I15" i="1"/>
  <c r="Q15" i="1"/>
  <c r="K15" i="1"/>
  <c r="J10" i="1"/>
  <c r="C10" i="1"/>
  <c r="K10" i="1"/>
  <c r="D10" i="1"/>
  <c r="L10" i="1"/>
  <c r="Q10" i="1"/>
  <c r="E10" i="1"/>
  <c r="M10" i="1"/>
  <c r="F10" i="1"/>
  <c r="N10" i="1"/>
  <c r="O10" i="1"/>
  <c r="I10" i="1"/>
  <c r="G10" i="1"/>
  <c r="H10" i="1"/>
  <c r="G9" i="1"/>
  <c r="K9" i="1"/>
  <c r="L9" i="1"/>
  <c r="J9" i="1"/>
  <c r="D9" i="1"/>
  <c r="E9" i="1"/>
  <c r="M9" i="1"/>
  <c r="C9" i="1"/>
  <c r="F9" i="1"/>
  <c r="N9" i="1"/>
  <c r="O9" i="1"/>
  <c r="H9" i="1"/>
  <c r="P9" i="1"/>
  <c r="I9" i="1"/>
  <c r="F59" i="1" l="1"/>
  <c r="G47" i="1"/>
  <c r="D47" i="1"/>
  <c r="F73" i="2"/>
  <c r="D48" i="1" s="1"/>
  <c r="G48" i="1" s="1"/>
  <c r="G87" i="1"/>
  <c r="G77" i="1"/>
  <c r="G83" i="1" s="1"/>
  <c r="K55" i="2"/>
  <c r="L66" i="2" s="1"/>
  <c r="E6" i="1"/>
  <c r="H6" i="1" s="1"/>
  <c r="I66" i="2"/>
  <c r="J24" i="1"/>
  <c r="J45" i="1"/>
  <c r="J22" i="1"/>
  <c r="J41" i="1" s="1"/>
  <c r="K19" i="1"/>
  <c r="K24" i="1" s="1"/>
  <c r="J23" i="1"/>
  <c r="J42" i="1" s="1"/>
  <c r="F48" i="1"/>
  <c r="C23" i="1"/>
  <c r="C42" i="1" s="1"/>
  <c r="D22" i="1"/>
  <c r="D41" i="1" s="1"/>
  <c r="E22" i="1"/>
  <c r="E41" i="1" s="1"/>
  <c r="E23" i="1"/>
  <c r="E42" i="1" s="1"/>
  <c r="F22" i="1"/>
  <c r="F41" i="1" s="1"/>
  <c r="G22" i="1"/>
  <c r="G41" i="1" s="1"/>
  <c r="H22" i="1"/>
  <c r="H41" i="1" s="1"/>
  <c r="G24" i="1"/>
  <c r="G34" i="1" s="1"/>
  <c r="G23" i="1"/>
  <c r="G42" i="1" s="1"/>
  <c r="D23" i="1"/>
  <c r="D42" i="1" s="1"/>
  <c r="F24" i="1"/>
  <c r="H23" i="1"/>
  <c r="H42" i="1" s="1"/>
  <c r="I22" i="1"/>
  <c r="I41" i="1" s="1"/>
  <c r="I23" i="1"/>
  <c r="I42" i="1" s="1"/>
  <c r="I43" i="1"/>
  <c r="I34" i="1"/>
  <c r="C43" i="1"/>
  <c r="C34" i="1"/>
  <c r="D34" i="1"/>
  <c r="D43" i="1"/>
  <c r="C22" i="1"/>
  <c r="C41" i="1" s="1"/>
  <c r="E34" i="1"/>
  <c r="E43" i="1"/>
  <c r="F23" i="1"/>
  <c r="F42" i="1" s="1"/>
  <c r="H24" i="1"/>
  <c r="F45" i="1"/>
  <c r="G59" i="1"/>
  <c r="G45" i="1"/>
  <c r="H59" i="1"/>
  <c r="J59" i="1"/>
  <c r="O19" i="1"/>
  <c r="O24" i="1" s="1"/>
  <c r="I53" i="1"/>
  <c r="D53" i="1"/>
  <c r="F53" i="1"/>
  <c r="E53" i="1"/>
  <c r="G53" i="1"/>
  <c r="C53" i="1"/>
  <c r="H53" i="1"/>
  <c r="J53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C68" i="1"/>
  <c r="D69" i="1"/>
  <c r="E69" i="1"/>
  <c r="F69" i="1"/>
  <c r="G69" i="1"/>
  <c r="H69" i="1"/>
  <c r="I69" i="1"/>
  <c r="J69" i="1"/>
  <c r="C69" i="1"/>
  <c r="L73" i="2" l="1"/>
  <c r="B48" i="1" s="1"/>
  <c r="I47" i="1"/>
  <c r="B47" i="1"/>
  <c r="M47" i="1"/>
  <c r="N47" i="1" s="1"/>
  <c r="O47" i="1" s="1"/>
  <c r="P47" i="1" s="1"/>
  <c r="Q47" i="1" s="1"/>
  <c r="J47" i="1"/>
  <c r="K47" i="1" s="1"/>
  <c r="L47" i="1" s="1"/>
  <c r="H47" i="1"/>
  <c r="E47" i="1"/>
  <c r="K63" i="2"/>
  <c r="B87" i="1" s="1"/>
  <c r="I6" i="1"/>
  <c r="O6" i="1" s="1"/>
  <c r="P6" i="1" s="1"/>
  <c r="Q6" i="1" s="1"/>
  <c r="Q55" i="1" s="1"/>
  <c r="K77" i="1"/>
  <c r="K83" i="1" s="1"/>
  <c r="I73" i="2"/>
  <c r="H87" i="1"/>
  <c r="I87" i="1" s="1"/>
  <c r="J87" i="1" s="1"/>
  <c r="K53" i="1"/>
  <c r="I77" i="1"/>
  <c r="I83" i="1" s="1"/>
  <c r="K69" i="1"/>
  <c r="K43" i="1"/>
  <c r="K34" i="1"/>
  <c r="O23" i="1"/>
  <c r="O42" i="1" s="1"/>
  <c r="O22" i="1"/>
  <c r="O41" i="1" s="1"/>
  <c r="O45" i="1"/>
  <c r="K59" i="1"/>
  <c r="K22" i="1"/>
  <c r="L19" i="1"/>
  <c r="L29" i="1" s="1"/>
  <c r="K45" i="1"/>
  <c r="K23" i="1"/>
  <c r="E32" i="1"/>
  <c r="D32" i="1"/>
  <c r="J33" i="1"/>
  <c r="E33" i="1"/>
  <c r="F32" i="1"/>
  <c r="J32" i="1"/>
  <c r="H32" i="1"/>
  <c r="G32" i="1"/>
  <c r="G33" i="1"/>
  <c r="I33" i="1"/>
  <c r="G43" i="1"/>
  <c r="H33" i="1"/>
  <c r="D33" i="1"/>
  <c r="O43" i="1"/>
  <c r="O34" i="1"/>
  <c r="J43" i="1"/>
  <c r="J34" i="1"/>
  <c r="F33" i="1"/>
  <c r="H43" i="1"/>
  <c r="H34" i="1"/>
  <c r="I32" i="1"/>
  <c r="F34" i="1"/>
  <c r="F43" i="1"/>
  <c r="O53" i="1"/>
  <c r="O69" i="1"/>
  <c r="O59" i="1"/>
  <c r="P19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C62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C61" i="1"/>
  <c r="D55" i="1"/>
  <c r="E55" i="1"/>
  <c r="F55" i="1"/>
  <c r="G55" i="1"/>
  <c r="H55" i="1"/>
  <c r="K55" i="1"/>
  <c r="L55" i="1"/>
  <c r="M55" i="1"/>
  <c r="N55" i="1"/>
  <c r="C55" i="1"/>
  <c r="D60" i="1"/>
  <c r="E60" i="1"/>
  <c r="F60" i="1"/>
  <c r="G60" i="1"/>
  <c r="H60" i="1"/>
  <c r="I60" i="1"/>
  <c r="J60" i="1"/>
  <c r="K60" i="1"/>
  <c r="O60" i="1"/>
  <c r="C60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C57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E83" i="1"/>
  <c r="C29" i="1"/>
  <c r="O29" i="1"/>
  <c r="D29" i="1"/>
  <c r="E29" i="1"/>
  <c r="F29" i="1"/>
  <c r="G29" i="1"/>
  <c r="H29" i="1"/>
  <c r="I29" i="1"/>
  <c r="J29" i="1"/>
  <c r="K29" i="1"/>
  <c r="I48" i="1" l="1"/>
  <c r="J48" i="1" s="1"/>
  <c r="K48" i="1" s="1"/>
  <c r="L48" i="1" s="1"/>
  <c r="M48" i="1" s="1"/>
  <c r="N48" i="1" s="1"/>
  <c r="O48" i="1" s="1"/>
  <c r="P48" i="1" s="1"/>
  <c r="Q48" i="1" s="1"/>
  <c r="O55" i="1"/>
  <c r="P55" i="1"/>
  <c r="J55" i="1"/>
  <c r="I55" i="1"/>
  <c r="B79" i="1"/>
  <c r="B83" i="1" s="1"/>
  <c r="B65" i="1" s="1"/>
  <c r="C65" i="1" s="1"/>
  <c r="E48" i="1"/>
  <c r="H48" i="1" s="1"/>
  <c r="L60" i="1"/>
  <c r="K42" i="1"/>
  <c r="K33" i="1"/>
  <c r="P23" i="1"/>
  <c r="P42" i="1" s="1"/>
  <c r="Q19" i="1"/>
  <c r="P22" i="1"/>
  <c r="P41" i="1" s="1"/>
  <c r="P45" i="1"/>
  <c r="P24" i="1"/>
  <c r="M19" i="1"/>
  <c r="L59" i="1"/>
  <c r="L23" i="1"/>
  <c r="L22" i="1"/>
  <c r="L45" i="1"/>
  <c r="L53" i="1"/>
  <c r="L69" i="1"/>
  <c r="L24" i="1"/>
  <c r="K41" i="1"/>
  <c r="K32" i="1"/>
  <c r="O32" i="1"/>
  <c r="O33" i="1"/>
  <c r="P29" i="1"/>
  <c r="P60" i="1"/>
  <c r="P59" i="1"/>
  <c r="P69" i="1"/>
  <c r="P53" i="1"/>
  <c r="B90" i="1"/>
  <c r="B56" i="1" s="1"/>
  <c r="L41" i="1" l="1"/>
  <c r="L32" i="1"/>
  <c r="L42" i="1"/>
  <c r="L33" i="1"/>
  <c r="M23" i="1"/>
  <c r="M22" i="1"/>
  <c r="M59" i="1"/>
  <c r="N19" i="1"/>
  <c r="Q80" i="1" s="1"/>
  <c r="M45" i="1"/>
  <c r="M69" i="1"/>
  <c r="M24" i="1"/>
  <c r="M53" i="1"/>
  <c r="M60" i="1"/>
  <c r="M29" i="1"/>
  <c r="Q23" i="1"/>
  <c r="Q42" i="1" s="1"/>
  <c r="Q22" i="1"/>
  <c r="Q41" i="1" s="1"/>
  <c r="Q45" i="1"/>
  <c r="Q24" i="1"/>
  <c r="L43" i="1"/>
  <c r="L34" i="1"/>
  <c r="P32" i="1"/>
  <c r="P33" i="1"/>
  <c r="P43" i="1"/>
  <c r="P34" i="1"/>
  <c r="Q59" i="1"/>
  <c r="Q53" i="1"/>
  <c r="Q69" i="1"/>
  <c r="Q29" i="1"/>
  <c r="Q60" i="1"/>
  <c r="H56" i="1"/>
  <c r="P56" i="1"/>
  <c r="J56" i="1"/>
  <c r="D56" i="1"/>
  <c r="M56" i="1"/>
  <c r="G56" i="1"/>
  <c r="Q56" i="1"/>
  <c r="C56" i="1"/>
  <c r="K56" i="1"/>
  <c r="L56" i="1"/>
  <c r="E56" i="1"/>
  <c r="N56" i="1"/>
  <c r="O56" i="1"/>
  <c r="I56" i="1"/>
  <c r="F56" i="1"/>
  <c r="M42" i="1" l="1"/>
  <c r="M33" i="1"/>
  <c r="M41" i="1"/>
  <c r="M32" i="1"/>
  <c r="M43" i="1"/>
  <c r="M34" i="1"/>
  <c r="N23" i="1"/>
  <c r="N22" i="1"/>
  <c r="N59" i="1"/>
  <c r="N45" i="1"/>
  <c r="N69" i="1"/>
  <c r="N53" i="1"/>
  <c r="N24" i="1"/>
  <c r="N29" i="1"/>
  <c r="N60" i="1"/>
  <c r="Q33" i="1"/>
  <c r="Q32" i="1"/>
  <c r="Q43" i="1"/>
  <c r="Q34" i="1"/>
  <c r="D13" i="1"/>
  <c r="Q18" i="1"/>
  <c r="Q14" i="1"/>
  <c r="Q13" i="1"/>
  <c r="Q12" i="1"/>
  <c r="Q8" i="1"/>
  <c r="Q7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P8" i="1"/>
  <c r="O8" i="1"/>
  <c r="N8" i="1"/>
  <c r="M8" i="1"/>
  <c r="L8" i="1"/>
  <c r="K8" i="1"/>
  <c r="J8" i="1"/>
  <c r="I8" i="1"/>
  <c r="H8" i="1"/>
  <c r="G8" i="1"/>
  <c r="F8" i="1"/>
  <c r="F20" i="1" s="1"/>
  <c r="E8" i="1"/>
  <c r="E20" i="1" s="1"/>
  <c r="D8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C8" i="1"/>
  <c r="C12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P13" i="1"/>
  <c r="O13" i="1"/>
  <c r="N13" i="1"/>
  <c r="M13" i="1"/>
  <c r="L13" i="1"/>
  <c r="K13" i="1"/>
  <c r="J13" i="1"/>
  <c r="I13" i="1"/>
  <c r="H13" i="1"/>
  <c r="G13" i="1"/>
  <c r="F13" i="1"/>
  <c r="E13" i="1"/>
  <c r="N20" i="1" l="1"/>
  <c r="L21" i="1"/>
  <c r="L40" i="1" s="1"/>
  <c r="K21" i="1"/>
  <c r="J20" i="1"/>
  <c r="M25" i="1"/>
  <c r="M44" i="1" s="1"/>
  <c r="K20" i="1"/>
  <c r="M21" i="1"/>
  <c r="N25" i="1"/>
  <c r="L20" i="1"/>
  <c r="N21" i="1"/>
  <c r="N31" i="1" s="1"/>
  <c r="N43" i="1"/>
  <c r="N34" i="1"/>
  <c r="O25" i="1"/>
  <c r="O21" i="1"/>
  <c r="O20" i="1"/>
  <c r="J25" i="1"/>
  <c r="Q20" i="1"/>
  <c r="M20" i="1"/>
  <c r="P21" i="1"/>
  <c r="P20" i="1"/>
  <c r="K25" i="1"/>
  <c r="K35" i="1" s="1"/>
  <c r="Q25" i="1"/>
  <c r="Q35" i="1" s="1"/>
  <c r="N41" i="1"/>
  <c r="N32" i="1"/>
  <c r="P25" i="1"/>
  <c r="J21" i="1"/>
  <c r="L25" i="1"/>
  <c r="L44" i="1" s="1"/>
  <c r="Q21" i="1"/>
  <c r="Q40" i="1" s="1"/>
  <c r="N42" i="1"/>
  <c r="N33" i="1"/>
  <c r="I20" i="1"/>
  <c r="D25" i="1"/>
  <c r="F21" i="1"/>
  <c r="G21" i="1"/>
  <c r="E21" i="1"/>
  <c r="H21" i="1"/>
  <c r="H20" i="1"/>
  <c r="E25" i="1"/>
  <c r="E44" i="1" s="1"/>
  <c r="F25" i="1"/>
  <c r="F35" i="1" s="1"/>
  <c r="H25" i="1"/>
  <c r="D20" i="1"/>
  <c r="I25" i="1"/>
  <c r="I21" i="1"/>
  <c r="G25" i="1"/>
  <c r="G35" i="1" s="1"/>
  <c r="D21" i="1"/>
  <c r="G20" i="1"/>
  <c r="C33" i="1"/>
  <c r="C32" i="1"/>
  <c r="C21" i="1"/>
  <c r="C40" i="1" s="1"/>
  <c r="E26" i="1" l="1"/>
  <c r="F31" i="1"/>
  <c r="F26" i="1"/>
  <c r="H44" i="1"/>
  <c r="H35" i="1"/>
  <c r="N26" i="1"/>
  <c r="Q26" i="1"/>
  <c r="P26" i="1"/>
  <c r="O26" i="1"/>
  <c r="M26" i="1"/>
  <c r="L26" i="1"/>
  <c r="K26" i="1"/>
  <c r="J26" i="1"/>
  <c r="I26" i="1"/>
  <c r="H26" i="1"/>
  <c r="G26" i="1"/>
  <c r="D26" i="1"/>
  <c r="D44" i="1"/>
  <c r="C31" i="1"/>
  <c r="F39" i="1"/>
  <c r="Q31" i="1"/>
  <c r="P39" i="1"/>
  <c r="E40" i="1"/>
  <c r="Q44" i="1"/>
  <c r="L31" i="1"/>
  <c r="H39" i="1"/>
  <c r="H30" i="1"/>
  <c r="E31" i="1"/>
  <c r="G30" i="1"/>
  <c r="K44" i="1"/>
  <c r="P30" i="1"/>
  <c r="N40" i="1"/>
  <c r="O30" i="1"/>
  <c r="O39" i="1"/>
  <c r="G39" i="1"/>
  <c r="N39" i="1"/>
  <c r="N35" i="1"/>
  <c r="N44" i="1"/>
  <c r="N30" i="1"/>
  <c r="F44" i="1"/>
  <c r="P35" i="1"/>
  <c r="P44" i="1"/>
  <c r="F30" i="1"/>
  <c r="O35" i="1"/>
  <c r="O44" i="1"/>
  <c r="J35" i="1"/>
  <c r="J44" i="1"/>
  <c r="G44" i="1"/>
  <c r="J39" i="1"/>
  <c r="I35" i="1"/>
  <c r="I44" i="1"/>
  <c r="F40" i="1"/>
  <c r="J30" i="1"/>
  <c r="Q39" i="1"/>
  <c r="K40" i="1"/>
  <c r="P40" i="1"/>
  <c r="O40" i="1"/>
  <c r="L39" i="1"/>
  <c r="J40" i="1"/>
  <c r="M39" i="1"/>
  <c r="I39" i="1"/>
  <c r="M40" i="1"/>
  <c r="D39" i="1"/>
  <c r="H40" i="1"/>
  <c r="D40" i="1"/>
  <c r="D31" i="1"/>
  <c r="G40" i="1"/>
  <c r="I40" i="1"/>
  <c r="E39" i="1"/>
  <c r="K39" i="1"/>
  <c r="K31" i="1"/>
  <c r="P31" i="1"/>
  <c r="D35" i="1"/>
  <c r="E35" i="1"/>
  <c r="M30" i="1"/>
  <c r="D30" i="1"/>
  <c r="H31" i="1"/>
  <c r="G31" i="1"/>
  <c r="K30" i="1"/>
  <c r="E30" i="1"/>
  <c r="O31" i="1"/>
  <c r="I30" i="1"/>
  <c r="Q30" i="1"/>
  <c r="J31" i="1"/>
  <c r="M35" i="1"/>
  <c r="I31" i="1"/>
  <c r="M31" i="1"/>
  <c r="L35" i="1"/>
  <c r="L30" i="1"/>
  <c r="C25" i="1"/>
  <c r="C20" i="1"/>
  <c r="D46" i="2" l="1"/>
  <c r="E46" i="2" s="1"/>
  <c r="I46" i="1" s="1"/>
  <c r="D44" i="2"/>
  <c r="E44" i="2" s="1"/>
  <c r="D45" i="2"/>
  <c r="E45" i="2" s="1"/>
  <c r="G89" i="1"/>
  <c r="I89" i="1"/>
  <c r="H89" i="1"/>
  <c r="K67" i="1"/>
  <c r="L67" i="1"/>
  <c r="M67" i="1"/>
  <c r="G67" i="1"/>
  <c r="P67" i="1"/>
  <c r="H67" i="1"/>
  <c r="Q67" i="1"/>
  <c r="E67" i="1"/>
  <c r="I67" i="1"/>
  <c r="N67" i="1"/>
  <c r="D67" i="1"/>
  <c r="O67" i="1"/>
  <c r="J67" i="1"/>
  <c r="F67" i="1"/>
  <c r="Q58" i="1"/>
  <c r="F58" i="1"/>
  <c r="N58" i="1"/>
  <c r="K36" i="1"/>
  <c r="K37" i="1" s="1"/>
  <c r="Q36" i="1"/>
  <c r="Q37" i="1" s="1"/>
  <c r="D36" i="1"/>
  <c r="D37" i="1" s="1"/>
  <c r="N36" i="1"/>
  <c r="N37" i="1" s="1"/>
  <c r="P36" i="1"/>
  <c r="P37" i="1" s="1"/>
  <c r="F36" i="1"/>
  <c r="F37" i="1" s="1"/>
  <c r="L36" i="1"/>
  <c r="L37" i="1" s="1"/>
  <c r="J36" i="1"/>
  <c r="J37" i="1" s="1"/>
  <c r="G36" i="1"/>
  <c r="G37" i="1" s="1"/>
  <c r="I36" i="1"/>
  <c r="I37" i="1" s="1"/>
  <c r="H36" i="1"/>
  <c r="H37" i="1" s="1"/>
  <c r="E36" i="1"/>
  <c r="E37" i="1" s="1"/>
  <c r="M36" i="1"/>
  <c r="M37" i="1" s="1"/>
  <c r="O36" i="1"/>
  <c r="O37" i="1" s="1"/>
  <c r="C30" i="1"/>
  <c r="C44" i="1"/>
  <c r="C35" i="1"/>
  <c r="C39" i="1"/>
  <c r="P58" i="1"/>
  <c r="J58" i="1"/>
  <c r="L58" i="1"/>
  <c r="G58" i="1"/>
  <c r="O58" i="1"/>
  <c r="K58" i="1"/>
  <c r="D58" i="1"/>
  <c r="H58" i="1"/>
  <c r="E58" i="1"/>
  <c r="I58" i="1"/>
  <c r="M58" i="1"/>
  <c r="E46" i="1" l="1"/>
  <c r="H46" i="1"/>
  <c r="G46" i="1"/>
  <c r="D46" i="1"/>
  <c r="J46" i="1"/>
  <c r="K46" i="1" s="1"/>
  <c r="L46" i="1" s="1"/>
  <c r="M46" i="1" s="1"/>
  <c r="N46" i="1" s="1"/>
  <c r="O46" i="1" s="1"/>
  <c r="P46" i="1" s="1"/>
  <c r="Q46" i="1" s="1"/>
  <c r="R36" i="1"/>
  <c r="C36" i="1"/>
  <c r="R26" i="1"/>
  <c r="P80" i="1" s="1"/>
  <c r="C26" i="1" l="1"/>
  <c r="C37" i="1" s="1"/>
  <c r="D43" i="2" l="1"/>
  <c r="E43" i="2" s="1"/>
  <c r="F89" i="1"/>
  <c r="C67" i="1"/>
  <c r="C58" i="1"/>
  <c r="F46" i="1" l="1"/>
  <c r="C46" i="1"/>
  <c r="C49" i="1" s="1"/>
  <c r="C54" i="1" s="1"/>
  <c r="C70" i="1" s="1"/>
  <c r="J89" i="1"/>
  <c r="D49" i="1" l="1"/>
  <c r="C73" i="1"/>
  <c r="C71" i="1"/>
  <c r="D54" i="1" l="1"/>
  <c r="D70" i="1" s="1"/>
  <c r="D71" i="1" s="1"/>
  <c r="E49" i="1"/>
  <c r="E54" i="1" l="1"/>
  <c r="E70" i="1" s="1"/>
  <c r="E71" i="1" s="1"/>
  <c r="F49" i="1"/>
  <c r="F86" i="1"/>
  <c r="F91" i="1" s="1"/>
  <c r="D73" i="1"/>
  <c r="G49" i="1" l="1"/>
  <c r="G86" i="1"/>
  <c r="G91" i="1" s="1"/>
  <c r="E73" i="1"/>
  <c r="F54" i="1"/>
  <c r="F70" i="1" s="1"/>
  <c r="F71" i="1" s="1"/>
  <c r="H49" i="1" l="1"/>
  <c r="H86" i="1"/>
  <c r="H91" i="1" s="1"/>
  <c r="F73" i="1"/>
  <c r="G54" i="1"/>
  <c r="G70" i="1" s="1"/>
  <c r="G71" i="1" s="1"/>
  <c r="H54" i="1" l="1"/>
  <c r="H70" i="1" s="1"/>
  <c r="H71" i="1" s="1"/>
  <c r="I49" i="1"/>
  <c r="G73" i="1"/>
  <c r="G74" i="1" s="1"/>
  <c r="H73" i="1" l="1"/>
  <c r="H74" i="1" s="1"/>
  <c r="J49" i="1"/>
  <c r="I54" i="1"/>
  <c r="I70" i="1" s="1"/>
  <c r="J54" i="1" l="1"/>
  <c r="J70" i="1" s="1"/>
  <c r="J71" i="1" s="1"/>
  <c r="I71" i="1"/>
  <c r="I73" i="1"/>
  <c r="K49" i="1"/>
  <c r="L49" i="1" l="1"/>
  <c r="I74" i="1"/>
  <c r="K54" i="1"/>
  <c r="K70" i="1" s="1"/>
  <c r="K71" i="1" s="1"/>
  <c r="J73" i="1"/>
  <c r="L54" i="1" l="1"/>
  <c r="L70" i="1" s="1"/>
  <c r="L71" i="1" s="1"/>
  <c r="K73" i="1"/>
  <c r="J74" i="1"/>
  <c r="M49" i="1"/>
  <c r="K74" i="1" l="1"/>
  <c r="N49" i="1"/>
  <c r="L73" i="1"/>
  <c r="M54" i="1"/>
  <c r="M70" i="1" s="1"/>
  <c r="M71" i="1" s="1"/>
  <c r="L74" i="1" l="1"/>
  <c r="O49" i="1"/>
  <c r="M73" i="1"/>
  <c r="N54" i="1"/>
  <c r="N70" i="1" s="1"/>
  <c r="N71" i="1" s="1"/>
  <c r="M74" i="1" l="1"/>
  <c r="O54" i="1"/>
  <c r="O70" i="1" s="1"/>
  <c r="O71" i="1" s="1"/>
  <c r="P49" i="1"/>
  <c r="N73" i="1"/>
  <c r="N74" i="1" l="1"/>
  <c r="P54" i="1"/>
  <c r="P70" i="1" s="1"/>
  <c r="P71" i="1" s="1"/>
  <c r="Q49" i="1"/>
  <c r="I86" i="1"/>
  <c r="J86" i="1" s="1"/>
  <c r="O73" i="1"/>
  <c r="O74" i="1" l="1"/>
  <c r="Q54" i="1"/>
  <c r="Q70" i="1" s="1"/>
  <c r="R49" i="1"/>
  <c r="P73" i="1"/>
  <c r="P74" i="1" l="1"/>
  <c r="Q71" i="1"/>
  <c r="R70" i="1"/>
  <c r="Q73" i="1"/>
  <c r="P78" i="1" s="1"/>
  <c r="I90" i="1" l="1"/>
  <c r="J90" i="1" s="1"/>
  <c r="J91" i="1" s="1"/>
  <c r="Q78" i="1"/>
  <c r="Q74" i="1"/>
</calcChain>
</file>

<file path=xl/sharedStrings.xml><?xml version="1.0" encoding="utf-8"?>
<sst xmlns="http://schemas.openxmlformats.org/spreadsheetml/2006/main" count="297" uniqueCount="201">
  <si>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</si>
  <si>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</si>
  <si>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</si>
  <si>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</si>
  <si>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</si>
  <si>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</si>
  <si>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</si>
  <si>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</si>
  <si>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</si>
  <si>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</si>
  <si>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</si>
  <si>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</si>
  <si>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Total Number of Loans</t>
  </si>
  <si>
    <t>Total Volume</t>
  </si>
  <si>
    <t>Conv Margin-Branch</t>
    <phoneticPr fontId="0" type="noConversion"/>
  </si>
  <si>
    <t>Conv Comp</t>
    <phoneticPr fontId="0" type="noConversion"/>
  </si>
  <si>
    <t>Govt Comp</t>
    <phoneticPr fontId="0" type="noConversion"/>
  </si>
  <si>
    <t>Overrides</t>
  </si>
  <si>
    <t>Marketing</t>
    <phoneticPr fontId="0" type="noConversion"/>
  </si>
  <si>
    <t>Tech/Phone/CRM Exp</t>
  </si>
  <si>
    <t>Benefits</t>
  </si>
  <si>
    <t>Office Expense</t>
  </si>
  <si>
    <t>Non QM</t>
  </si>
  <si>
    <t>Conv Percentage</t>
  </si>
  <si>
    <t>Govt Percentage</t>
  </si>
  <si>
    <t>Conv loan amt</t>
  </si>
  <si>
    <t>Govt loan amt</t>
  </si>
  <si>
    <t>Conv volume</t>
  </si>
  <si>
    <t>Govt volume</t>
  </si>
  <si>
    <t>Non QM amt</t>
  </si>
  <si>
    <t>Start Up 2</t>
  </si>
  <si>
    <t>Start Up  3</t>
  </si>
  <si>
    <t>Licensing</t>
  </si>
  <si>
    <t>Firewall</t>
  </si>
  <si>
    <t>Lease Deposit</t>
  </si>
  <si>
    <t>Furniture</t>
  </si>
  <si>
    <t>Total Start Up Costs</t>
  </si>
  <si>
    <t>Manager Salary</t>
  </si>
  <si>
    <t>Total Salaries</t>
  </si>
  <si>
    <t>WIFI/Comcast</t>
  </si>
  <si>
    <t>Phones</t>
  </si>
  <si>
    <t>Total Tech Expense</t>
  </si>
  <si>
    <t>Manager Name</t>
  </si>
  <si>
    <t>Branch Location</t>
  </si>
  <si>
    <t>Regional Manager</t>
  </si>
  <si>
    <t>Branch Type</t>
  </si>
  <si>
    <t>Bonuses</t>
  </si>
  <si>
    <t>Processors</t>
  </si>
  <si>
    <t>LOA</t>
  </si>
  <si>
    <t>Start Up 1</t>
  </si>
  <si>
    <t>Processor</t>
  </si>
  <si>
    <t>Sales Manager</t>
  </si>
  <si>
    <t>Credit Report</t>
  </si>
  <si>
    <t>COMMISSION / SALARY EXPENSE</t>
  </si>
  <si>
    <t>NP Aux Support - Cost per unit</t>
  </si>
  <si>
    <t>Encompass</t>
  </si>
  <si>
    <t>Processing Fee &amp; Admin Fee</t>
  </si>
  <si>
    <t>Total Revenue</t>
  </si>
  <si>
    <t>JV EXPENSES</t>
  </si>
  <si>
    <t>Start up Costs</t>
  </si>
  <si>
    <t>Payroll Tax &amp; ADP Fees</t>
  </si>
  <si>
    <t>Loan Loss Reserve 5bps</t>
  </si>
  <si>
    <t>Missing *** Aux Support JV Cost</t>
  </si>
  <si>
    <t>Warehouse/Delivery Fees ($355/Unit)</t>
  </si>
  <si>
    <t>Total  Expenses</t>
  </si>
  <si>
    <t>Equip Lease</t>
  </si>
  <si>
    <t xml:space="preserve">Proforma </t>
  </si>
  <si>
    <t>BRANCH REVENUE</t>
  </si>
  <si>
    <t>Branch Net Income</t>
  </si>
  <si>
    <t>Office Supplies</t>
  </si>
  <si>
    <t>Seconday /ADP/Acctg/Compliance</t>
  </si>
  <si>
    <t>Marketing</t>
  </si>
  <si>
    <t>Funded Loans MO 1</t>
  </si>
  <si>
    <t>Funded Loans MO 2</t>
  </si>
  <si>
    <t>Funded Loans MO 3</t>
  </si>
  <si>
    <t>LO Commission Comp</t>
  </si>
  <si>
    <t>LOA's</t>
  </si>
  <si>
    <t xml:space="preserve"> </t>
  </si>
  <si>
    <t>Processing &amp; Admin Fee Branch Charge</t>
  </si>
  <si>
    <t>Branch Type: Retail or Enterprise</t>
  </si>
  <si>
    <t>Branch Manager Name</t>
  </si>
  <si>
    <t>Percentage of Business:</t>
  </si>
  <si>
    <t>Bond/DPA</t>
  </si>
  <si>
    <t>Average Loan Amount:</t>
  </si>
  <si>
    <t>Non QM Loan amt</t>
  </si>
  <si>
    <t>Bond/DPA loan amount</t>
  </si>
  <si>
    <t>Branch Margins:</t>
  </si>
  <si>
    <t>Conventional</t>
  </si>
  <si>
    <t>Bond/DPA - Includes Orig Fee</t>
  </si>
  <si>
    <t>Projected Branch Monthly Fundings:</t>
  </si>
  <si>
    <t>Funded Loans MO 4-12</t>
  </si>
  <si>
    <t>BM Manager</t>
  </si>
  <si>
    <t>MLO's</t>
  </si>
  <si>
    <t>Misc. Costs:</t>
  </si>
  <si>
    <t>Compensation &amp; Overrides</t>
  </si>
  <si>
    <t>Executive Team Inputs: Startup Cost - Detail</t>
  </si>
  <si>
    <t>Executive Team Inputs: Technology Expense</t>
  </si>
  <si>
    <t>Bond/DPA Percentage</t>
  </si>
  <si>
    <t>Bond/DPA loan amt</t>
  </si>
  <si>
    <t>Jumbo loan amt</t>
  </si>
  <si>
    <t>Jumbo Percentage</t>
  </si>
  <si>
    <t>Jumbo Loan Amount</t>
  </si>
  <si>
    <t>Bond/DPA Volume</t>
  </si>
  <si>
    <t>Jumbo Volume</t>
  </si>
  <si>
    <t>Jumbo</t>
  </si>
  <si>
    <t>Govt</t>
  </si>
  <si>
    <t>LOA/Processing Bonus Per file</t>
  </si>
  <si>
    <t>Marketing Mo Average</t>
  </si>
  <si>
    <t>Monthly Pricing Exception Average</t>
  </si>
  <si>
    <t>Pricing Exceptions/lender credits</t>
  </si>
  <si>
    <t>Projected Team Size</t>
  </si>
  <si>
    <t>Head Count  Projected/Actual</t>
  </si>
  <si>
    <t>Branch Team Members Mo 2</t>
  </si>
  <si>
    <t>Branch Team Members MO 3</t>
  </si>
  <si>
    <t>Branch Team Members Mo 4-12</t>
  </si>
  <si>
    <t>Licensing - Branch</t>
  </si>
  <si>
    <t xml:space="preserve">  </t>
  </si>
  <si>
    <t>Revised 1/17/2025 Proforma LC</t>
  </si>
  <si>
    <t>Brokered</t>
  </si>
  <si>
    <t>Brokered Percentage</t>
  </si>
  <si>
    <t>Brokered Volume</t>
  </si>
  <si>
    <t>Brokered oan Amount</t>
  </si>
  <si>
    <t>Brokered Loan Amount</t>
  </si>
  <si>
    <t>Branch Salaries</t>
  </si>
  <si>
    <t>Rent Expense Including Cams</t>
  </si>
  <si>
    <t>Branch Rent (Including CAMS)</t>
  </si>
  <si>
    <t>Underwriter</t>
  </si>
  <si>
    <t>Funder/Closer</t>
  </si>
  <si>
    <t>Mo 2</t>
  </si>
  <si>
    <t>M0 3</t>
  </si>
  <si>
    <t>Mo 4-12</t>
  </si>
  <si>
    <t>Closer/Funder</t>
  </si>
  <si>
    <t>Transition Compensation</t>
  </si>
  <si>
    <t>MLO #1</t>
  </si>
  <si>
    <t>MLO #3</t>
  </si>
  <si>
    <t>MLO #2</t>
  </si>
  <si>
    <t>MLO #4</t>
  </si>
  <si>
    <t>MLO #5</t>
  </si>
  <si>
    <t>MO 1</t>
  </si>
  <si>
    <t>MO 2</t>
  </si>
  <si>
    <t>MO 3</t>
  </si>
  <si>
    <t>Transition Comp</t>
  </si>
  <si>
    <t>Operation Support</t>
  </si>
  <si>
    <t>Sales Support</t>
  </si>
  <si>
    <t>Salary Summary - Detail MO 1</t>
  </si>
  <si>
    <t>Branch Team Members</t>
  </si>
  <si>
    <t>Branch Team Members Mo 1</t>
  </si>
  <si>
    <t>Average Salaries</t>
  </si>
  <si>
    <t>Sales Manger</t>
  </si>
  <si>
    <t>Month 1</t>
  </si>
  <si>
    <t>Month 2</t>
  </si>
  <si>
    <t>Month 3</t>
  </si>
  <si>
    <t>Month 4-12</t>
  </si>
  <si>
    <t>Total Salary Cost</t>
  </si>
  <si>
    <t xml:space="preserve">                                               Month 1</t>
  </si>
  <si>
    <t xml:space="preserve">                                                             Month 2</t>
  </si>
  <si>
    <t xml:space="preserve">                                                        Month 3</t>
  </si>
  <si>
    <t xml:space="preserve">                                                        Month 4-12</t>
  </si>
  <si>
    <t>Total Comp</t>
  </si>
  <si>
    <t>RM/Branch Manager</t>
  </si>
  <si>
    <t>Corporate processing</t>
  </si>
  <si>
    <t>Units months 4-12</t>
  </si>
  <si>
    <t>Adding a Processor</t>
  </si>
  <si>
    <t>Total Proj Mo Savings</t>
  </si>
  <si>
    <t>Cummalative Total</t>
  </si>
  <si>
    <t>Bps</t>
  </si>
  <si>
    <t>CRM $90 per seat (Total Sales)</t>
  </si>
  <si>
    <t>Computers (1) x MO 4 Total</t>
  </si>
  <si>
    <t>Manager Compensation Summary</t>
  </si>
  <si>
    <t>Salary Monthly</t>
  </si>
  <si>
    <t>Profitability</t>
  </si>
  <si>
    <t>Total Compensation</t>
  </si>
  <si>
    <t>Average Loan Amount</t>
  </si>
  <si>
    <t>Branch Mgr Override</t>
  </si>
  <si>
    <t>Origination income</t>
  </si>
  <si>
    <t>Monthly BM Prooduction</t>
  </si>
  <si>
    <t>Retail</t>
  </si>
  <si>
    <t>Draw / Commission</t>
  </si>
  <si>
    <t>Branch Yearly Volume</t>
  </si>
  <si>
    <t>Yearly Units</t>
  </si>
  <si>
    <t>Branch Profits</t>
  </si>
  <si>
    <t>MO Branch Profitable</t>
  </si>
  <si>
    <t>Adding Processor Branch Operations Break Even</t>
  </si>
  <si>
    <t>Manager Production %</t>
  </si>
  <si>
    <t>Employee</t>
  </si>
  <si>
    <t>Position</t>
  </si>
  <si>
    <t>Proj. Start Date</t>
  </si>
  <si>
    <t>Proj 12 MO Prod.</t>
  </si>
  <si>
    <t>Previous 12 MO Prod.</t>
  </si>
  <si>
    <t>RM Manager</t>
  </si>
  <si>
    <t>Max Comp</t>
  </si>
  <si>
    <t>5-6K</t>
  </si>
  <si>
    <t>Managers Overrides</t>
  </si>
  <si>
    <t>This value must equal 100%</t>
  </si>
  <si>
    <t xml:space="preserve">This is a very important number to insure accurate results, make sure you are researching your average loan amount prior to completing </t>
  </si>
  <si>
    <t xml:space="preserve">Total branch margin w/ out corp margin. This number will drive your rates, be conservitive or accurate.  </t>
  </si>
  <si>
    <t xml:space="preserve">The estimation of your ability to ramp up your volume. </t>
  </si>
  <si>
    <t>You don’t pay overrides on managers production. If you are a one man operation input 100%.</t>
  </si>
  <si>
    <t xml:space="preserve">This section if manipalated properly could be detrimental to your ability to be profitable. Understanding you and your teams ability to sell rate is crucial. </t>
  </si>
  <si>
    <t>Print to PDF in Landscape</t>
  </si>
  <si>
    <t xml:space="preserve">required field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</si>
</sst>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0.000%"/>
    <numFmt numFmtId="166" formatCode="0.0000%"/>
    <numFmt numFmtId="167" formatCode="m/d;@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color rgb="FF00206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33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5" xfId="0" applyFont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1" xfId="0" applyBorder="1"/>
    <xf numFmtId="9" fontId="0" fillId="0" borderId="1" xfId="0" applyNumberFormat="1" applyBorder="1" applyAlignment="1">
      <alignment horizontal="center"/>
    </xf>
    <xf numFmtId="9" fontId="6" fillId="0" borderId="4" xfId="2" applyFont="1" applyFill="1" applyBorder="1" applyAlignment="1">
      <alignment horizontal="center" vertical="center"/>
    </xf>
    <xf numFmtId="9" fontId="6" fillId="0" borderId="16" xfId="2" applyFont="1" applyFill="1" applyBorder="1" applyAlignment="1">
      <alignment horizontal="center" vertical="center"/>
    </xf>
    <xf numFmtId="9" fontId="0" fillId="0" borderId="5" xfId="0" applyNumberFormat="1" applyBorder="1" applyAlignment="1">
      <alignment horizontal="center"/>
    </xf>
    <xf numFmtId="6" fontId="0" fillId="0" borderId="5" xfId="0" applyNumberFormat="1" applyBorder="1" applyAlignment="1">
      <alignment horizontal="center"/>
    </xf>
    <xf numFmtId="6" fontId="6" fillId="0" borderId="4" xfId="2" applyNumberFormat="1" applyFont="1" applyFill="1" applyBorder="1" applyAlignment="1">
      <alignment horizontal="center" vertical="center"/>
    </xf>
    <xf numFmtId="6" fontId="6" fillId="0" borderId="16" xfId="2" applyNumberFormat="1" applyFont="1" applyFill="1" applyBorder="1" applyAlignment="1">
      <alignment horizontal="center" vertical="center"/>
    </xf>
    <xf numFmtId="164" fontId="6" fillId="0" borderId="4" xfId="1" applyNumberFormat="1" applyFont="1" applyFill="1" applyBorder="1" applyAlignment="1">
      <alignment horizontal="center" vertical="center"/>
    </xf>
    <xf numFmtId="0" fontId="0" fillId="0" borderId="6" xfId="0" applyBorder="1"/>
    <xf numFmtId="164" fontId="8" fillId="0" borderId="19" xfId="0" applyNumberFormat="1" applyFont="1" applyBorder="1" applyAlignment="1">
      <alignment horizontal="center" vertical="center"/>
    </xf>
    <xf numFmtId="164" fontId="6" fillId="0" borderId="5" xfId="0" applyNumberFormat="1" applyFont="1" applyBorder="1" applyAlignment="1">
      <alignment horizontal="center" vertical="center"/>
    </xf>
    <xf numFmtId="10" fontId="6" fillId="0" borderId="5" xfId="2" applyNumberFormat="1" applyFont="1" applyFill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/>
    </xf>
    <xf numFmtId="165" fontId="6" fillId="0" borderId="5" xfId="0" applyNumberFormat="1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164" fontId="6" fillId="0" borderId="17" xfId="0" applyNumberFormat="1" applyFont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6" fontId="6" fillId="0" borderId="3" xfId="2" applyNumberFormat="1" applyFont="1" applyFill="1" applyBorder="1" applyAlignment="1">
      <alignment horizontal="center" vertical="center"/>
    </xf>
    <xf numFmtId="8" fontId="6" fillId="0" borderId="3" xfId="2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left" vertical="center"/>
    </xf>
    <xf numFmtId="164" fontId="9" fillId="0" borderId="1" xfId="0" applyNumberFormat="1" applyFont="1" applyBorder="1" applyAlignment="1">
      <alignment horizontal="center" vertical="center"/>
    </xf>
    <xf numFmtId="164" fontId="9" fillId="0" borderId="2" xfId="0" applyNumberFormat="1" applyFont="1" applyBorder="1" applyAlignment="1">
      <alignment horizontal="center" vertical="center"/>
    </xf>
    <xf numFmtId="10" fontId="6" fillId="0" borderId="5" xfId="0" applyNumberFormat="1" applyFont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11" fillId="0" borderId="24" xfId="0" applyFont="1" applyBorder="1" applyAlignment="1">
      <alignment vertical="center"/>
    </xf>
    <xf numFmtId="0" fontId="11" fillId="0" borderId="25" xfId="0" applyFont="1" applyBorder="1" applyAlignment="1">
      <alignment horizontal="left" vertical="center"/>
    </xf>
    <xf numFmtId="0" fontId="11" fillId="0" borderId="28" xfId="0" applyFont="1" applyBorder="1" applyAlignment="1">
      <alignment vertical="center"/>
    </xf>
    <xf numFmtId="0" fontId="2" fillId="0" borderId="25" xfId="0" applyFont="1" applyBorder="1"/>
    <xf numFmtId="0" fontId="0" fillId="0" borderId="9" xfId="0" applyBorder="1"/>
    <xf numFmtId="0" fontId="4" fillId="3" borderId="30" xfId="0" applyFont="1" applyFill="1" applyBorder="1"/>
    <xf numFmtId="0" fontId="5" fillId="3" borderId="30" xfId="0" applyFont="1" applyFill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164" fontId="8" fillId="0" borderId="21" xfId="0" applyNumberFormat="1" applyFont="1" applyBorder="1" applyAlignment="1">
      <alignment horizontal="center" vertical="center"/>
    </xf>
    <xf numFmtId="164" fontId="10" fillId="2" borderId="17" xfId="0" applyNumberFormat="1" applyFont="1" applyFill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32" xfId="0" applyBorder="1"/>
    <xf numFmtId="0" fontId="0" fillId="0" borderId="32" xfId="0" applyBorder="1" applyAlignment="1">
      <alignment horizontal="center"/>
    </xf>
    <xf numFmtId="0" fontId="2" fillId="0" borderId="15" xfId="0" applyFont="1" applyBorder="1"/>
    <xf numFmtId="0" fontId="0" fillId="0" borderId="18" xfId="0" applyBorder="1"/>
    <xf numFmtId="164" fontId="6" fillId="0" borderId="1" xfId="0" applyNumberFormat="1" applyFont="1" applyBorder="1" applyAlignment="1">
      <alignment horizontal="center" vertical="center"/>
    </xf>
    <xf numFmtId="0" fontId="7" fillId="5" borderId="24" xfId="0" applyFont="1" applyFill="1" applyBorder="1" applyAlignment="1">
      <alignment vertical="center"/>
    </xf>
    <xf numFmtId="164" fontId="9" fillId="5" borderId="5" xfId="0" applyNumberFormat="1" applyFont="1" applyFill="1" applyBorder="1" applyAlignment="1">
      <alignment horizontal="center" vertical="center"/>
    </xf>
    <xf numFmtId="9" fontId="0" fillId="0" borderId="0" xfId="0" applyNumberFormat="1"/>
    <xf numFmtId="1" fontId="0" fillId="0" borderId="11" xfId="0" applyNumberFormat="1" applyBorder="1" applyAlignment="1">
      <alignment horizontal="center"/>
    </xf>
    <xf numFmtId="164" fontId="15" fillId="0" borderId="33" xfId="0" applyNumberFormat="1" applyFont="1" applyBorder="1" applyAlignment="1">
      <alignment horizontal="center"/>
    </xf>
    <xf numFmtId="10" fontId="6" fillId="0" borderId="9" xfId="2" applyNumberFormat="1" applyFont="1" applyFill="1" applyBorder="1" applyAlignment="1">
      <alignment horizontal="center" vertical="center"/>
    </xf>
    <xf numFmtId="0" fontId="0" fillId="0" borderId="28" xfId="0" applyBorder="1"/>
    <xf numFmtId="0" fontId="0" fillId="0" borderId="36" xfId="0" applyBorder="1"/>
    <xf numFmtId="3" fontId="6" fillId="0" borderId="4" xfId="0" applyNumberFormat="1" applyFont="1" applyBorder="1" applyAlignment="1">
      <alignment horizontal="center" vertical="center"/>
    </xf>
    <xf numFmtId="3" fontId="6" fillId="0" borderId="16" xfId="0" applyNumberFormat="1" applyFont="1" applyBorder="1" applyAlignment="1">
      <alignment horizontal="center" vertical="center"/>
    </xf>
    <xf numFmtId="10" fontId="6" fillId="0" borderId="9" xfId="0" applyNumberFormat="1" applyFont="1" applyBorder="1" applyAlignment="1">
      <alignment horizontal="center" vertical="center"/>
    </xf>
    <xf numFmtId="3" fontId="6" fillId="6" borderId="4" xfId="0" applyNumberFormat="1" applyFont="1" applyFill="1" applyBorder="1" applyAlignment="1">
      <alignment horizontal="center" vertical="center"/>
    </xf>
    <xf numFmtId="9" fontId="6" fillId="6" borderId="4" xfId="2" applyFont="1" applyFill="1" applyBorder="1" applyAlignment="1">
      <alignment horizontal="center" vertical="center"/>
    </xf>
    <xf numFmtId="6" fontId="6" fillId="6" borderId="4" xfId="2" applyNumberFormat="1" applyFont="1" applyFill="1" applyBorder="1" applyAlignment="1">
      <alignment horizontal="center" vertical="center"/>
    </xf>
    <xf numFmtId="1" fontId="0" fillId="6" borderId="11" xfId="0" applyNumberFormat="1" applyFill="1" applyBorder="1" applyAlignment="1">
      <alignment horizontal="center"/>
    </xf>
    <xf numFmtId="164" fontId="6" fillId="6" borderId="4" xfId="0" applyNumberFormat="1" applyFont="1" applyFill="1" applyBorder="1" applyAlignment="1">
      <alignment horizontal="center" vertical="center"/>
    </xf>
    <xf numFmtId="164" fontId="6" fillId="6" borderId="20" xfId="0" applyNumberFormat="1" applyFont="1" applyFill="1" applyBorder="1" applyAlignment="1">
      <alignment horizontal="center" vertical="center"/>
    </xf>
    <xf numFmtId="164" fontId="8" fillId="6" borderId="35" xfId="0" applyNumberFormat="1" applyFont="1" applyFill="1" applyBorder="1" applyAlignment="1">
      <alignment horizontal="center" vertical="center"/>
    </xf>
    <xf numFmtId="164" fontId="8" fillId="6" borderId="19" xfId="0" applyNumberFormat="1" applyFont="1" applyFill="1" applyBorder="1" applyAlignment="1">
      <alignment horizontal="center" vertical="center"/>
    </xf>
    <xf numFmtId="164" fontId="6" fillId="6" borderId="0" xfId="0" applyNumberFormat="1" applyFont="1" applyFill="1" applyAlignment="1">
      <alignment horizontal="center" vertical="center"/>
    </xf>
    <xf numFmtId="164" fontId="6" fillId="6" borderId="5" xfId="0" applyNumberFormat="1" applyFont="1" applyFill="1" applyBorder="1" applyAlignment="1">
      <alignment horizontal="center" vertical="center"/>
    </xf>
    <xf numFmtId="164" fontId="6" fillId="6" borderId="9" xfId="0" applyNumberFormat="1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8" fontId="6" fillId="6" borderId="3" xfId="2" applyNumberFormat="1" applyFont="1" applyFill="1" applyBorder="1" applyAlignment="1">
      <alignment horizontal="center" vertical="center"/>
    </xf>
    <xf numFmtId="164" fontId="6" fillId="6" borderId="1" xfId="0" applyNumberFormat="1" applyFont="1" applyFill="1" applyBorder="1" applyAlignment="1">
      <alignment horizontal="center" vertical="center"/>
    </xf>
    <xf numFmtId="164" fontId="9" fillId="6" borderId="1" xfId="0" applyNumberFormat="1" applyFont="1" applyFill="1" applyBorder="1" applyAlignment="1">
      <alignment horizontal="center" vertical="center"/>
    </xf>
    <xf numFmtId="164" fontId="9" fillId="6" borderId="5" xfId="0" applyNumberFormat="1" applyFont="1" applyFill="1" applyBorder="1" applyAlignment="1">
      <alignment horizontal="center" vertical="center"/>
    </xf>
    <xf numFmtId="164" fontId="12" fillId="6" borderId="22" xfId="3" applyNumberFormat="1" applyFont="1" applyFill="1" applyBorder="1" applyAlignment="1">
      <alignment vertical="center"/>
    </xf>
    <xf numFmtId="0" fontId="16" fillId="3" borderId="3" xfId="0" applyFont="1" applyFill="1" applyBorder="1"/>
    <xf numFmtId="0" fontId="16" fillId="3" borderId="17" xfId="0" applyFont="1" applyFill="1" applyBorder="1"/>
    <xf numFmtId="0" fontId="2" fillId="0" borderId="9" xfId="0" applyFont="1" applyBorder="1" applyAlignment="1">
      <alignment horizontal="center"/>
    </xf>
    <xf numFmtId="0" fontId="2" fillId="2" borderId="0" xfId="0" applyFont="1" applyFill="1"/>
    <xf numFmtId="6" fontId="0" fillId="2" borderId="0" xfId="0" applyNumberForma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8" fillId="2" borderId="0" xfId="0" applyFont="1" applyFill="1"/>
    <xf numFmtId="0" fontId="19" fillId="2" borderId="0" xfId="0" applyFont="1" applyFill="1"/>
    <xf numFmtId="164" fontId="17" fillId="2" borderId="0" xfId="0" applyNumberFormat="1" applyFont="1" applyFill="1"/>
    <xf numFmtId="10" fontId="17" fillId="2" borderId="0" xfId="0" applyNumberFormat="1" applyFont="1" applyFill="1"/>
    <xf numFmtId="3" fontId="20" fillId="2" borderId="0" xfId="0" applyNumberFormat="1" applyFont="1" applyFill="1"/>
    <xf numFmtId="0" fontId="18" fillId="2" borderId="15" xfId="0" applyFont="1" applyFill="1" applyBorder="1"/>
    <xf numFmtId="3" fontId="18" fillId="2" borderId="41" xfId="0" applyNumberFormat="1" applyFont="1" applyFill="1" applyBorder="1"/>
    <xf numFmtId="0" fontId="18" fillId="2" borderId="41" xfId="0" applyFont="1" applyFill="1" applyBorder="1"/>
    <xf numFmtId="0" fontId="19" fillId="2" borderId="34" xfId="0" applyFont="1" applyFill="1" applyBorder="1"/>
    <xf numFmtId="164" fontId="19" fillId="2" borderId="0" xfId="0" applyNumberFormat="1" applyFont="1" applyFill="1"/>
    <xf numFmtId="0" fontId="17" fillId="2" borderId="5" xfId="0" applyFont="1" applyFill="1" applyBorder="1" applyAlignment="1">
      <alignment horizontal="right"/>
    </xf>
    <xf numFmtId="9" fontId="17" fillId="2" borderId="5" xfId="0" applyNumberFormat="1" applyFont="1" applyFill="1" applyBorder="1"/>
    <xf numFmtId="164" fontId="17" fillId="2" borderId="5" xfId="0" applyNumberFormat="1" applyFont="1" applyFill="1" applyBorder="1"/>
    <xf numFmtId="10" fontId="17" fillId="2" borderId="5" xfId="0" applyNumberFormat="1" applyFont="1" applyFill="1" applyBorder="1"/>
    <xf numFmtId="1" fontId="17" fillId="2" borderId="5" xfId="0" applyNumberFormat="1" applyFont="1" applyFill="1" applyBorder="1"/>
    <xf numFmtId="3" fontId="20" fillId="2" borderId="14" xfId="0" applyNumberFormat="1" applyFont="1" applyFill="1" applyBorder="1"/>
    <xf numFmtId="3" fontId="17" fillId="2" borderId="5" xfId="0" applyNumberFormat="1" applyFont="1" applyFill="1" applyBorder="1"/>
    <xf numFmtId="164" fontId="18" fillId="2" borderId="0" xfId="0" applyNumberFormat="1" applyFont="1" applyFill="1"/>
    <xf numFmtId="0" fontId="0" fillId="4" borderId="12" xfId="0" applyFill="1" applyBorder="1"/>
    <xf numFmtId="6" fontId="0" fillId="4" borderId="12" xfId="0" applyNumberFormat="1" applyFill="1" applyBorder="1" applyAlignment="1">
      <alignment horizontal="center"/>
    </xf>
    <xf numFmtId="0" fontId="2" fillId="4" borderId="12" xfId="0" applyFont="1" applyFill="1" applyBorder="1"/>
    <xf numFmtId="6" fontId="2" fillId="4" borderId="14" xfId="0" applyNumberFormat="1" applyFont="1" applyFill="1" applyBorder="1" applyAlignment="1">
      <alignment horizontal="center"/>
    </xf>
    <xf numFmtId="0" fontId="7" fillId="2" borderId="27" xfId="0" applyFont="1" applyFill="1" applyBorder="1" applyAlignment="1">
      <alignment vertical="center"/>
    </xf>
    <xf numFmtId="0" fontId="9" fillId="2" borderId="22" xfId="0" applyFont="1" applyFill="1" applyBorder="1" applyAlignment="1">
      <alignment horizontal="center" vertical="center"/>
    </xf>
    <xf numFmtId="164" fontId="12" fillId="2" borderId="22" xfId="3" applyNumberFormat="1" applyFont="1" applyFill="1" applyBorder="1" applyAlignment="1">
      <alignment vertical="center"/>
    </xf>
    <xf numFmtId="0" fontId="0" fillId="2" borderId="0" xfId="0" applyFill="1"/>
    <xf numFmtId="164" fontId="6" fillId="2" borderId="5" xfId="0" applyNumberFormat="1" applyFont="1" applyFill="1" applyBorder="1" applyAlignment="1">
      <alignment horizontal="center" vertical="center"/>
    </xf>
    <xf numFmtId="3" fontId="19" fillId="2" borderId="41" xfId="0" applyNumberFormat="1" applyFont="1" applyFill="1" applyBorder="1"/>
    <xf numFmtId="0" fontId="19" fillId="2" borderId="41" xfId="0" applyFont="1" applyFill="1" applyBorder="1"/>
    <xf numFmtId="3" fontId="19" fillId="2" borderId="34" xfId="0" applyNumberFormat="1" applyFont="1" applyFill="1" applyBorder="1"/>
    <xf numFmtId="3" fontId="17" fillId="2" borderId="6" xfId="0" applyNumberFormat="1" applyFont="1" applyFill="1" applyBorder="1"/>
    <xf numFmtId="3" fontId="20" fillId="2" borderId="41" xfId="0" applyNumberFormat="1" applyFont="1" applyFill="1" applyBorder="1"/>
    <xf numFmtId="0" fontId="18" fillId="2" borderId="12" xfId="0" applyFont="1" applyFill="1" applyBorder="1"/>
    <xf numFmtId="164" fontId="6" fillId="2" borderId="4" xfId="0" applyNumberFormat="1" applyFont="1" applyFill="1" applyBorder="1" applyAlignment="1">
      <alignment horizontal="center" vertical="center"/>
    </xf>
    <xf numFmtId="164" fontId="6" fillId="2" borderId="20" xfId="0" applyNumberFormat="1" applyFont="1" applyFill="1" applyBorder="1" applyAlignment="1">
      <alignment horizontal="center" vertical="center"/>
    </xf>
    <xf numFmtId="6" fontId="6" fillId="2" borderId="4" xfId="2" applyNumberFormat="1" applyFont="1" applyFill="1" applyBorder="1" applyAlignment="1">
      <alignment horizontal="center" vertical="center"/>
    </xf>
    <xf numFmtId="0" fontId="21" fillId="2" borderId="0" xfId="0" applyFont="1" applyFill="1"/>
    <xf numFmtId="164" fontId="17" fillId="2" borderId="6" xfId="0" applyNumberFormat="1" applyFont="1" applyFill="1" applyBorder="1"/>
    <xf numFmtId="164" fontId="17" fillId="2" borderId="9" xfId="0" applyNumberFormat="1" applyFont="1" applyFill="1" applyBorder="1"/>
    <xf numFmtId="164" fontId="20" fillId="2" borderId="15" xfId="0" applyNumberFormat="1" applyFont="1" applyFill="1" applyBorder="1"/>
    <xf numFmtId="164" fontId="19" fillId="2" borderId="41" xfId="0" applyNumberFormat="1" applyFont="1" applyFill="1" applyBorder="1"/>
    <xf numFmtId="164" fontId="19" fillId="2" borderId="34" xfId="0" applyNumberFormat="1" applyFont="1" applyFill="1" applyBorder="1"/>
    <xf numFmtId="10" fontId="17" fillId="2" borderId="6" xfId="0" applyNumberFormat="1" applyFont="1" applyFill="1" applyBorder="1"/>
    <xf numFmtId="0" fontId="18" fillId="2" borderId="34" xfId="0" applyFont="1" applyFill="1" applyBorder="1"/>
    <xf numFmtId="3" fontId="21" fillId="2" borderId="6" xfId="0" applyNumberFormat="1" applyFont="1" applyFill="1" applyBorder="1"/>
    <xf numFmtId="164" fontId="17" fillId="2" borderId="41" xfId="0" applyNumberFormat="1" applyFont="1" applyFill="1" applyBorder="1"/>
    <xf numFmtId="164" fontId="17" fillId="2" borderId="34" xfId="0" applyNumberFormat="1" applyFont="1" applyFill="1" applyBorder="1"/>
    <xf numFmtId="1" fontId="17" fillId="2" borderId="6" xfId="0" applyNumberFormat="1" applyFont="1" applyFill="1" applyBorder="1"/>
    <xf numFmtId="9" fontId="17" fillId="2" borderId="6" xfId="0" applyNumberFormat="1" applyFont="1" applyFill="1" applyBorder="1"/>
    <xf numFmtId="9" fontId="18" fillId="2" borderId="0" xfId="0" applyNumberFormat="1" applyFont="1" applyFill="1"/>
    <xf numFmtId="9" fontId="17" fillId="2" borderId="9" xfId="0" applyNumberFormat="1" applyFont="1" applyFill="1" applyBorder="1"/>
    <xf numFmtId="9" fontId="18" fillId="2" borderId="31" xfId="0" applyNumberFormat="1" applyFont="1" applyFill="1" applyBorder="1"/>
    <xf numFmtId="9" fontId="6" fillId="0" borderId="0" xfId="0" applyNumberFormat="1" applyFont="1" applyAlignment="1">
      <alignment horizontal="center" vertical="center"/>
    </xf>
    <xf numFmtId="0" fontId="0" fillId="0" borderId="10" xfId="0" applyBorder="1"/>
    <xf numFmtId="164" fontId="15" fillId="0" borderId="32" xfId="0" applyNumberFormat="1" applyFont="1" applyBorder="1" applyAlignment="1">
      <alignment horizontal="center"/>
    </xf>
    <xf numFmtId="164" fontId="23" fillId="2" borderId="5" xfId="0" applyNumberFormat="1" applyFont="1" applyFill="1" applyBorder="1" applyAlignment="1">
      <alignment horizontal="center" vertical="center"/>
    </xf>
    <xf numFmtId="0" fontId="13" fillId="2" borderId="0" xfId="0" applyFont="1" applyFill="1"/>
    <xf numFmtId="164" fontId="6" fillId="2" borderId="9" xfId="0" applyNumberFormat="1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vertical="center"/>
    </xf>
    <xf numFmtId="164" fontId="22" fillId="2" borderId="30" xfId="0" applyNumberFormat="1" applyFont="1" applyFill="1" applyBorder="1" applyAlignment="1">
      <alignment horizontal="center" vertical="center"/>
    </xf>
    <xf numFmtId="164" fontId="23" fillId="2" borderId="30" xfId="0" applyNumberFormat="1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vertical="center"/>
    </xf>
    <xf numFmtId="164" fontId="22" fillId="2" borderId="40" xfId="0" applyNumberFormat="1" applyFont="1" applyFill="1" applyBorder="1" applyAlignment="1">
      <alignment horizontal="center" vertical="center"/>
    </xf>
    <xf numFmtId="164" fontId="23" fillId="2" borderId="40" xfId="0" applyNumberFormat="1" applyFont="1" applyFill="1" applyBorder="1" applyAlignment="1">
      <alignment horizontal="center" vertical="center"/>
    </xf>
    <xf numFmtId="164" fontId="23" fillId="2" borderId="8" xfId="0" applyNumberFormat="1" applyFont="1" applyFill="1" applyBorder="1" applyAlignment="1">
      <alignment horizontal="center" vertical="center"/>
    </xf>
    <xf numFmtId="164" fontId="23" fillId="2" borderId="3" xfId="0" applyNumberFormat="1" applyFont="1" applyFill="1" applyBorder="1" applyAlignment="1">
      <alignment horizontal="center" vertical="center"/>
    </xf>
    <xf numFmtId="164" fontId="15" fillId="2" borderId="42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13" fillId="2" borderId="1" xfId="0" applyFont="1" applyFill="1" applyBorder="1"/>
    <xf numFmtId="164" fontId="5" fillId="2" borderId="6" xfId="0" applyNumberFormat="1" applyFont="1" applyFill="1" applyBorder="1" applyAlignment="1">
      <alignment horizontal="center"/>
    </xf>
    <xf numFmtId="0" fontId="24" fillId="2" borderId="0" xfId="0" applyFont="1" applyFill="1"/>
    <xf numFmtId="0" fontId="5" fillId="3" borderId="29" xfId="0" applyFont="1" applyFill="1" applyBorder="1" applyAlignment="1">
      <alignment vertical="center"/>
    </xf>
    <xf numFmtId="0" fontId="2" fillId="4" borderId="15" xfId="0" applyFont="1" applyFill="1" applyBorder="1"/>
    <xf numFmtId="0" fontId="0" fillId="4" borderId="41" xfId="0" applyFill="1" applyBorder="1"/>
    <xf numFmtId="0" fontId="0" fillId="4" borderId="34" xfId="0" applyFill="1" applyBorder="1"/>
    <xf numFmtId="164" fontId="8" fillId="0" borderId="0" xfId="0" applyNumberFormat="1" applyFont="1" applyAlignment="1">
      <alignment horizontal="center" vertical="center"/>
    </xf>
    <xf numFmtId="164" fontId="18" fillId="2" borderId="12" xfId="0" applyNumberFormat="1" applyFont="1" applyFill="1" applyBorder="1"/>
    <xf numFmtId="166" fontId="6" fillId="0" borderId="5" xfId="2" applyNumberFormat="1" applyFont="1" applyFill="1" applyBorder="1" applyAlignment="1">
      <alignment horizontal="center" vertical="center"/>
    </xf>
    <xf numFmtId="9" fontId="25" fillId="2" borderId="0" xfId="0" applyNumberFormat="1" applyFont="1" applyFill="1" applyProtection="1">
      <protection hidden="1"/>
    </xf>
    <xf numFmtId="164" fontId="19" fillId="2" borderId="0" xfId="0" applyNumberFormat="1" applyFont="1" applyFill="1" applyAlignment="1">
      <alignment horizontal="center"/>
    </xf>
    <xf numFmtId="3" fontId="19" fillId="2" borderId="0" xfId="0" applyNumberFormat="1" applyFont="1" applyFill="1"/>
    <xf numFmtId="3" fontId="18" fillId="2" borderId="0" xfId="0" applyNumberFormat="1" applyFont="1" applyFill="1"/>
    <xf numFmtId="3" fontId="19" fillId="2" borderId="15" xfId="0" applyNumberFormat="1" applyFont="1" applyFill="1" applyBorder="1"/>
    <xf numFmtId="1" fontId="17" fillId="2" borderId="38" xfId="0" applyNumberFormat="1" applyFont="1" applyFill="1" applyBorder="1"/>
    <xf numFmtId="164" fontId="6" fillId="2" borderId="1" xfId="0" applyNumberFormat="1" applyFont="1" applyFill="1" applyBorder="1" applyAlignment="1">
      <alignment horizontal="center" vertical="center"/>
    </xf>
    <xf numFmtId="164" fontId="6" fillId="0" borderId="4" xfId="2" applyNumberFormat="1" applyFont="1" applyFill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1" fontId="2" fillId="7" borderId="39" xfId="0" applyNumberFormat="1" applyFont="1" applyFill="1" applyBorder="1" applyAlignment="1">
      <alignment horizontal="center"/>
    </xf>
    <xf numFmtId="164" fontId="2" fillId="7" borderId="44" xfId="0" applyNumberFormat="1" applyFont="1" applyFill="1" applyBorder="1" applyAlignment="1">
      <alignment horizontal="center"/>
    </xf>
    <xf numFmtId="164" fontId="26" fillId="7" borderId="14" xfId="0" applyNumberFormat="1" applyFont="1" applyFill="1" applyBorder="1" applyAlignment="1">
      <alignment horizontal="center"/>
    </xf>
    <xf numFmtId="9" fontId="26" fillId="7" borderId="39" xfId="0" applyNumberFormat="1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/>
    </xf>
    <xf numFmtId="0" fontId="2" fillId="8" borderId="15" xfId="0" applyFont="1" applyFill="1" applyBorder="1"/>
    <xf numFmtId="0" fontId="0" fillId="8" borderId="41" xfId="0" applyFill="1" applyBorder="1"/>
    <xf numFmtId="0" fontId="0" fillId="8" borderId="12" xfId="0" applyFill="1" applyBorder="1"/>
    <xf numFmtId="0" fontId="0" fillId="8" borderId="12" xfId="0" applyFill="1" applyBorder="1" applyAlignment="1">
      <alignment horizontal="center"/>
    </xf>
    <xf numFmtId="0" fontId="2" fillId="8" borderId="12" xfId="0" applyFont="1" applyFill="1" applyBorder="1"/>
    <xf numFmtId="6" fontId="2" fillId="8" borderId="14" xfId="0" applyNumberFormat="1" applyFont="1" applyFill="1" applyBorder="1" applyAlignment="1">
      <alignment horizontal="center"/>
    </xf>
    <xf numFmtId="0" fontId="0" fillId="8" borderId="34" xfId="0" applyFill="1" applyBorder="1"/>
    <xf numFmtId="0" fontId="0" fillId="8" borderId="15" xfId="0" applyFill="1" applyBorder="1"/>
    <xf numFmtId="6" fontId="0" fillId="8" borderId="12" xfId="0" applyNumberFormat="1" applyFill="1" applyBorder="1" applyAlignment="1">
      <alignment horizontal="center"/>
    </xf>
    <xf numFmtId="0" fontId="2" fillId="8" borderId="13" xfId="0" applyFont="1" applyFill="1" applyBorder="1"/>
    <xf numFmtId="6" fontId="2" fillId="8" borderId="12" xfId="0" applyNumberFormat="1" applyFont="1" applyFill="1" applyBorder="1" applyAlignment="1">
      <alignment horizontal="center"/>
    </xf>
    <xf numFmtId="0" fontId="2" fillId="8" borderId="43" xfId="0" applyFont="1" applyFill="1" applyBorder="1"/>
    <xf numFmtId="0" fontId="0" fillId="8" borderId="18" xfId="0" applyFill="1" applyBorder="1"/>
    <xf numFmtId="0" fontId="2" fillId="8" borderId="18" xfId="0" applyFont="1" applyFill="1" applyBorder="1" applyAlignment="1">
      <alignment horizontal="center"/>
    </xf>
    <xf numFmtId="0" fontId="0" fillId="8" borderId="36" xfId="0" applyFill="1" applyBorder="1"/>
    <xf numFmtId="0" fontId="0" fillId="8" borderId="6" xfId="0" applyFill="1" applyBorder="1"/>
    <xf numFmtId="165" fontId="0" fillId="8" borderId="6" xfId="2" applyNumberFormat="1" applyFont="1" applyFill="1" applyBorder="1" applyAlignment="1">
      <alignment horizontal="center"/>
    </xf>
    <xf numFmtId="164" fontId="0" fillId="8" borderId="6" xfId="0" applyNumberFormat="1" applyFill="1" applyBorder="1"/>
    <xf numFmtId="0" fontId="0" fillId="8" borderId="5" xfId="0" applyFill="1" applyBorder="1"/>
    <xf numFmtId="165" fontId="0" fillId="8" borderId="5" xfId="2" applyNumberFormat="1" applyFont="1" applyFill="1" applyBorder="1" applyAlignment="1">
      <alignment horizontal="center"/>
    </xf>
    <xf numFmtId="164" fontId="0" fillId="8" borderId="5" xfId="0" applyNumberFormat="1" applyFill="1" applyBorder="1"/>
    <xf numFmtId="10" fontId="0" fillId="8" borderId="5" xfId="0" applyNumberFormat="1" applyFill="1" applyBorder="1"/>
    <xf numFmtId="0" fontId="0" fillId="8" borderId="9" xfId="0" applyFill="1" applyBorder="1"/>
    <xf numFmtId="9" fontId="0" fillId="8" borderId="9" xfId="2" applyFont="1" applyFill="1" applyBorder="1" applyAlignment="1">
      <alignment horizontal="center"/>
    </xf>
    <xf numFmtId="164" fontId="0" fillId="8" borderId="9" xfId="0" applyNumberFormat="1" applyFill="1" applyBorder="1"/>
    <xf numFmtId="165" fontId="2" fillId="8" borderId="18" xfId="2" applyNumberFormat="1" applyFont="1" applyFill="1" applyBorder="1" applyAlignment="1">
      <alignment horizontal="center"/>
    </xf>
    <xf numFmtId="164" fontId="0" fillId="8" borderId="18" xfId="0" applyNumberFormat="1" applyFill="1" applyBorder="1"/>
    <xf numFmtId="164" fontId="2" fillId="8" borderId="18" xfId="0" applyNumberFormat="1" applyFont="1" applyFill="1" applyBorder="1"/>
    <xf numFmtId="0" fontId="20" fillId="8" borderId="13" xfId="0" applyFont="1" applyFill="1" applyBorder="1"/>
    <xf numFmtId="0" fontId="21" fillId="8" borderId="39" xfId="0" applyFont="1" applyFill="1" applyBorder="1"/>
    <xf numFmtId="0" fontId="21" fillId="8" borderId="5" xfId="0" applyFont="1" applyFill="1" applyBorder="1"/>
    <xf numFmtId="1" fontId="21" fillId="8" borderId="5" xfId="0" applyNumberFormat="1" applyFont="1" applyFill="1" applyBorder="1"/>
    <xf numFmtId="164" fontId="21" fillId="8" borderId="5" xfId="0" applyNumberFormat="1" applyFont="1" applyFill="1" applyBorder="1"/>
    <xf numFmtId="0" fontId="21" fillId="8" borderId="9" xfId="0" applyFont="1" applyFill="1" applyBorder="1"/>
    <xf numFmtId="164" fontId="21" fillId="8" borderId="9" xfId="0" applyNumberFormat="1" applyFont="1" applyFill="1" applyBorder="1"/>
    <xf numFmtId="0" fontId="20" fillId="8" borderId="45" xfId="0" applyFont="1" applyFill="1" applyBorder="1"/>
    <xf numFmtId="164" fontId="20" fillId="8" borderId="46" xfId="0" applyNumberFormat="1" applyFont="1" applyFill="1" applyBorder="1"/>
    <xf numFmtId="0" fontId="21" fillId="8" borderId="6" xfId="0" applyFont="1" applyFill="1" applyBorder="1"/>
    <xf numFmtId="0" fontId="20" fillId="8" borderId="43" xfId="0" applyFont="1" applyFill="1" applyBorder="1"/>
    <xf numFmtId="0" fontId="20" fillId="8" borderId="36" xfId="0" applyFont="1" applyFill="1" applyBorder="1"/>
    <xf numFmtId="0" fontId="2" fillId="5" borderId="18" xfId="0" applyFont="1" applyFill="1" applyBorder="1"/>
    <xf numFmtId="0" fontId="2" fillId="5" borderId="36" xfId="0" applyFont="1" applyFill="1" applyBorder="1"/>
    <xf numFmtId="0" fontId="0" fillId="5" borderId="6" xfId="0" applyFill="1" applyBorder="1"/>
    <xf numFmtId="167" fontId="0" fillId="5" borderId="6" xfId="0" applyNumberFormat="1" applyFill="1" applyBorder="1"/>
    <xf numFmtId="0" fontId="0" fillId="5" borderId="5" xfId="0" applyFill="1" applyBorder="1"/>
    <xf numFmtId="167" fontId="0" fillId="5" borderId="5" xfId="0" applyNumberFormat="1" applyFill="1" applyBorder="1"/>
    <xf numFmtId="0" fontId="2" fillId="5" borderId="43" xfId="0" applyFont="1" applyFill="1" applyBorder="1" applyAlignment="1">
      <alignment horizontal="center"/>
    </xf>
    <xf numFmtId="0" fontId="2" fillId="5" borderId="18" xfId="0" applyFont="1" applyFill="1" applyBorder="1" applyAlignment="1">
      <alignment horizontal="center"/>
    </xf>
    <xf numFmtId="0" fontId="9" fillId="0" borderId="26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23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19" fillId="9" borderId="0" xfId="0" applyFont="1" applyFill="1"/>
    <xf numFmtId="3" fontId="18" fillId="9" borderId="0" xfId="0" applyNumberFormat="1" applyFont="1" applyFill="1"/>
    <xf numFmtId="0" fontId="27" fillId="2" borderId="0" xfId="0" applyFont="1" applyFill="1"/>
    <xf numFmtId="0" fontId="27" fillId="9" borderId="0" xfId="0" applyFont="1" applyFill="1"/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2">
    <dxf>
      <font>
        <color rgb="FFFF0000"/>
      </font>
    </dxf>
    <dxf>
      <font>
        <color theme="9" tint="0.39994506668294322"/>
      </font>
    </dxf>
  </dxfs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167640</xdr:colOff>
      <xdr:row>0</xdr:row>
      <xdr:rowOff>91440</xdr:rowOff>
    </xdr:from>
    <xdr:to>
      <xdr:col>2</xdr:col>
      <xdr:colOff>743405</xdr:colOff>
      <xdr:row>0</xdr:row>
      <xdr:rowOff>1043940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652A36-F69F-3713-D6E8-974C6DD537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" y="91440"/>
          <a:ext cx="4530545" cy="952500"/>
        </a:xfrm>
        <a:prstGeom prst="rect">
          <a:avLst/>
        </a:prstGeom>
      </xdr:spPr>
    </xdr:pic>
    <xdr:clientData/>
  </xdr:twoCellAnchor>
  <xdr:twoCellAnchor editAs="oneCell">
    <xdr:from>
      <xdr:col>3</xdr:col>
      <xdr:colOff>350520</xdr:colOff>
      <xdr:row>0</xdr:row>
      <xdr:rowOff>0</xdr:rowOff>
    </xdr:from>
    <xdr:to>
      <xdr:col>4</xdr:col>
      <xdr:colOff>121920</xdr:colOff>
      <xdr:row>1</xdr:row>
      <xdr:rowOff>68580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C05385B-2F33-334A-635D-FD2CF6F588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20640" y="0"/>
          <a:ext cx="1333500" cy="1333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91440</xdr:colOff>
      <xdr:row>0</xdr:row>
      <xdr:rowOff>119270</xdr:rowOff>
    </xdr:from>
    <xdr:to>
      <xdr:col>1</xdr:col>
      <xdr:colOff>1180756</xdr:colOff>
      <xdr:row>3</xdr:row>
      <xdr:rowOff>175260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7865C5-ED46-4F65-BE62-000D33117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1440" y="119270"/>
          <a:ext cx="3093376" cy="650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D45C0-C076-4120-8A45-0D29EE24E939}">
  <dimension ref="A1:L102"/>
  <sheetViews>
    <sheetView tabSelected="1" topLeftCell="A78" workbookViewId="0">
      <selection activeCell="C2" sqref="C2"/>
    </sheetView>
  </sheetViews>
  <sheetFormatPr defaultColWidth="8.85546875" defaultRowHeight="15.75" x14ac:dyDescent="0.25"/>
  <cols>
    <col min="1" max="1" width="35" style="85" customWidth="1"/>
    <col min="2" max="2" width="22.7109375" style="85" customWidth="1"/>
    <col min="3" max="3" width="11.85546875" style="85" customWidth="1"/>
    <col min="4" max="4" width="22.7109375" style="85" customWidth="1"/>
    <col min="5" max="5" width="13" style="85" customWidth="1"/>
    <col min="6" max="6" width="14" style="85" customWidth="1"/>
    <col min="7" max="7" width="22.140625" style="85" customWidth="1"/>
    <col min="8" max="8" width="8.42578125" style="85" customWidth="1"/>
    <col min="9" max="9" width="11" style="85" bestFit="1" customWidth="1"/>
    <col min="10" max="10" width="24.140625" style="85" customWidth="1"/>
    <col min="11" max="11" width="10.28515625" style="85" customWidth="1"/>
    <col min="12" max="12" width="11.140625" style="85" customWidth="1"/>
    <col min="13" max="16384" width="8.85546875" style="85"/>
  </cols>
  <sheetData>
    <row r="1" spans="1:6" ht="99.6" customHeight="1" x14ac:dyDescent="0.25"/>
    <row r="2" spans="1:6" x14ac:dyDescent="0.25">
      <c r="A2" s="84" t="s">
        <v>79</v>
      </c>
      <c r="B2" s="94" t="s">
        <v>176</v>
      </c>
      <c r="F2" s="85" t="s">
        <v>77</v>
      </c>
    </row>
    <row r="3" spans="1:6" x14ac:dyDescent="0.25">
      <c r="A3" s="84" t="s">
        <v>44</v>
      </c>
      <c r="B3" s="94"/>
      <c r="C3" s="85" t="s">
        <v>116</v>
      </c>
      <c r="F3" s="85" t="s">
        <v>77</v>
      </c>
    </row>
    <row r="4" spans="1:6" x14ac:dyDescent="0.25">
      <c r="A4" s="84" t="s">
        <v>80</v>
      </c>
      <c r="B4" s="94" t="s">
        <v>77</v>
      </c>
      <c r="C4" s="85" t="s">
        <v>200</v>
      </c>
    </row>
    <row r="5" spans="1:6" x14ac:dyDescent="0.25">
      <c r="A5" s="84" t="s">
        <v>43</v>
      </c>
      <c r="B5" s="94" t="s">
        <v>77</v>
      </c>
      <c r="C5" s="85" t="s">
        <v>200</v>
      </c>
    </row>
    <row r="6" spans="1:6" x14ac:dyDescent="0.25">
      <c r="A6" s="84" t="s">
        <v>110</v>
      </c>
      <c r="B6" s="94">
        <v>8</v>
      </c>
    </row>
    <row r="8" spans="1:6" ht="16.5" thickBot="1" x14ac:dyDescent="0.3">
      <c r="A8" s="85" t="s">
        <v>77</v>
      </c>
    </row>
    <row r="9" spans="1:6" ht="16.5" thickBot="1" x14ac:dyDescent="0.3">
      <c r="A9" s="89" t="s">
        <v>81</v>
      </c>
      <c r="B9" s="92"/>
    </row>
    <row r="10" spans="1:6" x14ac:dyDescent="0.25">
      <c r="A10" s="85" t="s">
        <v>22</v>
      </c>
      <c r="B10" s="132">
        <v>0.05</v>
      </c>
    </row>
    <row r="11" spans="1:6" x14ac:dyDescent="0.25">
      <c r="A11" s="85" t="s">
        <v>82</v>
      </c>
      <c r="B11" s="95">
        <v>0.05</v>
      </c>
    </row>
    <row r="12" spans="1:6" x14ac:dyDescent="0.25">
      <c r="A12" s="85" t="s">
        <v>100</v>
      </c>
      <c r="B12" s="95">
        <v>0.03</v>
      </c>
    </row>
    <row r="13" spans="1:6" x14ac:dyDescent="0.25">
      <c r="A13" s="85" t="s">
        <v>23</v>
      </c>
      <c r="B13" s="95">
        <v>0.45</v>
      </c>
    </row>
    <row r="14" spans="1:6" x14ac:dyDescent="0.25">
      <c r="A14" s="85" t="s">
        <v>118</v>
      </c>
      <c r="B14" s="95">
        <v>0</v>
      </c>
    </row>
    <row r="15" spans="1:6" ht="16.5" thickBot="1" x14ac:dyDescent="0.3">
      <c r="A15" s="85" t="s">
        <v>24</v>
      </c>
      <c r="B15" s="134">
        <v>0.42</v>
      </c>
    </row>
    <row r="16" spans="1:6" x14ac:dyDescent="0.25">
      <c r="B16" s="135">
        <f>+SUM(B10:B15)</f>
        <v>1</v>
      </c>
      <c r="C16" s="229" t="s">
        <v>193</v>
      </c>
    </row>
    <row r="17" spans="1:6" ht="16.5" thickBot="1" x14ac:dyDescent="0.3">
      <c r="B17" s="133"/>
    </row>
    <row r="18" spans="1:6" ht="16.5" thickBot="1" x14ac:dyDescent="0.3">
      <c r="A18" s="89" t="s">
        <v>83</v>
      </c>
      <c r="B18" s="92"/>
    </row>
    <row r="19" spans="1:6" x14ac:dyDescent="0.25">
      <c r="A19" s="85" t="s">
        <v>84</v>
      </c>
      <c r="B19" s="121">
        <v>600000</v>
      </c>
      <c r="F19" s="85" t="s">
        <v>77</v>
      </c>
    </row>
    <row r="20" spans="1:6" x14ac:dyDescent="0.25">
      <c r="A20" s="85" t="s">
        <v>25</v>
      </c>
      <c r="B20" s="96">
        <v>376000</v>
      </c>
    </row>
    <row r="21" spans="1:6" x14ac:dyDescent="0.25">
      <c r="A21" s="85" t="s">
        <v>85</v>
      </c>
      <c r="B21" s="96">
        <v>280000</v>
      </c>
    </row>
    <row r="22" spans="1:6" x14ac:dyDescent="0.25">
      <c r="A22" s="85" t="s">
        <v>101</v>
      </c>
      <c r="B22" s="96">
        <v>900000</v>
      </c>
    </row>
    <row r="23" spans="1:6" x14ac:dyDescent="0.25">
      <c r="A23" s="85" t="s">
        <v>121</v>
      </c>
      <c r="B23" s="96">
        <v>350000</v>
      </c>
    </row>
    <row r="24" spans="1:6" ht="16.5" thickBot="1" x14ac:dyDescent="0.3">
      <c r="A24" s="85" t="s">
        <v>26</v>
      </c>
      <c r="B24" s="122">
        <v>350000</v>
      </c>
    </row>
    <row r="25" spans="1:6" ht="16.5" thickBot="1" x14ac:dyDescent="0.3">
      <c r="A25" s="89" t="s">
        <v>172</v>
      </c>
      <c r="B25" s="160">
        <f>+SUM(B19:B24)/6</f>
        <v>476000</v>
      </c>
      <c r="C25" s="229" t="s">
        <v>194</v>
      </c>
    </row>
    <row r="26" spans="1:6" ht="16.5" thickBot="1" x14ac:dyDescent="0.3">
      <c r="B26" s="85" t="s">
        <v>77</v>
      </c>
    </row>
    <row r="27" spans="1:6" ht="16.5" thickBot="1" x14ac:dyDescent="0.3">
      <c r="A27" s="89" t="s">
        <v>86</v>
      </c>
      <c r="B27" s="92"/>
    </row>
    <row r="28" spans="1:6" x14ac:dyDescent="0.25">
      <c r="A28" s="85" t="s">
        <v>22</v>
      </c>
      <c r="B28" s="126">
        <v>2.5000000000000001E-2</v>
      </c>
      <c r="C28" s="85" t="s">
        <v>77</v>
      </c>
    </row>
    <row r="29" spans="1:6" x14ac:dyDescent="0.25">
      <c r="A29" s="85" t="s">
        <v>87</v>
      </c>
      <c r="B29" s="97">
        <v>2.5999999999999999E-2</v>
      </c>
    </row>
    <row r="30" spans="1:6" x14ac:dyDescent="0.25">
      <c r="A30" s="85" t="s">
        <v>88</v>
      </c>
      <c r="B30" s="97">
        <v>2.5000000000000001E-2</v>
      </c>
    </row>
    <row r="31" spans="1:6" x14ac:dyDescent="0.25">
      <c r="A31" s="85" t="s">
        <v>104</v>
      </c>
      <c r="B31" s="97">
        <v>0.02</v>
      </c>
    </row>
    <row r="32" spans="1:6" x14ac:dyDescent="0.25">
      <c r="A32" s="85" t="s">
        <v>118</v>
      </c>
      <c r="B32" s="97">
        <v>0.02</v>
      </c>
    </row>
    <row r="33" spans="1:12" x14ac:dyDescent="0.25">
      <c r="A33" s="85" t="s">
        <v>105</v>
      </c>
      <c r="B33" s="97">
        <v>3.2000000000000001E-2</v>
      </c>
      <c r="C33" s="85" t="s">
        <v>195</v>
      </c>
    </row>
    <row r="34" spans="1:12" x14ac:dyDescent="0.25">
      <c r="B34" s="87"/>
    </row>
    <row r="35" spans="1:12" ht="16.5" thickBot="1" x14ac:dyDescent="0.3">
      <c r="B35" s="86" t="s">
        <v>77</v>
      </c>
    </row>
    <row r="36" spans="1:12" ht="16.5" thickBot="1" x14ac:dyDescent="0.3">
      <c r="A36" s="89" t="s">
        <v>89</v>
      </c>
      <c r="B36" s="92"/>
    </row>
    <row r="37" spans="1:12" x14ac:dyDescent="0.25">
      <c r="A37" s="85" t="s">
        <v>72</v>
      </c>
      <c r="B37" s="131">
        <v>2</v>
      </c>
    </row>
    <row r="38" spans="1:12" x14ac:dyDescent="0.25">
      <c r="A38" s="85" t="s">
        <v>73</v>
      </c>
      <c r="B38" s="98">
        <v>6</v>
      </c>
    </row>
    <row r="39" spans="1:12" x14ac:dyDescent="0.25">
      <c r="A39" s="85" t="s">
        <v>74</v>
      </c>
      <c r="B39" s="98">
        <v>10</v>
      </c>
    </row>
    <row r="40" spans="1:12" x14ac:dyDescent="0.25">
      <c r="A40" s="85" t="s">
        <v>90</v>
      </c>
      <c r="B40" s="98">
        <v>20</v>
      </c>
      <c r="C40" s="229" t="s">
        <v>196</v>
      </c>
    </row>
    <row r="41" spans="1:12" ht="16.5" thickBot="1" x14ac:dyDescent="0.3"/>
    <row r="42" spans="1:12" ht="16.5" thickBot="1" x14ac:dyDescent="0.3">
      <c r="A42" s="89" t="s">
        <v>183</v>
      </c>
      <c r="B42" s="167"/>
      <c r="C42" s="166"/>
      <c r="D42" s="90" t="s">
        <v>175</v>
      </c>
      <c r="E42" s="92"/>
      <c r="F42" s="230" t="s">
        <v>197</v>
      </c>
      <c r="H42" s="165"/>
      <c r="K42" s="165"/>
      <c r="L42" s="164"/>
    </row>
    <row r="43" spans="1:12" x14ac:dyDescent="0.25">
      <c r="A43" s="85" t="s">
        <v>149</v>
      </c>
      <c r="B43" s="95">
        <v>0.1</v>
      </c>
      <c r="C43" s="162">
        <f>+B43-1</f>
        <v>-0.9</v>
      </c>
      <c r="D43" s="163">
        <f>+Proforma!C26*Input!B43</f>
        <v>77440</v>
      </c>
      <c r="E43" s="93">
        <f>+Proforma!C26-Input!D43</f>
        <v>696960</v>
      </c>
      <c r="F43" s="163"/>
      <c r="H43" s="163"/>
      <c r="K43" s="163"/>
    </row>
    <row r="44" spans="1:12" x14ac:dyDescent="0.25">
      <c r="A44" s="85" t="s">
        <v>150</v>
      </c>
      <c r="B44" s="95">
        <v>0.1</v>
      </c>
      <c r="C44" s="162">
        <f>+B44-1</f>
        <v>-0.9</v>
      </c>
      <c r="D44" s="163">
        <f>+Proforma!D26*Input!B44</f>
        <v>232320</v>
      </c>
      <c r="E44" s="93">
        <f>+Proforma!D26-Input!D44</f>
        <v>2090880</v>
      </c>
      <c r="F44" s="163"/>
      <c r="H44" s="163"/>
      <c r="K44" s="163"/>
    </row>
    <row r="45" spans="1:12" x14ac:dyDescent="0.25">
      <c r="A45" s="85" t="s">
        <v>151</v>
      </c>
      <c r="B45" s="95">
        <v>0.1</v>
      </c>
      <c r="C45" s="162">
        <f>+B45-1</f>
        <v>-0.9</v>
      </c>
      <c r="D45" s="163">
        <f>+Proforma!E26*Input!B45</f>
        <v>387200</v>
      </c>
      <c r="E45" s="93">
        <f>+Proforma!E26-Input!D45</f>
        <v>3484800</v>
      </c>
      <c r="F45" s="163"/>
      <c r="H45" s="163"/>
      <c r="K45" s="163"/>
    </row>
    <row r="46" spans="1:12" x14ac:dyDescent="0.25">
      <c r="A46" s="85" t="s">
        <v>152</v>
      </c>
      <c r="B46" s="95">
        <v>0.1</v>
      </c>
      <c r="C46" s="162">
        <f>+B46-1</f>
        <v>-0.9</v>
      </c>
      <c r="D46" s="163">
        <f>+Proforma!I26*Input!B46</f>
        <v>774400</v>
      </c>
      <c r="E46" s="93">
        <f>+Proforma!I26-Input!D46</f>
        <v>6969600</v>
      </c>
      <c r="F46" s="163"/>
      <c r="H46" s="163"/>
      <c r="K46" s="163"/>
    </row>
    <row r="47" spans="1:12" ht="16.5" thickBot="1" x14ac:dyDescent="0.3">
      <c r="A47" s="85" t="s">
        <v>77</v>
      </c>
      <c r="D47" s="163"/>
      <c r="F47" s="163"/>
      <c r="H47" s="163"/>
      <c r="K47" s="163"/>
    </row>
    <row r="48" spans="1:12" ht="16.5" thickBot="1" x14ac:dyDescent="0.3">
      <c r="A48" s="89" t="s">
        <v>93</v>
      </c>
      <c r="B48" s="92"/>
      <c r="C48" s="85" t="s">
        <v>198</v>
      </c>
    </row>
    <row r="49" spans="1:11" x14ac:dyDescent="0.25">
      <c r="A49" s="85" t="s">
        <v>78</v>
      </c>
      <c r="B49" s="121">
        <v>1495</v>
      </c>
    </row>
    <row r="50" spans="1:11" x14ac:dyDescent="0.25">
      <c r="A50" s="85" t="s">
        <v>125</v>
      </c>
      <c r="B50" s="96">
        <v>2800</v>
      </c>
    </row>
    <row r="51" spans="1:11" x14ac:dyDescent="0.25">
      <c r="A51" s="85" t="s">
        <v>107</v>
      </c>
      <c r="B51" s="96">
        <v>1000</v>
      </c>
    </row>
    <row r="52" spans="1:11" x14ac:dyDescent="0.25">
      <c r="A52" s="85" t="s">
        <v>108</v>
      </c>
      <c r="B52" s="97">
        <v>1.5E-3</v>
      </c>
    </row>
    <row r="53" spans="1:11" ht="16.5" thickBot="1" x14ac:dyDescent="0.3">
      <c r="B53" s="86"/>
    </row>
    <row r="54" spans="1:11" ht="16.5" thickBot="1" x14ac:dyDescent="0.3">
      <c r="A54" s="89" t="s">
        <v>145</v>
      </c>
      <c r="B54" s="91" t="s">
        <v>146</v>
      </c>
      <c r="C54" s="112"/>
      <c r="D54" s="91" t="s">
        <v>112</v>
      </c>
      <c r="E54" s="129"/>
      <c r="F54" s="112"/>
      <c r="G54" s="91" t="s">
        <v>113</v>
      </c>
      <c r="H54" s="129"/>
      <c r="I54" s="112"/>
      <c r="J54" s="91" t="s">
        <v>114</v>
      </c>
      <c r="K54" s="130"/>
    </row>
    <row r="55" spans="1:11" x14ac:dyDescent="0.25">
      <c r="A55" s="85" t="s">
        <v>189</v>
      </c>
      <c r="B55" s="114">
        <v>1</v>
      </c>
      <c r="D55" s="85" t="s">
        <v>91</v>
      </c>
      <c r="E55" s="128">
        <v>1</v>
      </c>
      <c r="F55" s="120"/>
      <c r="G55" s="120" t="s">
        <v>91</v>
      </c>
      <c r="H55" s="128">
        <f>+E55</f>
        <v>1</v>
      </c>
      <c r="I55" s="120"/>
      <c r="J55" s="120" t="s">
        <v>91</v>
      </c>
      <c r="K55" s="128">
        <f>+H55</f>
        <v>1</v>
      </c>
    </row>
    <row r="56" spans="1:11" x14ac:dyDescent="0.25">
      <c r="A56" s="85" t="s">
        <v>51</v>
      </c>
      <c r="B56" s="100">
        <v>0</v>
      </c>
      <c r="D56" s="85" t="s">
        <v>51</v>
      </c>
      <c r="E56" s="100">
        <v>0</v>
      </c>
      <c r="G56" s="85" t="s">
        <v>51</v>
      </c>
      <c r="H56" s="100">
        <v>0</v>
      </c>
      <c r="J56" s="85" t="s">
        <v>51</v>
      </c>
      <c r="K56" s="100">
        <v>0</v>
      </c>
    </row>
    <row r="57" spans="1:11" x14ac:dyDescent="0.25">
      <c r="A57" s="85" t="s">
        <v>92</v>
      </c>
      <c r="B57" s="100">
        <v>5</v>
      </c>
      <c r="D57" s="85" t="s">
        <v>92</v>
      </c>
      <c r="E57" s="100">
        <v>5</v>
      </c>
      <c r="G57" s="85" t="s">
        <v>92</v>
      </c>
      <c r="H57" s="100">
        <v>5</v>
      </c>
      <c r="J57" s="85" t="s">
        <v>92</v>
      </c>
      <c r="K57" s="100">
        <v>6</v>
      </c>
    </row>
    <row r="58" spans="1:11" x14ac:dyDescent="0.25">
      <c r="A58" s="85" t="s">
        <v>76</v>
      </c>
      <c r="B58" s="100">
        <v>1</v>
      </c>
      <c r="D58" s="85" t="s">
        <v>76</v>
      </c>
      <c r="E58" s="100">
        <v>1</v>
      </c>
      <c r="G58" s="85" t="s">
        <v>76</v>
      </c>
      <c r="H58" s="100">
        <v>1</v>
      </c>
      <c r="J58" s="85" t="s">
        <v>76</v>
      </c>
      <c r="K58" s="100">
        <v>1</v>
      </c>
    </row>
    <row r="59" spans="1:11" x14ac:dyDescent="0.25">
      <c r="A59" s="85" t="s">
        <v>71</v>
      </c>
      <c r="B59" s="100">
        <v>1</v>
      </c>
      <c r="D59" s="85" t="s">
        <v>71</v>
      </c>
      <c r="E59" s="100">
        <v>1</v>
      </c>
      <c r="G59" s="85" t="s">
        <v>71</v>
      </c>
      <c r="H59" s="100">
        <v>1</v>
      </c>
      <c r="J59" s="85" t="s">
        <v>71</v>
      </c>
      <c r="K59" s="100">
        <v>1</v>
      </c>
    </row>
    <row r="60" spans="1:11" x14ac:dyDescent="0.25">
      <c r="A60" s="85" t="s">
        <v>47</v>
      </c>
      <c r="B60" s="100">
        <v>0</v>
      </c>
      <c r="D60" s="85" t="s">
        <v>47</v>
      </c>
      <c r="E60" s="100">
        <v>0</v>
      </c>
      <c r="G60" s="85" t="s">
        <v>47</v>
      </c>
      <c r="H60" s="100">
        <v>0</v>
      </c>
      <c r="J60" s="85" t="s">
        <v>47</v>
      </c>
      <c r="K60" s="100">
        <v>0</v>
      </c>
    </row>
    <row r="61" spans="1:11" x14ac:dyDescent="0.25">
      <c r="A61" s="85" t="s">
        <v>126</v>
      </c>
      <c r="B61" s="100">
        <v>0</v>
      </c>
      <c r="E61" s="100">
        <v>0</v>
      </c>
      <c r="H61" s="100">
        <v>0</v>
      </c>
      <c r="K61" s="100">
        <v>0</v>
      </c>
    </row>
    <row r="62" spans="1:11" x14ac:dyDescent="0.25">
      <c r="A62" s="85" t="s">
        <v>131</v>
      </c>
      <c r="B62" s="100">
        <v>0</v>
      </c>
      <c r="E62" s="100">
        <v>0</v>
      </c>
      <c r="H62" s="100">
        <v>0</v>
      </c>
      <c r="K62" s="100">
        <v>0</v>
      </c>
    </row>
    <row r="63" spans="1:11" ht="16.5" thickBot="1" x14ac:dyDescent="0.3">
      <c r="B63" s="99">
        <f>+SUM(B55:B60)</f>
        <v>8</v>
      </c>
      <c r="E63" s="99">
        <f>+SUM(E55:E60)</f>
        <v>8</v>
      </c>
      <c r="H63" s="99">
        <f>+SUM(H55:H60)</f>
        <v>8</v>
      </c>
      <c r="K63" s="99">
        <f>+SUM(K55:K60)</f>
        <v>9</v>
      </c>
    </row>
    <row r="64" spans="1:11" ht="16.5" thickBot="1" x14ac:dyDescent="0.3">
      <c r="B64" s="88"/>
    </row>
    <row r="65" spans="1:12" ht="16.5" thickBot="1" x14ac:dyDescent="0.3">
      <c r="A65" s="116" t="s">
        <v>147</v>
      </c>
      <c r="B65" s="115" t="s">
        <v>154</v>
      </c>
      <c r="C65" s="111"/>
      <c r="D65" s="90" t="s">
        <v>155</v>
      </c>
      <c r="E65" s="111"/>
      <c r="F65" s="111"/>
      <c r="G65" s="90" t="s">
        <v>156</v>
      </c>
      <c r="H65" s="111"/>
      <c r="I65" s="111"/>
      <c r="J65" s="90" t="s">
        <v>157</v>
      </c>
      <c r="K65" s="111"/>
      <c r="L65" s="113"/>
    </row>
    <row r="66" spans="1:12" x14ac:dyDescent="0.25">
      <c r="A66" s="85" t="s">
        <v>189</v>
      </c>
      <c r="B66" s="121">
        <v>5000</v>
      </c>
      <c r="C66" s="93">
        <f>+B55*B66</f>
        <v>5000</v>
      </c>
      <c r="D66" s="93"/>
      <c r="E66" s="93"/>
      <c r="F66" s="93">
        <f>+E55*B66</f>
        <v>5000</v>
      </c>
      <c r="G66" s="93"/>
      <c r="H66" s="93"/>
      <c r="I66" s="93">
        <f>+H55*B66</f>
        <v>5000</v>
      </c>
      <c r="J66" s="93" t="s">
        <v>77</v>
      </c>
      <c r="K66" s="93"/>
      <c r="L66" s="93">
        <f>+K55*B66</f>
        <v>5000</v>
      </c>
    </row>
    <row r="67" spans="1:12" x14ac:dyDescent="0.25">
      <c r="A67" s="85" t="s">
        <v>148</v>
      </c>
      <c r="B67" s="96">
        <v>0</v>
      </c>
      <c r="C67" s="93">
        <f>+B56*B67</f>
        <v>0</v>
      </c>
      <c r="D67" s="93"/>
      <c r="E67" s="93"/>
      <c r="F67" s="93">
        <f>+E56*B67</f>
        <v>0</v>
      </c>
      <c r="G67" s="93"/>
      <c r="H67" s="93"/>
      <c r="I67" s="93">
        <f>+H56*B67</f>
        <v>0</v>
      </c>
      <c r="J67" s="93"/>
      <c r="K67" s="93"/>
      <c r="L67" s="93">
        <f>+K56*B67</f>
        <v>0</v>
      </c>
    </row>
    <row r="68" spans="1:12" x14ac:dyDescent="0.25">
      <c r="A68" s="85" t="s">
        <v>48</v>
      </c>
      <c r="B68" s="96">
        <v>4000</v>
      </c>
      <c r="C68" s="93">
        <f>+B58*B68</f>
        <v>4000</v>
      </c>
      <c r="D68" s="93"/>
      <c r="E68" s="93"/>
      <c r="F68" s="93">
        <f>+E58*B68</f>
        <v>4000</v>
      </c>
      <c r="G68" s="93"/>
      <c r="H68" s="93"/>
      <c r="I68" s="93">
        <f>+H58*B68</f>
        <v>4000</v>
      </c>
      <c r="J68" s="93"/>
      <c r="K68" s="93"/>
      <c r="L68" s="93">
        <f>+K58*B68</f>
        <v>4000</v>
      </c>
    </row>
    <row r="69" spans="1:12" x14ac:dyDescent="0.25">
      <c r="A69" s="85" t="s">
        <v>71</v>
      </c>
      <c r="B69" s="96">
        <v>3000</v>
      </c>
      <c r="C69" s="93">
        <f>+B59*B69</f>
        <v>3000</v>
      </c>
      <c r="D69" s="93"/>
      <c r="E69" s="93"/>
      <c r="F69" s="93">
        <f>+E59*B69</f>
        <v>3000</v>
      </c>
      <c r="G69" s="93"/>
      <c r="H69" s="93"/>
      <c r="I69" s="93">
        <f>+H59*B69</f>
        <v>3000</v>
      </c>
      <c r="J69" s="93"/>
      <c r="K69" s="93"/>
      <c r="L69" s="93">
        <f>+K59*B69</f>
        <v>3000</v>
      </c>
    </row>
    <row r="70" spans="1:12" x14ac:dyDescent="0.25">
      <c r="A70" s="85" t="s">
        <v>50</v>
      </c>
      <c r="B70" s="96">
        <v>7000</v>
      </c>
      <c r="C70" s="93">
        <f>+B60*B70</f>
        <v>0</v>
      </c>
      <c r="D70" s="93"/>
      <c r="E70" s="93"/>
      <c r="F70" s="93">
        <f>+E60*B70</f>
        <v>0</v>
      </c>
      <c r="G70" s="93"/>
      <c r="H70" s="93"/>
      <c r="I70" s="93">
        <f>+H60*B70</f>
        <v>0</v>
      </c>
      <c r="J70" s="93"/>
      <c r="K70" s="93"/>
      <c r="L70" s="93">
        <f>+K60*B70</f>
        <v>0</v>
      </c>
    </row>
    <row r="71" spans="1:12" x14ac:dyDescent="0.25">
      <c r="A71" s="85" t="s">
        <v>126</v>
      </c>
      <c r="B71" s="96">
        <v>7000</v>
      </c>
      <c r="C71" s="93">
        <f>+B61*B71</f>
        <v>0</v>
      </c>
      <c r="D71" s="93"/>
      <c r="E71" s="93"/>
      <c r="F71" s="93">
        <f>+E50*B71</f>
        <v>0</v>
      </c>
      <c r="G71" s="93"/>
      <c r="H71" s="93"/>
      <c r="I71" s="93">
        <f>+H61*B71</f>
        <v>0</v>
      </c>
      <c r="J71" s="93"/>
      <c r="K71" s="93"/>
      <c r="L71" s="93">
        <f>+K61*B71</f>
        <v>0</v>
      </c>
    </row>
    <row r="72" spans="1:12" ht="16.5" thickBot="1" x14ac:dyDescent="0.3">
      <c r="A72" s="85" t="s">
        <v>127</v>
      </c>
      <c r="B72" s="122">
        <v>5000</v>
      </c>
      <c r="C72" s="93">
        <f>+B62*B72</f>
        <v>0</v>
      </c>
      <c r="D72" s="93"/>
      <c r="E72" s="93"/>
      <c r="F72" s="93">
        <f>+E62*B72</f>
        <v>0</v>
      </c>
      <c r="G72" s="93"/>
      <c r="H72" s="93"/>
      <c r="I72" s="93">
        <f>+H62*B72</f>
        <v>0</v>
      </c>
      <c r="J72" s="93"/>
      <c r="K72" s="93"/>
      <c r="L72" s="93">
        <f>+K62*B72</f>
        <v>0</v>
      </c>
    </row>
    <row r="73" spans="1:12" ht="16.5" thickBot="1" x14ac:dyDescent="0.3">
      <c r="A73" s="89" t="s">
        <v>153</v>
      </c>
      <c r="B73" s="123"/>
      <c r="C73" s="124">
        <f>+SUM(C66:C72)</f>
        <v>12000</v>
      </c>
      <c r="D73" s="124"/>
      <c r="E73" s="124"/>
      <c r="F73" s="124">
        <f>+SUM(F66:F72)</f>
        <v>12000</v>
      </c>
      <c r="G73" s="124"/>
      <c r="H73" s="124"/>
      <c r="I73" s="124">
        <f>+SUM(I66:I72)</f>
        <v>12000</v>
      </c>
      <c r="J73" s="124"/>
      <c r="K73" s="124"/>
      <c r="L73" s="125">
        <f>+SUM(L66:L72)</f>
        <v>12000</v>
      </c>
    </row>
    <row r="74" spans="1:12" x14ac:dyDescent="0.25">
      <c r="B74" s="88"/>
    </row>
    <row r="75" spans="1:12" ht="16.5" thickBot="1" x14ac:dyDescent="0.3">
      <c r="B75" s="88"/>
    </row>
    <row r="76" spans="1:12" ht="16.5" thickBot="1" x14ac:dyDescent="0.3">
      <c r="A76" s="89" t="s">
        <v>94</v>
      </c>
      <c r="B76" s="92"/>
    </row>
    <row r="77" spans="1:12" x14ac:dyDescent="0.25">
      <c r="A77" s="85" t="s">
        <v>75</v>
      </c>
      <c r="B77" s="126">
        <v>1.2E-2</v>
      </c>
    </row>
    <row r="78" spans="1:12" x14ac:dyDescent="0.25">
      <c r="A78" s="85" t="s">
        <v>190</v>
      </c>
      <c r="B78" s="97" t="s">
        <v>77</v>
      </c>
      <c r="D78" s="85" t="s">
        <v>191</v>
      </c>
    </row>
    <row r="79" spans="1:12" x14ac:dyDescent="0.25">
      <c r="A79" s="85" t="s">
        <v>77</v>
      </c>
      <c r="B79" s="97" t="s">
        <v>77</v>
      </c>
    </row>
    <row r="80" spans="1:12" x14ac:dyDescent="0.25">
      <c r="A80" s="85" t="s">
        <v>192</v>
      </c>
      <c r="B80" s="97">
        <v>2.5000000000000001E-3</v>
      </c>
    </row>
    <row r="81" spans="1:7" x14ac:dyDescent="0.25">
      <c r="B81" s="97" t="s">
        <v>77</v>
      </c>
    </row>
    <row r="82" spans="1:7" x14ac:dyDescent="0.25">
      <c r="A82" s="85" t="s">
        <v>106</v>
      </c>
      <c r="B82" s="96">
        <v>0</v>
      </c>
    </row>
    <row r="83" spans="1:7" ht="16.5" thickBot="1" x14ac:dyDescent="0.3">
      <c r="B83" s="87"/>
    </row>
    <row r="84" spans="1:7" ht="16.5" thickBot="1" x14ac:dyDescent="0.3">
      <c r="A84" s="89" t="s">
        <v>132</v>
      </c>
      <c r="B84" s="91" t="s">
        <v>138</v>
      </c>
      <c r="C84" s="91" t="s">
        <v>77</v>
      </c>
      <c r="D84" s="91" t="s">
        <v>139</v>
      </c>
      <c r="E84" s="91"/>
      <c r="F84" s="91"/>
      <c r="G84" s="127" t="s">
        <v>140</v>
      </c>
    </row>
    <row r="85" spans="1:7" x14ac:dyDescent="0.25">
      <c r="A85" s="85" t="s">
        <v>159</v>
      </c>
      <c r="B85" s="121">
        <v>13000</v>
      </c>
      <c r="C85" s="86"/>
      <c r="D85" s="121">
        <v>7000</v>
      </c>
      <c r="E85" s="86"/>
      <c r="F85" s="86"/>
      <c r="G85" s="121">
        <v>0</v>
      </c>
    </row>
    <row r="86" spans="1:7" x14ac:dyDescent="0.25">
      <c r="A86" s="85" t="s">
        <v>51</v>
      </c>
      <c r="B86" s="96">
        <v>0</v>
      </c>
      <c r="C86" s="86"/>
      <c r="D86" s="96">
        <v>0</v>
      </c>
      <c r="E86" s="86"/>
      <c r="F86" s="86"/>
      <c r="G86" s="96">
        <v>0</v>
      </c>
    </row>
    <row r="87" spans="1:7" x14ac:dyDescent="0.25">
      <c r="A87" s="85" t="s">
        <v>133</v>
      </c>
      <c r="B87" s="96">
        <v>0</v>
      </c>
      <c r="C87" s="86"/>
      <c r="D87" s="96">
        <v>0</v>
      </c>
      <c r="E87" s="86"/>
      <c r="F87" s="86"/>
      <c r="G87" s="96">
        <v>0</v>
      </c>
    </row>
    <row r="88" spans="1:7" x14ac:dyDescent="0.25">
      <c r="A88" s="85" t="s">
        <v>135</v>
      </c>
      <c r="B88" s="96">
        <v>20000</v>
      </c>
      <c r="C88" s="86"/>
      <c r="D88" s="96">
        <v>20000</v>
      </c>
      <c r="E88" s="86"/>
      <c r="F88" s="86"/>
      <c r="G88" s="96">
        <v>0</v>
      </c>
    </row>
    <row r="89" spans="1:7" x14ac:dyDescent="0.25">
      <c r="A89" s="85" t="s">
        <v>134</v>
      </c>
      <c r="B89" s="96">
        <v>2500</v>
      </c>
      <c r="C89" s="86"/>
      <c r="D89" s="96">
        <v>2500</v>
      </c>
      <c r="E89" s="86"/>
      <c r="F89" s="86"/>
      <c r="G89" s="96">
        <v>0</v>
      </c>
    </row>
    <row r="90" spans="1:7" x14ac:dyDescent="0.25">
      <c r="A90" s="85" t="s">
        <v>136</v>
      </c>
      <c r="B90" s="96">
        <v>2500</v>
      </c>
      <c r="C90" s="86"/>
      <c r="D90" s="96">
        <v>2500</v>
      </c>
      <c r="E90" s="86"/>
      <c r="F90" s="86"/>
      <c r="G90" s="96">
        <v>0</v>
      </c>
    </row>
    <row r="91" spans="1:7" x14ac:dyDescent="0.25">
      <c r="A91" s="85" t="s">
        <v>137</v>
      </c>
      <c r="B91" s="96">
        <v>2500</v>
      </c>
      <c r="C91" s="86"/>
      <c r="D91" s="96">
        <v>2500</v>
      </c>
      <c r="E91" s="86"/>
      <c r="F91" s="86"/>
      <c r="G91" s="96">
        <v>0</v>
      </c>
    </row>
    <row r="92" spans="1:7" x14ac:dyDescent="0.25">
      <c r="B92" s="101">
        <f>+SUM(B85:B91)</f>
        <v>40500</v>
      </c>
      <c r="C92" s="84"/>
      <c r="D92" s="101">
        <f>+SUM(D85:D91)</f>
        <v>34500</v>
      </c>
      <c r="E92" s="84"/>
      <c r="F92" s="84"/>
      <c r="G92" s="101">
        <f>+SUM(G85:G91)</f>
        <v>0</v>
      </c>
    </row>
    <row r="93" spans="1:7" x14ac:dyDescent="0.25">
      <c r="B93" s="84"/>
      <c r="C93" s="84"/>
      <c r="D93" s="84"/>
      <c r="E93" s="84"/>
      <c r="F93" s="84"/>
      <c r="G93" s="84"/>
    </row>
    <row r="102" spans="4:9" ht="26.25" x14ac:dyDescent="0.4">
      <c r="D102" s="232" t="s">
        <v>199</v>
      </c>
      <c r="E102" s="231"/>
      <c r="F102" s="231"/>
      <c r="G102" s="231"/>
      <c r="H102" s="231"/>
      <c r="I102" s="23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AD3F5-67A3-445B-98FB-C9D6EAB491BA}">
  <sheetPr>
    <pageSetUpPr fitToPage="1"/>
  </sheetPr>
  <dimension ref="A1:S104"/>
  <sheetViews>
    <sheetView showGridLines="0" topLeftCell="A27" workbookViewId="0">
      <selection activeCell="A60" sqref="A60:XFD60"/>
    </sheetView>
  </sheetViews>
  <sheetFormatPr defaultColWidth="20.28515625" defaultRowHeight="15" x14ac:dyDescent="0.25"/>
  <cols>
    <col min="1" max="1" width="29.28515625" customWidth="1"/>
    <col min="3" max="4" width="20.28515625" customWidth="1"/>
    <col min="11" max="14" width="20.28515625" customWidth="1"/>
    <col min="18" max="18" width="14" customWidth="1"/>
  </cols>
  <sheetData>
    <row r="1" spans="1:18" ht="15.75" x14ac:dyDescent="0.25">
      <c r="C1" s="78" t="s">
        <v>45</v>
      </c>
      <c r="D1" s="3" t="str">
        <f>+Input!B2</f>
        <v>Retail</v>
      </c>
      <c r="E1" s="3"/>
      <c r="F1" s="2"/>
    </row>
    <row r="2" spans="1:18" ht="15.75" x14ac:dyDescent="0.25">
      <c r="C2" s="78" t="s">
        <v>44</v>
      </c>
      <c r="D2" s="3">
        <f>+Input!B3</f>
        <v>0</v>
      </c>
      <c r="E2" s="4"/>
      <c r="F2" s="2"/>
    </row>
    <row r="3" spans="1:18" ht="15.75" x14ac:dyDescent="0.25">
      <c r="C3" s="78" t="s">
        <v>42</v>
      </c>
      <c r="D3" s="80" t="str">
        <f>+Input!B4</f>
        <v xml:space="preserve"> </v>
      </c>
      <c r="E3" s="4"/>
      <c r="F3" s="2"/>
    </row>
    <row r="4" spans="1:18" ht="21" customHeight="1" thickBot="1" x14ac:dyDescent="0.3">
      <c r="C4" s="79" t="s">
        <v>43</v>
      </c>
      <c r="D4" s="80" t="str">
        <f>+Input!B5</f>
        <v xml:space="preserve"> </v>
      </c>
      <c r="E4" s="36"/>
      <c r="F4" s="1" t="s">
        <v>117</v>
      </c>
    </row>
    <row r="5" spans="1:18" ht="22.9" customHeight="1" x14ac:dyDescent="0.25">
      <c r="A5" s="155" t="s">
        <v>66</v>
      </c>
      <c r="B5" s="37"/>
      <c r="C5" s="38" t="s">
        <v>49</v>
      </c>
      <c r="D5" s="38" t="s">
        <v>30</v>
      </c>
      <c r="E5" s="38" t="s">
        <v>31</v>
      </c>
      <c r="F5" s="38" t="s">
        <v>0</v>
      </c>
      <c r="G5" s="38" t="s">
        <v>1</v>
      </c>
      <c r="H5" s="38" t="s">
        <v>2</v>
      </c>
      <c r="I5" s="38" t="s">
        <v>3</v>
      </c>
      <c r="J5" s="38" t="s">
        <v>4</v>
      </c>
      <c r="K5" s="38" t="s">
        <v>5</v>
      </c>
      <c r="L5" s="38" t="s">
        <v>6</v>
      </c>
      <c r="M5" s="38" t="s">
        <v>7</v>
      </c>
      <c r="N5" s="38" t="s">
        <v>8</v>
      </c>
      <c r="O5" s="38" t="s">
        <v>9</v>
      </c>
      <c r="P5" s="38" t="s">
        <v>10</v>
      </c>
      <c r="Q5" s="41" t="s">
        <v>11</v>
      </c>
      <c r="R5" s="44"/>
    </row>
    <row r="6" spans="1:18" ht="12.75" customHeight="1" x14ac:dyDescent="0.25">
      <c r="A6" s="30" t="s">
        <v>111</v>
      </c>
      <c r="B6" s="5">
        <f>+Input!B6</f>
        <v>8</v>
      </c>
      <c r="C6" s="61">
        <f>+SUM(Input!B55:B60)</f>
        <v>8</v>
      </c>
      <c r="D6" s="61">
        <f>+SUM(Input!E55:E60)</f>
        <v>8</v>
      </c>
      <c r="E6" s="61">
        <f>+SUM(Input!H55:H60)</f>
        <v>8</v>
      </c>
      <c r="F6" s="58">
        <f>+C6</f>
        <v>8</v>
      </c>
      <c r="G6" s="58">
        <f>+D6</f>
        <v>8</v>
      </c>
      <c r="H6" s="58">
        <f>+E6</f>
        <v>8</v>
      </c>
      <c r="I6" s="58">
        <f>+SUM(Input!K55:K60)</f>
        <v>9</v>
      </c>
      <c r="J6" s="58">
        <f>+I6</f>
        <v>9</v>
      </c>
      <c r="K6" s="58">
        <f>+J6</f>
        <v>9</v>
      </c>
      <c r="L6" s="58">
        <f>+K6</f>
        <v>9</v>
      </c>
      <c r="M6" s="58">
        <f>+L6</f>
        <v>9</v>
      </c>
      <c r="N6" s="58">
        <f>+M6</f>
        <v>9</v>
      </c>
      <c r="O6" s="58">
        <f>+J6</f>
        <v>9</v>
      </c>
      <c r="P6" s="58">
        <f>+O6</f>
        <v>9</v>
      </c>
      <c r="Q6" s="59">
        <f>+P6</f>
        <v>9</v>
      </c>
      <c r="R6" s="45"/>
    </row>
    <row r="7" spans="1:18" ht="12.75" customHeight="1" x14ac:dyDescent="0.25">
      <c r="A7" s="31" t="s">
        <v>22</v>
      </c>
      <c r="B7" s="7">
        <f>+Input!B10</f>
        <v>0.05</v>
      </c>
      <c r="C7" s="62">
        <f t="shared" ref="C7:C18" si="0">$B7</f>
        <v>0.05</v>
      </c>
      <c r="D7" s="62">
        <f t="shared" ref="D7:Q12" si="1">$B7</f>
        <v>0.05</v>
      </c>
      <c r="E7" s="62">
        <f t="shared" si="1"/>
        <v>0.05</v>
      </c>
      <c r="F7" s="8">
        <f t="shared" si="1"/>
        <v>0.05</v>
      </c>
      <c r="G7" s="8">
        <f t="shared" si="1"/>
        <v>0.05</v>
      </c>
      <c r="H7" s="8">
        <f t="shared" si="1"/>
        <v>0.05</v>
      </c>
      <c r="I7" s="8">
        <f t="shared" si="1"/>
        <v>0.05</v>
      </c>
      <c r="J7" s="8">
        <f t="shared" si="1"/>
        <v>0.05</v>
      </c>
      <c r="K7" s="8">
        <f t="shared" si="1"/>
        <v>0.05</v>
      </c>
      <c r="L7" s="8">
        <f t="shared" si="1"/>
        <v>0.05</v>
      </c>
      <c r="M7" s="8">
        <f t="shared" si="1"/>
        <v>0.05</v>
      </c>
      <c r="N7" s="8">
        <f t="shared" si="1"/>
        <v>0.05</v>
      </c>
      <c r="O7" s="8">
        <f t="shared" si="1"/>
        <v>0.05</v>
      </c>
      <c r="P7" s="8">
        <f t="shared" si="1"/>
        <v>0.05</v>
      </c>
      <c r="Q7" s="9">
        <f t="shared" si="1"/>
        <v>0.05</v>
      </c>
      <c r="R7" s="46"/>
    </row>
    <row r="8" spans="1:18" ht="12.75" customHeight="1" x14ac:dyDescent="0.25">
      <c r="A8" s="30" t="s">
        <v>23</v>
      </c>
      <c r="B8" s="10">
        <f>+Input!B13</f>
        <v>0.45</v>
      </c>
      <c r="C8" s="62">
        <f t="shared" si="0"/>
        <v>0.45</v>
      </c>
      <c r="D8" s="62">
        <f t="shared" si="1"/>
        <v>0.45</v>
      </c>
      <c r="E8" s="62">
        <f t="shared" si="1"/>
        <v>0.45</v>
      </c>
      <c r="F8" s="8">
        <f t="shared" si="1"/>
        <v>0.45</v>
      </c>
      <c r="G8" s="8">
        <f t="shared" si="1"/>
        <v>0.45</v>
      </c>
      <c r="H8" s="8">
        <f t="shared" si="1"/>
        <v>0.45</v>
      </c>
      <c r="I8" s="8">
        <f t="shared" si="1"/>
        <v>0.45</v>
      </c>
      <c r="J8" s="8">
        <f t="shared" si="1"/>
        <v>0.45</v>
      </c>
      <c r="K8" s="8">
        <f t="shared" si="1"/>
        <v>0.45</v>
      </c>
      <c r="L8" s="8">
        <f t="shared" si="1"/>
        <v>0.45</v>
      </c>
      <c r="M8" s="8">
        <f t="shared" si="1"/>
        <v>0.45</v>
      </c>
      <c r="N8" s="8">
        <f t="shared" si="1"/>
        <v>0.45</v>
      </c>
      <c r="O8" s="8">
        <f t="shared" si="1"/>
        <v>0.45</v>
      </c>
      <c r="P8" s="8">
        <f t="shared" si="1"/>
        <v>0.45</v>
      </c>
      <c r="Q8" s="9">
        <f t="shared" si="1"/>
        <v>0.45</v>
      </c>
      <c r="R8" s="45"/>
    </row>
    <row r="9" spans="1:18" ht="12.75" customHeight="1" x14ac:dyDescent="0.25">
      <c r="A9" s="30" t="s">
        <v>97</v>
      </c>
      <c r="B9" s="10">
        <f>+Input!B11</f>
        <v>0.05</v>
      </c>
      <c r="C9" s="62">
        <f t="shared" si="0"/>
        <v>0.05</v>
      </c>
      <c r="D9" s="62">
        <f t="shared" si="1"/>
        <v>0.05</v>
      </c>
      <c r="E9" s="62">
        <f t="shared" si="1"/>
        <v>0.05</v>
      </c>
      <c r="F9" s="8">
        <f t="shared" si="1"/>
        <v>0.05</v>
      </c>
      <c r="G9" s="8">
        <f t="shared" si="1"/>
        <v>0.05</v>
      </c>
      <c r="H9" s="8">
        <f t="shared" si="1"/>
        <v>0.05</v>
      </c>
      <c r="I9" s="8">
        <f t="shared" si="1"/>
        <v>0.05</v>
      </c>
      <c r="J9" s="8">
        <f t="shared" si="1"/>
        <v>0.05</v>
      </c>
      <c r="K9" s="8">
        <f t="shared" si="1"/>
        <v>0.05</v>
      </c>
      <c r="L9" s="8">
        <f t="shared" si="1"/>
        <v>0.05</v>
      </c>
      <c r="M9" s="8">
        <f t="shared" si="1"/>
        <v>0.05</v>
      </c>
      <c r="N9" s="8">
        <f t="shared" si="1"/>
        <v>0.05</v>
      </c>
      <c r="O9" s="8">
        <f t="shared" si="1"/>
        <v>0.05</v>
      </c>
      <c r="P9" s="8">
        <f t="shared" si="1"/>
        <v>0.05</v>
      </c>
      <c r="Q9" s="9">
        <f t="shared" si="1"/>
        <v>0.05</v>
      </c>
      <c r="R9" s="45"/>
    </row>
    <row r="10" spans="1:18" ht="12.75" customHeight="1" x14ac:dyDescent="0.25">
      <c r="A10" s="30" t="s">
        <v>100</v>
      </c>
      <c r="B10" s="10">
        <f>+Input!B12</f>
        <v>0.03</v>
      </c>
      <c r="C10" s="62">
        <f t="shared" si="0"/>
        <v>0.03</v>
      </c>
      <c r="D10" s="62">
        <f t="shared" si="1"/>
        <v>0.03</v>
      </c>
      <c r="E10" s="62">
        <f t="shared" si="1"/>
        <v>0.03</v>
      </c>
      <c r="F10" s="8">
        <f t="shared" si="1"/>
        <v>0.03</v>
      </c>
      <c r="G10" s="8">
        <f t="shared" si="1"/>
        <v>0.03</v>
      </c>
      <c r="H10" s="8">
        <f t="shared" si="1"/>
        <v>0.03</v>
      </c>
      <c r="I10" s="8">
        <f t="shared" si="1"/>
        <v>0.03</v>
      </c>
      <c r="J10" s="8">
        <f t="shared" si="1"/>
        <v>0.03</v>
      </c>
      <c r="K10" s="8">
        <f t="shared" si="1"/>
        <v>0.03</v>
      </c>
      <c r="L10" s="8">
        <f t="shared" si="1"/>
        <v>0.03</v>
      </c>
      <c r="M10" s="8">
        <f t="shared" si="1"/>
        <v>0.03</v>
      </c>
      <c r="N10" s="8">
        <f t="shared" si="1"/>
        <v>0.03</v>
      </c>
      <c r="O10" s="8">
        <f t="shared" si="1"/>
        <v>0.03</v>
      </c>
      <c r="P10" s="8">
        <f t="shared" si="1"/>
        <v>0.03</v>
      </c>
      <c r="Q10" s="9">
        <f t="shared" si="1"/>
        <v>0.03</v>
      </c>
      <c r="R10" s="45"/>
    </row>
    <row r="11" spans="1:18" ht="12.75" customHeight="1" x14ac:dyDescent="0.25">
      <c r="A11" s="31" t="s">
        <v>119</v>
      </c>
      <c r="B11" s="10">
        <f>+Input!B14</f>
        <v>0</v>
      </c>
      <c r="C11" s="62">
        <f t="shared" si="0"/>
        <v>0</v>
      </c>
      <c r="D11" s="62">
        <f t="shared" si="1"/>
        <v>0</v>
      </c>
      <c r="E11" s="62">
        <f t="shared" si="1"/>
        <v>0</v>
      </c>
      <c r="F11" s="8">
        <f t="shared" si="1"/>
        <v>0</v>
      </c>
      <c r="G11" s="8">
        <f t="shared" si="1"/>
        <v>0</v>
      </c>
      <c r="H11" s="8">
        <f t="shared" si="1"/>
        <v>0</v>
      </c>
      <c r="I11" s="8">
        <f t="shared" si="1"/>
        <v>0</v>
      </c>
      <c r="J11" s="8">
        <f t="shared" si="1"/>
        <v>0</v>
      </c>
      <c r="K11" s="8">
        <f t="shared" si="1"/>
        <v>0</v>
      </c>
      <c r="L11" s="8">
        <f t="shared" si="1"/>
        <v>0</v>
      </c>
      <c r="M11" s="8">
        <f t="shared" si="1"/>
        <v>0</v>
      </c>
      <c r="N11" s="8">
        <f t="shared" si="1"/>
        <v>0</v>
      </c>
      <c r="O11" s="8">
        <f t="shared" si="1"/>
        <v>0</v>
      </c>
      <c r="P11" s="8">
        <f t="shared" si="1"/>
        <v>0</v>
      </c>
      <c r="Q11" s="9">
        <f t="shared" si="1"/>
        <v>0</v>
      </c>
      <c r="R11" s="45"/>
    </row>
    <row r="12" spans="1:18" ht="12.75" customHeight="1" x14ac:dyDescent="0.25">
      <c r="A12" s="31" t="s">
        <v>24</v>
      </c>
      <c r="B12" s="7">
        <f>+Input!B15</f>
        <v>0.42</v>
      </c>
      <c r="C12" s="62">
        <f t="shared" si="0"/>
        <v>0.42</v>
      </c>
      <c r="D12" s="62">
        <f t="shared" si="1"/>
        <v>0.42</v>
      </c>
      <c r="E12" s="62">
        <f t="shared" si="1"/>
        <v>0.42</v>
      </c>
      <c r="F12" s="8">
        <f t="shared" si="1"/>
        <v>0.42</v>
      </c>
      <c r="G12" s="8">
        <f t="shared" si="1"/>
        <v>0.42</v>
      </c>
      <c r="H12" s="8">
        <f t="shared" si="1"/>
        <v>0.42</v>
      </c>
      <c r="I12" s="8">
        <f t="shared" si="1"/>
        <v>0.42</v>
      </c>
      <c r="J12" s="8">
        <f t="shared" si="1"/>
        <v>0.42</v>
      </c>
      <c r="K12" s="8">
        <f t="shared" si="1"/>
        <v>0.42</v>
      </c>
      <c r="L12" s="8">
        <f t="shared" si="1"/>
        <v>0.42</v>
      </c>
      <c r="M12" s="8">
        <f t="shared" si="1"/>
        <v>0.42</v>
      </c>
      <c r="N12" s="8">
        <f t="shared" si="1"/>
        <v>0.42</v>
      </c>
      <c r="O12" s="8">
        <f t="shared" si="1"/>
        <v>0.42</v>
      </c>
      <c r="P12" s="8">
        <f t="shared" si="1"/>
        <v>0.42</v>
      </c>
      <c r="Q12" s="9">
        <f t="shared" si="1"/>
        <v>0.42</v>
      </c>
      <c r="R12" s="46"/>
    </row>
    <row r="13" spans="1:18" ht="12.75" customHeight="1" x14ac:dyDescent="0.25">
      <c r="A13" s="30" t="s">
        <v>29</v>
      </c>
      <c r="B13" s="11">
        <f>+Input!B19</f>
        <v>600000</v>
      </c>
      <c r="C13" s="63">
        <f>$B13</f>
        <v>600000</v>
      </c>
      <c r="D13" s="63">
        <f>$B13</f>
        <v>600000</v>
      </c>
      <c r="E13" s="63">
        <f t="shared" ref="D13:Q18" si="2">$B13</f>
        <v>600000</v>
      </c>
      <c r="F13" s="12">
        <f t="shared" si="2"/>
        <v>600000</v>
      </c>
      <c r="G13" s="12">
        <f t="shared" si="2"/>
        <v>600000</v>
      </c>
      <c r="H13" s="12">
        <f t="shared" si="2"/>
        <v>600000</v>
      </c>
      <c r="I13" s="12">
        <f t="shared" si="2"/>
        <v>600000</v>
      </c>
      <c r="J13" s="12">
        <f t="shared" si="2"/>
        <v>600000</v>
      </c>
      <c r="K13" s="12">
        <f t="shared" si="2"/>
        <v>600000</v>
      </c>
      <c r="L13" s="12">
        <f t="shared" si="2"/>
        <v>600000</v>
      </c>
      <c r="M13" s="12">
        <f t="shared" si="2"/>
        <v>600000</v>
      </c>
      <c r="N13" s="12">
        <f t="shared" si="2"/>
        <v>600000</v>
      </c>
      <c r="O13" s="12">
        <f t="shared" si="2"/>
        <v>600000</v>
      </c>
      <c r="P13" s="12">
        <f t="shared" si="2"/>
        <v>600000</v>
      </c>
      <c r="Q13" s="13">
        <f t="shared" si="2"/>
        <v>600000</v>
      </c>
      <c r="R13" s="46"/>
    </row>
    <row r="14" spans="1:18" ht="12.75" customHeight="1" x14ac:dyDescent="0.25">
      <c r="A14" s="31" t="s">
        <v>25</v>
      </c>
      <c r="B14" s="11">
        <f>+Input!B20</f>
        <v>376000</v>
      </c>
      <c r="C14" s="63">
        <f t="shared" si="0"/>
        <v>376000</v>
      </c>
      <c r="D14" s="63">
        <f t="shared" si="2"/>
        <v>376000</v>
      </c>
      <c r="E14" s="63">
        <f t="shared" si="2"/>
        <v>376000</v>
      </c>
      <c r="F14" s="12">
        <f t="shared" si="2"/>
        <v>376000</v>
      </c>
      <c r="G14" s="12">
        <f t="shared" si="2"/>
        <v>376000</v>
      </c>
      <c r="H14" s="12">
        <f t="shared" si="2"/>
        <v>376000</v>
      </c>
      <c r="I14" s="12">
        <f t="shared" si="2"/>
        <v>376000</v>
      </c>
      <c r="J14" s="12">
        <f t="shared" si="2"/>
        <v>376000</v>
      </c>
      <c r="K14" s="12">
        <f t="shared" si="2"/>
        <v>376000</v>
      </c>
      <c r="L14" s="12">
        <f t="shared" si="2"/>
        <v>376000</v>
      </c>
      <c r="M14" s="12">
        <f t="shared" si="2"/>
        <v>376000</v>
      </c>
      <c r="N14" s="12">
        <f t="shared" si="2"/>
        <v>376000</v>
      </c>
      <c r="O14" s="12">
        <f t="shared" si="2"/>
        <v>376000</v>
      </c>
      <c r="P14" s="12">
        <f t="shared" si="2"/>
        <v>376000</v>
      </c>
      <c r="Q14" s="13">
        <f t="shared" si="2"/>
        <v>376000</v>
      </c>
      <c r="R14" s="46"/>
    </row>
    <row r="15" spans="1:18" ht="12.75" customHeight="1" x14ac:dyDescent="0.25">
      <c r="A15" s="31" t="s">
        <v>98</v>
      </c>
      <c r="B15" s="11">
        <f>+Input!B21</f>
        <v>280000</v>
      </c>
      <c r="C15" s="63">
        <f t="shared" si="0"/>
        <v>280000</v>
      </c>
      <c r="D15" s="63">
        <f t="shared" si="2"/>
        <v>280000</v>
      </c>
      <c r="E15" s="63">
        <f t="shared" si="2"/>
        <v>280000</v>
      </c>
      <c r="F15" s="12">
        <f t="shared" si="2"/>
        <v>280000</v>
      </c>
      <c r="G15" s="12">
        <f t="shared" si="2"/>
        <v>280000</v>
      </c>
      <c r="H15" s="12">
        <f t="shared" si="2"/>
        <v>280000</v>
      </c>
      <c r="I15" s="12">
        <f t="shared" si="2"/>
        <v>280000</v>
      </c>
      <c r="J15" s="12">
        <f t="shared" si="2"/>
        <v>280000</v>
      </c>
      <c r="K15" s="12">
        <f t="shared" si="2"/>
        <v>280000</v>
      </c>
      <c r="L15" s="12">
        <f t="shared" si="2"/>
        <v>280000</v>
      </c>
      <c r="M15" s="12">
        <f t="shared" si="2"/>
        <v>280000</v>
      </c>
      <c r="N15" s="12">
        <f t="shared" si="2"/>
        <v>280000</v>
      </c>
      <c r="O15" s="12">
        <f t="shared" si="2"/>
        <v>280000</v>
      </c>
      <c r="P15" s="12">
        <f t="shared" si="2"/>
        <v>280000</v>
      </c>
      <c r="Q15" s="13">
        <f t="shared" si="2"/>
        <v>280000</v>
      </c>
      <c r="R15" s="46"/>
    </row>
    <row r="16" spans="1:18" ht="12.75" customHeight="1" x14ac:dyDescent="0.25">
      <c r="A16" s="31" t="s">
        <v>99</v>
      </c>
      <c r="B16" s="11">
        <f>+Input!B22</f>
        <v>900000</v>
      </c>
      <c r="C16" s="63">
        <f t="shared" si="0"/>
        <v>900000</v>
      </c>
      <c r="D16" s="63">
        <f t="shared" si="2"/>
        <v>900000</v>
      </c>
      <c r="E16" s="63">
        <f t="shared" si="2"/>
        <v>900000</v>
      </c>
      <c r="F16" s="12">
        <f t="shared" si="2"/>
        <v>900000</v>
      </c>
      <c r="G16" s="12">
        <f t="shared" si="2"/>
        <v>900000</v>
      </c>
      <c r="H16" s="12">
        <f t="shared" si="2"/>
        <v>900000</v>
      </c>
      <c r="I16" s="12">
        <f t="shared" si="2"/>
        <v>900000</v>
      </c>
      <c r="J16" s="12">
        <f t="shared" si="2"/>
        <v>900000</v>
      </c>
      <c r="K16" s="12">
        <f t="shared" si="2"/>
        <v>900000</v>
      </c>
      <c r="L16" s="12">
        <f t="shared" si="2"/>
        <v>900000</v>
      </c>
      <c r="M16" s="12">
        <f t="shared" si="2"/>
        <v>900000</v>
      </c>
      <c r="N16" s="12">
        <f t="shared" si="2"/>
        <v>900000</v>
      </c>
      <c r="O16" s="12">
        <f t="shared" si="2"/>
        <v>900000</v>
      </c>
      <c r="P16" s="12">
        <f t="shared" si="2"/>
        <v>900000</v>
      </c>
      <c r="Q16" s="13">
        <f t="shared" si="2"/>
        <v>900000</v>
      </c>
      <c r="R16" s="46"/>
    </row>
    <row r="17" spans="1:19" ht="12.75" customHeight="1" x14ac:dyDescent="0.25">
      <c r="A17" s="31" t="s">
        <v>122</v>
      </c>
      <c r="B17" s="11">
        <f>+Input!B23</f>
        <v>350000</v>
      </c>
      <c r="C17" s="63">
        <f>+B17</f>
        <v>350000</v>
      </c>
      <c r="D17" s="63">
        <f t="shared" ref="D17:Q17" si="3">+C17</f>
        <v>350000</v>
      </c>
      <c r="E17" s="63">
        <f t="shared" si="3"/>
        <v>350000</v>
      </c>
      <c r="F17" s="119">
        <f t="shared" si="3"/>
        <v>350000</v>
      </c>
      <c r="G17" s="119">
        <f t="shared" si="3"/>
        <v>350000</v>
      </c>
      <c r="H17" s="119">
        <f t="shared" si="3"/>
        <v>350000</v>
      </c>
      <c r="I17" s="119">
        <f t="shared" si="3"/>
        <v>350000</v>
      </c>
      <c r="J17" s="119">
        <f t="shared" si="3"/>
        <v>350000</v>
      </c>
      <c r="K17" s="119">
        <f t="shared" si="3"/>
        <v>350000</v>
      </c>
      <c r="L17" s="119">
        <f t="shared" si="3"/>
        <v>350000</v>
      </c>
      <c r="M17" s="119">
        <f t="shared" si="3"/>
        <v>350000</v>
      </c>
      <c r="N17" s="119">
        <f t="shared" si="3"/>
        <v>350000</v>
      </c>
      <c r="O17" s="119">
        <f t="shared" si="3"/>
        <v>350000</v>
      </c>
      <c r="P17" s="119">
        <f t="shared" si="3"/>
        <v>350000</v>
      </c>
      <c r="Q17" s="119">
        <f t="shared" si="3"/>
        <v>350000</v>
      </c>
      <c r="R17" s="46"/>
    </row>
    <row r="18" spans="1:19" ht="12.75" customHeight="1" x14ac:dyDescent="0.25">
      <c r="A18" s="30" t="s">
        <v>26</v>
      </c>
      <c r="B18" s="11">
        <f>+Input!B24</f>
        <v>350000</v>
      </c>
      <c r="C18" s="63">
        <f t="shared" si="0"/>
        <v>350000</v>
      </c>
      <c r="D18" s="63">
        <f t="shared" si="2"/>
        <v>350000</v>
      </c>
      <c r="E18" s="63">
        <f t="shared" si="2"/>
        <v>350000</v>
      </c>
      <c r="F18" s="12">
        <f t="shared" si="2"/>
        <v>350000</v>
      </c>
      <c r="G18" s="12">
        <f t="shared" si="2"/>
        <v>350000</v>
      </c>
      <c r="H18" s="12">
        <f t="shared" si="2"/>
        <v>350000</v>
      </c>
      <c r="I18" s="12">
        <f t="shared" si="2"/>
        <v>350000</v>
      </c>
      <c r="J18" s="12">
        <f t="shared" si="2"/>
        <v>350000</v>
      </c>
      <c r="K18" s="12">
        <f t="shared" si="2"/>
        <v>350000</v>
      </c>
      <c r="L18" s="12">
        <f t="shared" si="2"/>
        <v>350000</v>
      </c>
      <c r="M18" s="12">
        <f t="shared" si="2"/>
        <v>350000</v>
      </c>
      <c r="N18" s="12">
        <f t="shared" si="2"/>
        <v>350000</v>
      </c>
      <c r="O18" s="12">
        <f t="shared" si="2"/>
        <v>350000</v>
      </c>
      <c r="P18" s="12">
        <f t="shared" si="2"/>
        <v>350000</v>
      </c>
      <c r="Q18" s="13">
        <f t="shared" si="2"/>
        <v>350000</v>
      </c>
      <c r="R18" s="46"/>
    </row>
    <row r="19" spans="1:19" ht="12.75" customHeight="1" x14ac:dyDescent="0.25">
      <c r="A19" s="31" t="s">
        <v>12</v>
      </c>
      <c r="B19" s="6"/>
      <c r="C19" s="64">
        <f>+Input!B37</f>
        <v>2</v>
      </c>
      <c r="D19" s="64">
        <f>+Input!B38</f>
        <v>6</v>
      </c>
      <c r="E19" s="64">
        <f>+Input!B39</f>
        <v>10</v>
      </c>
      <c r="F19" s="53">
        <f>+C19</f>
        <v>2</v>
      </c>
      <c r="G19" s="53">
        <f>+D19</f>
        <v>6</v>
      </c>
      <c r="H19" s="53">
        <f>+E19</f>
        <v>10</v>
      </c>
      <c r="I19" s="53">
        <f>+Input!B40</f>
        <v>20</v>
      </c>
      <c r="J19" s="53">
        <f>+I19</f>
        <v>20</v>
      </c>
      <c r="K19" s="53">
        <f>+J19</f>
        <v>20</v>
      </c>
      <c r="L19" s="53">
        <f>+K19</f>
        <v>20</v>
      </c>
      <c r="M19" s="53">
        <f>+L19</f>
        <v>20</v>
      </c>
      <c r="N19" s="53">
        <f>+M19</f>
        <v>20</v>
      </c>
      <c r="O19" s="53">
        <f>+J19</f>
        <v>20</v>
      </c>
      <c r="P19" s="53">
        <f>+O19</f>
        <v>20</v>
      </c>
      <c r="Q19" s="53">
        <f>+P19</f>
        <v>20</v>
      </c>
      <c r="R19" s="46"/>
    </row>
    <row r="20" spans="1:19" ht="12.75" customHeight="1" x14ac:dyDescent="0.25">
      <c r="A20" s="30" t="s">
        <v>27</v>
      </c>
      <c r="B20" s="4"/>
      <c r="C20" s="65">
        <f t="shared" ref="C20:Q20" si="4">C19*C8*C14</f>
        <v>338400</v>
      </c>
      <c r="D20" s="65">
        <f t="shared" si="4"/>
        <v>1015200.0000000001</v>
      </c>
      <c r="E20" s="65">
        <f>E19*E8*E14</f>
        <v>1692000</v>
      </c>
      <c r="F20" s="117">
        <f>F19*F8*F14</f>
        <v>338400</v>
      </c>
      <c r="G20" s="117">
        <f t="shared" si="4"/>
        <v>1015200.0000000001</v>
      </c>
      <c r="H20" s="117">
        <f t="shared" si="4"/>
        <v>1692000</v>
      </c>
      <c r="I20" s="117">
        <f t="shared" si="4"/>
        <v>3384000</v>
      </c>
      <c r="J20" s="117">
        <f t="shared" si="4"/>
        <v>3384000</v>
      </c>
      <c r="K20" s="117">
        <f t="shared" si="4"/>
        <v>3384000</v>
      </c>
      <c r="L20" s="117">
        <f t="shared" si="4"/>
        <v>3384000</v>
      </c>
      <c r="M20" s="117">
        <f t="shared" si="4"/>
        <v>3384000</v>
      </c>
      <c r="N20" s="117">
        <f t="shared" si="4"/>
        <v>3384000</v>
      </c>
      <c r="O20" s="117">
        <f t="shared" si="4"/>
        <v>3384000</v>
      </c>
      <c r="P20" s="117">
        <f t="shared" si="4"/>
        <v>3384000</v>
      </c>
      <c r="Q20" s="117">
        <f t="shared" si="4"/>
        <v>3384000</v>
      </c>
      <c r="R20" s="46"/>
    </row>
    <row r="21" spans="1:19" ht="12.75" customHeight="1" x14ac:dyDescent="0.25">
      <c r="A21" s="31" t="s">
        <v>22</v>
      </c>
      <c r="B21" s="6"/>
      <c r="C21" s="65">
        <f t="shared" ref="C21:Q21" si="5">C13*C7*C19</f>
        <v>60000</v>
      </c>
      <c r="D21" s="65">
        <f t="shared" si="5"/>
        <v>180000</v>
      </c>
      <c r="E21" s="65">
        <f t="shared" si="5"/>
        <v>300000</v>
      </c>
      <c r="F21" s="117">
        <f t="shared" si="5"/>
        <v>60000</v>
      </c>
      <c r="G21" s="117">
        <f t="shared" si="5"/>
        <v>180000</v>
      </c>
      <c r="H21" s="117">
        <f t="shared" si="5"/>
        <v>300000</v>
      </c>
      <c r="I21" s="117">
        <f t="shared" si="5"/>
        <v>600000</v>
      </c>
      <c r="J21" s="117">
        <f t="shared" si="5"/>
        <v>600000</v>
      </c>
      <c r="K21" s="117">
        <f t="shared" si="5"/>
        <v>600000</v>
      </c>
      <c r="L21" s="117">
        <f t="shared" si="5"/>
        <v>600000</v>
      </c>
      <c r="M21" s="117">
        <f t="shared" si="5"/>
        <v>600000</v>
      </c>
      <c r="N21" s="117">
        <f t="shared" si="5"/>
        <v>600000</v>
      </c>
      <c r="O21" s="117">
        <f t="shared" si="5"/>
        <v>600000</v>
      </c>
      <c r="P21" s="117">
        <f t="shared" si="5"/>
        <v>600000</v>
      </c>
      <c r="Q21" s="117">
        <f t="shared" si="5"/>
        <v>600000</v>
      </c>
      <c r="R21" s="46"/>
    </row>
    <row r="22" spans="1:19" ht="12.75" customHeight="1" x14ac:dyDescent="0.25">
      <c r="A22" s="31" t="s">
        <v>102</v>
      </c>
      <c r="B22" s="6"/>
      <c r="C22" s="66">
        <f t="shared" ref="C22:Q22" si="6">C19*C9*C15</f>
        <v>28000</v>
      </c>
      <c r="D22" s="66">
        <f t="shared" si="6"/>
        <v>84000.000000000015</v>
      </c>
      <c r="E22" s="66">
        <f t="shared" si="6"/>
        <v>140000</v>
      </c>
      <c r="F22" s="118">
        <f t="shared" si="6"/>
        <v>28000</v>
      </c>
      <c r="G22" s="118">
        <f t="shared" si="6"/>
        <v>84000.000000000015</v>
      </c>
      <c r="H22" s="118">
        <f t="shared" si="6"/>
        <v>140000</v>
      </c>
      <c r="I22" s="118">
        <f t="shared" si="6"/>
        <v>280000</v>
      </c>
      <c r="J22" s="118">
        <f t="shared" si="6"/>
        <v>280000</v>
      </c>
      <c r="K22" s="118">
        <f t="shared" si="6"/>
        <v>280000</v>
      </c>
      <c r="L22" s="118">
        <f t="shared" si="6"/>
        <v>280000</v>
      </c>
      <c r="M22" s="118">
        <f t="shared" si="6"/>
        <v>280000</v>
      </c>
      <c r="N22" s="118">
        <f t="shared" si="6"/>
        <v>280000</v>
      </c>
      <c r="O22" s="118">
        <f t="shared" si="6"/>
        <v>280000</v>
      </c>
      <c r="P22" s="118">
        <f t="shared" si="6"/>
        <v>280000</v>
      </c>
      <c r="Q22" s="118">
        <f t="shared" si="6"/>
        <v>280000</v>
      </c>
      <c r="R22" s="46"/>
    </row>
    <row r="23" spans="1:19" ht="12.75" customHeight="1" x14ac:dyDescent="0.25">
      <c r="A23" s="31" t="s">
        <v>103</v>
      </c>
      <c r="B23" s="6"/>
      <c r="C23" s="66">
        <f t="shared" ref="C23:Q23" si="7">C19*C10*C16</f>
        <v>54000</v>
      </c>
      <c r="D23" s="66">
        <f t="shared" si="7"/>
        <v>162000</v>
      </c>
      <c r="E23" s="66">
        <f t="shared" si="7"/>
        <v>270000</v>
      </c>
      <c r="F23" s="118">
        <f t="shared" si="7"/>
        <v>54000</v>
      </c>
      <c r="G23" s="118">
        <f t="shared" si="7"/>
        <v>162000</v>
      </c>
      <c r="H23" s="118">
        <f t="shared" si="7"/>
        <v>270000</v>
      </c>
      <c r="I23" s="118">
        <f t="shared" si="7"/>
        <v>540000</v>
      </c>
      <c r="J23" s="118">
        <f t="shared" si="7"/>
        <v>540000</v>
      </c>
      <c r="K23" s="118">
        <f t="shared" si="7"/>
        <v>540000</v>
      </c>
      <c r="L23" s="118">
        <f t="shared" si="7"/>
        <v>540000</v>
      </c>
      <c r="M23" s="118">
        <f t="shared" si="7"/>
        <v>540000</v>
      </c>
      <c r="N23" s="118">
        <f t="shared" si="7"/>
        <v>540000</v>
      </c>
      <c r="O23" s="118">
        <f t="shared" si="7"/>
        <v>540000</v>
      </c>
      <c r="P23" s="118">
        <f t="shared" si="7"/>
        <v>540000</v>
      </c>
      <c r="Q23" s="118">
        <f t="shared" si="7"/>
        <v>540000</v>
      </c>
      <c r="R23" s="46"/>
    </row>
    <row r="24" spans="1:19" ht="12.75" customHeight="1" x14ac:dyDescent="0.25">
      <c r="A24" s="31" t="s">
        <v>120</v>
      </c>
      <c r="B24" s="6"/>
      <c r="C24" s="66">
        <f t="shared" ref="C24:Q24" si="8">C11*C17*C19</f>
        <v>0</v>
      </c>
      <c r="D24" s="66">
        <f t="shared" si="8"/>
        <v>0</v>
      </c>
      <c r="E24" s="66">
        <f t="shared" si="8"/>
        <v>0</v>
      </c>
      <c r="F24" s="118">
        <f t="shared" si="8"/>
        <v>0</v>
      </c>
      <c r="G24" s="118">
        <f t="shared" si="8"/>
        <v>0</v>
      </c>
      <c r="H24" s="118">
        <f t="shared" si="8"/>
        <v>0</v>
      </c>
      <c r="I24" s="118">
        <f t="shared" si="8"/>
        <v>0</v>
      </c>
      <c r="J24" s="118">
        <f t="shared" si="8"/>
        <v>0</v>
      </c>
      <c r="K24" s="118">
        <f t="shared" si="8"/>
        <v>0</v>
      </c>
      <c r="L24" s="118">
        <f t="shared" si="8"/>
        <v>0</v>
      </c>
      <c r="M24" s="118">
        <f t="shared" si="8"/>
        <v>0</v>
      </c>
      <c r="N24" s="118">
        <f t="shared" si="8"/>
        <v>0</v>
      </c>
      <c r="O24" s="118">
        <f t="shared" si="8"/>
        <v>0</v>
      </c>
      <c r="P24" s="118">
        <f t="shared" si="8"/>
        <v>0</v>
      </c>
      <c r="Q24" s="118">
        <f t="shared" si="8"/>
        <v>0</v>
      </c>
      <c r="R24" s="46"/>
    </row>
    <row r="25" spans="1:19" ht="12.75" customHeight="1" thickBot="1" x14ac:dyDescent="0.3">
      <c r="A25" s="56" t="s">
        <v>28</v>
      </c>
      <c r="B25" s="36"/>
      <c r="C25" s="66">
        <f t="shared" ref="C25:Q25" si="9">C19*C12*C18</f>
        <v>294000</v>
      </c>
      <c r="D25" s="66">
        <f t="shared" si="9"/>
        <v>882000</v>
      </c>
      <c r="E25" s="66">
        <f t="shared" si="9"/>
        <v>1470000</v>
      </c>
      <c r="F25" s="118">
        <f t="shared" si="9"/>
        <v>294000</v>
      </c>
      <c r="G25" s="118">
        <f t="shared" si="9"/>
        <v>882000</v>
      </c>
      <c r="H25" s="118">
        <f t="shared" si="9"/>
        <v>1470000</v>
      </c>
      <c r="I25" s="118">
        <f t="shared" si="9"/>
        <v>2940000</v>
      </c>
      <c r="J25" s="118">
        <f t="shared" si="9"/>
        <v>2940000</v>
      </c>
      <c r="K25" s="118">
        <f t="shared" si="9"/>
        <v>2940000</v>
      </c>
      <c r="L25" s="118">
        <f t="shared" si="9"/>
        <v>2940000</v>
      </c>
      <c r="M25" s="118">
        <f t="shared" si="9"/>
        <v>2940000</v>
      </c>
      <c r="N25" s="118">
        <f t="shared" si="9"/>
        <v>2940000</v>
      </c>
      <c r="O25" s="118">
        <f t="shared" si="9"/>
        <v>2940000</v>
      </c>
      <c r="P25" s="118">
        <f t="shared" si="9"/>
        <v>2940000</v>
      </c>
      <c r="Q25" s="118">
        <f t="shared" si="9"/>
        <v>2940000</v>
      </c>
      <c r="R25" s="46"/>
    </row>
    <row r="26" spans="1:19" ht="12.75" customHeight="1" thickTop="1" thickBot="1" x14ac:dyDescent="0.3">
      <c r="A26" s="47" t="s">
        <v>13</v>
      </c>
      <c r="B26" s="57"/>
      <c r="C26" s="67">
        <f>SUM(C20:C25)</f>
        <v>774400</v>
      </c>
      <c r="D26" s="68">
        <f t="shared" ref="D26:P26" si="10">SUM(D20:D25)</f>
        <v>2323200</v>
      </c>
      <c r="E26" s="68">
        <f>SUM(E20:E25)</f>
        <v>3872000</v>
      </c>
      <c r="F26" s="16">
        <f>SUM(F20:F25)</f>
        <v>774400</v>
      </c>
      <c r="G26" s="16">
        <f t="shared" si="10"/>
        <v>2323200</v>
      </c>
      <c r="H26" s="16">
        <f t="shared" si="10"/>
        <v>3872000</v>
      </c>
      <c r="I26" s="16">
        <f t="shared" si="10"/>
        <v>7744000</v>
      </c>
      <c r="J26" s="16">
        <f t="shared" si="10"/>
        <v>7744000</v>
      </c>
      <c r="K26" s="16">
        <f t="shared" si="10"/>
        <v>7744000</v>
      </c>
      <c r="L26" s="16">
        <f t="shared" si="10"/>
        <v>7744000</v>
      </c>
      <c r="M26" s="16">
        <f t="shared" si="10"/>
        <v>7744000</v>
      </c>
      <c r="N26" s="16">
        <f>SUM(N20:N25)</f>
        <v>7744000</v>
      </c>
      <c r="O26" s="16">
        <f>SUM(O20:O25)</f>
        <v>7744000</v>
      </c>
      <c r="P26" s="16">
        <f t="shared" si="10"/>
        <v>7744000</v>
      </c>
      <c r="Q26" s="42">
        <f t="shared" ref="Q26" si="11">SUM(Q20:Q25)</f>
        <v>7744000</v>
      </c>
      <c r="R26" s="54">
        <f>SUM(F26:Q26)</f>
        <v>76665600</v>
      </c>
      <c r="S26" s="159" t="s">
        <v>77</v>
      </c>
    </row>
    <row r="27" spans="1:19" ht="12.75" customHeight="1" x14ac:dyDescent="0.25">
      <c r="A27" s="225"/>
      <c r="B27" s="226"/>
      <c r="C27" s="69"/>
      <c r="D27" s="69"/>
      <c r="E27" s="6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45"/>
      <c r="S27" t="s">
        <v>77</v>
      </c>
    </row>
    <row r="28" spans="1:19" ht="12.75" customHeight="1" x14ac:dyDescent="0.25">
      <c r="A28" s="227" t="s">
        <v>67</v>
      </c>
      <c r="B28" s="228"/>
      <c r="C28" s="69"/>
      <c r="D28" s="69"/>
      <c r="E28" s="6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46"/>
    </row>
    <row r="29" spans="1:19" ht="12.75" customHeight="1" x14ac:dyDescent="0.25">
      <c r="A29" s="32" t="s">
        <v>56</v>
      </c>
      <c r="B29" s="11">
        <f>+Input!B49</f>
        <v>1495</v>
      </c>
      <c r="C29" s="70">
        <f>C19*$B$29</f>
        <v>2990</v>
      </c>
      <c r="D29" s="70">
        <f>D19*$B$29</f>
        <v>8970</v>
      </c>
      <c r="E29" s="70">
        <f t="shared" ref="E29:Q29" si="12">E19*$B$29</f>
        <v>14950</v>
      </c>
      <c r="F29" s="17">
        <f t="shared" si="12"/>
        <v>2990</v>
      </c>
      <c r="G29" s="17">
        <f t="shared" si="12"/>
        <v>8970</v>
      </c>
      <c r="H29" s="17">
        <f t="shared" si="12"/>
        <v>14950</v>
      </c>
      <c r="I29" s="17">
        <f t="shared" si="12"/>
        <v>29900</v>
      </c>
      <c r="J29" s="17">
        <f t="shared" si="12"/>
        <v>29900</v>
      </c>
      <c r="K29" s="17">
        <f t="shared" si="12"/>
        <v>29900</v>
      </c>
      <c r="L29" s="17">
        <f t="shared" si="12"/>
        <v>29900</v>
      </c>
      <c r="M29" s="17">
        <f t="shared" si="12"/>
        <v>29900</v>
      </c>
      <c r="N29" s="17">
        <f t="shared" si="12"/>
        <v>29900</v>
      </c>
      <c r="O29" s="17">
        <f t="shared" si="12"/>
        <v>29900</v>
      </c>
      <c r="P29" s="17">
        <f t="shared" si="12"/>
        <v>29900</v>
      </c>
      <c r="Q29" s="17">
        <f t="shared" si="12"/>
        <v>29900</v>
      </c>
      <c r="R29" s="46"/>
    </row>
    <row r="30" spans="1:19" ht="12.75" customHeight="1" x14ac:dyDescent="0.25">
      <c r="A30" s="32" t="s">
        <v>14</v>
      </c>
      <c r="B30" s="18">
        <f>+Input!B29</f>
        <v>2.5999999999999999E-2</v>
      </c>
      <c r="C30" s="70">
        <f t="shared" ref="C30:Q30" si="13">SUM(C20*$B30)</f>
        <v>8798.4</v>
      </c>
      <c r="D30" s="70">
        <f t="shared" si="13"/>
        <v>26395.200000000001</v>
      </c>
      <c r="E30" s="70">
        <f t="shared" si="13"/>
        <v>43992</v>
      </c>
      <c r="F30" s="17">
        <f t="shared" si="13"/>
        <v>8798.4</v>
      </c>
      <c r="G30" s="17">
        <f t="shared" si="13"/>
        <v>26395.200000000001</v>
      </c>
      <c r="H30" s="17">
        <f t="shared" si="13"/>
        <v>43992</v>
      </c>
      <c r="I30" s="17">
        <f t="shared" si="13"/>
        <v>87984</v>
      </c>
      <c r="J30" s="17">
        <f t="shared" si="13"/>
        <v>87984</v>
      </c>
      <c r="K30" s="17">
        <f t="shared" si="13"/>
        <v>87984</v>
      </c>
      <c r="L30" s="17">
        <f t="shared" si="13"/>
        <v>87984</v>
      </c>
      <c r="M30" s="17">
        <f t="shared" si="13"/>
        <v>87984</v>
      </c>
      <c r="N30" s="17">
        <f t="shared" si="13"/>
        <v>87984</v>
      </c>
      <c r="O30" s="17">
        <f t="shared" si="13"/>
        <v>87984</v>
      </c>
      <c r="P30" s="17">
        <f t="shared" si="13"/>
        <v>87984</v>
      </c>
      <c r="Q30" s="19">
        <f t="shared" si="13"/>
        <v>87984</v>
      </c>
      <c r="R30" s="46"/>
    </row>
    <row r="31" spans="1:19" ht="12.75" customHeight="1" x14ac:dyDescent="0.25">
      <c r="A31" s="32" t="s">
        <v>22</v>
      </c>
      <c r="B31" s="18">
        <f>+Input!B28</f>
        <v>2.5000000000000001E-2</v>
      </c>
      <c r="C31" s="70">
        <f t="shared" ref="C31:Q31" si="14">SUM(C21*$B31)</f>
        <v>1500</v>
      </c>
      <c r="D31" s="70">
        <f t="shared" si="14"/>
        <v>4500</v>
      </c>
      <c r="E31" s="70">
        <f t="shared" si="14"/>
        <v>7500</v>
      </c>
      <c r="F31" s="17">
        <f t="shared" si="14"/>
        <v>1500</v>
      </c>
      <c r="G31" s="17">
        <f t="shared" si="14"/>
        <v>4500</v>
      </c>
      <c r="H31" s="17">
        <f t="shared" si="14"/>
        <v>7500</v>
      </c>
      <c r="I31" s="17">
        <f t="shared" si="14"/>
        <v>15000</v>
      </c>
      <c r="J31" s="17">
        <f t="shared" si="14"/>
        <v>15000</v>
      </c>
      <c r="K31" s="17">
        <f t="shared" si="14"/>
        <v>15000</v>
      </c>
      <c r="L31" s="17">
        <f t="shared" si="14"/>
        <v>15000</v>
      </c>
      <c r="M31" s="17">
        <f t="shared" si="14"/>
        <v>15000</v>
      </c>
      <c r="N31" s="17">
        <f t="shared" si="14"/>
        <v>15000</v>
      </c>
      <c r="O31" s="17">
        <f t="shared" si="14"/>
        <v>15000</v>
      </c>
      <c r="P31" s="17">
        <f t="shared" si="14"/>
        <v>15000</v>
      </c>
      <c r="Q31" s="19">
        <f t="shared" si="14"/>
        <v>15000</v>
      </c>
      <c r="R31" s="46"/>
    </row>
    <row r="32" spans="1:19" ht="12.75" customHeight="1" x14ac:dyDescent="0.25">
      <c r="A32" s="34" t="s">
        <v>82</v>
      </c>
      <c r="B32" s="55">
        <f>+Input!B30</f>
        <v>2.5000000000000001E-2</v>
      </c>
      <c r="C32" s="70">
        <f t="shared" ref="C32:Q32" si="15">SUM(C22*$B32)</f>
        <v>700</v>
      </c>
      <c r="D32" s="70">
        <f t="shared" si="15"/>
        <v>2100.0000000000005</v>
      </c>
      <c r="E32" s="70">
        <f t="shared" si="15"/>
        <v>3500</v>
      </c>
      <c r="F32" s="17">
        <f t="shared" si="15"/>
        <v>700</v>
      </c>
      <c r="G32" s="17">
        <f t="shared" si="15"/>
        <v>2100.0000000000005</v>
      </c>
      <c r="H32" s="17">
        <f t="shared" si="15"/>
        <v>3500</v>
      </c>
      <c r="I32" s="17">
        <f t="shared" si="15"/>
        <v>7000</v>
      </c>
      <c r="J32" s="17">
        <f t="shared" si="15"/>
        <v>7000</v>
      </c>
      <c r="K32" s="17">
        <f t="shared" si="15"/>
        <v>7000</v>
      </c>
      <c r="L32" s="17">
        <f t="shared" si="15"/>
        <v>7000</v>
      </c>
      <c r="M32" s="17">
        <f t="shared" si="15"/>
        <v>7000</v>
      </c>
      <c r="N32" s="17">
        <f t="shared" si="15"/>
        <v>7000</v>
      </c>
      <c r="O32" s="17">
        <f t="shared" si="15"/>
        <v>7000</v>
      </c>
      <c r="P32" s="17">
        <f t="shared" si="15"/>
        <v>7000</v>
      </c>
      <c r="Q32" s="17">
        <f t="shared" si="15"/>
        <v>7000</v>
      </c>
      <c r="R32" s="46"/>
    </row>
    <row r="33" spans="1:18" ht="12.75" customHeight="1" x14ac:dyDescent="0.25">
      <c r="A33" s="34" t="s">
        <v>104</v>
      </c>
      <c r="B33" s="55">
        <f>+Input!B31</f>
        <v>0.02</v>
      </c>
      <c r="C33" s="70">
        <f t="shared" ref="C33:Q33" si="16">SUM(C23*$B33)</f>
        <v>1080</v>
      </c>
      <c r="D33" s="70">
        <f t="shared" si="16"/>
        <v>3240</v>
      </c>
      <c r="E33" s="70">
        <f t="shared" si="16"/>
        <v>5400</v>
      </c>
      <c r="F33" s="17">
        <f t="shared" si="16"/>
        <v>1080</v>
      </c>
      <c r="G33" s="17">
        <f t="shared" si="16"/>
        <v>3240</v>
      </c>
      <c r="H33" s="17">
        <f t="shared" si="16"/>
        <v>5400</v>
      </c>
      <c r="I33" s="17">
        <f t="shared" si="16"/>
        <v>10800</v>
      </c>
      <c r="J33" s="17">
        <f t="shared" si="16"/>
        <v>10800</v>
      </c>
      <c r="K33" s="17">
        <f t="shared" si="16"/>
        <v>10800</v>
      </c>
      <c r="L33" s="17">
        <f t="shared" si="16"/>
        <v>10800</v>
      </c>
      <c r="M33" s="17">
        <f t="shared" si="16"/>
        <v>10800</v>
      </c>
      <c r="N33" s="17">
        <f t="shared" si="16"/>
        <v>10800</v>
      </c>
      <c r="O33" s="17">
        <f t="shared" si="16"/>
        <v>10800</v>
      </c>
      <c r="P33" s="17">
        <f t="shared" si="16"/>
        <v>10800</v>
      </c>
      <c r="Q33" s="17">
        <f t="shared" si="16"/>
        <v>10800</v>
      </c>
      <c r="R33" s="46"/>
    </row>
    <row r="34" spans="1:18" ht="12.75" customHeight="1" x14ac:dyDescent="0.25">
      <c r="A34" s="34" t="s">
        <v>118</v>
      </c>
      <c r="B34" s="55">
        <f>+Input!B32</f>
        <v>0.02</v>
      </c>
      <c r="C34" s="70">
        <f>SUM(C24*$B34)</f>
        <v>0</v>
      </c>
      <c r="D34" s="70">
        <f t="shared" ref="D34:Q34" si="17">SUM(D24*$B34)</f>
        <v>0</v>
      </c>
      <c r="E34" s="70">
        <f t="shared" si="17"/>
        <v>0</v>
      </c>
      <c r="F34" s="110">
        <f t="shared" si="17"/>
        <v>0</v>
      </c>
      <c r="G34" s="110">
        <f t="shared" si="17"/>
        <v>0</v>
      </c>
      <c r="H34" s="110">
        <f t="shared" si="17"/>
        <v>0</v>
      </c>
      <c r="I34" s="110">
        <f t="shared" si="17"/>
        <v>0</v>
      </c>
      <c r="J34" s="110">
        <f t="shared" si="17"/>
        <v>0</v>
      </c>
      <c r="K34" s="110">
        <f t="shared" si="17"/>
        <v>0</v>
      </c>
      <c r="L34" s="110">
        <f t="shared" si="17"/>
        <v>0</v>
      </c>
      <c r="M34" s="110">
        <f t="shared" si="17"/>
        <v>0</v>
      </c>
      <c r="N34" s="110">
        <f t="shared" si="17"/>
        <v>0</v>
      </c>
      <c r="O34" s="110">
        <f t="shared" si="17"/>
        <v>0</v>
      </c>
      <c r="P34" s="110">
        <f t="shared" si="17"/>
        <v>0</v>
      </c>
      <c r="Q34" s="110">
        <f t="shared" si="17"/>
        <v>0</v>
      </c>
      <c r="R34" s="46"/>
    </row>
    <row r="35" spans="1:18" ht="12.75" customHeight="1" thickBot="1" x14ac:dyDescent="0.3">
      <c r="A35" s="34" t="s">
        <v>105</v>
      </c>
      <c r="B35" s="60">
        <f>+Input!B33</f>
        <v>3.2000000000000001E-2</v>
      </c>
      <c r="C35" s="71">
        <f>SUM(C25*$B35)</f>
        <v>9408</v>
      </c>
      <c r="D35" s="71">
        <f t="shared" ref="D35:Q35" si="18">SUM(D25*$B35)</f>
        <v>28224</v>
      </c>
      <c r="E35" s="71">
        <f t="shared" si="18"/>
        <v>47040</v>
      </c>
      <c r="F35" s="21">
        <f t="shared" si="18"/>
        <v>9408</v>
      </c>
      <c r="G35" s="21">
        <f t="shared" si="18"/>
        <v>28224</v>
      </c>
      <c r="H35" s="21">
        <f t="shared" si="18"/>
        <v>47040</v>
      </c>
      <c r="I35" s="21">
        <f t="shared" si="18"/>
        <v>94080</v>
      </c>
      <c r="J35" s="21">
        <f t="shared" si="18"/>
        <v>94080</v>
      </c>
      <c r="K35" s="21">
        <f t="shared" si="18"/>
        <v>94080</v>
      </c>
      <c r="L35" s="21">
        <f t="shared" si="18"/>
        <v>94080</v>
      </c>
      <c r="M35" s="21">
        <f t="shared" si="18"/>
        <v>94080</v>
      </c>
      <c r="N35" s="21">
        <f t="shared" si="18"/>
        <v>94080</v>
      </c>
      <c r="O35" s="21">
        <f t="shared" si="18"/>
        <v>94080</v>
      </c>
      <c r="P35" s="21">
        <f t="shared" si="18"/>
        <v>94080</v>
      </c>
      <c r="Q35" s="22">
        <f t="shared" si="18"/>
        <v>94080</v>
      </c>
      <c r="R35" s="46"/>
    </row>
    <row r="36" spans="1:18" ht="12.75" customHeight="1" thickTop="1" thickBot="1" x14ac:dyDescent="0.3">
      <c r="A36" s="47" t="s">
        <v>57</v>
      </c>
      <c r="B36" s="48"/>
      <c r="C36" s="68">
        <f t="shared" ref="C36:Q36" si="19">SUM(C29:C35)</f>
        <v>24476.400000000001</v>
      </c>
      <c r="D36" s="68">
        <f t="shared" si="19"/>
        <v>73429.2</v>
      </c>
      <c r="E36" s="68">
        <f t="shared" si="19"/>
        <v>122382</v>
      </c>
      <c r="F36" s="16">
        <f t="shared" si="19"/>
        <v>24476.400000000001</v>
      </c>
      <c r="G36" s="16">
        <f t="shared" si="19"/>
        <v>73429.2</v>
      </c>
      <c r="H36" s="16">
        <f t="shared" si="19"/>
        <v>122382</v>
      </c>
      <c r="I36" s="16">
        <f t="shared" si="19"/>
        <v>244764</v>
      </c>
      <c r="J36" s="16">
        <f t="shared" si="19"/>
        <v>244764</v>
      </c>
      <c r="K36" s="16">
        <f t="shared" si="19"/>
        <v>244764</v>
      </c>
      <c r="L36" s="16">
        <f t="shared" si="19"/>
        <v>244764</v>
      </c>
      <c r="M36" s="16">
        <f t="shared" si="19"/>
        <v>244764</v>
      </c>
      <c r="N36" s="16">
        <f t="shared" si="19"/>
        <v>244764</v>
      </c>
      <c r="O36" s="16">
        <f t="shared" si="19"/>
        <v>244764</v>
      </c>
      <c r="P36" s="16">
        <f t="shared" si="19"/>
        <v>244764</v>
      </c>
      <c r="Q36" s="16">
        <f t="shared" si="19"/>
        <v>244764</v>
      </c>
      <c r="R36" s="54">
        <f>SUM(F36:Q36)</f>
        <v>2423163.6</v>
      </c>
    </row>
    <row r="37" spans="1:18" ht="12.75" customHeight="1" x14ac:dyDescent="0.25">
      <c r="A37" s="35"/>
      <c r="B37" s="137"/>
      <c r="C37" s="136">
        <f>+(C36/C26)*100</f>
        <v>3.1606921487603308</v>
      </c>
      <c r="D37" s="136">
        <f t="shared" ref="D37:E37" si="20">+(D36/D26)*100</f>
        <v>3.1606921487603303</v>
      </c>
      <c r="E37" s="136">
        <f t="shared" si="20"/>
        <v>3.1606921487603308</v>
      </c>
      <c r="F37" s="136">
        <f>+(F36/F26)*100</f>
        <v>3.1606921487603308</v>
      </c>
      <c r="G37" s="136">
        <f t="shared" ref="G37:Q37" si="21">+(G36/G26)*100</f>
        <v>3.1606921487603303</v>
      </c>
      <c r="H37" s="136">
        <f t="shared" si="21"/>
        <v>3.1606921487603308</v>
      </c>
      <c r="I37" s="136">
        <f t="shared" si="21"/>
        <v>3.1606921487603308</v>
      </c>
      <c r="J37" s="136">
        <f t="shared" si="21"/>
        <v>3.1606921487603308</v>
      </c>
      <c r="K37" s="136">
        <f t="shared" si="21"/>
        <v>3.1606921487603308</v>
      </c>
      <c r="L37" s="136">
        <f t="shared" si="21"/>
        <v>3.1606921487603308</v>
      </c>
      <c r="M37" s="136">
        <f t="shared" si="21"/>
        <v>3.1606921487603308</v>
      </c>
      <c r="N37" s="136">
        <f t="shared" si="21"/>
        <v>3.1606921487603308</v>
      </c>
      <c r="O37" s="136">
        <f t="shared" si="21"/>
        <v>3.1606921487603308</v>
      </c>
      <c r="P37" s="136">
        <f t="shared" si="21"/>
        <v>3.1606921487603308</v>
      </c>
      <c r="Q37" s="136">
        <f t="shared" si="21"/>
        <v>3.1606921487603308</v>
      </c>
      <c r="R37" s="138"/>
    </row>
    <row r="38" spans="1:18" ht="12.75" customHeight="1" x14ac:dyDescent="0.25">
      <c r="A38" s="225" t="s">
        <v>53</v>
      </c>
      <c r="B38" s="226"/>
      <c r="C38" s="72"/>
      <c r="D38" s="72"/>
      <c r="E38" s="72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6"/>
    </row>
    <row r="39" spans="1:18" ht="12.75" customHeight="1" x14ac:dyDescent="0.25">
      <c r="A39" s="32" t="s">
        <v>15</v>
      </c>
      <c r="B39" s="18">
        <f>+Input!B77</f>
        <v>1.2E-2</v>
      </c>
      <c r="C39" s="70">
        <f t="shared" ref="C39:Q39" si="22">SUM(C20*$B39)</f>
        <v>4060.8</v>
      </c>
      <c r="D39" s="70">
        <f t="shared" si="22"/>
        <v>12182.400000000001</v>
      </c>
      <c r="E39" s="70">
        <f t="shared" si="22"/>
        <v>20304</v>
      </c>
      <c r="F39" s="17">
        <f t="shared" si="22"/>
        <v>4060.8</v>
      </c>
      <c r="G39" s="17">
        <f t="shared" si="22"/>
        <v>12182.400000000001</v>
      </c>
      <c r="H39" s="17">
        <f t="shared" si="22"/>
        <v>20304</v>
      </c>
      <c r="I39" s="17">
        <f t="shared" si="22"/>
        <v>40608</v>
      </c>
      <c r="J39" s="17">
        <f t="shared" si="22"/>
        <v>40608</v>
      </c>
      <c r="K39" s="17">
        <f t="shared" si="22"/>
        <v>40608</v>
      </c>
      <c r="L39" s="17">
        <f t="shared" si="22"/>
        <v>40608</v>
      </c>
      <c r="M39" s="17">
        <f t="shared" si="22"/>
        <v>40608</v>
      </c>
      <c r="N39" s="17">
        <f t="shared" si="22"/>
        <v>40608</v>
      </c>
      <c r="O39" s="17">
        <f t="shared" si="22"/>
        <v>40608</v>
      </c>
      <c r="P39" s="17">
        <f t="shared" si="22"/>
        <v>40608</v>
      </c>
      <c r="Q39" s="19">
        <f t="shared" si="22"/>
        <v>40608</v>
      </c>
      <c r="R39" s="46"/>
    </row>
    <row r="40" spans="1:18" ht="12.75" customHeight="1" x14ac:dyDescent="0.25">
      <c r="A40" s="32" t="s">
        <v>22</v>
      </c>
      <c r="B40" s="18">
        <f>+B39</f>
        <v>1.2E-2</v>
      </c>
      <c r="C40" s="70">
        <f t="shared" ref="C40:Q40" si="23">SUM(C21*$B40)</f>
        <v>720</v>
      </c>
      <c r="D40" s="70">
        <f t="shared" si="23"/>
        <v>2160</v>
      </c>
      <c r="E40" s="70">
        <f t="shared" si="23"/>
        <v>3600</v>
      </c>
      <c r="F40" s="17">
        <f t="shared" si="23"/>
        <v>720</v>
      </c>
      <c r="G40" s="17">
        <f t="shared" si="23"/>
        <v>2160</v>
      </c>
      <c r="H40" s="17">
        <f t="shared" si="23"/>
        <v>3600</v>
      </c>
      <c r="I40" s="17">
        <f t="shared" si="23"/>
        <v>7200</v>
      </c>
      <c r="J40" s="17">
        <f t="shared" si="23"/>
        <v>7200</v>
      </c>
      <c r="K40" s="17">
        <f t="shared" si="23"/>
        <v>7200</v>
      </c>
      <c r="L40" s="17">
        <f t="shared" si="23"/>
        <v>7200</v>
      </c>
      <c r="M40" s="17">
        <f t="shared" si="23"/>
        <v>7200</v>
      </c>
      <c r="N40" s="17">
        <f t="shared" si="23"/>
        <v>7200</v>
      </c>
      <c r="O40" s="17">
        <f t="shared" si="23"/>
        <v>7200</v>
      </c>
      <c r="P40" s="17">
        <f t="shared" si="23"/>
        <v>7200</v>
      </c>
      <c r="Q40" s="19">
        <f t="shared" si="23"/>
        <v>7200</v>
      </c>
      <c r="R40" s="46"/>
    </row>
    <row r="41" spans="1:18" ht="12.75" customHeight="1" x14ac:dyDescent="0.25">
      <c r="A41" s="32" t="s">
        <v>82</v>
      </c>
      <c r="B41" s="18">
        <v>1.2E-2</v>
      </c>
      <c r="C41" s="70">
        <f t="shared" ref="C41:Q41" si="24">SUM(C22*$B41)</f>
        <v>336</v>
      </c>
      <c r="D41" s="70">
        <f t="shared" si="24"/>
        <v>1008.0000000000002</v>
      </c>
      <c r="E41" s="70">
        <f t="shared" si="24"/>
        <v>1680</v>
      </c>
      <c r="F41" s="110">
        <f t="shared" si="24"/>
        <v>336</v>
      </c>
      <c r="G41" s="110">
        <f t="shared" si="24"/>
        <v>1008.0000000000002</v>
      </c>
      <c r="H41" s="110">
        <f t="shared" si="24"/>
        <v>1680</v>
      </c>
      <c r="I41" s="110">
        <f t="shared" si="24"/>
        <v>3360</v>
      </c>
      <c r="J41" s="110">
        <f t="shared" si="24"/>
        <v>3360</v>
      </c>
      <c r="K41" s="110">
        <f t="shared" si="24"/>
        <v>3360</v>
      </c>
      <c r="L41" s="110">
        <f t="shared" si="24"/>
        <v>3360</v>
      </c>
      <c r="M41" s="110">
        <f t="shared" si="24"/>
        <v>3360</v>
      </c>
      <c r="N41" s="110">
        <f t="shared" si="24"/>
        <v>3360</v>
      </c>
      <c r="O41" s="110">
        <f t="shared" si="24"/>
        <v>3360</v>
      </c>
      <c r="P41" s="110">
        <f t="shared" si="24"/>
        <v>3360</v>
      </c>
      <c r="Q41" s="110">
        <f t="shared" si="24"/>
        <v>3360</v>
      </c>
      <c r="R41" s="46"/>
    </row>
    <row r="42" spans="1:18" ht="12.75" customHeight="1" x14ac:dyDescent="0.25">
      <c r="A42" s="32" t="s">
        <v>104</v>
      </c>
      <c r="B42" s="18">
        <v>1.2E-2</v>
      </c>
      <c r="C42" s="70">
        <f t="shared" ref="C42:Q42" si="25">SUM(C23*$B42)</f>
        <v>648</v>
      </c>
      <c r="D42" s="70">
        <f t="shared" si="25"/>
        <v>1944</v>
      </c>
      <c r="E42" s="70">
        <f t="shared" si="25"/>
        <v>3240</v>
      </c>
      <c r="F42" s="110">
        <f t="shared" si="25"/>
        <v>648</v>
      </c>
      <c r="G42" s="110">
        <f t="shared" si="25"/>
        <v>1944</v>
      </c>
      <c r="H42" s="110">
        <f t="shared" si="25"/>
        <v>3240</v>
      </c>
      <c r="I42" s="110">
        <f t="shared" si="25"/>
        <v>6480</v>
      </c>
      <c r="J42" s="110">
        <f t="shared" si="25"/>
        <v>6480</v>
      </c>
      <c r="K42" s="110">
        <f t="shared" si="25"/>
        <v>6480</v>
      </c>
      <c r="L42" s="110">
        <f t="shared" si="25"/>
        <v>6480</v>
      </c>
      <c r="M42" s="110">
        <f t="shared" si="25"/>
        <v>6480</v>
      </c>
      <c r="N42" s="110">
        <f t="shared" si="25"/>
        <v>6480</v>
      </c>
      <c r="O42" s="110">
        <f t="shared" si="25"/>
        <v>6480</v>
      </c>
      <c r="P42" s="110">
        <f t="shared" si="25"/>
        <v>6480</v>
      </c>
      <c r="Q42" s="110">
        <f t="shared" si="25"/>
        <v>6480</v>
      </c>
      <c r="R42" s="46"/>
    </row>
    <row r="43" spans="1:18" ht="12.75" customHeight="1" x14ac:dyDescent="0.25">
      <c r="A43" s="32" t="s">
        <v>118</v>
      </c>
      <c r="B43" s="18">
        <v>7.4999999999999997E-3</v>
      </c>
      <c r="C43" s="70">
        <f t="shared" ref="C43:Q43" si="26">SUM(C24*$B43)</f>
        <v>0</v>
      </c>
      <c r="D43" s="70">
        <f t="shared" si="26"/>
        <v>0</v>
      </c>
      <c r="E43" s="70">
        <f t="shared" si="26"/>
        <v>0</v>
      </c>
      <c r="F43" s="110">
        <f t="shared" si="26"/>
        <v>0</v>
      </c>
      <c r="G43" s="110">
        <f t="shared" si="26"/>
        <v>0</v>
      </c>
      <c r="H43" s="110">
        <f t="shared" si="26"/>
        <v>0</v>
      </c>
      <c r="I43" s="110">
        <f t="shared" si="26"/>
        <v>0</v>
      </c>
      <c r="J43" s="110">
        <f t="shared" si="26"/>
        <v>0</v>
      </c>
      <c r="K43" s="110">
        <f t="shared" si="26"/>
        <v>0</v>
      </c>
      <c r="L43" s="110">
        <f t="shared" si="26"/>
        <v>0</v>
      </c>
      <c r="M43" s="110">
        <f t="shared" si="26"/>
        <v>0</v>
      </c>
      <c r="N43" s="110">
        <f t="shared" si="26"/>
        <v>0</v>
      </c>
      <c r="O43" s="110">
        <f t="shared" si="26"/>
        <v>0</v>
      </c>
      <c r="P43" s="110">
        <f t="shared" si="26"/>
        <v>0</v>
      </c>
      <c r="Q43" s="110">
        <f t="shared" si="26"/>
        <v>0</v>
      </c>
      <c r="R43" s="46"/>
    </row>
    <row r="44" spans="1:18" ht="12.75" customHeight="1" x14ac:dyDescent="0.25">
      <c r="A44" s="32" t="s">
        <v>16</v>
      </c>
      <c r="B44" s="18">
        <f>+B39</f>
        <v>1.2E-2</v>
      </c>
      <c r="C44" s="71">
        <f t="shared" ref="C44:Q44" si="27">SUM(C25*$B44)</f>
        <v>3528</v>
      </c>
      <c r="D44" s="71">
        <f t="shared" si="27"/>
        <v>10584</v>
      </c>
      <c r="E44" s="71">
        <f t="shared" si="27"/>
        <v>17640</v>
      </c>
      <c r="F44" s="23">
        <f t="shared" si="27"/>
        <v>3528</v>
      </c>
      <c r="G44" s="23">
        <f t="shared" si="27"/>
        <v>10584</v>
      </c>
      <c r="H44" s="23">
        <f t="shared" si="27"/>
        <v>17640</v>
      </c>
      <c r="I44" s="23">
        <f t="shared" si="27"/>
        <v>35280</v>
      </c>
      <c r="J44" s="23">
        <f t="shared" si="27"/>
        <v>35280</v>
      </c>
      <c r="K44" s="23">
        <f t="shared" si="27"/>
        <v>35280</v>
      </c>
      <c r="L44" s="23">
        <f t="shared" si="27"/>
        <v>35280</v>
      </c>
      <c r="M44" s="23">
        <f t="shared" si="27"/>
        <v>35280</v>
      </c>
      <c r="N44" s="23">
        <f t="shared" si="27"/>
        <v>35280</v>
      </c>
      <c r="O44" s="23">
        <f t="shared" si="27"/>
        <v>35280</v>
      </c>
      <c r="P44" s="23">
        <f t="shared" si="27"/>
        <v>35280</v>
      </c>
      <c r="Q44" s="43">
        <f t="shared" si="27"/>
        <v>35280</v>
      </c>
      <c r="R44" s="46"/>
    </row>
    <row r="45" spans="1:18" ht="12.75" customHeight="1" x14ac:dyDescent="0.25">
      <c r="A45" s="32" t="s">
        <v>46</v>
      </c>
      <c r="B45" s="24">
        <f>+Input!B82</f>
        <v>0</v>
      </c>
      <c r="C45" s="73">
        <f>+B45*C19</f>
        <v>0</v>
      </c>
      <c r="D45" s="73">
        <f>+B45*D19</f>
        <v>0</v>
      </c>
      <c r="E45" s="73">
        <f>+B45*E19</f>
        <v>0</v>
      </c>
      <c r="F45" s="25">
        <f>+B45*F19</f>
        <v>0</v>
      </c>
      <c r="G45" s="25">
        <f>+B45*G19</f>
        <v>0</v>
      </c>
      <c r="H45" s="25">
        <f>+B45*H19</f>
        <v>0</v>
      </c>
      <c r="I45" s="25">
        <f>+B45*I19</f>
        <v>0</v>
      </c>
      <c r="J45" s="25">
        <f>B45*J19</f>
        <v>0</v>
      </c>
      <c r="K45" s="25">
        <f>B45*K19</f>
        <v>0</v>
      </c>
      <c r="L45" s="25">
        <f>B45*L19</f>
        <v>0</v>
      </c>
      <c r="M45" s="25">
        <f>B45*M19</f>
        <v>0</v>
      </c>
      <c r="N45" s="25">
        <f>B45*N19</f>
        <v>0</v>
      </c>
      <c r="O45" s="25">
        <f>B45*O19</f>
        <v>0</v>
      </c>
      <c r="P45" s="25">
        <f>B45*P19</f>
        <v>0</v>
      </c>
      <c r="Q45" s="25">
        <f>B45*Q19</f>
        <v>0</v>
      </c>
      <c r="R45" s="46"/>
    </row>
    <row r="46" spans="1:18" ht="12.75" customHeight="1" x14ac:dyDescent="0.25">
      <c r="A46" s="32" t="s">
        <v>17</v>
      </c>
      <c r="B46" s="161">
        <f>+Input!B80*0.1</f>
        <v>2.5000000000000001E-4</v>
      </c>
      <c r="C46" s="70">
        <f>+Input!E43*Input!B80</f>
        <v>1742.4</v>
      </c>
      <c r="D46" s="70">
        <f>+Input!E44*Input!B80</f>
        <v>5227.2</v>
      </c>
      <c r="E46" s="70">
        <f>+Input!E45*Input!B80</f>
        <v>8712</v>
      </c>
      <c r="F46" s="110">
        <f>+Input!E43*Input!B80</f>
        <v>1742.4</v>
      </c>
      <c r="G46" s="110">
        <f>+Input!E44*Input!B80</f>
        <v>5227.2</v>
      </c>
      <c r="H46" s="110">
        <f>+Input!E45*Input!B80</f>
        <v>8712</v>
      </c>
      <c r="I46" s="110">
        <f>+Input!E46*Input!B80</f>
        <v>17424</v>
      </c>
      <c r="J46" s="110">
        <f t="shared" ref="J46:Q46" si="28">+I46</f>
        <v>17424</v>
      </c>
      <c r="K46" s="110">
        <f t="shared" si="28"/>
        <v>17424</v>
      </c>
      <c r="L46" s="110">
        <f t="shared" si="28"/>
        <v>17424</v>
      </c>
      <c r="M46" s="110">
        <f t="shared" si="28"/>
        <v>17424</v>
      </c>
      <c r="N46" s="110">
        <f t="shared" si="28"/>
        <v>17424</v>
      </c>
      <c r="O46" s="110">
        <f t="shared" si="28"/>
        <v>17424</v>
      </c>
      <c r="P46" s="110">
        <f t="shared" si="28"/>
        <v>17424</v>
      </c>
      <c r="Q46" s="110">
        <f t="shared" si="28"/>
        <v>17424</v>
      </c>
      <c r="R46" s="46"/>
    </row>
    <row r="47" spans="1:18" ht="12.75" customHeight="1" x14ac:dyDescent="0.25">
      <c r="A47" s="32" t="s">
        <v>177</v>
      </c>
      <c r="B47" s="169">
        <f>+Input!L66</f>
        <v>5000</v>
      </c>
      <c r="C47" s="74">
        <f>+Input!B66</f>
        <v>5000</v>
      </c>
      <c r="D47" s="74">
        <f>+Input!F66</f>
        <v>5000</v>
      </c>
      <c r="E47" s="74">
        <f>+Input!I66</f>
        <v>5000</v>
      </c>
      <c r="F47" s="168">
        <f>+Input!C66</f>
        <v>5000</v>
      </c>
      <c r="G47" s="168">
        <f>+Input!F66</f>
        <v>5000</v>
      </c>
      <c r="H47" s="168">
        <f>+Input!I66</f>
        <v>5000</v>
      </c>
      <c r="I47" s="168">
        <f>+Input!L66</f>
        <v>5000</v>
      </c>
      <c r="J47" s="168">
        <f>+Input!I66</f>
        <v>5000</v>
      </c>
      <c r="K47" s="168">
        <f>+J47</f>
        <v>5000</v>
      </c>
      <c r="L47" s="168">
        <f>+K47</f>
        <v>5000</v>
      </c>
      <c r="M47" s="168">
        <f>+Input!L66</f>
        <v>5000</v>
      </c>
      <c r="N47" s="168">
        <f>+M47</f>
        <v>5000</v>
      </c>
      <c r="O47" s="168">
        <f>+N47</f>
        <v>5000</v>
      </c>
      <c r="P47" s="168">
        <f>+O47</f>
        <v>5000</v>
      </c>
      <c r="Q47" s="168">
        <f>+P47</f>
        <v>5000</v>
      </c>
      <c r="R47" s="46"/>
    </row>
    <row r="48" spans="1:18" ht="12.75" customHeight="1" thickBot="1" x14ac:dyDescent="0.3">
      <c r="A48" s="32" t="s">
        <v>123</v>
      </c>
      <c r="B48" s="14">
        <f>+Input!L73</f>
        <v>12000</v>
      </c>
      <c r="C48" s="74">
        <f>+Input!C73</f>
        <v>12000</v>
      </c>
      <c r="D48" s="74">
        <f>+Input!F73</f>
        <v>12000</v>
      </c>
      <c r="E48" s="74">
        <f>+Input!I73</f>
        <v>12000</v>
      </c>
      <c r="F48" s="49">
        <f>+C48</f>
        <v>12000</v>
      </c>
      <c r="G48" s="49">
        <f>+D48</f>
        <v>12000</v>
      </c>
      <c r="H48" s="49">
        <f>+E48</f>
        <v>12000</v>
      </c>
      <c r="I48" s="49">
        <f>+Input!L73</f>
        <v>12000</v>
      </c>
      <c r="J48" s="49">
        <f t="shared" ref="J48:Q48" si="29">+I48</f>
        <v>12000</v>
      </c>
      <c r="K48" s="49">
        <f t="shared" si="29"/>
        <v>12000</v>
      </c>
      <c r="L48" s="49">
        <f t="shared" si="29"/>
        <v>12000</v>
      </c>
      <c r="M48" s="49">
        <f t="shared" si="29"/>
        <v>12000</v>
      </c>
      <c r="N48" s="49">
        <f t="shared" si="29"/>
        <v>12000</v>
      </c>
      <c r="O48" s="49">
        <f t="shared" si="29"/>
        <v>12000</v>
      </c>
      <c r="P48" s="49">
        <f t="shared" si="29"/>
        <v>12000</v>
      </c>
      <c r="Q48" s="49">
        <f t="shared" si="29"/>
        <v>12000</v>
      </c>
      <c r="R48" s="46"/>
    </row>
    <row r="49" spans="1:18" ht="12.75" customHeight="1" thickTop="1" thickBot="1" x14ac:dyDescent="0.3">
      <c r="A49" s="30"/>
      <c r="B49" s="15"/>
      <c r="C49" s="68">
        <f t="shared" ref="C49:Q49" si="30">SUM(C39:C48)</f>
        <v>28035.199999999997</v>
      </c>
      <c r="D49" s="68">
        <f t="shared" si="30"/>
        <v>50105.599999999999</v>
      </c>
      <c r="E49" s="68">
        <f t="shared" si="30"/>
        <v>72176</v>
      </c>
      <c r="F49" s="16">
        <f t="shared" si="30"/>
        <v>28035.199999999997</v>
      </c>
      <c r="G49" s="16">
        <f t="shared" si="30"/>
        <v>50105.599999999999</v>
      </c>
      <c r="H49" s="16">
        <f t="shared" si="30"/>
        <v>72176</v>
      </c>
      <c r="I49" s="16">
        <f t="shared" si="30"/>
        <v>127352</v>
      </c>
      <c r="J49" s="16">
        <f t="shared" si="30"/>
        <v>127352</v>
      </c>
      <c r="K49" s="16">
        <f t="shared" si="30"/>
        <v>127352</v>
      </c>
      <c r="L49" s="16">
        <f t="shared" si="30"/>
        <v>127352</v>
      </c>
      <c r="M49" s="16">
        <f t="shared" si="30"/>
        <v>127352</v>
      </c>
      <c r="N49" s="16">
        <f t="shared" si="30"/>
        <v>127352</v>
      </c>
      <c r="O49" s="16">
        <f t="shared" si="30"/>
        <v>127352</v>
      </c>
      <c r="P49" s="16">
        <f t="shared" si="30"/>
        <v>127352</v>
      </c>
      <c r="Q49" s="16">
        <f t="shared" si="30"/>
        <v>127352</v>
      </c>
      <c r="R49" s="54">
        <f>SUM(F49:Q49)</f>
        <v>1296484.8</v>
      </c>
    </row>
    <row r="50" spans="1:18" ht="12.75" customHeight="1" thickTop="1" x14ac:dyDescent="0.25">
      <c r="A50" s="33"/>
      <c r="B50" s="26"/>
      <c r="C50" s="75"/>
      <c r="D50" s="75"/>
      <c r="E50" s="75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8"/>
      <c r="R50" s="46"/>
    </row>
    <row r="51" spans="1:18" ht="12.75" customHeight="1" x14ac:dyDescent="0.25">
      <c r="A51" s="227" t="s">
        <v>58</v>
      </c>
      <c r="B51" s="228"/>
      <c r="C51" s="70"/>
      <c r="D51" s="70"/>
      <c r="E51" s="70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9"/>
      <c r="R51" s="46"/>
    </row>
    <row r="52" spans="1:18" ht="12.75" customHeight="1" x14ac:dyDescent="0.25">
      <c r="A52" s="32" t="s">
        <v>124</v>
      </c>
      <c r="B52" s="17">
        <f>+Input!B50</f>
        <v>2800</v>
      </c>
      <c r="C52" s="70">
        <f>$B52</f>
        <v>2800</v>
      </c>
      <c r="D52" s="70">
        <f t="shared" ref="D52:Q52" si="31">$B52</f>
        <v>2800</v>
      </c>
      <c r="E52" s="70">
        <f t="shared" si="31"/>
        <v>2800</v>
      </c>
      <c r="F52" s="17">
        <f t="shared" si="31"/>
        <v>2800</v>
      </c>
      <c r="G52" s="17">
        <f t="shared" si="31"/>
        <v>2800</v>
      </c>
      <c r="H52" s="17">
        <f t="shared" si="31"/>
        <v>2800</v>
      </c>
      <c r="I52" s="17">
        <f t="shared" si="31"/>
        <v>2800</v>
      </c>
      <c r="J52" s="17">
        <f t="shared" si="31"/>
        <v>2800</v>
      </c>
      <c r="K52" s="17">
        <f t="shared" si="31"/>
        <v>2800</v>
      </c>
      <c r="L52" s="17">
        <f t="shared" si="31"/>
        <v>2800</v>
      </c>
      <c r="M52" s="17">
        <f t="shared" si="31"/>
        <v>2800</v>
      </c>
      <c r="N52" s="17">
        <f t="shared" si="31"/>
        <v>2800</v>
      </c>
      <c r="O52" s="17">
        <f t="shared" si="31"/>
        <v>2800</v>
      </c>
      <c r="P52" s="17">
        <f t="shared" si="31"/>
        <v>2800</v>
      </c>
      <c r="Q52" s="19">
        <f t="shared" si="31"/>
        <v>2800</v>
      </c>
      <c r="R52" s="46"/>
    </row>
    <row r="53" spans="1:18" ht="12.75" customHeight="1" x14ac:dyDescent="0.25">
      <c r="A53" s="32" t="s">
        <v>56</v>
      </c>
      <c r="B53" s="17">
        <v>1399</v>
      </c>
      <c r="C53" s="70">
        <f t="shared" ref="C53:Q53" si="32">C19*$B$53</f>
        <v>2798</v>
      </c>
      <c r="D53" s="70">
        <f t="shared" si="32"/>
        <v>8394</v>
      </c>
      <c r="E53" s="70">
        <f t="shared" si="32"/>
        <v>13990</v>
      </c>
      <c r="F53" s="17">
        <f t="shared" si="32"/>
        <v>2798</v>
      </c>
      <c r="G53" s="17">
        <f t="shared" si="32"/>
        <v>8394</v>
      </c>
      <c r="H53" s="17">
        <f t="shared" si="32"/>
        <v>13990</v>
      </c>
      <c r="I53" s="17">
        <f t="shared" si="32"/>
        <v>27980</v>
      </c>
      <c r="J53" s="17">
        <f t="shared" si="32"/>
        <v>27980</v>
      </c>
      <c r="K53" s="17">
        <f t="shared" si="32"/>
        <v>27980</v>
      </c>
      <c r="L53" s="17">
        <f t="shared" si="32"/>
        <v>27980</v>
      </c>
      <c r="M53" s="17">
        <f t="shared" si="32"/>
        <v>27980</v>
      </c>
      <c r="N53" s="17">
        <f t="shared" si="32"/>
        <v>27980</v>
      </c>
      <c r="O53" s="17">
        <f t="shared" si="32"/>
        <v>27980</v>
      </c>
      <c r="P53" s="17">
        <f t="shared" si="32"/>
        <v>27980</v>
      </c>
      <c r="Q53" s="17">
        <f t="shared" si="32"/>
        <v>27980</v>
      </c>
      <c r="R53" s="46"/>
    </row>
    <row r="54" spans="1:18" ht="12.75" customHeight="1" x14ac:dyDescent="0.25">
      <c r="A54" s="32" t="s">
        <v>60</v>
      </c>
      <c r="B54" s="29">
        <v>0.11</v>
      </c>
      <c r="C54" s="70">
        <f t="shared" ref="C54:Q54" si="33">(C49)*$B$54</f>
        <v>3083.8719999999998</v>
      </c>
      <c r="D54" s="70">
        <f t="shared" si="33"/>
        <v>5511.616</v>
      </c>
      <c r="E54" s="70">
        <f t="shared" si="33"/>
        <v>7939.36</v>
      </c>
      <c r="F54" s="17">
        <f t="shared" si="33"/>
        <v>3083.8719999999998</v>
      </c>
      <c r="G54" s="17">
        <f t="shared" si="33"/>
        <v>5511.616</v>
      </c>
      <c r="H54" s="17">
        <f t="shared" si="33"/>
        <v>7939.36</v>
      </c>
      <c r="I54" s="17">
        <f t="shared" si="33"/>
        <v>14008.72</v>
      </c>
      <c r="J54" s="17">
        <f t="shared" si="33"/>
        <v>14008.72</v>
      </c>
      <c r="K54" s="17">
        <f t="shared" si="33"/>
        <v>14008.72</v>
      </c>
      <c r="L54" s="17">
        <f t="shared" si="33"/>
        <v>14008.72</v>
      </c>
      <c r="M54" s="17">
        <f t="shared" si="33"/>
        <v>14008.72</v>
      </c>
      <c r="N54" s="17">
        <f t="shared" si="33"/>
        <v>14008.72</v>
      </c>
      <c r="O54" s="17">
        <f t="shared" si="33"/>
        <v>14008.72</v>
      </c>
      <c r="P54" s="17">
        <f t="shared" si="33"/>
        <v>14008.72</v>
      </c>
      <c r="Q54" s="17">
        <f t="shared" si="33"/>
        <v>14008.72</v>
      </c>
      <c r="R54" s="46"/>
    </row>
    <row r="55" spans="1:18" ht="12.75" customHeight="1" x14ac:dyDescent="0.25">
      <c r="A55" s="32" t="s">
        <v>20</v>
      </c>
      <c r="B55" s="17">
        <v>620</v>
      </c>
      <c r="C55" s="70">
        <f t="shared" ref="C55:Q55" si="34">$B$55*C6</f>
        <v>4960</v>
      </c>
      <c r="D55" s="70">
        <f t="shared" si="34"/>
        <v>4960</v>
      </c>
      <c r="E55" s="70">
        <f t="shared" si="34"/>
        <v>4960</v>
      </c>
      <c r="F55" s="17">
        <f t="shared" si="34"/>
        <v>4960</v>
      </c>
      <c r="G55" s="17">
        <f t="shared" si="34"/>
        <v>4960</v>
      </c>
      <c r="H55" s="17">
        <f t="shared" si="34"/>
        <v>4960</v>
      </c>
      <c r="I55" s="17">
        <f t="shared" si="34"/>
        <v>5580</v>
      </c>
      <c r="J55" s="17">
        <f t="shared" si="34"/>
        <v>5580</v>
      </c>
      <c r="K55" s="17">
        <f t="shared" si="34"/>
        <v>5580</v>
      </c>
      <c r="L55" s="17">
        <f t="shared" si="34"/>
        <v>5580</v>
      </c>
      <c r="M55" s="17">
        <f t="shared" si="34"/>
        <v>5580</v>
      </c>
      <c r="N55" s="17">
        <f t="shared" si="34"/>
        <v>5580</v>
      </c>
      <c r="O55" s="17">
        <f t="shared" si="34"/>
        <v>5580</v>
      </c>
      <c r="P55" s="17">
        <f t="shared" si="34"/>
        <v>5580</v>
      </c>
      <c r="Q55" s="17">
        <f t="shared" si="34"/>
        <v>5580</v>
      </c>
      <c r="R55" s="46"/>
    </row>
    <row r="56" spans="1:18" ht="12.75" customHeight="1" x14ac:dyDescent="0.25">
      <c r="A56" s="32" t="s">
        <v>19</v>
      </c>
      <c r="B56" s="17">
        <f>B90</f>
        <v>1060</v>
      </c>
      <c r="C56" s="70">
        <f>$B$56</f>
        <v>1060</v>
      </c>
      <c r="D56" s="70">
        <f t="shared" ref="D56:Q56" si="35">$B$56</f>
        <v>1060</v>
      </c>
      <c r="E56" s="70">
        <f t="shared" si="35"/>
        <v>1060</v>
      </c>
      <c r="F56" s="17">
        <f t="shared" si="35"/>
        <v>1060</v>
      </c>
      <c r="G56" s="17">
        <f t="shared" si="35"/>
        <v>1060</v>
      </c>
      <c r="H56" s="17">
        <f t="shared" si="35"/>
        <v>1060</v>
      </c>
      <c r="I56" s="17">
        <f t="shared" si="35"/>
        <v>1060</v>
      </c>
      <c r="J56" s="17">
        <f t="shared" si="35"/>
        <v>1060</v>
      </c>
      <c r="K56" s="17">
        <f t="shared" si="35"/>
        <v>1060</v>
      </c>
      <c r="L56" s="17">
        <f t="shared" si="35"/>
        <v>1060</v>
      </c>
      <c r="M56" s="17">
        <f t="shared" si="35"/>
        <v>1060</v>
      </c>
      <c r="N56" s="17">
        <f t="shared" si="35"/>
        <v>1060</v>
      </c>
      <c r="O56" s="17">
        <f t="shared" si="35"/>
        <v>1060</v>
      </c>
      <c r="P56" s="17">
        <f t="shared" si="35"/>
        <v>1060</v>
      </c>
      <c r="Q56" s="17">
        <f t="shared" si="35"/>
        <v>1060</v>
      </c>
      <c r="R56" s="46"/>
    </row>
    <row r="57" spans="1:18" ht="12.75" customHeight="1" x14ac:dyDescent="0.25">
      <c r="A57" s="32" t="s">
        <v>18</v>
      </c>
      <c r="B57" s="17">
        <f>+Input!B51</f>
        <v>1000</v>
      </c>
      <c r="C57" s="70">
        <f>$B$57</f>
        <v>1000</v>
      </c>
      <c r="D57" s="70">
        <f t="shared" ref="D57:Q57" si="36">$B$57</f>
        <v>1000</v>
      </c>
      <c r="E57" s="70">
        <f t="shared" si="36"/>
        <v>1000</v>
      </c>
      <c r="F57" s="17">
        <f t="shared" si="36"/>
        <v>1000</v>
      </c>
      <c r="G57" s="17">
        <f t="shared" si="36"/>
        <v>1000</v>
      </c>
      <c r="H57" s="17">
        <f t="shared" si="36"/>
        <v>1000</v>
      </c>
      <c r="I57" s="17">
        <f t="shared" si="36"/>
        <v>1000</v>
      </c>
      <c r="J57" s="17">
        <f t="shared" si="36"/>
        <v>1000</v>
      </c>
      <c r="K57" s="17">
        <f t="shared" si="36"/>
        <v>1000</v>
      </c>
      <c r="L57" s="17">
        <f t="shared" si="36"/>
        <v>1000</v>
      </c>
      <c r="M57" s="17">
        <f t="shared" si="36"/>
        <v>1000</v>
      </c>
      <c r="N57" s="17">
        <f t="shared" si="36"/>
        <v>1000</v>
      </c>
      <c r="O57" s="17">
        <f t="shared" si="36"/>
        <v>1000</v>
      </c>
      <c r="P57" s="17">
        <f t="shared" si="36"/>
        <v>1000</v>
      </c>
      <c r="Q57" s="17">
        <f t="shared" si="36"/>
        <v>1000</v>
      </c>
      <c r="R57" s="46"/>
    </row>
    <row r="58" spans="1:18" ht="12.75" customHeight="1" x14ac:dyDescent="0.25">
      <c r="A58" s="32" t="s">
        <v>109</v>
      </c>
      <c r="B58" s="20">
        <f>+Input!B52</f>
        <v>1.5E-3</v>
      </c>
      <c r="C58" s="70">
        <f t="shared" ref="C58:Q58" si="37">C26*$B$58</f>
        <v>1161.6000000000001</v>
      </c>
      <c r="D58" s="70">
        <f t="shared" si="37"/>
        <v>3484.8</v>
      </c>
      <c r="E58" s="70">
        <f t="shared" si="37"/>
        <v>5808</v>
      </c>
      <c r="F58" s="17">
        <f t="shared" si="37"/>
        <v>1161.6000000000001</v>
      </c>
      <c r="G58" s="17">
        <f t="shared" si="37"/>
        <v>3484.8</v>
      </c>
      <c r="H58" s="17">
        <f t="shared" si="37"/>
        <v>5808</v>
      </c>
      <c r="I58" s="17">
        <f t="shared" si="37"/>
        <v>11616</v>
      </c>
      <c r="J58" s="17">
        <f t="shared" si="37"/>
        <v>11616</v>
      </c>
      <c r="K58" s="17">
        <f t="shared" si="37"/>
        <v>11616</v>
      </c>
      <c r="L58" s="17">
        <f t="shared" si="37"/>
        <v>11616</v>
      </c>
      <c r="M58" s="17">
        <f t="shared" si="37"/>
        <v>11616</v>
      </c>
      <c r="N58" s="17">
        <f t="shared" si="37"/>
        <v>11616</v>
      </c>
      <c r="O58" s="17">
        <f t="shared" si="37"/>
        <v>11616</v>
      </c>
      <c r="P58" s="17">
        <f t="shared" si="37"/>
        <v>11616</v>
      </c>
      <c r="Q58" s="17">
        <f t="shared" si="37"/>
        <v>11616</v>
      </c>
      <c r="R58" s="46"/>
    </row>
    <row r="59" spans="1:18" ht="12.75" customHeight="1" x14ac:dyDescent="0.25">
      <c r="A59" s="32" t="s">
        <v>63</v>
      </c>
      <c r="B59" s="17">
        <v>350</v>
      </c>
      <c r="C59" s="70">
        <f t="shared" ref="C59:Q59" si="38">$B$59*C19</f>
        <v>700</v>
      </c>
      <c r="D59" s="70">
        <f t="shared" si="38"/>
        <v>2100</v>
      </c>
      <c r="E59" s="70">
        <f t="shared" si="38"/>
        <v>3500</v>
      </c>
      <c r="F59" s="17">
        <f t="shared" si="38"/>
        <v>700</v>
      </c>
      <c r="G59" s="17">
        <f t="shared" si="38"/>
        <v>2100</v>
      </c>
      <c r="H59" s="17">
        <f t="shared" si="38"/>
        <v>3500</v>
      </c>
      <c r="I59" s="17">
        <f t="shared" si="38"/>
        <v>7000</v>
      </c>
      <c r="J59" s="17">
        <f t="shared" si="38"/>
        <v>7000</v>
      </c>
      <c r="K59" s="17">
        <f t="shared" si="38"/>
        <v>7000</v>
      </c>
      <c r="L59" s="17">
        <f t="shared" si="38"/>
        <v>7000</v>
      </c>
      <c r="M59" s="17">
        <f t="shared" si="38"/>
        <v>7000</v>
      </c>
      <c r="N59" s="17">
        <f t="shared" si="38"/>
        <v>7000</v>
      </c>
      <c r="O59" s="17">
        <f t="shared" si="38"/>
        <v>7000</v>
      </c>
      <c r="P59" s="17">
        <f t="shared" si="38"/>
        <v>7000</v>
      </c>
      <c r="Q59" s="17">
        <f t="shared" si="38"/>
        <v>7000</v>
      </c>
      <c r="R59" s="46"/>
    </row>
    <row r="60" spans="1:18" ht="12.75" customHeight="1" x14ac:dyDescent="0.25">
      <c r="A60" s="32" t="s">
        <v>52</v>
      </c>
      <c r="B60" s="17">
        <v>130</v>
      </c>
      <c r="C60" s="70">
        <f t="shared" ref="C60:Q60" si="39">$B$60*C19</f>
        <v>260</v>
      </c>
      <c r="D60" s="70">
        <f t="shared" si="39"/>
        <v>780</v>
      </c>
      <c r="E60" s="70">
        <f t="shared" si="39"/>
        <v>1300</v>
      </c>
      <c r="F60" s="17">
        <f t="shared" si="39"/>
        <v>260</v>
      </c>
      <c r="G60" s="17">
        <f t="shared" si="39"/>
        <v>780</v>
      </c>
      <c r="H60" s="17">
        <f t="shared" si="39"/>
        <v>1300</v>
      </c>
      <c r="I60" s="17">
        <f t="shared" si="39"/>
        <v>2600</v>
      </c>
      <c r="J60" s="17">
        <f t="shared" si="39"/>
        <v>2600</v>
      </c>
      <c r="K60" s="17">
        <f t="shared" si="39"/>
        <v>2600</v>
      </c>
      <c r="L60" s="17">
        <f t="shared" si="39"/>
        <v>2600</v>
      </c>
      <c r="M60" s="17">
        <f t="shared" si="39"/>
        <v>2600</v>
      </c>
      <c r="N60" s="17">
        <f t="shared" si="39"/>
        <v>2600</v>
      </c>
      <c r="O60" s="17">
        <f t="shared" si="39"/>
        <v>2600</v>
      </c>
      <c r="P60" s="17">
        <f t="shared" si="39"/>
        <v>2600</v>
      </c>
      <c r="Q60" s="17">
        <f t="shared" si="39"/>
        <v>2600</v>
      </c>
      <c r="R60" s="46"/>
    </row>
    <row r="61" spans="1:18" ht="12.75" customHeight="1" x14ac:dyDescent="0.25">
      <c r="A61" s="32" t="s">
        <v>65</v>
      </c>
      <c r="B61" s="17">
        <v>150</v>
      </c>
      <c r="C61" s="70">
        <f>$B$61</f>
        <v>150</v>
      </c>
      <c r="D61" s="70">
        <f t="shared" ref="D61:Q61" si="40">$B$61</f>
        <v>150</v>
      </c>
      <c r="E61" s="70">
        <f t="shared" si="40"/>
        <v>150</v>
      </c>
      <c r="F61" s="17">
        <f t="shared" si="40"/>
        <v>150</v>
      </c>
      <c r="G61" s="17">
        <f t="shared" si="40"/>
        <v>150</v>
      </c>
      <c r="H61" s="17">
        <f t="shared" si="40"/>
        <v>150</v>
      </c>
      <c r="I61" s="17">
        <f t="shared" si="40"/>
        <v>150</v>
      </c>
      <c r="J61" s="17">
        <f t="shared" si="40"/>
        <v>150</v>
      </c>
      <c r="K61" s="17">
        <f t="shared" si="40"/>
        <v>150</v>
      </c>
      <c r="L61" s="17">
        <f t="shared" si="40"/>
        <v>150</v>
      </c>
      <c r="M61" s="17">
        <f t="shared" si="40"/>
        <v>150</v>
      </c>
      <c r="N61" s="17">
        <f t="shared" si="40"/>
        <v>150</v>
      </c>
      <c r="O61" s="17">
        <f t="shared" si="40"/>
        <v>150</v>
      </c>
      <c r="P61" s="17">
        <f t="shared" si="40"/>
        <v>150</v>
      </c>
      <c r="Q61" s="17">
        <f t="shared" si="40"/>
        <v>150</v>
      </c>
      <c r="R61" s="46"/>
    </row>
    <row r="62" spans="1:18" ht="12.75" customHeight="1" x14ac:dyDescent="0.25">
      <c r="A62" s="32" t="s">
        <v>21</v>
      </c>
      <c r="B62" s="17">
        <v>150</v>
      </c>
      <c r="C62" s="70">
        <f t="shared" ref="C62:Q62" si="41">$B$62</f>
        <v>150</v>
      </c>
      <c r="D62" s="70">
        <f t="shared" si="41"/>
        <v>150</v>
      </c>
      <c r="E62" s="70">
        <f t="shared" si="41"/>
        <v>150</v>
      </c>
      <c r="F62" s="17">
        <f t="shared" si="41"/>
        <v>150</v>
      </c>
      <c r="G62" s="17">
        <f t="shared" si="41"/>
        <v>150</v>
      </c>
      <c r="H62" s="17">
        <f t="shared" si="41"/>
        <v>150</v>
      </c>
      <c r="I62" s="17">
        <f t="shared" si="41"/>
        <v>150</v>
      </c>
      <c r="J62" s="17">
        <f t="shared" si="41"/>
        <v>150</v>
      </c>
      <c r="K62" s="17">
        <f t="shared" si="41"/>
        <v>150</v>
      </c>
      <c r="L62" s="17">
        <f t="shared" si="41"/>
        <v>150</v>
      </c>
      <c r="M62" s="17">
        <f t="shared" si="41"/>
        <v>150</v>
      </c>
      <c r="N62" s="17">
        <f t="shared" si="41"/>
        <v>150</v>
      </c>
      <c r="O62" s="17">
        <f t="shared" si="41"/>
        <v>150</v>
      </c>
      <c r="P62" s="17">
        <f t="shared" si="41"/>
        <v>150</v>
      </c>
      <c r="Q62" s="17">
        <f t="shared" si="41"/>
        <v>150</v>
      </c>
      <c r="R62" s="46"/>
    </row>
    <row r="63" spans="1:18" ht="12.75" customHeight="1" x14ac:dyDescent="0.25">
      <c r="A63" s="32" t="s">
        <v>70</v>
      </c>
      <c r="B63" s="17">
        <v>1000</v>
      </c>
      <c r="C63" s="70">
        <f>$B$63</f>
        <v>1000</v>
      </c>
      <c r="D63" s="70">
        <f t="shared" ref="D63:Q63" si="42">$B$63</f>
        <v>1000</v>
      </c>
      <c r="E63" s="70">
        <f t="shared" si="42"/>
        <v>1000</v>
      </c>
      <c r="F63" s="17">
        <f t="shared" si="42"/>
        <v>1000</v>
      </c>
      <c r="G63" s="17">
        <f t="shared" si="42"/>
        <v>1000</v>
      </c>
      <c r="H63" s="17">
        <f t="shared" si="42"/>
        <v>1000</v>
      </c>
      <c r="I63" s="17">
        <f t="shared" si="42"/>
        <v>1000</v>
      </c>
      <c r="J63" s="17">
        <f t="shared" si="42"/>
        <v>1000</v>
      </c>
      <c r="K63" s="17">
        <f t="shared" si="42"/>
        <v>1000</v>
      </c>
      <c r="L63" s="17">
        <f t="shared" si="42"/>
        <v>1000</v>
      </c>
      <c r="M63" s="17">
        <f t="shared" si="42"/>
        <v>1000</v>
      </c>
      <c r="N63" s="17">
        <f t="shared" si="42"/>
        <v>1000</v>
      </c>
      <c r="O63" s="17">
        <f t="shared" si="42"/>
        <v>1000</v>
      </c>
      <c r="P63" s="17">
        <f t="shared" si="42"/>
        <v>1000</v>
      </c>
      <c r="Q63" s="17">
        <f t="shared" si="42"/>
        <v>1000</v>
      </c>
      <c r="R63" s="46"/>
    </row>
    <row r="64" spans="1:18" ht="12.75" customHeight="1" x14ac:dyDescent="0.25">
      <c r="A64" s="34" t="s">
        <v>32</v>
      </c>
      <c r="B64" s="17">
        <v>0</v>
      </c>
      <c r="C64" s="70">
        <v>200</v>
      </c>
      <c r="D64" s="70">
        <v>200</v>
      </c>
      <c r="E64" s="70">
        <v>200</v>
      </c>
      <c r="F64" s="17">
        <v>200</v>
      </c>
      <c r="G64" s="17">
        <v>200</v>
      </c>
      <c r="H64" s="17">
        <v>200</v>
      </c>
      <c r="I64" s="17">
        <v>200</v>
      </c>
      <c r="J64" s="17">
        <v>200</v>
      </c>
      <c r="K64" s="17">
        <v>200</v>
      </c>
      <c r="L64" s="17">
        <v>200</v>
      </c>
      <c r="M64" s="17">
        <v>200</v>
      </c>
      <c r="N64" s="17">
        <v>200</v>
      </c>
      <c r="O64" s="17">
        <v>200</v>
      </c>
      <c r="P64" s="17">
        <v>200</v>
      </c>
      <c r="Q64" s="19">
        <v>200</v>
      </c>
      <c r="R64" s="46"/>
    </row>
    <row r="65" spans="1:18" ht="12.75" customHeight="1" x14ac:dyDescent="0.25">
      <c r="A65" s="34" t="s">
        <v>59</v>
      </c>
      <c r="B65" s="17">
        <f>B83</f>
        <v>15700</v>
      </c>
      <c r="C65" s="70">
        <f>B65</f>
        <v>15700</v>
      </c>
      <c r="D65" s="70"/>
      <c r="E65" s="70"/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>
        <v>0</v>
      </c>
      <c r="O65" s="17">
        <v>0</v>
      </c>
      <c r="P65" s="17">
        <v>0</v>
      </c>
      <c r="Q65" s="19">
        <v>0</v>
      </c>
      <c r="R65" s="46"/>
    </row>
    <row r="66" spans="1:18" ht="12.75" customHeight="1" x14ac:dyDescent="0.25">
      <c r="A66" s="34" t="s">
        <v>141</v>
      </c>
      <c r="B66" s="17">
        <f>+SUM(E82+G82+I82+K82)</f>
        <v>75000</v>
      </c>
      <c r="C66" s="70">
        <f>+E82</f>
        <v>40500</v>
      </c>
      <c r="D66" s="70">
        <f>+G82</f>
        <v>34500</v>
      </c>
      <c r="E66" s="70">
        <f>+I82</f>
        <v>0</v>
      </c>
      <c r="F66" s="17">
        <f>+E82</f>
        <v>40500</v>
      </c>
      <c r="G66" s="17">
        <f>+G82</f>
        <v>34500</v>
      </c>
      <c r="H66" s="17">
        <f>+I82</f>
        <v>0</v>
      </c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>
        <v>0</v>
      </c>
      <c r="O66" s="17">
        <v>0</v>
      </c>
      <c r="P66" s="17">
        <v>0</v>
      </c>
      <c r="Q66" s="19">
        <v>0</v>
      </c>
      <c r="R66" s="46"/>
    </row>
    <row r="67" spans="1:18" ht="12.75" customHeight="1" thickBot="1" x14ac:dyDescent="0.3">
      <c r="A67" s="34" t="s">
        <v>61</v>
      </c>
      <c r="B67" s="20">
        <v>5.0000000000000001E-4</v>
      </c>
      <c r="C67" s="70">
        <f t="shared" ref="C67:Q67" si="43">$B$67*C26</f>
        <v>387.2</v>
      </c>
      <c r="D67" s="70">
        <f t="shared" si="43"/>
        <v>1161.6000000000001</v>
      </c>
      <c r="E67" s="70">
        <f t="shared" si="43"/>
        <v>1936</v>
      </c>
      <c r="F67" s="17">
        <f t="shared" si="43"/>
        <v>387.2</v>
      </c>
      <c r="G67" s="17">
        <f t="shared" si="43"/>
        <v>1161.6000000000001</v>
      </c>
      <c r="H67" s="17">
        <f t="shared" si="43"/>
        <v>1936</v>
      </c>
      <c r="I67" s="17">
        <f t="shared" si="43"/>
        <v>3872</v>
      </c>
      <c r="J67" s="17">
        <f t="shared" si="43"/>
        <v>3872</v>
      </c>
      <c r="K67" s="17">
        <f t="shared" si="43"/>
        <v>3872</v>
      </c>
      <c r="L67" s="17">
        <f t="shared" si="43"/>
        <v>3872</v>
      </c>
      <c r="M67" s="17">
        <f t="shared" si="43"/>
        <v>3872</v>
      </c>
      <c r="N67" s="17">
        <f t="shared" si="43"/>
        <v>3872</v>
      </c>
      <c r="O67" s="17">
        <f t="shared" si="43"/>
        <v>3872</v>
      </c>
      <c r="P67" s="17">
        <f t="shared" si="43"/>
        <v>3872</v>
      </c>
      <c r="Q67" s="17">
        <f t="shared" si="43"/>
        <v>3872</v>
      </c>
      <c r="R67" s="46"/>
    </row>
    <row r="68" spans="1:18" ht="12.75" hidden="1" customHeight="1" x14ac:dyDescent="0.25">
      <c r="A68" s="50" t="s">
        <v>62</v>
      </c>
      <c r="B68" s="51">
        <v>0</v>
      </c>
      <c r="C68" s="76">
        <f>$B$68</f>
        <v>0</v>
      </c>
      <c r="D68" s="76">
        <f t="shared" ref="D68:Q68" si="44">$B$68</f>
        <v>0</v>
      </c>
      <c r="E68" s="76">
        <f t="shared" si="44"/>
        <v>0</v>
      </c>
      <c r="F68" s="51">
        <f t="shared" si="44"/>
        <v>0</v>
      </c>
      <c r="G68" s="51">
        <f t="shared" si="44"/>
        <v>0</v>
      </c>
      <c r="H68" s="51">
        <f t="shared" si="44"/>
        <v>0</v>
      </c>
      <c r="I68" s="51">
        <f t="shared" si="44"/>
        <v>0</v>
      </c>
      <c r="J68" s="51">
        <f t="shared" si="44"/>
        <v>0</v>
      </c>
      <c r="K68" s="51">
        <f t="shared" si="44"/>
        <v>0</v>
      </c>
      <c r="L68" s="51">
        <f t="shared" si="44"/>
        <v>0</v>
      </c>
      <c r="M68" s="51">
        <f t="shared" si="44"/>
        <v>0</v>
      </c>
      <c r="N68" s="51">
        <f t="shared" si="44"/>
        <v>0</v>
      </c>
      <c r="O68" s="51">
        <f t="shared" si="44"/>
        <v>0</v>
      </c>
      <c r="P68" s="51">
        <f t="shared" si="44"/>
        <v>0</v>
      </c>
      <c r="Q68" s="51">
        <f t="shared" si="44"/>
        <v>0</v>
      </c>
      <c r="R68" s="46"/>
    </row>
    <row r="69" spans="1:18" ht="12.75" hidden="1" customHeight="1" thickBot="1" x14ac:dyDescent="0.3">
      <c r="A69" s="32" t="s">
        <v>54</v>
      </c>
      <c r="B69" s="17">
        <v>0</v>
      </c>
      <c r="C69" s="70">
        <f t="shared" ref="C69:Q69" si="45">$B$69*C19</f>
        <v>0</v>
      </c>
      <c r="D69" s="70">
        <f t="shared" si="45"/>
        <v>0</v>
      </c>
      <c r="E69" s="70">
        <f t="shared" si="45"/>
        <v>0</v>
      </c>
      <c r="F69" s="17">
        <f t="shared" si="45"/>
        <v>0</v>
      </c>
      <c r="G69" s="17">
        <f t="shared" si="45"/>
        <v>0</v>
      </c>
      <c r="H69" s="17">
        <f t="shared" si="45"/>
        <v>0</v>
      </c>
      <c r="I69" s="17">
        <f t="shared" si="45"/>
        <v>0</v>
      </c>
      <c r="J69" s="17">
        <f t="shared" si="45"/>
        <v>0</v>
      </c>
      <c r="K69" s="17">
        <f t="shared" si="45"/>
        <v>0</v>
      </c>
      <c r="L69" s="17">
        <f t="shared" si="45"/>
        <v>0</v>
      </c>
      <c r="M69" s="17">
        <f t="shared" si="45"/>
        <v>0</v>
      </c>
      <c r="N69" s="17">
        <f t="shared" si="45"/>
        <v>0</v>
      </c>
      <c r="O69" s="17">
        <f t="shared" si="45"/>
        <v>0</v>
      </c>
      <c r="P69" s="17">
        <f t="shared" si="45"/>
        <v>0</v>
      </c>
      <c r="Q69" s="17">
        <f t="shared" si="45"/>
        <v>0</v>
      </c>
      <c r="R69" s="46"/>
    </row>
    <row r="70" spans="1:18" s="109" customFormat="1" ht="14.45" customHeight="1" thickTop="1" thickBot="1" x14ac:dyDescent="0.3">
      <c r="A70" s="106" t="s">
        <v>64</v>
      </c>
      <c r="B70" s="107"/>
      <c r="C70" s="77">
        <f t="shared" ref="C70:Q70" si="46">SUM(C52:C69)</f>
        <v>75910.671999999991</v>
      </c>
      <c r="D70" s="77">
        <f t="shared" si="46"/>
        <v>67252.016000000003</v>
      </c>
      <c r="E70" s="77">
        <f t="shared" si="46"/>
        <v>45793.36</v>
      </c>
      <c r="F70" s="108">
        <f t="shared" si="46"/>
        <v>60210.671999999991</v>
      </c>
      <c r="G70" s="108">
        <f t="shared" si="46"/>
        <v>67252.016000000003</v>
      </c>
      <c r="H70" s="108">
        <f t="shared" si="46"/>
        <v>45793.36</v>
      </c>
      <c r="I70" s="108">
        <f t="shared" si="46"/>
        <v>79016.72</v>
      </c>
      <c r="J70" s="108">
        <f t="shared" si="46"/>
        <v>79016.72</v>
      </c>
      <c r="K70" s="108">
        <f t="shared" si="46"/>
        <v>79016.72</v>
      </c>
      <c r="L70" s="108">
        <f t="shared" si="46"/>
        <v>79016.72</v>
      </c>
      <c r="M70" s="108">
        <f t="shared" si="46"/>
        <v>79016.72</v>
      </c>
      <c r="N70" s="108">
        <f t="shared" si="46"/>
        <v>79016.72</v>
      </c>
      <c r="O70" s="108">
        <f t="shared" si="46"/>
        <v>79016.72</v>
      </c>
      <c r="P70" s="108">
        <f t="shared" si="46"/>
        <v>79016.72</v>
      </c>
      <c r="Q70" s="108">
        <f t="shared" si="46"/>
        <v>79016.72</v>
      </c>
      <c r="R70" s="150">
        <f>SUM(F70:Q70)</f>
        <v>884406.52799999982</v>
      </c>
    </row>
    <row r="71" spans="1:18" ht="12.75" customHeight="1" thickTop="1" x14ac:dyDescent="0.25">
      <c r="A71" s="32"/>
      <c r="B71" s="17"/>
      <c r="C71" s="136">
        <f>+(C70/C26)*100</f>
        <v>9.802514462809917</v>
      </c>
      <c r="D71" s="136">
        <f t="shared" ref="D71:Q71" si="47">+(D70/D26)*100</f>
        <v>2.8948009641873282</v>
      </c>
      <c r="E71" s="136">
        <f>+(E70/E26)*100</f>
        <v>1.1826797520661156</v>
      </c>
      <c r="F71" s="136">
        <f>+(F70/F26)*100</f>
        <v>7.7751384297520652</v>
      </c>
      <c r="G71" s="136">
        <f t="shared" si="47"/>
        <v>2.8948009641873282</v>
      </c>
      <c r="H71" s="136">
        <f t="shared" si="47"/>
        <v>1.1826797520661156</v>
      </c>
      <c r="I71" s="136">
        <f t="shared" si="47"/>
        <v>1.0203605371900828</v>
      </c>
      <c r="J71" s="136">
        <f t="shared" si="47"/>
        <v>1.0203605371900828</v>
      </c>
      <c r="K71" s="136">
        <f t="shared" si="47"/>
        <v>1.0203605371900828</v>
      </c>
      <c r="L71" s="136">
        <f t="shared" si="47"/>
        <v>1.0203605371900828</v>
      </c>
      <c r="M71" s="136">
        <f t="shared" si="47"/>
        <v>1.0203605371900828</v>
      </c>
      <c r="N71" s="136">
        <f t="shared" si="47"/>
        <v>1.0203605371900828</v>
      </c>
      <c r="O71" s="136">
        <f t="shared" si="47"/>
        <v>1.0203605371900828</v>
      </c>
      <c r="P71" s="136">
        <f t="shared" si="47"/>
        <v>1.0203605371900828</v>
      </c>
      <c r="Q71" s="136">
        <f t="shared" si="47"/>
        <v>1.0203605371900828</v>
      </c>
      <c r="R71" s="151"/>
    </row>
    <row r="72" spans="1:18" ht="12.75" customHeight="1" thickBot="1" x14ac:dyDescent="0.3">
      <c r="A72" s="34"/>
      <c r="B72" s="21"/>
      <c r="C72" s="141"/>
      <c r="D72" s="141"/>
      <c r="E72" s="14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2"/>
      <c r="R72" s="6"/>
    </row>
    <row r="73" spans="1:18" s="140" customFormat="1" ht="20.45" customHeight="1" x14ac:dyDescent="0.25">
      <c r="A73" s="142" t="s">
        <v>68</v>
      </c>
      <c r="B73" s="143"/>
      <c r="C73" s="144">
        <f t="shared" ref="C73:Q73" si="48">C36-C49-C70</f>
        <v>-79469.47199999998</v>
      </c>
      <c r="D73" s="144">
        <f t="shared" si="48"/>
        <v>-43928.416000000005</v>
      </c>
      <c r="E73" s="144">
        <f t="shared" si="48"/>
        <v>4412.6399999999994</v>
      </c>
      <c r="F73" s="144">
        <f t="shared" si="48"/>
        <v>-63769.471999999987</v>
      </c>
      <c r="G73" s="148">
        <f t="shared" si="48"/>
        <v>-43928.416000000005</v>
      </c>
      <c r="H73" s="139">
        <f t="shared" si="48"/>
        <v>4412.6399999999994</v>
      </c>
      <c r="I73" s="139">
        <f t="shared" si="48"/>
        <v>38395.279999999999</v>
      </c>
      <c r="J73" s="139">
        <f t="shared" si="48"/>
        <v>38395.279999999999</v>
      </c>
      <c r="K73" s="139">
        <f t="shared" si="48"/>
        <v>38395.279999999999</v>
      </c>
      <c r="L73" s="139">
        <f t="shared" si="48"/>
        <v>38395.279999999999</v>
      </c>
      <c r="M73" s="139">
        <f t="shared" si="48"/>
        <v>38395.279999999999</v>
      </c>
      <c r="N73" s="139">
        <f t="shared" si="48"/>
        <v>38395.279999999999</v>
      </c>
      <c r="O73" s="139">
        <f t="shared" si="48"/>
        <v>38395.279999999999</v>
      </c>
      <c r="P73" s="139">
        <f t="shared" si="48"/>
        <v>38395.279999999999</v>
      </c>
      <c r="Q73" s="149">
        <f t="shared" si="48"/>
        <v>38395.279999999999</v>
      </c>
      <c r="R73" s="152"/>
    </row>
    <row r="74" spans="1:18" s="140" customFormat="1" ht="20.45" customHeight="1" thickBot="1" x14ac:dyDescent="0.3">
      <c r="A74" s="145" t="s">
        <v>164</v>
      </c>
      <c r="B74" s="146"/>
      <c r="C74" s="147"/>
      <c r="D74" s="147"/>
      <c r="E74" s="147"/>
      <c r="F74" s="147"/>
      <c r="G74" s="139">
        <f>+F73+G73</f>
        <v>-107697.88799999999</v>
      </c>
      <c r="H74" s="139">
        <f t="shared" ref="H74:Q74" si="49">+G74+H73</f>
        <v>-103285.24799999999</v>
      </c>
      <c r="I74" s="139">
        <f t="shared" si="49"/>
        <v>-64889.967999999993</v>
      </c>
      <c r="J74" s="139">
        <f t="shared" si="49"/>
        <v>-26494.687999999995</v>
      </c>
      <c r="K74" s="139">
        <f t="shared" si="49"/>
        <v>11900.592000000004</v>
      </c>
      <c r="L74" s="139">
        <f t="shared" si="49"/>
        <v>50295.872000000003</v>
      </c>
      <c r="M74" s="139">
        <f t="shared" si="49"/>
        <v>88691.152000000002</v>
      </c>
      <c r="N74" s="139">
        <f t="shared" si="49"/>
        <v>127086.432</v>
      </c>
      <c r="O74" s="139">
        <f t="shared" si="49"/>
        <v>165481.712</v>
      </c>
      <c r="P74" s="139">
        <f t="shared" si="49"/>
        <v>203876.992</v>
      </c>
      <c r="Q74" s="149">
        <f t="shared" si="49"/>
        <v>242272.272</v>
      </c>
      <c r="R74" s="153"/>
    </row>
    <row r="75" spans="1:18" ht="15.75" thickBot="1" x14ac:dyDescent="0.3">
      <c r="A75" s="31"/>
    </row>
    <row r="76" spans="1:18" ht="15.75" thickBot="1" x14ac:dyDescent="0.3">
      <c r="A76" s="177" t="s">
        <v>95</v>
      </c>
      <c r="B76" s="183"/>
      <c r="D76" s="156" t="s">
        <v>144</v>
      </c>
      <c r="E76" s="157"/>
      <c r="F76" s="157" t="s">
        <v>128</v>
      </c>
      <c r="G76" s="157"/>
      <c r="H76" s="157" t="s">
        <v>129</v>
      </c>
      <c r="I76" s="157"/>
      <c r="J76" s="157" t="s">
        <v>130</v>
      </c>
      <c r="K76" s="158"/>
    </row>
    <row r="77" spans="1:18" ht="15.75" thickBot="1" x14ac:dyDescent="0.3">
      <c r="A77" s="184" t="s">
        <v>115</v>
      </c>
      <c r="B77" s="185">
        <v>500</v>
      </c>
      <c r="D77" s="102" t="s">
        <v>37</v>
      </c>
      <c r="E77" s="103">
        <f>+Input!C66</f>
        <v>5000</v>
      </c>
      <c r="F77" s="102" t="s">
        <v>37</v>
      </c>
      <c r="G77" s="103">
        <f>+Input!F66</f>
        <v>5000</v>
      </c>
      <c r="H77" s="102" t="s">
        <v>37</v>
      </c>
      <c r="I77" s="103">
        <f>+Input!I66</f>
        <v>5000</v>
      </c>
      <c r="J77" s="102" t="s">
        <v>37</v>
      </c>
      <c r="K77" s="103">
        <f>+Input!L66</f>
        <v>5000</v>
      </c>
      <c r="P77" s="170" t="s">
        <v>180</v>
      </c>
      <c r="Q77" s="171" t="s">
        <v>165</v>
      </c>
    </row>
    <row r="78" spans="1:18" ht="19.5" thickBot="1" x14ac:dyDescent="0.35">
      <c r="A78" s="184" t="s">
        <v>33</v>
      </c>
      <c r="B78" s="185">
        <v>0</v>
      </c>
      <c r="D78" s="102" t="s">
        <v>142</v>
      </c>
      <c r="E78" s="103">
        <f>+SUM(Input!C70:C72)</f>
        <v>0</v>
      </c>
      <c r="F78" s="102" t="s">
        <v>142</v>
      </c>
      <c r="G78" s="103">
        <f>+SUM(Input!F70:F72)</f>
        <v>0</v>
      </c>
      <c r="H78" s="102" t="s">
        <v>142</v>
      </c>
      <c r="I78" s="103">
        <f>+SUM(Input!I70:I72)</f>
        <v>0</v>
      </c>
      <c r="J78" s="102" t="s">
        <v>142</v>
      </c>
      <c r="K78" s="103">
        <f>+SUM(Input!L70:L72)</f>
        <v>0</v>
      </c>
      <c r="O78" s="154"/>
      <c r="P78" s="174">
        <f>+SUM(F73:Q73)</f>
        <v>242272.272</v>
      </c>
      <c r="Q78" s="175">
        <f>+(P78/R26)*100</f>
        <v>0.31601170798898071</v>
      </c>
    </row>
    <row r="79" spans="1:18" ht="15.75" thickBot="1" x14ac:dyDescent="0.3">
      <c r="A79" s="184" t="s">
        <v>167</v>
      </c>
      <c r="B79" s="185">
        <f>+Input!K63*1500</f>
        <v>13500</v>
      </c>
      <c r="D79" s="102" t="s">
        <v>143</v>
      </c>
      <c r="E79" s="103">
        <f>+SUM(Input!C67:C69)</f>
        <v>7000</v>
      </c>
      <c r="F79" s="102" t="s">
        <v>143</v>
      </c>
      <c r="G79" s="103">
        <f>+SUM(Input!F67:F69)</f>
        <v>7000</v>
      </c>
      <c r="H79" s="102" t="s">
        <v>143</v>
      </c>
      <c r="I79" s="103">
        <f>+SUM(Input!I67:I69)</f>
        <v>7000</v>
      </c>
      <c r="J79" s="102" t="s">
        <v>143</v>
      </c>
      <c r="K79" s="103">
        <f>+SUM(Input!L67:L69)</f>
        <v>7000</v>
      </c>
      <c r="P79" s="170" t="s">
        <v>178</v>
      </c>
      <c r="Q79" s="171" t="s">
        <v>179</v>
      </c>
    </row>
    <row r="80" spans="1:18" ht="15.75" thickBot="1" x14ac:dyDescent="0.3">
      <c r="A80" s="184" t="s">
        <v>34</v>
      </c>
      <c r="B80" s="185">
        <v>0</v>
      </c>
      <c r="D80" s="102" t="s">
        <v>77</v>
      </c>
      <c r="E80" s="103">
        <v>0</v>
      </c>
      <c r="F80" s="102" t="s">
        <v>77</v>
      </c>
      <c r="G80" s="103">
        <v>0</v>
      </c>
      <c r="H80" s="102" t="s">
        <v>77</v>
      </c>
      <c r="I80" s="103">
        <v>0</v>
      </c>
      <c r="J80" s="102" t="s">
        <v>116</v>
      </c>
      <c r="K80" s="103">
        <v>0</v>
      </c>
      <c r="P80" s="173">
        <f>+R26</f>
        <v>76665600</v>
      </c>
      <c r="Q80" s="172">
        <f>+SUM(F19:Q19)</f>
        <v>198</v>
      </c>
    </row>
    <row r="81" spans="1:17" ht="15.75" thickBot="1" x14ac:dyDescent="0.3">
      <c r="A81" s="184" t="s">
        <v>35</v>
      </c>
      <c r="B81" s="185">
        <v>1200</v>
      </c>
      <c r="D81" s="102" t="s">
        <v>77</v>
      </c>
      <c r="E81" s="103">
        <v>0</v>
      </c>
      <c r="F81" s="102" t="s">
        <v>77</v>
      </c>
      <c r="G81" s="103">
        <v>0</v>
      </c>
      <c r="H81" s="102" t="s">
        <v>77</v>
      </c>
      <c r="I81" s="103">
        <v>0</v>
      </c>
      <c r="J81" s="102" t="s">
        <v>77</v>
      </c>
      <c r="K81" s="103">
        <v>0</v>
      </c>
      <c r="P81" s="156" t="s">
        <v>181</v>
      </c>
      <c r="Q81" s="176">
        <v>2</v>
      </c>
    </row>
    <row r="82" spans="1:17" ht="15.75" thickBot="1" x14ac:dyDescent="0.3">
      <c r="A82" s="184" t="s">
        <v>69</v>
      </c>
      <c r="B82" s="185">
        <v>500</v>
      </c>
      <c r="D82" s="102" t="s">
        <v>141</v>
      </c>
      <c r="E82" s="103">
        <f>+Input!B92</f>
        <v>40500</v>
      </c>
      <c r="F82" s="102" t="s">
        <v>141</v>
      </c>
      <c r="G82" s="103">
        <f>+Input!D92</f>
        <v>34500</v>
      </c>
      <c r="H82" s="102" t="s">
        <v>141</v>
      </c>
      <c r="I82" s="103">
        <f>+Input!G92</f>
        <v>0</v>
      </c>
      <c r="J82" s="102" t="s">
        <v>141</v>
      </c>
      <c r="K82" s="103">
        <v>0</v>
      </c>
    </row>
    <row r="83" spans="1:17" ht="15.75" thickBot="1" x14ac:dyDescent="0.3">
      <c r="A83" s="186" t="s">
        <v>36</v>
      </c>
      <c r="B83" s="187">
        <f>SUM(B77:B82)</f>
        <v>15700</v>
      </c>
      <c r="D83" s="104" t="s">
        <v>158</v>
      </c>
      <c r="E83" s="105">
        <f>SUM(E77:E82)</f>
        <v>52500</v>
      </c>
      <c r="F83" s="104" t="s">
        <v>38</v>
      </c>
      <c r="G83" s="105">
        <f t="shared" ref="G83" si="50">SUM(G77:G82)</f>
        <v>46500</v>
      </c>
      <c r="H83" s="104" t="s">
        <v>38</v>
      </c>
      <c r="I83" s="105">
        <f t="shared" ref="I83" si="51">SUM(I77:I82)</f>
        <v>12000</v>
      </c>
      <c r="J83" s="104" t="s">
        <v>38</v>
      </c>
      <c r="K83" s="105">
        <f t="shared" ref="K83" si="52">SUM(K77:K82)</f>
        <v>12000</v>
      </c>
    </row>
    <row r="84" spans="1:17" ht="15.75" thickBot="1" x14ac:dyDescent="0.3">
      <c r="A84" s="31"/>
      <c r="D84" s="52" t="s">
        <v>77</v>
      </c>
      <c r="F84" s="81"/>
      <c r="G84" s="83"/>
      <c r="H84" s="81"/>
      <c r="I84" s="82"/>
    </row>
    <row r="85" spans="1:17" ht="15.75" thickBot="1" x14ac:dyDescent="0.3">
      <c r="A85" s="177" t="s">
        <v>96</v>
      </c>
      <c r="B85" s="178"/>
      <c r="D85" s="188" t="s">
        <v>168</v>
      </c>
      <c r="E85" s="189"/>
      <c r="F85" s="190" t="s">
        <v>149</v>
      </c>
      <c r="G85" s="190" t="s">
        <v>150</v>
      </c>
      <c r="H85" s="190" t="s">
        <v>151</v>
      </c>
      <c r="I85" s="190" t="s">
        <v>152</v>
      </c>
      <c r="J85" s="189"/>
      <c r="K85" s="191"/>
    </row>
    <row r="86" spans="1:17" ht="15.75" thickBot="1" x14ac:dyDescent="0.3">
      <c r="A86" s="179" t="s">
        <v>55</v>
      </c>
      <c r="B86" s="180">
        <v>150</v>
      </c>
      <c r="D86" s="192" t="s">
        <v>173</v>
      </c>
      <c r="E86" s="193">
        <f>+Input!B80</f>
        <v>2.5000000000000001E-3</v>
      </c>
      <c r="F86" s="194">
        <f>+F46</f>
        <v>1742.4</v>
      </c>
      <c r="G86" s="194">
        <f>+G46</f>
        <v>5227.2</v>
      </c>
      <c r="H86" s="194">
        <f>+H46</f>
        <v>8712</v>
      </c>
      <c r="I86" s="194">
        <f>+SUM(I46:Q46)</f>
        <v>156816</v>
      </c>
      <c r="J86" s="194">
        <f>+I86+F86+G86+H86</f>
        <v>172497.6</v>
      </c>
      <c r="K86" s="192"/>
    </row>
    <row r="87" spans="1:17" ht="15.75" thickBot="1" x14ac:dyDescent="0.3">
      <c r="A87" s="179" t="s">
        <v>166</v>
      </c>
      <c r="B87" s="180">
        <f>90*Input!K63</f>
        <v>810</v>
      </c>
      <c r="D87" s="195" t="s">
        <v>169</v>
      </c>
      <c r="E87" s="196" t="s">
        <v>77</v>
      </c>
      <c r="F87" s="197">
        <f>+Input!C66</f>
        <v>5000</v>
      </c>
      <c r="G87" s="197">
        <f>+Input!F66</f>
        <v>5000</v>
      </c>
      <c r="H87" s="197">
        <f>+Input!I66</f>
        <v>5000</v>
      </c>
      <c r="I87" s="197">
        <f>+H87*9</f>
        <v>45000</v>
      </c>
      <c r="J87" s="197">
        <f>+I87+F87+G87+H87</f>
        <v>60000</v>
      </c>
      <c r="K87" s="195"/>
    </row>
    <row r="88" spans="1:17" ht="15.75" thickBot="1" x14ac:dyDescent="0.3">
      <c r="A88" s="179" t="s">
        <v>39</v>
      </c>
      <c r="B88" s="180">
        <v>100</v>
      </c>
      <c r="D88" s="195" t="s">
        <v>141</v>
      </c>
      <c r="E88" s="196" t="s">
        <v>77</v>
      </c>
      <c r="F88" s="197">
        <f>+Input!B85</f>
        <v>13000</v>
      </c>
      <c r="G88" s="197">
        <f>+Input!D85</f>
        <v>7000</v>
      </c>
      <c r="H88" s="197">
        <f>+Input!G85</f>
        <v>0</v>
      </c>
      <c r="I88" s="197">
        <v>0</v>
      </c>
      <c r="J88" s="197">
        <f>+I88+H88+G88+F88</f>
        <v>20000</v>
      </c>
      <c r="K88" s="195"/>
    </row>
    <row r="89" spans="1:17" ht="15.75" thickBot="1" x14ac:dyDescent="0.3">
      <c r="A89" s="179" t="s">
        <v>40</v>
      </c>
      <c r="B89" s="180">
        <v>0</v>
      </c>
      <c r="D89" s="195" t="s">
        <v>174</v>
      </c>
      <c r="E89" s="198">
        <f>+Input!B77</f>
        <v>1.2E-2</v>
      </c>
      <c r="F89" s="197">
        <f>+(C26*Input!B43)*Proforma!E89</f>
        <v>929.28</v>
      </c>
      <c r="G89" s="197">
        <f>+(D26*Input!B43)*Proforma!E89</f>
        <v>2787.84</v>
      </c>
      <c r="H89" s="197">
        <f>+(E26*Input!B43)*Proforma!E89</f>
        <v>4646.4000000000005</v>
      </c>
      <c r="I89" s="197">
        <f>+((I26*Input!B43)*Proforma!E89)*9</f>
        <v>83635.200000000012</v>
      </c>
      <c r="J89" s="197">
        <f>+I89+F89+G89+H89</f>
        <v>91998.720000000001</v>
      </c>
      <c r="K89" s="195"/>
    </row>
    <row r="90" spans="1:17" ht="15.75" thickBot="1" x14ac:dyDescent="0.3">
      <c r="A90" s="181" t="s">
        <v>41</v>
      </c>
      <c r="B90" s="182">
        <f>SUM(B86:B89)</f>
        <v>1060</v>
      </c>
      <c r="D90" s="199" t="s">
        <v>170</v>
      </c>
      <c r="E90" s="200"/>
      <c r="F90" s="201"/>
      <c r="G90" s="201"/>
      <c r="H90" s="201"/>
      <c r="I90" s="201">
        <f>+P78</f>
        <v>242272.272</v>
      </c>
      <c r="J90" s="201">
        <f>+I90</f>
        <v>242272.272</v>
      </c>
      <c r="K90" s="199"/>
    </row>
    <row r="91" spans="1:17" ht="15.75" thickBot="1" x14ac:dyDescent="0.3">
      <c r="D91" s="188" t="s">
        <v>171</v>
      </c>
      <c r="E91" s="202" t="s">
        <v>77</v>
      </c>
      <c r="F91" s="203">
        <f>+SUM(F86:F90)</f>
        <v>20671.68</v>
      </c>
      <c r="G91" s="203">
        <f>+SUM(G86:G90)</f>
        <v>20015.04</v>
      </c>
      <c r="H91" s="203">
        <f>+SUM(H86:H90)</f>
        <v>18358.400000000001</v>
      </c>
      <c r="I91" s="189"/>
      <c r="J91" s="204">
        <f>+SUM(J86:J90)</f>
        <v>586768.59199999995</v>
      </c>
      <c r="K91" s="191"/>
    </row>
    <row r="92" spans="1:17" ht="16.5" thickBot="1" x14ac:dyDescent="0.3">
      <c r="A92" s="215" t="s">
        <v>182</v>
      </c>
      <c r="B92" s="216"/>
      <c r="C92" s="84"/>
    </row>
    <row r="93" spans="1:17" ht="16.5" thickBot="1" x14ac:dyDescent="0.3">
      <c r="A93" s="214" t="s">
        <v>160</v>
      </c>
      <c r="B93" s="214">
        <v>650</v>
      </c>
      <c r="C93" s="85"/>
      <c r="D93" s="223" t="s">
        <v>184</v>
      </c>
      <c r="E93" s="224" t="s">
        <v>185</v>
      </c>
      <c r="F93" s="224" t="s">
        <v>186</v>
      </c>
      <c r="G93" s="224" t="s">
        <v>188</v>
      </c>
      <c r="H93" s="224" t="s">
        <v>187</v>
      </c>
      <c r="I93" s="217"/>
      <c r="J93" s="217"/>
      <c r="K93" s="218"/>
    </row>
    <row r="94" spans="1:17" ht="15.75" x14ac:dyDescent="0.25">
      <c r="A94" s="207" t="s">
        <v>161</v>
      </c>
      <c r="B94" s="208">
        <f>+Input!B40</f>
        <v>20</v>
      </c>
      <c r="C94" s="85"/>
      <c r="D94" s="219"/>
      <c r="E94" s="219"/>
      <c r="F94" s="220" t="s">
        <v>77</v>
      </c>
      <c r="G94" s="219"/>
      <c r="H94" s="219"/>
      <c r="I94" s="219"/>
      <c r="J94" s="219"/>
      <c r="K94" s="219"/>
    </row>
    <row r="95" spans="1:17" ht="15.75" x14ac:dyDescent="0.25">
      <c r="A95" s="207"/>
      <c r="B95" s="207">
        <f>+B93*B94</f>
        <v>13000</v>
      </c>
      <c r="C95" s="85"/>
      <c r="D95" s="221"/>
      <c r="E95" s="221"/>
      <c r="F95" s="222" t="s">
        <v>77</v>
      </c>
      <c r="G95" s="221"/>
      <c r="H95" s="221"/>
      <c r="I95" s="221"/>
      <c r="J95" s="221"/>
      <c r="K95" s="221"/>
    </row>
    <row r="96" spans="1:17" ht="15.75" x14ac:dyDescent="0.25">
      <c r="A96" s="207" t="s">
        <v>162</v>
      </c>
      <c r="B96" s="209">
        <f>+Input!B70</f>
        <v>7000</v>
      </c>
      <c r="C96" s="85"/>
      <c r="D96" s="221"/>
      <c r="E96" s="221"/>
      <c r="F96" s="222"/>
      <c r="G96" s="221"/>
      <c r="H96" s="221"/>
      <c r="I96" s="221"/>
      <c r="J96" s="221"/>
      <c r="K96" s="221"/>
    </row>
    <row r="97" spans="1:11" ht="15.75" x14ac:dyDescent="0.25">
      <c r="A97" s="207" t="s">
        <v>20</v>
      </c>
      <c r="B97" s="209">
        <f>+B96*0.18</f>
        <v>1260</v>
      </c>
      <c r="C97" s="85"/>
      <c r="D97" s="221"/>
      <c r="E97" s="221"/>
      <c r="F97" s="222"/>
      <c r="G97" s="221"/>
      <c r="H97" s="221"/>
      <c r="I97" s="221"/>
      <c r="J97" s="221"/>
      <c r="K97" s="221"/>
    </row>
    <row r="98" spans="1:11" ht="16.5" thickBot="1" x14ac:dyDescent="0.3">
      <c r="A98" s="210"/>
      <c r="B98" s="211">
        <f>+SUM(B96:B97)</f>
        <v>8260</v>
      </c>
      <c r="C98" s="85"/>
      <c r="D98" s="221"/>
      <c r="E98" s="221"/>
      <c r="F98" s="222"/>
      <c r="G98" s="221"/>
      <c r="H98" s="221"/>
      <c r="I98" s="221"/>
      <c r="J98" s="221"/>
      <c r="K98" s="221"/>
    </row>
    <row r="99" spans="1:11" ht="15.75" x14ac:dyDescent="0.25">
      <c r="A99" s="212" t="s">
        <v>163</v>
      </c>
      <c r="B99" s="213">
        <f>+B95-B98</f>
        <v>4740</v>
      </c>
      <c r="C99" s="85"/>
      <c r="D99" s="221"/>
      <c r="E99" s="221"/>
      <c r="F99" s="222"/>
      <c r="G99" s="221"/>
      <c r="H99" s="221"/>
      <c r="I99" s="221"/>
      <c r="J99" s="221"/>
      <c r="K99" s="221"/>
    </row>
    <row r="100" spans="1:11" ht="16.5" thickBot="1" x14ac:dyDescent="0.3">
      <c r="A100" s="205" t="s">
        <v>152</v>
      </c>
      <c r="B100" s="206"/>
      <c r="C100" s="85"/>
      <c r="D100" s="221"/>
      <c r="E100" s="221"/>
      <c r="F100" s="222"/>
      <c r="G100" s="221"/>
      <c r="H100" s="221"/>
      <c r="I100" s="221"/>
      <c r="J100" s="221"/>
      <c r="K100" s="221"/>
    </row>
    <row r="101" spans="1:11" ht="15.75" x14ac:dyDescent="0.25">
      <c r="A101" s="85"/>
      <c r="B101" s="85"/>
      <c r="C101" s="85"/>
      <c r="D101" s="221"/>
      <c r="E101" s="221"/>
      <c r="F101" s="222"/>
      <c r="G101" s="221"/>
      <c r="H101" s="221"/>
      <c r="I101" s="221"/>
      <c r="J101" s="221"/>
      <c r="K101" s="221"/>
    </row>
    <row r="102" spans="1:11" x14ac:dyDescent="0.25">
      <c r="D102" s="221"/>
      <c r="E102" s="221"/>
      <c r="F102" s="222"/>
      <c r="G102" s="221"/>
      <c r="H102" s="221"/>
      <c r="I102" s="221"/>
      <c r="J102" s="221"/>
      <c r="K102" s="221"/>
    </row>
    <row r="103" spans="1:11" x14ac:dyDescent="0.25">
      <c r="D103" s="221"/>
      <c r="E103" s="221"/>
      <c r="F103" s="222"/>
      <c r="G103" s="221"/>
      <c r="H103" s="221"/>
      <c r="I103" s="221"/>
      <c r="J103" s="221"/>
      <c r="K103" s="221"/>
    </row>
    <row r="104" spans="1:11" x14ac:dyDescent="0.25">
      <c r="D104" s="221"/>
      <c r="E104" s="221"/>
      <c r="F104" s="222"/>
      <c r="G104" s="221"/>
      <c r="H104" s="221"/>
      <c r="I104" s="221"/>
      <c r="J104" s="221"/>
      <c r="K104" s="221"/>
    </row>
  </sheetData>
  <mergeCells count="4">
    <mergeCell ref="A27:B27"/>
    <mergeCell ref="A28:B28"/>
    <mergeCell ref="A38:B38"/>
    <mergeCell ref="A51:B51"/>
  </mergeCells>
  <conditionalFormatting sqref="C73:Q74">
    <cfRule type="cellIs" dxfId="1" priority="1" operator="greaterThan">
      <formula>0</formula>
    </cfRule>
    <cfRule type="cellIs" dxfId="0" priority="2" operator="lessThan">
      <formula>0</formula>
    </cfRule>
  </conditionalFormatting>
  <pageMargins left="0.17" right="0.17" top="0.17499999999999999" bottom="0.17499999999999999" header="0.3" footer="0.3"/>
  <pageSetup paperSize="5"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Input</vt:lpstr>
      <vt:lpstr>Proforma</vt:lpstr>
      <vt:lpstr>Proforma!Print_Area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dscrocco</dc:creator>
  <cp:lastModifiedBy>Connor Cullip</cp:lastModifiedBy>
  <cp:lastPrinted>2021-08-25T16:35:12Z</cp:lastPrinted>
  <dcterms:created xsi:type="dcterms:W3CDTF">2018-08-01T21:19:31Z</dcterms:created>
  <dcterms:modified xsi:type="dcterms:W3CDTF">2024-02-16T18:07:59Z</dcterms:modified>
</cp:coreProperties>
</file>